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5055" yWindow="-90" windowWidth="22710" windowHeight="12090"/>
  </bookViews>
  <sheets>
    <sheet name="налоговые и неналоговые" sheetId="1" r:id="rId1"/>
  </sheets>
  <definedNames>
    <definedName name="Z_73D7718A_C58D_41DD_83DC_9368C9B04778_.wvu.Cols" localSheetId="0" hidden="1">'налоговые и неналоговые'!$F:$I</definedName>
    <definedName name="Z_73D7718A_C58D_41DD_83DC_9368C9B04778_.wvu.PrintTitles" localSheetId="0" hidden="1">'налоговые и неналоговые'!$9:$10</definedName>
    <definedName name="Z_83B7096A_0FA0_4627_A58C_4D002CA0D88C_.wvu.Cols" localSheetId="0" hidden="1">'налоговые и неналоговые'!$F:$I</definedName>
    <definedName name="Z_83B7096A_0FA0_4627_A58C_4D002CA0D88C_.wvu.PrintTitles" localSheetId="0" hidden="1">'налоговые и неналоговые'!$9:$10</definedName>
    <definedName name="_xlnm.Print_Titles" localSheetId="0">'налоговые и неналоговые'!$9:$10</definedName>
    <definedName name="_xlnm.Print_Area" localSheetId="0">'налоговые и неналоговые'!$A$1:$O$60</definedName>
  </definedNames>
  <calcPr calcId="145621"/>
  <customWorkbookViews>
    <customWorkbookView name="MalkovaE - Личное представление" guid="{73D7718A-C58D-41DD-83DC-9368C9B04778}" mergeInterval="0" personalView="1" maximized="1" windowWidth="1916" windowHeight="835" activeSheetId="1"/>
    <customWorkbookView name="minfin user - Личное представление" guid="{83B7096A-0FA0-4627-A58C-4D002CA0D88C}" mergeInterval="0" personalView="1" maximized="1" xWindow="1" yWindow="1" windowWidth="1920" windowHeight="941" activeSheetId="1"/>
  </customWorkbookViews>
</workbook>
</file>

<file path=xl/calcChain.xml><?xml version="1.0" encoding="utf-8"?>
<calcChain xmlns="http://schemas.openxmlformats.org/spreadsheetml/2006/main">
  <c r="M53" i="1"/>
  <c r="L53"/>
  <c r="J53"/>
  <c r="K53"/>
  <c r="O47" l="1"/>
  <c r="O41"/>
  <c r="O36"/>
  <c r="O34"/>
  <c r="N47"/>
  <c r="N41"/>
  <c r="N36"/>
  <c r="N34"/>
  <c r="M47"/>
  <c r="M41"/>
  <c r="M36"/>
  <c r="M34"/>
  <c r="K57"/>
  <c r="K55"/>
  <c r="P12"/>
  <c r="P11" s="1"/>
  <c r="K58"/>
  <c r="O57"/>
  <c r="N57"/>
  <c r="M57"/>
  <c r="L57"/>
  <c r="P55" s="1"/>
  <c r="J57"/>
  <c r="J63" s="1"/>
  <c r="O58"/>
  <c r="N58"/>
  <c r="N52" s="1"/>
  <c r="S12" s="1"/>
  <c r="S11" s="1"/>
  <c r="M58"/>
  <c r="J58"/>
  <c r="O55"/>
  <c r="N55"/>
  <c r="M55"/>
  <c r="L63"/>
  <c r="O53"/>
  <c r="N53"/>
  <c r="Q12"/>
  <c r="Q11" s="1"/>
  <c r="M52" l="1"/>
  <c r="M63" s="1"/>
  <c r="O52"/>
  <c r="N63"/>
  <c r="R12" l="1"/>
  <c r="R11" s="1"/>
  <c r="T12"/>
  <c r="T11" s="1"/>
  <c r="O63"/>
</calcChain>
</file>

<file path=xl/sharedStrings.xml><?xml version="1.0" encoding="utf-8"?>
<sst xmlns="http://schemas.openxmlformats.org/spreadsheetml/2006/main" count="259" uniqueCount="176">
  <si>
    <t>Наименование бюджета</t>
  </si>
  <si>
    <t>Областной бюджет</t>
  </si>
  <si>
    <t>Номер реест-ровой записи</t>
  </si>
  <si>
    <t>Наименование главного администратора доходов бюджета</t>
  </si>
  <si>
    <t>Норматив зачислени 
в бюджет субъекта, %</t>
  </si>
  <si>
    <t>Прогноз доходов бюджетов</t>
  </si>
  <si>
    <t>2017 год</t>
  </si>
  <si>
    <t>2018 год</t>
  </si>
  <si>
    <t>2019 год</t>
  </si>
  <si>
    <t>2020 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</si>
  <si>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</si>
  <si>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</si>
  <si>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</si>
  <si>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РФ</t>
  </si>
  <si>
    <t>Налоги на совокупный доход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</si>
  <si>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</si>
  <si>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</si>
  <si>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</si>
  <si>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</si>
  <si>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</si>
  <si>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</si>
  <si>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</si>
  <si>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</si>
  <si>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Разные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</si>
  <si>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</si>
  <si>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</si>
  <si>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</si>
  <si>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</si>
  <si>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</si>
  <si>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</si>
  <si>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</si>
  <si>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Финансовый орган</t>
  </si>
  <si>
    <t xml:space="preserve">Единица измерения: </t>
  </si>
  <si>
    <t>Классификация
доходов бюджетов</t>
  </si>
  <si>
    <t>код</t>
  </si>
  <si>
    <t>Наименование группы (подгруппы) источников доходов бюджета / 
наименование источника доходов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</si>
  <si>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</si>
  <si>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</si>
  <si>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</si>
  <si>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 на средние дистилляты, производимые на территории Российской Федерации</t>
  </si>
  <si>
    <t>Уполномоченный территориальный орган Федерального казначейства </t>
  </si>
  <si>
    <t>000 117 00000 00 0000 000</t>
  </si>
  <si>
    <t>Министерство финансов Архангельской области</t>
  </si>
  <si>
    <t>Доходы от уплаты акцизов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дистиллята), подлежащие распределению в бюджеты субъектов Российской Федерации</t>
  </si>
  <si>
    <t>Акцизы на пиво, производимое на территории Российской Федерации</t>
  </si>
  <si>
    <t>Налог, взимаемый в связи с применением упрощенной системы налогообложения</t>
  </si>
  <si>
    <t>Регулярные платежи за добычу полезных ископаемых (роялти) при выполнении соглашений о разделе продукции</t>
  </si>
  <si>
    <t>Налоги на прибыль организаций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</si>
  <si>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</si>
  <si>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</si>
  <si>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</si>
  <si>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</si>
  <si>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</si>
  <si>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Плата за негативное воздействие на окружающую среду</t>
  </si>
  <si>
    <t>Плата за использование лесов</t>
  </si>
  <si>
    <t>Управление Росприроднадзора по Архангельской области</t>
  </si>
  <si>
    <t>Министерство природных ресурсов и лесопромышленного комплекса Архангельской области</t>
  </si>
  <si>
    <t>млн. рублей</t>
  </si>
  <si>
    <t>Наименование</t>
  </si>
  <si>
    <t>Министерство имущественных отношений Архангельской области</t>
  </si>
  <si>
    <t>Платежи при пользовании недрами</t>
  </si>
  <si>
    <t>Министерство транспорта Архангельской области</t>
  </si>
  <si>
    <t>1.1</t>
  </si>
  <si>
    <t>1.1.1</t>
  </si>
  <si>
    <t>1.1.2</t>
  </si>
  <si>
    <t>1.2</t>
  </si>
  <si>
    <t>1.2.1</t>
  </si>
  <si>
    <t>1.2.3</t>
  </si>
  <si>
    <t>1.2.4</t>
  </si>
  <si>
    <t>1.2.5</t>
  </si>
  <si>
    <t>1.2.6</t>
  </si>
  <si>
    <t>1.2.7</t>
  </si>
  <si>
    <t>1.3</t>
  </si>
  <si>
    <t>1.4</t>
  </si>
  <si>
    <t>1.5</t>
  </si>
  <si>
    <t>1.4.1</t>
  </si>
  <si>
    <t>1.4.2</t>
  </si>
  <si>
    <t>1.4.3</t>
  </si>
  <si>
    <t>1.6</t>
  </si>
  <si>
    <t>1.7</t>
  </si>
  <si>
    <t>1.8</t>
  </si>
  <si>
    <t>1.9</t>
  </si>
  <si>
    <t>1.10</t>
  </si>
  <si>
    <t>1.11</t>
  </si>
  <si>
    <t>1.5.1</t>
  </si>
  <si>
    <t>1.5.2</t>
  </si>
  <si>
    <t>1.5.3</t>
  </si>
  <si>
    <t>1.7.1</t>
  </si>
  <si>
    <t>1.7.2</t>
  </si>
  <si>
    <t>1.7.3</t>
  </si>
  <si>
    <t>1.7.4</t>
  </si>
  <si>
    <t>1.7.5</t>
  </si>
  <si>
    <t>1.8.1</t>
  </si>
  <si>
    <t>1.8.2</t>
  </si>
  <si>
    <t>1.8.3</t>
  </si>
  <si>
    <t>1.12</t>
  </si>
  <si>
    <t>1.12.1</t>
  </si>
  <si>
    <t>1.13</t>
  </si>
  <si>
    <t>1.12.2</t>
  </si>
  <si>
    <t>1.12.4</t>
  </si>
  <si>
    <t>1.12.5</t>
  </si>
  <si>
    <t>1.12.6</t>
  </si>
  <si>
    <t>Реестр источников доходов областного бюджета
(к проекту областного закона "Об областном бюджете на 2020 год и на плановый период 2021 и 2022 годов)
в части налоговых и неналоговых доходов</t>
  </si>
  <si>
    <t>План 
на 
2019 год</t>
  </si>
  <si>
    <t>Кассовые поступления в текущем финансовом году
(по состоянию на 01 октября 2019 года)</t>
  </si>
  <si>
    <t>Оценка исполнения
 на 2019 (текущий финановый
 год)</t>
  </si>
  <si>
    <t>на 2020 год
(очередной финансовый год)</t>
  </si>
  <si>
    <t>на 2021 год (первый год планового периода)</t>
  </si>
  <si>
    <t>на 2022 год
(второй год планового периода)</t>
  </si>
  <si>
    <t>Доходы от уплаты акцизов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дистиллята), подлежащие распределению в бюджеты субъектов Российской Федерации (понормативам, установленным Федеральным законом о федеральном бюджете, в целях компенсации снижения доходов бюджетов субъектов Российской Федерации в связи с переходом на порядок зачисления таких доходов по данным о розничной продаже указанной продукции, отраженным в единой государственной автоматизированной информационной системе учета объема производства и оборота этилового спирта, алкогольной и спиртосодержащей продукции)</t>
  </si>
  <si>
    <t>Доходы от уплаты акцизов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дистиллята), подлежащие распределению в бюджеты субъектов Российской Федерации (по нормативам,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организаций)</t>
  </si>
  <si>
    <t>1.2.2</t>
  </si>
  <si>
    <t>1.2.8</t>
  </si>
  <si>
    <t>1.2.9</t>
  </si>
  <si>
    <t>1.3.1</t>
  </si>
  <si>
    <t>Административные штрафы, установленные Кодексом Российской Федерации об административных правонарушениях</t>
  </si>
  <si>
    <t>Платежи, уплачиваемые в целях возмещения вреда, причиняемого автомобильным дорогам регионального или межмуниципального значения транспортными средствами, осуществляющими перевозки тяжеловесных и (или) крупногабаритных грузов</t>
  </si>
  <si>
    <t>104 1 16 11063 01 0000 140</t>
  </si>
  <si>
    <t>Штрафы, неустойки, пени, уплаченные в соответствии с договором аренды лесного участка или договором купли-продажи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Федерации, казенным учреждением субъекта Российской Федерации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</si>
  <si>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субъектов Российской Федерации)</t>
  </si>
  <si>
    <t>000 1 16 10100 02 0000 140</t>
  </si>
  <si>
    <t>000 1 00 00000 00 0000 000</t>
  </si>
  <si>
    <t>182 1 01 00000 00 0000 000</t>
  </si>
  <si>
    <t>182 1 01 02000 01 0000 110</t>
  </si>
  <si>
    <t>182 1 03 00000 00 0000 000</t>
  </si>
  <si>
    <t>183 1 03 02100 01 0000 110</t>
  </si>
  <si>
    <t>100 1 03 02140 01 0000 110</t>
  </si>
  <si>
    <t>100 1 03 02141 01 0000 110</t>
  </si>
  <si>
    <t>100 1 03 02143 01 0000 110</t>
  </si>
  <si>
    <t>100 1 03 02230 01 0000 110</t>
  </si>
  <si>
    <t>100 1 03 02240 01 0000 110</t>
  </si>
  <si>
    <t>100 1 03 02250 01 0000 110</t>
  </si>
  <si>
    <t>182 1 03 02330 01 0000 110</t>
  </si>
  <si>
    <t>182 1 05 00000 00 0000 110</t>
  </si>
  <si>
    <t>182 1 05 01000 00 0000 110</t>
  </si>
  <si>
    <t>182 1 06 00000 00 0000 000</t>
  </si>
  <si>
    <t>182 1 06 02000 02 0000 110</t>
  </si>
  <si>
    <t>182 1 06 04000 02 0000 110</t>
  </si>
  <si>
    <t>182 1 06 05000 02 0000 110</t>
  </si>
  <si>
    <t>182 1 07 01000 01 0000 110</t>
  </si>
  <si>
    <t>183 1 07 02000 01 0000 110</t>
  </si>
  <si>
    <t>182 1 07 04000 01 0000 110</t>
  </si>
  <si>
    <t>000 1 08 00000 00 0000 000</t>
  </si>
  <si>
    <t>182 1 07 00000 00 0000 000</t>
  </si>
  <si>
    <t>000 1 11 00000 00 0000 000</t>
  </si>
  <si>
    <t>163 1 11 01000 00 0000 120</t>
  </si>
  <si>
    <t>090 1 11 03000 00 0000 120</t>
  </si>
  <si>
    <t>000 1 11 05000 00 0000 120</t>
  </si>
  <si>
    <t>163 1 11 07000 00 0000 120</t>
  </si>
  <si>
    <t>163 1 11 09000 00 0000 120</t>
  </si>
  <si>
    <t>000 1 12 00000 00 0000 000</t>
  </si>
  <si>
    <t>048 1 12 01000 00 0000 000</t>
  </si>
  <si>
    <t>045 1 12 02000 00 0000 000</t>
  </si>
  <si>
    <t>045 1 12 04000 00 0000 000</t>
  </si>
  <si>
    <t>000 1 13 00000 00 0000 000</t>
  </si>
  <si>
    <t>163 1 14 00000 00 0000 000</t>
  </si>
  <si>
    <t>000 1 15 00000 00 0000 000</t>
  </si>
  <si>
    <t>000 1 16 00000 00 0000 000</t>
  </si>
  <si>
    <t>000 1 16 01000 01 0000 140</t>
  </si>
  <si>
    <t>045 1 16 07030 02 0000 140</t>
  </si>
  <si>
    <t>Платежи в целях возмещения убытков, причиненных уклонением от заключения с государственным органом субъекта Российской Федерации (казенным учреждением субъекта Российской Федерации) государственного контракта, а также иные денежные средства,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государственного контракта, финансируемого за счет средств дорожного фонда субъекта Российской Федерации)</t>
  </si>
  <si>
    <t>000 1 16 10056 02 0000 140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</si>
  <si>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Федерации, казенным учреждением субъекта Российской Федерации</t>
  </si>
  <si>
    <t>000 1 16 07090 02 0000 140</t>
  </si>
  <si>
    <t>1.12.3</t>
  </si>
  <si>
    <t>УФНС по Архангельской области  и Ненецкому автономному округу</t>
  </si>
  <si>
    <t>163 1 11 05322 02 0000 120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</si>
  <si>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субъектов Российской Федерации</t>
  </si>
  <si>
    <t>Возмещение ущерба при возникновении страховых случаев, когда выгодоприобретателями выступают получатели средств бюджета субъекта Российской Федерации</t>
  </si>
  <si>
    <t>000 1 16 10021 02 0000 140</t>
  </si>
  <si>
    <t>1.12.7</t>
  </si>
  <si>
    <t>Доходы от уплаты акцизов на этиловый спирт из пищевого или непищевого сырья, акцизов на спиртосодержащую продукцию, производимые на территории Российской Федерации, подлежащие зачислению в бюджеты в размере 50 процентов объема указанных доходов,направляются территориальными органаи Федерального казначейства в уполномоченный территориальный орган Федерального казначейства для их последующего распределения между бюджетами Российской Федерации по нормативам</t>
  </si>
  <si>
    <t xml:space="preserve">100 1 03 02010 01 0000 110 </t>
  </si>
  <si>
    <t xml:space="preserve">Акцизы на этиловый спирт из пищевого или непищевого сырья, в том числе денатурированный этиловый спирт, спирт-сырец, дистилляты винный, виноградный, плодовый, коньячный, кальвадосный, висковый, производимый на территории Российской Федерации
</t>
  </si>
  <si>
    <t xml:space="preserve">100 1 03 02210 01 0000 110 </t>
  </si>
  <si>
    <t xml:space="preserve">Доходы от уплаты акцизов на спиртосодержащую продукцию, производимую на территории Российской Федерации, направляемые в уполномоченный территориальный орган Федерального казначейства для распределения в бюджеты субъектов Российской Федерации
</t>
  </si>
</sst>
</file>

<file path=xl/styles.xml><?xml version="1.0" encoding="utf-8"?>
<styleSheet xmlns="http://schemas.openxmlformats.org/spreadsheetml/2006/main">
  <numFmts count="2">
    <numFmt numFmtId="164" formatCode="_-* #,##0.00\ _р_._-;\-* #,##0.00\ _р_._-;_-* &quot;-&quot;??\ _р_._-;_-@_-"/>
    <numFmt numFmtId="165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4" fillId="0" borderId="2">
      <alignment horizontal="left" vertical="top" wrapText="1"/>
    </xf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2" borderId="0"/>
    <xf numFmtId="0" fontId="4" fillId="0" borderId="2">
      <alignment horizontal="center" vertical="center" wrapText="1"/>
    </xf>
    <xf numFmtId="49" fontId="4" fillId="0" borderId="2">
      <alignment horizontal="center" vertical="top" shrinkToFit="1"/>
    </xf>
    <xf numFmtId="0" fontId="4" fillId="0" borderId="0"/>
    <xf numFmtId="0" fontId="4" fillId="0" borderId="2">
      <alignment horizontal="center" vertical="top" wrapText="1"/>
    </xf>
    <xf numFmtId="0" fontId="9" fillId="0" borderId="0"/>
    <xf numFmtId="49" fontId="10" fillId="0" borderId="2">
      <alignment horizontal="left" vertical="top" shrinkToFit="1"/>
    </xf>
    <xf numFmtId="4" fontId="4" fillId="0" borderId="2">
      <alignment horizontal="right" vertical="top" shrinkToFit="1"/>
    </xf>
    <xf numFmtId="4" fontId="10" fillId="3" borderId="2">
      <alignment horizontal="right" vertical="top" shrinkToFit="1"/>
    </xf>
    <xf numFmtId="0" fontId="4" fillId="0" borderId="0">
      <alignment horizontal="left" wrapText="1"/>
    </xf>
    <xf numFmtId="10" fontId="4" fillId="0" borderId="2">
      <alignment horizontal="center" vertical="top" shrinkToFit="1"/>
    </xf>
    <xf numFmtId="10" fontId="10" fillId="3" borderId="2">
      <alignment horizontal="center" vertical="top" shrinkToFit="1"/>
    </xf>
    <xf numFmtId="0" fontId="11" fillId="0" borderId="0">
      <alignment horizontal="center" wrapText="1"/>
    </xf>
    <xf numFmtId="0" fontId="11" fillId="0" borderId="0">
      <alignment horizontal="center"/>
    </xf>
    <xf numFmtId="0" fontId="4" fillId="0" borderId="0">
      <alignment horizontal="right"/>
    </xf>
    <xf numFmtId="0" fontId="8" fillId="0" borderId="0"/>
    <xf numFmtId="4" fontId="10" fillId="4" borderId="2">
      <alignment horizontal="right" vertical="top" shrinkToFit="1"/>
    </xf>
    <xf numFmtId="10" fontId="10" fillId="4" borderId="2">
      <alignment horizontal="center" vertical="top" shrinkToFit="1"/>
    </xf>
    <xf numFmtId="49" fontId="12" fillId="0" borderId="2">
      <alignment horizontal="center"/>
    </xf>
    <xf numFmtId="0" fontId="13" fillId="0" borderId="0"/>
    <xf numFmtId="0" fontId="7" fillId="0" borderId="0"/>
    <xf numFmtId="0" fontId="1" fillId="0" borderId="0"/>
    <xf numFmtId="164" fontId="15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2" fontId="2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3" fontId="2" fillId="0" borderId="0" xfId="0" applyNumberFormat="1" applyFont="1" applyFill="1"/>
    <xf numFmtId="2" fontId="5" fillId="0" borderId="1" xfId="1" applyNumberFormat="1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/>
    </xf>
    <xf numFmtId="165" fontId="2" fillId="0" borderId="0" xfId="0" applyNumberFormat="1" applyFont="1" applyFill="1"/>
    <xf numFmtId="0" fontId="2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/>
    <xf numFmtId="2" fontId="17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29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4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8" xfId="0" applyFill="1" applyBorder="1"/>
    <xf numFmtId="0" fontId="0" fillId="0" borderId="3" xfId="0" applyFill="1" applyBorder="1"/>
  </cellXfs>
  <cellStyles count="30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1"/>
    <cellStyle name="xl38" xfId="23"/>
    <cellStyle name="xl39" xfId="24"/>
    <cellStyle name="xl52" xfId="25"/>
    <cellStyle name="Обычный" xfId="0" builtinId="0"/>
    <cellStyle name="Обычный 2" xfId="26"/>
    <cellStyle name="Обычный 3" xfId="27"/>
    <cellStyle name="Обычный 4" xfId="28"/>
    <cellStyle name="Финансовый" xfId="2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65"/>
  <sheetViews>
    <sheetView tabSelected="1" zoomScale="70" zoomScaleNormal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6" sqref="B6"/>
    </sheetView>
  </sheetViews>
  <sheetFormatPr defaultRowHeight="15.75"/>
  <cols>
    <col min="1" max="1" width="11.140625" style="1" customWidth="1"/>
    <col min="2" max="2" width="60.28515625" style="1" customWidth="1"/>
    <col min="3" max="3" width="32.28515625" style="1" customWidth="1"/>
    <col min="4" max="4" width="68.5703125" style="1" customWidth="1"/>
    <col min="5" max="5" width="38.7109375" style="1" customWidth="1"/>
    <col min="6" max="9" width="9.7109375" style="1" hidden="1" customWidth="1"/>
    <col min="10" max="10" width="13.85546875" style="1" customWidth="1"/>
    <col min="11" max="11" width="15.28515625" style="1" customWidth="1"/>
    <col min="12" max="12" width="16.42578125" style="1" customWidth="1"/>
    <col min="13" max="15" width="13.7109375" style="1" customWidth="1"/>
    <col min="16" max="16" width="13.5703125" style="1" hidden="1" customWidth="1"/>
    <col min="17" max="17" width="13.85546875" style="1" hidden="1" customWidth="1"/>
    <col min="18" max="18" width="12" style="1" hidden="1" customWidth="1"/>
    <col min="19" max="19" width="13.42578125" style="1" hidden="1" customWidth="1"/>
    <col min="20" max="20" width="12.85546875" style="1" hidden="1" customWidth="1"/>
    <col min="21" max="51" width="0" style="1" hidden="1" customWidth="1"/>
    <col min="52" max="16384" width="9.140625" style="1"/>
  </cols>
  <sheetData>
    <row r="2" spans="1:20" ht="63.75" customHeight="1">
      <c r="A2" s="43" t="s">
        <v>102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20" ht="12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20" ht="18.75">
      <c r="A5" s="8" t="s">
        <v>31</v>
      </c>
      <c r="B5" s="8"/>
      <c r="C5" s="3" t="s">
        <v>42</v>
      </c>
      <c r="D5" s="8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20" ht="18.75">
      <c r="A6" s="8" t="s">
        <v>0</v>
      </c>
      <c r="B6" s="8"/>
      <c r="C6" s="3" t="s">
        <v>1</v>
      </c>
      <c r="D6" s="8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20" ht="21" customHeight="1">
      <c r="A7" s="8" t="s">
        <v>32</v>
      </c>
      <c r="B7" s="8"/>
      <c r="C7" s="3" t="s">
        <v>57</v>
      </c>
      <c r="D7" s="8"/>
    </row>
    <row r="9" spans="1:20" ht="36.75" customHeight="1">
      <c r="A9" s="47" t="s">
        <v>2</v>
      </c>
      <c r="B9" s="47" t="s">
        <v>35</v>
      </c>
      <c r="C9" s="39" t="s">
        <v>33</v>
      </c>
      <c r="D9" s="39"/>
      <c r="E9" s="47" t="s">
        <v>3</v>
      </c>
      <c r="F9" s="40" t="s">
        <v>4</v>
      </c>
      <c r="G9" s="41"/>
      <c r="H9" s="41"/>
      <c r="I9" s="42"/>
      <c r="J9" s="47" t="s">
        <v>103</v>
      </c>
      <c r="K9" s="47" t="s">
        <v>104</v>
      </c>
      <c r="L9" s="47" t="s">
        <v>105</v>
      </c>
      <c r="M9" s="40" t="s">
        <v>5</v>
      </c>
      <c r="N9" s="41"/>
      <c r="O9" s="42"/>
    </row>
    <row r="10" spans="1:20" ht="90.75" customHeight="1">
      <c r="A10" s="48"/>
      <c r="B10" s="48"/>
      <c r="C10" s="19" t="s">
        <v>34</v>
      </c>
      <c r="D10" s="19" t="s">
        <v>58</v>
      </c>
      <c r="E10" s="48"/>
      <c r="F10" s="19" t="s">
        <v>6</v>
      </c>
      <c r="G10" s="19" t="s">
        <v>7</v>
      </c>
      <c r="H10" s="19" t="s">
        <v>8</v>
      </c>
      <c r="I10" s="19" t="s">
        <v>9</v>
      </c>
      <c r="J10" s="48"/>
      <c r="K10" s="48"/>
      <c r="L10" s="48"/>
      <c r="M10" s="19" t="s">
        <v>106</v>
      </c>
      <c r="N10" s="19" t="s">
        <v>107</v>
      </c>
      <c r="O10" s="19" t="s">
        <v>108</v>
      </c>
    </row>
    <row r="11" spans="1:20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/>
      <c r="G11" s="19"/>
      <c r="H11" s="19"/>
      <c r="I11" s="19"/>
      <c r="J11" s="19">
        <v>6</v>
      </c>
      <c r="K11" s="19">
        <v>7</v>
      </c>
      <c r="L11" s="19">
        <v>8</v>
      </c>
      <c r="M11" s="19">
        <v>9</v>
      </c>
      <c r="N11" s="19">
        <v>10</v>
      </c>
      <c r="O11" s="19">
        <v>11</v>
      </c>
      <c r="P11" s="12">
        <f>K12-P12</f>
        <v>-1.3520709981094114E-2</v>
      </c>
      <c r="Q11" s="12">
        <f t="shared" ref="Q11:T11" si="0">L12-Q12</f>
        <v>0</v>
      </c>
      <c r="R11" s="12">
        <f t="shared" si="0"/>
        <v>-2.9999999984283932E-2</v>
      </c>
      <c r="S11" s="12">
        <f t="shared" si="0"/>
        <v>0</v>
      </c>
      <c r="T11" s="12">
        <f t="shared" si="0"/>
        <v>0</v>
      </c>
    </row>
    <row r="12" spans="1:20" ht="55.5" customHeight="1">
      <c r="A12" s="7">
        <v>1</v>
      </c>
      <c r="B12" s="17" t="s">
        <v>10</v>
      </c>
      <c r="C12" s="4" t="s">
        <v>121</v>
      </c>
      <c r="D12" s="5" t="s">
        <v>10</v>
      </c>
      <c r="E12" s="4"/>
      <c r="F12" s="19"/>
      <c r="G12" s="19"/>
      <c r="H12" s="19"/>
      <c r="I12" s="19"/>
      <c r="J12" s="20">
        <v>58300.997199999998</v>
      </c>
      <c r="K12" s="21">
        <v>45576.716800000002</v>
      </c>
      <c r="L12" s="21">
        <v>59894.497100000001</v>
      </c>
      <c r="M12" s="21">
        <v>63632.256099999999</v>
      </c>
      <c r="N12" s="21">
        <v>69571.167199999996</v>
      </c>
      <c r="O12" s="21">
        <v>74041.068199999994</v>
      </c>
      <c r="P12" s="12">
        <f>K13+K16+K28+K29+K33+K37+K38+K45+K49+K50+K51+K52+K60</f>
        <v>45576.730320709983</v>
      </c>
      <c r="Q12" s="12">
        <f>L13+L16+L28+L29+L33+L37+L38+L45+L49+L50+L51+L52+L60</f>
        <v>59894.497100000001</v>
      </c>
      <c r="R12" s="12">
        <f>M13+M16+M28+M29+M33+M37+M38+M45+M49+M50+M51+M52+M60</f>
        <v>63632.286099999983</v>
      </c>
      <c r="S12" s="12">
        <f>N13+N16+N28+N29+N33+N37+N38+N45+N49+N50+N51+N52+N60</f>
        <v>69571.167199999982</v>
      </c>
      <c r="T12" s="12">
        <f>O13+O16+O28+O29+O33+O37+O38+O45+O49+O50+O51+O52+O60</f>
        <v>74041.068200000009</v>
      </c>
    </row>
    <row r="13" spans="1:20" ht="37.5" customHeight="1">
      <c r="A13" s="7" t="s">
        <v>62</v>
      </c>
      <c r="B13" s="5" t="s">
        <v>11</v>
      </c>
      <c r="C13" s="4" t="s">
        <v>122</v>
      </c>
      <c r="D13" s="5" t="s">
        <v>11</v>
      </c>
      <c r="E13" s="4"/>
      <c r="F13" s="19"/>
      <c r="G13" s="19"/>
      <c r="H13" s="19"/>
      <c r="I13" s="19"/>
      <c r="J13" s="22">
        <v>36803.577799999999</v>
      </c>
      <c r="K13" s="22">
        <v>28549.081999999999</v>
      </c>
      <c r="L13" s="22">
        <v>37350</v>
      </c>
      <c r="M13" s="22">
        <v>38972.774899999997</v>
      </c>
      <c r="N13" s="22">
        <v>41662.215499999998</v>
      </c>
      <c r="O13" s="22">
        <v>44058.457999999999</v>
      </c>
      <c r="P13" s="9"/>
    </row>
    <row r="14" spans="1:20" ht="31.5">
      <c r="A14" s="7" t="s">
        <v>63</v>
      </c>
      <c r="B14" s="4" t="s">
        <v>47</v>
      </c>
      <c r="C14" s="4" t="s">
        <v>122</v>
      </c>
      <c r="D14" s="4" t="s">
        <v>47</v>
      </c>
      <c r="E14" s="4" t="s">
        <v>165</v>
      </c>
      <c r="F14" s="19"/>
      <c r="G14" s="19"/>
      <c r="H14" s="19"/>
      <c r="I14" s="19"/>
      <c r="J14" s="23">
        <v>17503.77</v>
      </c>
      <c r="K14" s="23">
        <v>14949.524799999999</v>
      </c>
      <c r="L14" s="23">
        <v>18000</v>
      </c>
      <c r="M14" s="23">
        <v>18600.065999999999</v>
      </c>
      <c r="N14" s="23">
        <v>20025.878000000001</v>
      </c>
      <c r="O14" s="23">
        <v>20956.36</v>
      </c>
    </row>
    <row r="15" spans="1:20" ht="31.5">
      <c r="A15" s="7" t="s">
        <v>64</v>
      </c>
      <c r="B15" s="4" t="s">
        <v>12</v>
      </c>
      <c r="C15" s="4" t="s">
        <v>123</v>
      </c>
      <c r="D15" s="4" t="s">
        <v>12</v>
      </c>
      <c r="E15" s="4" t="s">
        <v>165</v>
      </c>
      <c r="F15" s="19">
        <v>85</v>
      </c>
      <c r="G15" s="19"/>
      <c r="H15" s="19"/>
      <c r="I15" s="19"/>
      <c r="J15" s="23">
        <v>19299.807799999999</v>
      </c>
      <c r="K15" s="23">
        <v>13599.5573</v>
      </c>
      <c r="L15" s="23">
        <v>19350</v>
      </c>
      <c r="M15" s="23">
        <v>20372.708900000001</v>
      </c>
      <c r="N15" s="23">
        <v>21636.337500000001</v>
      </c>
      <c r="O15" s="23">
        <v>23102.098000000002</v>
      </c>
    </row>
    <row r="16" spans="1:20" ht="51.75" customHeight="1">
      <c r="A16" s="7" t="s">
        <v>65</v>
      </c>
      <c r="B16" s="5" t="s">
        <v>13</v>
      </c>
      <c r="C16" s="4" t="s">
        <v>124</v>
      </c>
      <c r="D16" s="5" t="s">
        <v>13</v>
      </c>
      <c r="E16" s="4" t="s">
        <v>165</v>
      </c>
      <c r="F16" s="19"/>
      <c r="G16" s="19"/>
      <c r="H16" s="19"/>
      <c r="I16" s="19"/>
      <c r="J16" s="22">
        <v>4537.9522999999999</v>
      </c>
      <c r="K16" s="22">
        <v>3498.8204000000001</v>
      </c>
      <c r="L16" s="22">
        <v>4510.9112999999998</v>
      </c>
      <c r="M16" s="22">
        <v>7114.6688000000004</v>
      </c>
      <c r="N16" s="22">
        <v>8847.9886000000006</v>
      </c>
      <c r="O16" s="22">
        <v>10313.9755</v>
      </c>
    </row>
    <row r="17" spans="1:15" ht="53.25" customHeight="1">
      <c r="A17" s="7" t="s">
        <v>66</v>
      </c>
      <c r="B17" s="4" t="s">
        <v>44</v>
      </c>
      <c r="C17" s="4" t="s">
        <v>125</v>
      </c>
      <c r="D17" s="4" t="s">
        <v>44</v>
      </c>
      <c r="E17" s="4" t="s">
        <v>165</v>
      </c>
      <c r="F17" s="19"/>
      <c r="G17" s="19"/>
      <c r="H17" s="19"/>
      <c r="I17" s="19"/>
      <c r="J17" s="24">
        <v>65.313999999999993</v>
      </c>
      <c r="K17" s="24">
        <v>40.8748</v>
      </c>
      <c r="L17" s="24">
        <v>56.325000000000003</v>
      </c>
      <c r="M17" s="24">
        <v>56.982999999999997</v>
      </c>
      <c r="N17" s="24">
        <v>59.582999999999998</v>
      </c>
      <c r="O17" s="24">
        <v>62.183</v>
      </c>
    </row>
    <row r="18" spans="1:15" ht="174.75" customHeight="1">
      <c r="A18" s="7" t="s">
        <v>111</v>
      </c>
      <c r="B18" s="4" t="s">
        <v>43</v>
      </c>
      <c r="C18" s="4" t="s">
        <v>126</v>
      </c>
      <c r="D18" s="4" t="s">
        <v>43</v>
      </c>
      <c r="E18" s="49" t="s">
        <v>40</v>
      </c>
      <c r="F18" s="19"/>
      <c r="G18" s="19"/>
      <c r="H18" s="19"/>
      <c r="I18" s="19"/>
      <c r="J18" s="32">
        <v>1681.845</v>
      </c>
      <c r="K18" s="32">
        <v>1113.8775000000001</v>
      </c>
      <c r="L18" s="32">
        <v>1681.845</v>
      </c>
      <c r="M18" s="32">
        <v>1692.05</v>
      </c>
      <c r="N18" s="32">
        <v>1668.1020000000001</v>
      </c>
      <c r="O18" s="32">
        <v>1738.6859999999999</v>
      </c>
    </row>
    <row r="19" spans="1:15" ht="314.25" customHeight="1">
      <c r="A19" s="7" t="s">
        <v>67</v>
      </c>
      <c r="B19" s="4" t="s">
        <v>109</v>
      </c>
      <c r="C19" s="4" t="s">
        <v>127</v>
      </c>
      <c r="D19" s="4" t="s">
        <v>109</v>
      </c>
      <c r="E19" s="50"/>
      <c r="F19" s="19"/>
      <c r="G19" s="19"/>
      <c r="H19" s="19"/>
      <c r="I19" s="19"/>
      <c r="J19" s="38"/>
      <c r="K19" s="38"/>
      <c r="L19" s="38"/>
      <c r="M19" s="38"/>
      <c r="N19" s="38"/>
      <c r="O19" s="38"/>
    </row>
    <row r="20" spans="1:15" ht="261.75" customHeight="1">
      <c r="A20" s="7" t="s">
        <v>68</v>
      </c>
      <c r="B20" s="4" t="s">
        <v>110</v>
      </c>
      <c r="C20" s="4" t="s">
        <v>128</v>
      </c>
      <c r="D20" s="4" t="s">
        <v>110</v>
      </c>
      <c r="E20" s="51"/>
      <c r="F20" s="19"/>
      <c r="G20" s="19"/>
      <c r="H20" s="19"/>
      <c r="I20" s="19"/>
      <c r="J20" s="48"/>
      <c r="K20" s="48"/>
      <c r="L20" s="48">
        <v>0</v>
      </c>
      <c r="M20" s="33"/>
      <c r="N20" s="33"/>
      <c r="O20" s="33"/>
    </row>
    <row r="21" spans="1:15" ht="112.5" customHeight="1">
      <c r="A21" s="36" t="s">
        <v>69</v>
      </c>
      <c r="B21" s="34" t="s">
        <v>171</v>
      </c>
      <c r="C21" s="4" t="s">
        <v>172</v>
      </c>
      <c r="D21" s="4" t="s">
        <v>173</v>
      </c>
      <c r="E21" s="34" t="s">
        <v>40</v>
      </c>
      <c r="F21" s="19"/>
      <c r="G21" s="19"/>
      <c r="H21" s="19"/>
      <c r="I21" s="19"/>
      <c r="J21" s="32">
        <v>0</v>
      </c>
      <c r="K21" s="32">
        <v>0</v>
      </c>
      <c r="L21" s="32">
        <v>0</v>
      </c>
      <c r="M21" s="32">
        <v>10.7</v>
      </c>
      <c r="N21" s="32">
        <v>12.5</v>
      </c>
      <c r="O21" s="32">
        <v>13.7</v>
      </c>
    </row>
    <row r="22" spans="1:15" ht="100.5" customHeight="1">
      <c r="A22" s="37"/>
      <c r="B22" s="35"/>
      <c r="C22" s="4" t="s">
        <v>174</v>
      </c>
      <c r="D22" s="4" t="s">
        <v>175</v>
      </c>
      <c r="E22" s="35"/>
      <c r="F22" s="19"/>
      <c r="G22" s="19"/>
      <c r="H22" s="19"/>
      <c r="I22" s="19"/>
      <c r="J22" s="33"/>
      <c r="K22" s="33"/>
      <c r="L22" s="33"/>
      <c r="M22" s="33"/>
      <c r="N22" s="33"/>
      <c r="O22" s="33"/>
    </row>
    <row r="23" spans="1:15" ht="108.75" customHeight="1">
      <c r="A23" s="7" t="s">
        <v>70</v>
      </c>
      <c r="B23" s="10" t="s">
        <v>36</v>
      </c>
      <c r="C23" s="4" t="s">
        <v>129</v>
      </c>
      <c r="D23" s="4" t="s">
        <v>36</v>
      </c>
      <c r="E23" s="49" t="s">
        <v>40</v>
      </c>
      <c r="F23" s="19"/>
      <c r="G23" s="2"/>
      <c r="H23" s="2"/>
      <c r="I23" s="2"/>
      <c r="J23" s="32">
        <v>2901.1502999999998</v>
      </c>
      <c r="K23" s="32">
        <v>2371.2928999999999</v>
      </c>
      <c r="L23" s="32">
        <v>2901.1502999999998</v>
      </c>
      <c r="M23" s="32">
        <v>4035.4720000000002</v>
      </c>
      <c r="N23" s="32">
        <v>4268.2950000000001</v>
      </c>
      <c r="O23" s="32">
        <v>4655.107</v>
      </c>
    </row>
    <row r="24" spans="1:15" ht="119.25" customHeight="1">
      <c r="A24" s="7" t="s">
        <v>71</v>
      </c>
      <c r="B24" s="10" t="s">
        <v>37</v>
      </c>
      <c r="C24" s="4" t="s">
        <v>130</v>
      </c>
      <c r="D24" s="4" t="s">
        <v>37</v>
      </c>
      <c r="E24" s="52"/>
      <c r="F24" s="19"/>
      <c r="G24" s="2"/>
      <c r="H24" s="2"/>
      <c r="I24" s="2"/>
      <c r="J24" s="38"/>
      <c r="K24" s="38"/>
      <c r="L24" s="38"/>
      <c r="M24" s="38"/>
      <c r="N24" s="38"/>
      <c r="O24" s="38"/>
    </row>
    <row r="25" spans="1:15" ht="105.75" customHeight="1">
      <c r="A25" s="7" t="s">
        <v>112</v>
      </c>
      <c r="B25" s="10" t="s">
        <v>38</v>
      </c>
      <c r="C25" s="4" t="s">
        <v>131</v>
      </c>
      <c r="D25" s="4" t="s">
        <v>38</v>
      </c>
      <c r="E25" s="53"/>
      <c r="F25" s="19"/>
      <c r="G25" s="2"/>
      <c r="H25" s="2"/>
      <c r="I25" s="2"/>
      <c r="J25" s="33"/>
      <c r="K25" s="33"/>
      <c r="L25" s="33"/>
      <c r="M25" s="33"/>
      <c r="N25" s="33"/>
      <c r="O25" s="33"/>
    </row>
    <row r="26" spans="1:15" ht="50.25" customHeight="1">
      <c r="A26" s="7" t="s">
        <v>113</v>
      </c>
      <c r="B26" s="10" t="s">
        <v>39</v>
      </c>
      <c r="C26" s="4" t="s">
        <v>132</v>
      </c>
      <c r="D26" s="4" t="s">
        <v>39</v>
      </c>
      <c r="E26" s="4" t="s">
        <v>165</v>
      </c>
      <c r="F26" s="19"/>
      <c r="G26" s="2"/>
      <c r="H26" s="2"/>
      <c r="I26" s="2"/>
      <c r="J26" s="25">
        <v>-110.357</v>
      </c>
      <c r="K26" s="25">
        <v>-102.00879999999999</v>
      </c>
      <c r="L26" s="25">
        <v>-128.40899999999999</v>
      </c>
      <c r="M26" s="25">
        <v>-131</v>
      </c>
      <c r="N26" s="25">
        <v>-142</v>
      </c>
      <c r="O26" s="25">
        <v>-146</v>
      </c>
    </row>
    <row r="27" spans="1:15" ht="24" customHeight="1">
      <c r="A27" s="7" t="s">
        <v>72</v>
      </c>
      <c r="B27" s="5" t="s">
        <v>14</v>
      </c>
      <c r="C27" s="4" t="s">
        <v>133</v>
      </c>
      <c r="D27" s="5" t="s">
        <v>14</v>
      </c>
      <c r="F27" s="2"/>
      <c r="G27" s="2"/>
      <c r="H27" s="2"/>
      <c r="I27" s="2"/>
      <c r="J27" s="22">
        <v>3387.32</v>
      </c>
      <c r="K27" s="22">
        <v>2873.9928</v>
      </c>
      <c r="L27" s="22">
        <v>3600</v>
      </c>
      <c r="M27" s="22">
        <v>3802.1030000000001</v>
      </c>
      <c r="N27" s="22">
        <v>4647.7669999999998</v>
      </c>
      <c r="O27" s="22">
        <v>4833.9520000000002</v>
      </c>
    </row>
    <row r="28" spans="1:15" ht="31.5">
      <c r="A28" s="7" t="s">
        <v>114</v>
      </c>
      <c r="B28" s="4" t="s">
        <v>45</v>
      </c>
      <c r="C28" s="4" t="s">
        <v>134</v>
      </c>
      <c r="D28" s="4" t="s">
        <v>45</v>
      </c>
      <c r="E28" s="4" t="s">
        <v>165</v>
      </c>
      <c r="F28" s="2"/>
      <c r="G28" s="2"/>
      <c r="H28" s="2"/>
      <c r="I28" s="2"/>
      <c r="J28" s="23">
        <v>3387.32</v>
      </c>
      <c r="K28" s="23">
        <v>2873.9928</v>
      </c>
      <c r="L28" s="23">
        <v>3600</v>
      </c>
      <c r="M28" s="23">
        <v>3802.1030000000001</v>
      </c>
      <c r="N28" s="23">
        <v>4647.7669999999998</v>
      </c>
      <c r="O28" s="23">
        <v>4833.9520000000002</v>
      </c>
    </row>
    <row r="29" spans="1:15" ht="31.5">
      <c r="A29" s="7" t="s">
        <v>73</v>
      </c>
      <c r="B29" s="5" t="s">
        <v>15</v>
      </c>
      <c r="C29" s="4" t="s">
        <v>135</v>
      </c>
      <c r="D29" s="5" t="s">
        <v>15</v>
      </c>
      <c r="E29" s="4" t="s">
        <v>165</v>
      </c>
      <c r="F29" s="2"/>
      <c r="G29" s="2"/>
      <c r="H29" s="2"/>
      <c r="I29" s="2"/>
      <c r="J29" s="22">
        <v>8544.3808000000008</v>
      </c>
      <c r="K29" s="22">
        <v>6604.5971</v>
      </c>
      <c r="L29" s="22">
        <v>9085.8088000000007</v>
      </c>
      <c r="M29" s="22">
        <v>9139.81</v>
      </c>
      <c r="N29" s="22">
        <v>9522.3269999999993</v>
      </c>
      <c r="O29" s="22">
        <v>9778.3549999999996</v>
      </c>
    </row>
    <row r="30" spans="1:15" ht="31.5">
      <c r="A30" s="7" t="s">
        <v>75</v>
      </c>
      <c r="B30" s="4" t="s">
        <v>16</v>
      </c>
      <c r="C30" s="4" t="s">
        <v>136</v>
      </c>
      <c r="D30" s="4" t="s">
        <v>16</v>
      </c>
      <c r="E30" s="4" t="s">
        <v>165</v>
      </c>
      <c r="F30" s="19">
        <v>100</v>
      </c>
      <c r="G30" s="2"/>
      <c r="H30" s="2"/>
      <c r="I30" s="2"/>
      <c r="J30" s="23">
        <v>7300</v>
      </c>
      <c r="K30" s="23">
        <v>6060.4679999999998</v>
      </c>
      <c r="L30" s="23">
        <v>7842</v>
      </c>
      <c r="M30" s="23">
        <v>7833.6890000000003</v>
      </c>
      <c r="N30" s="23">
        <v>8179.0129999999999</v>
      </c>
      <c r="O30" s="23">
        <v>8382.1929999999993</v>
      </c>
    </row>
    <row r="31" spans="1:15" ht="51" customHeight="1">
      <c r="A31" s="7" t="s">
        <v>76</v>
      </c>
      <c r="B31" s="4" t="s">
        <v>17</v>
      </c>
      <c r="C31" s="4" t="s">
        <v>137</v>
      </c>
      <c r="D31" s="4" t="s">
        <v>17</v>
      </c>
      <c r="E31" s="4" t="s">
        <v>165</v>
      </c>
      <c r="F31" s="19">
        <v>100</v>
      </c>
      <c r="G31" s="2"/>
      <c r="H31" s="2"/>
      <c r="I31" s="2"/>
      <c r="J31" s="23">
        <v>1240.8527999999999</v>
      </c>
      <c r="K31" s="23">
        <v>541.88699999999994</v>
      </c>
      <c r="L31" s="23">
        <v>1240.8527999999999</v>
      </c>
      <c r="M31" s="23">
        <v>1303.097</v>
      </c>
      <c r="N31" s="23">
        <v>1340.29</v>
      </c>
      <c r="O31" s="23">
        <v>1393.1379999999999</v>
      </c>
    </row>
    <row r="32" spans="1:15" ht="47.25" customHeight="1">
      <c r="A32" s="7" t="s">
        <v>77</v>
      </c>
      <c r="B32" s="4" t="s">
        <v>18</v>
      </c>
      <c r="C32" s="4" t="s">
        <v>138</v>
      </c>
      <c r="D32" s="4" t="s">
        <v>18</v>
      </c>
      <c r="E32" s="4" t="s">
        <v>165</v>
      </c>
      <c r="F32" s="19">
        <v>100</v>
      </c>
      <c r="G32" s="2"/>
      <c r="H32" s="2"/>
      <c r="I32" s="2"/>
      <c r="J32" s="23">
        <v>3.528</v>
      </c>
      <c r="K32" s="23">
        <v>2.242</v>
      </c>
      <c r="L32" s="23">
        <v>2.956</v>
      </c>
      <c r="M32" s="23">
        <v>3.024</v>
      </c>
      <c r="N32" s="26">
        <v>3.024</v>
      </c>
      <c r="O32" s="26">
        <v>3.024</v>
      </c>
    </row>
    <row r="33" spans="1:15" ht="65.25" customHeight="1">
      <c r="A33" s="7" t="s">
        <v>74</v>
      </c>
      <c r="B33" s="5" t="s">
        <v>19</v>
      </c>
      <c r="C33" s="4" t="s">
        <v>143</v>
      </c>
      <c r="D33" s="5" t="s">
        <v>19</v>
      </c>
      <c r="E33" s="4" t="s">
        <v>165</v>
      </c>
      <c r="F33" s="19"/>
      <c r="G33" s="2"/>
      <c r="H33" s="2"/>
      <c r="I33" s="2"/>
      <c r="J33" s="18">
        <v>3273.5</v>
      </c>
      <c r="K33" s="22">
        <v>2560.0450000000001</v>
      </c>
      <c r="L33" s="22">
        <v>3461.0450000000001</v>
      </c>
      <c r="M33" s="22">
        <v>2931.8539999999998</v>
      </c>
      <c r="N33" s="22">
        <v>3179.8305</v>
      </c>
      <c r="O33" s="22">
        <v>3303.7669999999998</v>
      </c>
    </row>
    <row r="34" spans="1:15" ht="45.75" customHeight="1">
      <c r="A34" s="7" t="s">
        <v>84</v>
      </c>
      <c r="B34" s="4" t="s">
        <v>20</v>
      </c>
      <c r="C34" s="6" t="s">
        <v>139</v>
      </c>
      <c r="D34" s="6" t="s">
        <v>20</v>
      </c>
      <c r="E34" s="4" t="s">
        <v>165</v>
      </c>
      <c r="F34" s="19"/>
      <c r="G34" s="2"/>
      <c r="H34" s="2"/>
      <c r="I34" s="2"/>
      <c r="J34" s="26">
        <v>3125.3829999999998</v>
      </c>
      <c r="K34" s="23">
        <v>2450.4845999999998</v>
      </c>
      <c r="L34" s="23">
        <v>3304.4430000000002</v>
      </c>
      <c r="M34" s="26">
        <f>74.5615+27.579+2701.52</f>
        <v>2803.6605</v>
      </c>
      <c r="N34" s="26">
        <f>74.495+28.539+2961.04</f>
        <v>3064.0740000000001</v>
      </c>
      <c r="O34" s="26">
        <f>74.452+28.869+3097.92</f>
        <v>3201.241</v>
      </c>
    </row>
    <row r="35" spans="1:15" ht="58.5" customHeight="1">
      <c r="A35" s="7" t="s">
        <v>85</v>
      </c>
      <c r="B35" s="4" t="s">
        <v>46</v>
      </c>
      <c r="C35" s="6" t="s">
        <v>140</v>
      </c>
      <c r="D35" s="6" t="s">
        <v>46</v>
      </c>
      <c r="E35" s="4" t="s">
        <v>165</v>
      </c>
      <c r="F35" s="19"/>
      <c r="G35" s="2"/>
      <c r="H35" s="2"/>
      <c r="I35" s="2"/>
      <c r="J35" s="26">
        <v>86.265000000000001</v>
      </c>
      <c r="K35" s="23">
        <v>72.946200000000005</v>
      </c>
      <c r="L35" s="23">
        <v>94.75</v>
      </c>
      <c r="M35" s="26">
        <v>80.325000000000003</v>
      </c>
      <c r="N35" s="26">
        <v>69.897000000000006</v>
      </c>
      <c r="O35" s="26">
        <v>58.451999999999998</v>
      </c>
    </row>
    <row r="36" spans="1:15" ht="50.25" customHeight="1">
      <c r="A36" s="7" t="s">
        <v>86</v>
      </c>
      <c r="B36" s="4" t="s">
        <v>21</v>
      </c>
      <c r="C36" s="6" t="s">
        <v>141</v>
      </c>
      <c r="D36" s="6" t="s">
        <v>21</v>
      </c>
      <c r="E36" s="4" t="s">
        <v>165</v>
      </c>
      <c r="F36" s="19"/>
      <c r="G36" s="2"/>
      <c r="H36" s="2"/>
      <c r="I36" s="2"/>
      <c r="J36" s="26">
        <v>61.851999999999997</v>
      </c>
      <c r="K36" s="27">
        <v>36.614100000000001</v>
      </c>
      <c r="L36" s="23">
        <v>61.851999999999997</v>
      </c>
      <c r="M36" s="23">
        <f>8.44+39.1642+0.2643</f>
        <v>47.868499999999997</v>
      </c>
      <c r="N36" s="23">
        <f>8.869+36.7289+0.2616</f>
        <v>45.859500000000004</v>
      </c>
      <c r="O36" s="23">
        <f>9.308+34.5044+0.2616</f>
        <v>44.073999999999998</v>
      </c>
    </row>
    <row r="37" spans="1:15" ht="39" customHeight="1">
      <c r="A37" s="7" t="s">
        <v>78</v>
      </c>
      <c r="B37" s="5" t="s">
        <v>22</v>
      </c>
      <c r="C37" s="6" t="s">
        <v>142</v>
      </c>
      <c r="D37" s="14" t="s">
        <v>22</v>
      </c>
      <c r="E37" s="11" t="s">
        <v>23</v>
      </c>
      <c r="F37" s="2"/>
      <c r="G37" s="2"/>
      <c r="H37" s="2"/>
      <c r="I37" s="2"/>
      <c r="J37" s="18">
        <v>141.31309999999999</v>
      </c>
      <c r="K37" s="18">
        <v>116.3541</v>
      </c>
      <c r="L37" s="18">
        <v>160</v>
      </c>
      <c r="M37" s="18">
        <v>161.16249999999999</v>
      </c>
      <c r="N37" s="18">
        <v>166.14529999999999</v>
      </c>
      <c r="O37" s="18">
        <v>165.93510000000001</v>
      </c>
    </row>
    <row r="38" spans="1:15" ht="51" customHeight="1">
      <c r="A38" s="7" t="s">
        <v>79</v>
      </c>
      <c r="B38" s="5" t="s">
        <v>24</v>
      </c>
      <c r="C38" s="7" t="s">
        <v>144</v>
      </c>
      <c r="D38" s="15" t="s">
        <v>24</v>
      </c>
      <c r="E38" s="11" t="s">
        <v>23</v>
      </c>
      <c r="F38" s="2"/>
      <c r="G38" s="2"/>
      <c r="H38" s="2"/>
      <c r="I38" s="2"/>
      <c r="J38" s="18">
        <v>28.435400000000001</v>
      </c>
      <c r="K38" s="18">
        <v>47.966999999999999</v>
      </c>
      <c r="L38" s="18">
        <v>62.237200000000001</v>
      </c>
      <c r="M38" s="18">
        <v>33.414200000000001</v>
      </c>
      <c r="N38" s="18">
        <v>37.535699999999999</v>
      </c>
      <c r="O38" s="18">
        <v>36.478900000000003</v>
      </c>
    </row>
    <row r="39" spans="1:15" ht="106.5" customHeight="1">
      <c r="A39" s="7" t="s">
        <v>87</v>
      </c>
      <c r="B39" s="4" t="s">
        <v>48</v>
      </c>
      <c r="C39" s="7" t="s">
        <v>145</v>
      </c>
      <c r="D39" s="7" t="s">
        <v>48</v>
      </c>
      <c r="E39" s="4" t="s">
        <v>59</v>
      </c>
      <c r="F39" s="2"/>
      <c r="G39" s="2"/>
      <c r="H39" s="2"/>
      <c r="I39" s="2"/>
      <c r="J39" s="26">
        <v>11.675000000000001</v>
      </c>
      <c r="K39" s="26">
        <v>22.966000000000001</v>
      </c>
      <c r="L39" s="26">
        <v>22.965699999999998</v>
      </c>
      <c r="M39" s="26">
        <v>14.153</v>
      </c>
      <c r="N39" s="26">
        <v>17.637</v>
      </c>
      <c r="O39" s="26">
        <v>15.896000000000001</v>
      </c>
    </row>
    <row r="40" spans="1:15" ht="45" customHeight="1">
      <c r="A40" s="7" t="s">
        <v>88</v>
      </c>
      <c r="B40" s="4" t="s">
        <v>49</v>
      </c>
      <c r="C40" s="7" t="s">
        <v>146</v>
      </c>
      <c r="D40" s="7" t="s">
        <v>49</v>
      </c>
      <c r="E40" s="4" t="s">
        <v>42</v>
      </c>
      <c r="F40" s="2"/>
      <c r="G40" s="2"/>
      <c r="H40" s="2"/>
      <c r="I40" s="2"/>
      <c r="J40" s="26">
        <v>0.71</v>
      </c>
      <c r="K40" s="26">
        <v>0</v>
      </c>
      <c r="L40" s="26">
        <v>0.71099999999999997</v>
      </c>
      <c r="M40" s="26">
        <v>0.71150000000000002</v>
      </c>
      <c r="N40" s="26">
        <v>0.71150000000000002</v>
      </c>
      <c r="O40" s="26">
        <v>0.71150000000000002</v>
      </c>
    </row>
    <row r="41" spans="1:15" ht="108" customHeight="1">
      <c r="A41" s="7" t="s">
        <v>89</v>
      </c>
      <c r="B41" s="4" t="s">
        <v>50</v>
      </c>
      <c r="C41" s="7" t="s">
        <v>147</v>
      </c>
      <c r="D41" s="13" t="s">
        <v>50</v>
      </c>
      <c r="E41" s="11" t="s">
        <v>23</v>
      </c>
      <c r="F41" s="2"/>
      <c r="G41" s="2"/>
      <c r="H41" s="2"/>
      <c r="I41" s="2"/>
      <c r="J41" s="26">
        <v>11.9991</v>
      </c>
      <c r="K41" s="26">
        <v>8.9031000000000002</v>
      </c>
      <c r="L41" s="26">
        <v>12.46</v>
      </c>
      <c r="M41" s="26">
        <f>9.3574+3.31+0.44</f>
        <v>13.1074</v>
      </c>
      <c r="N41" s="26">
        <f>9.729+3.3321+0.44</f>
        <v>13.501099999999999</v>
      </c>
      <c r="O41" s="26">
        <f>10.114+3.3553+0.44</f>
        <v>13.9093</v>
      </c>
    </row>
    <row r="42" spans="1:15" ht="123.75" customHeight="1">
      <c r="A42" s="7" t="s">
        <v>90</v>
      </c>
      <c r="B42" s="4" t="s">
        <v>167</v>
      </c>
      <c r="C42" s="7" t="s">
        <v>166</v>
      </c>
      <c r="D42" s="4" t="s">
        <v>167</v>
      </c>
      <c r="E42" s="4" t="s">
        <v>59</v>
      </c>
      <c r="F42" s="2"/>
      <c r="G42" s="2"/>
      <c r="H42" s="2"/>
      <c r="I42" s="2"/>
      <c r="J42" s="26">
        <v>0.36780000000000002</v>
      </c>
      <c r="K42" s="26">
        <v>0.191</v>
      </c>
      <c r="L42" s="28">
        <v>0.22</v>
      </c>
      <c r="M42" s="26">
        <v>0.38129999999999997</v>
      </c>
      <c r="N42" s="26">
        <v>0.39710000000000001</v>
      </c>
      <c r="O42" s="26">
        <v>0.39710000000000001</v>
      </c>
    </row>
    <row r="43" spans="1:15" ht="50.25" customHeight="1">
      <c r="A43" s="7" t="s">
        <v>90</v>
      </c>
      <c r="B43" s="4" t="s">
        <v>51</v>
      </c>
      <c r="C43" s="7" t="s">
        <v>148</v>
      </c>
      <c r="D43" s="7" t="s">
        <v>51</v>
      </c>
      <c r="E43" s="4" t="s">
        <v>59</v>
      </c>
      <c r="F43" s="2"/>
      <c r="G43" s="2"/>
      <c r="H43" s="2"/>
      <c r="I43" s="2"/>
      <c r="J43" s="26">
        <v>2.6819999999999999</v>
      </c>
      <c r="K43" s="26">
        <v>15.098000000000001</v>
      </c>
      <c r="L43" s="26">
        <v>25.1</v>
      </c>
      <c r="M43" s="26">
        <v>4.0609999999999999</v>
      </c>
      <c r="N43" s="26">
        <v>4.2889999999999997</v>
      </c>
      <c r="O43" s="26">
        <v>4.5650000000000004</v>
      </c>
    </row>
    <row r="44" spans="1:15" ht="108.75" customHeight="1">
      <c r="A44" s="7" t="s">
        <v>91</v>
      </c>
      <c r="B44" s="4" t="s">
        <v>52</v>
      </c>
      <c r="C44" s="7" t="s">
        <v>149</v>
      </c>
      <c r="D44" s="13" t="s">
        <v>52</v>
      </c>
      <c r="E44" s="4" t="s">
        <v>59</v>
      </c>
      <c r="F44" s="2"/>
      <c r="G44" s="2"/>
      <c r="H44" s="2"/>
      <c r="I44" s="2"/>
      <c r="J44" s="26">
        <v>1</v>
      </c>
      <c r="K44" s="26">
        <v>1</v>
      </c>
      <c r="L44" s="26">
        <v>1</v>
      </c>
      <c r="M44" s="26">
        <v>1</v>
      </c>
      <c r="N44" s="26">
        <v>1</v>
      </c>
      <c r="O44" s="26">
        <v>1</v>
      </c>
    </row>
    <row r="45" spans="1:15" ht="31.5" customHeight="1">
      <c r="A45" s="7" t="s">
        <v>80</v>
      </c>
      <c r="B45" s="5" t="s">
        <v>25</v>
      </c>
      <c r="C45" s="7" t="s">
        <v>150</v>
      </c>
      <c r="D45" s="15" t="s">
        <v>25</v>
      </c>
      <c r="E45" s="11" t="s">
        <v>23</v>
      </c>
      <c r="F45" s="2"/>
      <c r="G45" s="2"/>
      <c r="H45" s="2"/>
      <c r="I45" s="2"/>
      <c r="J45" s="18">
        <v>1022.2741</v>
      </c>
      <c r="K45" s="18">
        <v>862.5421</v>
      </c>
      <c r="L45" s="18">
        <v>1079.4947999999999</v>
      </c>
      <c r="M45" s="18">
        <v>1060.0914</v>
      </c>
      <c r="N45" s="18">
        <v>1101.1506999999999</v>
      </c>
      <c r="O45" s="18">
        <v>1147.3342</v>
      </c>
    </row>
    <row r="46" spans="1:15" ht="47.25" customHeight="1">
      <c r="A46" s="7" t="s">
        <v>92</v>
      </c>
      <c r="B46" s="4" t="s">
        <v>53</v>
      </c>
      <c r="C46" s="7" t="s">
        <v>151</v>
      </c>
      <c r="D46" s="7" t="s">
        <v>53</v>
      </c>
      <c r="E46" s="4" t="s">
        <v>55</v>
      </c>
      <c r="F46" s="2"/>
      <c r="G46" s="2"/>
      <c r="H46" s="2"/>
      <c r="I46" s="2"/>
      <c r="J46" s="26">
        <v>40.342300000000002</v>
      </c>
      <c r="K46" s="26">
        <v>34.417400000000001</v>
      </c>
      <c r="L46" s="26">
        <v>38.766300000000001</v>
      </c>
      <c r="M46" s="26">
        <v>40.5503</v>
      </c>
      <c r="N46" s="26">
        <v>40.706200000000003</v>
      </c>
      <c r="O46" s="26">
        <v>40.706000000000003</v>
      </c>
    </row>
    <row r="47" spans="1:15" ht="69.75" customHeight="1">
      <c r="A47" s="7" t="s">
        <v>93</v>
      </c>
      <c r="B47" s="4" t="s">
        <v>60</v>
      </c>
      <c r="C47" s="7" t="s">
        <v>152</v>
      </c>
      <c r="D47" s="7" t="s">
        <v>60</v>
      </c>
      <c r="E47" s="4" t="s">
        <v>23</v>
      </c>
      <c r="F47" s="2"/>
      <c r="G47" s="2"/>
      <c r="H47" s="2"/>
      <c r="I47" s="2"/>
      <c r="J47" s="26">
        <v>165.7</v>
      </c>
      <c r="K47" s="26">
        <v>164.85749999999999</v>
      </c>
      <c r="L47" s="26">
        <v>166.297</v>
      </c>
      <c r="M47" s="26">
        <f>8.6+2.406</f>
        <v>11.006</v>
      </c>
      <c r="N47" s="26">
        <f>10.6+2.008</f>
        <v>12.608000000000001</v>
      </c>
      <c r="O47" s="26">
        <f>10.6+1.327</f>
        <v>11.927</v>
      </c>
    </row>
    <row r="48" spans="1:15" ht="64.5" customHeight="1">
      <c r="A48" s="7" t="s">
        <v>94</v>
      </c>
      <c r="B48" s="4" t="s">
        <v>54</v>
      </c>
      <c r="C48" s="7" t="s">
        <v>153</v>
      </c>
      <c r="D48" s="7" t="s">
        <v>54</v>
      </c>
      <c r="E48" s="4" t="s">
        <v>56</v>
      </c>
      <c r="F48" s="2"/>
      <c r="G48" s="2"/>
      <c r="H48" s="2"/>
      <c r="I48" s="2"/>
      <c r="J48" s="26">
        <v>816.23180000000002</v>
      </c>
      <c r="K48" s="26">
        <v>663.2672</v>
      </c>
      <c r="L48" s="26">
        <v>874.43150000000003</v>
      </c>
      <c r="M48" s="26">
        <v>1008.5351000000001</v>
      </c>
      <c r="N48" s="26">
        <v>1047.8364999999999</v>
      </c>
      <c r="O48" s="26">
        <v>1094.701</v>
      </c>
    </row>
    <row r="49" spans="1:16" ht="44.25" customHeight="1">
      <c r="A49" s="7" t="s">
        <v>81</v>
      </c>
      <c r="B49" s="5" t="s">
        <v>26</v>
      </c>
      <c r="C49" s="7" t="s">
        <v>154</v>
      </c>
      <c r="D49" s="15" t="s">
        <v>26</v>
      </c>
      <c r="E49" s="11" t="s">
        <v>23</v>
      </c>
      <c r="F49" s="2"/>
      <c r="G49" s="2"/>
      <c r="H49" s="2"/>
      <c r="I49" s="2"/>
      <c r="J49" s="29">
        <v>186.38749999999999</v>
      </c>
      <c r="K49" s="18">
        <v>183.59782071000001</v>
      </c>
      <c r="L49" s="18">
        <v>206</v>
      </c>
      <c r="M49" s="18">
        <v>74.879599999999996</v>
      </c>
      <c r="N49" s="18">
        <v>64.471999999999994</v>
      </c>
      <c r="O49" s="18">
        <v>61.215800000000002</v>
      </c>
    </row>
    <row r="50" spans="1:16" ht="57.75" customHeight="1">
      <c r="A50" s="7" t="s">
        <v>82</v>
      </c>
      <c r="B50" s="5" t="s">
        <v>27</v>
      </c>
      <c r="C50" s="7" t="s">
        <v>155</v>
      </c>
      <c r="D50" s="15" t="s">
        <v>27</v>
      </c>
      <c r="E50" s="4" t="s">
        <v>59</v>
      </c>
      <c r="F50" s="2"/>
      <c r="G50" s="2"/>
      <c r="H50" s="2"/>
      <c r="I50" s="2"/>
      <c r="J50" s="18">
        <v>14.257999999999999</v>
      </c>
      <c r="K50" s="18">
        <v>18.684000000000001</v>
      </c>
      <c r="L50" s="18">
        <v>18.8</v>
      </c>
      <c r="M50" s="18">
        <v>0.2</v>
      </c>
      <c r="N50" s="18">
        <v>0.2</v>
      </c>
      <c r="O50" s="18">
        <v>0.2</v>
      </c>
    </row>
    <row r="51" spans="1:16" ht="32.25" customHeight="1">
      <c r="A51" s="7" t="s">
        <v>83</v>
      </c>
      <c r="B51" s="5" t="s">
        <v>28</v>
      </c>
      <c r="C51" s="7" t="s">
        <v>156</v>
      </c>
      <c r="D51" s="15" t="s">
        <v>28</v>
      </c>
      <c r="E51" s="11" t="s">
        <v>23</v>
      </c>
      <c r="F51" s="2"/>
      <c r="G51" s="2"/>
      <c r="H51" s="2"/>
      <c r="I51" s="2"/>
      <c r="J51" s="18">
        <v>0.49819999999999998</v>
      </c>
      <c r="K51" s="18">
        <v>0.98040000000000005</v>
      </c>
      <c r="L51" s="18">
        <v>1.2</v>
      </c>
      <c r="M51" s="18">
        <v>0.1234</v>
      </c>
      <c r="N51" s="18">
        <v>0.1234</v>
      </c>
      <c r="O51" s="18">
        <v>0.1234</v>
      </c>
    </row>
    <row r="52" spans="1:16" ht="30" customHeight="1">
      <c r="A52" s="7" t="s">
        <v>95</v>
      </c>
      <c r="B52" s="5" t="s">
        <v>29</v>
      </c>
      <c r="C52" s="7" t="s">
        <v>157</v>
      </c>
      <c r="D52" s="15" t="s">
        <v>29</v>
      </c>
      <c r="E52" s="11" t="s">
        <v>23</v>
      </c>
      <c r="F52" s="2"/>
      <c r="G52" s="2"/>
      <c r="H52" s="2"/>
      <c r="I52" s="2"/>
      <c r="J52" s="18">
        <v>361.1</v>
      </c>
      <c r="K52" s="18">
        <v>260.7</v>
      </c>
      <c r="L52" s="18">
        <v>359.6</v>
      </c>
      <c r="M52" s="18">
        <f>M53+M54+M55+M57+M58+M59</f>
        <v>341.20429999999999</v>
      </c>
      <c r="N52" s="18">
        <f>N53+N54+N55+N57+N58+N59</f>
        <v>341.41149999999999</v>
      </c>
      <c r="O52" s="18">
        <f>O53+O54+O55+O57+O58+O59</f>
        <v>341.27329999999995</v>
      </c>
    </row>
    <row r="53" spans="1:16" ht="88.5" customHeight="1">
      <c r="A53" s="7" t="s">
        <v>96</v>
      </c>
      <c r="B53" s="4" t="s">
        <v>115</v>
      </c>
      <c r="C53" s="7" t="s">
        <v>158</v>
      </c>
      <c r="D53" s="4" t="s">
        <v>115</v>
      </c>
      <c r="E53" s="11" t="s">
        <v>23</v>
      </c>
      <c r="F53" s="2"/>
      <c r="G53" s="2"/>
      <c r="H53" s="2"/>
      <c r="I53" s="2"/>
      <c r="J53" s="30">
        <f>332.4-0.2</f>
        <v>332.2</v>
      </c>
      <c r="K53" s="31">
        <f>1.7369+0.8191+2.1365+232.7714+3.3757+0.0027+4.09</f>
        <v>244.9323</v>
      </c>
      <c r="L53" s="30">
        <f>334.4+0.13</f>
        <v>334.53</v>
      </c>
      <c r="M53" s="30">
        <f>1.87+1.2+0.2492+1.8945+308.9299+5+0.2812+0.03</f>
        <v>319.45479999999998</v>
      </c>
      <c r="N53" s="30">
        <f>1.87+1.2+0.331+1.8945+308.9299+5+0.3104</f>
        <v>319.53579999999999</v>
      </c>
      <c r="O53" s="30">
        <f>1.87+1.2+0.2557+1.8945+308.9299+5+0.14</f>
        <v>319.29009999999994</v>
      </c>
    </row>
    <row r="54" spans="1:16" ht="127.5" customHeight="1">
      <c r="A54" s="7" t="s">
        <v>98</v>
      </c>
      <c r="B54" s="4" t="s">
        <v>118</v>
      </c>
      <c r="C54" s="7" t="s">
        <v>159</v>
      </c>
      <c r="D54" s="4" t="s">
        <v>118</v>
      </c>
      <c r="E54" s="7" t="s">
        <v>56</v>
      </c>
      <c r="F54" s="2"/>
      <c r="G54" s="2"/>
      <c r="H54" s="2"/>
      <c r="I54" s="2"/>
      <c r="J54" s="30">
        <v>0</v>
      </c>
      <c r="K54" s="30">
        <v>0</v>
      </c>
      <c r="L54" s="30">
        <v>0</v>
      </c>
      <c r="M54" s="30">
        <v>0.47499999999999998</v>
      </c>
      <c r="N54" s="30">
        <v>0.47499999999999998</v>
      </c>
      <c r="O54" s="30">
        <v>0.47499999999999998</v>
      </c>
    </row>
    <row r="55" spans="1:16" ht="127.5" customHeight="1">
      <c r="A55" s="7" t="s">
        <v>164</v>
      </c>
      <c r="B55" s="4" t="s">
        <v>162</v>
      </c>
      <c r="C55" s="7" t="s">
        <v>163</v>
      </c>
      <c r="D55" s="4" t="s">
        <v>162</v>
      </c>
      <c r="E55" s="11" t="s">
        <v>23</v>
      </c>
      <c r="F55" s="2"/>
      <c r="G55" s="2"/>
      <c r="H55" s="2"/>
      <c r="I55" s="2"/>
      <c r="J55" s="30">
        <v>11.456</v>
      </c>
      <c r="K55" s="30">
        <f>0.881061+0.050671+0.915721+3.5159+0.0164+0.054526+0.081669+0.14046</f>
        <v>5.6564079999999999</v>
      </c>
      <c r="L55" s="30">
        <v>7.18</v>
      </c>
      <c r="M55" s="30">
        <f>0.475+0.4121+3+0.065+0.0375</f>
        <v>3.9896000000000003</v>
      </c>
      <c r="N55" s="30">
        <f>0.475+0.5424+3+0.065+0.0375</f>
        <v>4.1199000000000003</v>
      </c>
      <c r="O55" s="30">
        <f>0.475+0.6515+3+0.065+0.0375</f>
        <v>4.2290000000000001</v>
      </c>
      <c r="P55" s="16">
        <f>L52-L53-L56-L57-L57-L58-L59</f>
        <v>7.0540000000000518</v>
      </c>
    </row>
    <row r="56" spans="1:16" ht="89.25" customHeight="1">
      <c r="A56" s="7" t="s">
        <v>99</v>
      </c>
      <c r="B56" s="4" t="s">
        <v>168</v>
      </c>
      <c r="C56" s="7" t="s">
        <v>169</v>
      </c>
      <c r="D56" s="4" t="s">
        <v>168</v>
      </c>
      <c r="E56" s="7" t="s">
        <v>23</v>
      </c>
      <c r="F56" s="2"/>
      <c r="G56" s="2"/>
      <c r="H56" s="2"/>
      <c r="I56" s="2"/>
      <c r="J56" s="30">
        <v>6.6E-3</v>
      </c>
      <c r="K56" s="30"/>
      <c r="L56" s="30">
        <v>0.22600000000000001</v>
      </c>
      <c r="M56" s="30">
        <v>0</v>
      </c>
      <c r="N56" s="30">
        <v>0</v>
      </c>
      <c r="O56" s="30">
        <v>0</v>
      </c>
    </row>
    <row r="57" spans="1:16" ht="224.25" customHeight="1">
      <c r="A57" s="7" t="s">
        <v>100</v>
      </c>
      <c r="B57" s="4" t="s">
        <v>160</v>
      </c>
      <c r="C57" s="7" t="s">
        <v>161</v>
      </c>
      <c r="D57" s="4" t="s">
        <v>160</v>
      </c>
      <c r="E57" s="7" t="s">
        <v>23</v>
      </c>
      <c r="F57" s="2"/>
      <c r="G57" s="2"/>
      <c r="H57" s="2"/>
      <c r="I57" s="2"/>
      <c r="J57" s="30">
        <f>0.1274+0.0046+0.1</f>
        <v>0.23200000000000001</v>
      </c>
      <c r="K57" s="30">
        <f>0.057976+0.015467</f>
        <v>7.3442999999999994E-2</v>
      </c>
      <c r="L57" s="30">
        <f>0.03+0.1</f>
        <v>0.13</v>
      </c>
      <c r="M57" s="30">
        <f>0.0129+0.015+0.028</f>
        <v>5.5900000000000005E-2</v>
      </c>
      <c r="N57" s="30">
        <f>0.0088+0.015+0.028</f>
        <v>5.1799999999999999E-2</v>
      </c>
      <c r="O57" s="30">
        <f>0.0072+0.015+0.028</f>
        <v>5.0199999999999995E-2</v>
      </c>
    </row>
    <row r="58" spans="1:16" ht="92.25" customHeight="1">
      <c r="A58" s="7" t="s">
        <v>101</v>
      </c>
      <c r="B58" s="4" t="s">
        <v>119</v>
      </c>
      <c r="C58" s="7" t="s">
        <v>120</v>
      </c>
      <c r="D58" s="4" t="s">
        <v>119</v>
      </c>
      <c r="E58" s="11" t="s">
        <v>23</v>
      </c>
      <c r="F58" s="2"/>
      <c r="G58" s="2"/>
      <c r="H58" s="2"/>
      <c r="I58" s="2"/>
      <c r="J58" s="30">
        <f>0.13+0.071</f>
        <v>0.20100000000000001</v>
      </c>
      <c r="K58" s="31">
        <f>0.45367172+0.07344368</f>
        <v>0.52711540000000001</v>
      </c>
      <c r="L58" s="31">
        <v>0.53</v>
      </c>
      <c r="M58" s="30">
        <f>0.115+0.114</f>
        <v>0.22900000000000001</v>
      </c>
      <c r="N58" s="30">
        <f>0.115+0.114</f>
        <v>0.22900000000000001</v>
      </c>
      <c r="O58" s="30">
        <f>0.115+0.114</f>
        <v>0.22900000000000001</v>
      </c>
    </row>
    <row r="59" spans="1:16" ht="101.25" customHeight="1">
      <c r="A59" s="7" t="s">
        <v>170</v>
      </c>
      <c r="B59" s="4" t="s">
        <v>116</v>
      </c>
      <c r="C59" s="7" t="s">
        <v>117</v>
      </c>
      <c r="D59" s="4" t="s">
        <v>116</v>
      </c>
      <c r="E59" s="7" t="s">
        <v>61</v>
      </c>
      <c r="F59" s="2"/>
      <c r="G59" s="2"/>
      <c r="H59" s="2"/>
      <c r="I59" s="2"/>
      <c r="J59" s="30">
        <v>17</v>
      </c>
      <c r="K59" s="30">
        <v>9.5094999999999992</v>
      </c>
      <c r="L59" s="30">
        <v>17</v>
      </c>
      <c r="M59" s="30">
        <v>17</v>
      </c>
      <c r="N59" s="30">
        <v>17</v>
      </c>
      <c r="O59" s="30">
        <v>17</v>
      </c>
    </row>
    <row r="60" spans="1:16" ht="35.25" customHeight="1">
      <c r="A60" s="7" t="s">
        <v>97</v>
      </c>
      <c r="B60" s="5" t="s">
        <v>30</v>
      </c>
      <c r="C60" s="7" t="s">
        <v>41</v>
      </c>
      <c r="D60" s="15" t="s">
        <v>30</v>
      </c>
      <c r="E60" s="11" t="s">
        <v>23</v>
      </c>
      <c r="F60" s="2"/>
      <c r="G60" s="2"/>
      <c r="H60" s="2"/>
      <c r="I60" s="2"/>
      <c r="J60" s="18">
        <v>0</v>
      </c>
      <c r="K60" s="29">
        <v>-0.63239999999999996</v>
      </c>
      <c r="L60" s="18">
        <v>-0.6</v>
      </c>
      <c r="M60" s="18">
        <v>0</v>
      </c>
      <c r="N60" s="18">
        <v>0</v>
      </c>
      <c r="O60" s="18">
        <v>0</v>
      </c>
    </row>
    <row r="63" spans="1:16">
      <c r="J63" s="16">
        <f>J52-J53-J56-J57-J58-J59</f>
        <v>11.460400000000035</v>
      </c>
      <c r="L63" s="16">
        <f>L52-L55-L57-L58-L59</f>
        <v>334.76000000000005</v>
      </c>
      <c r="M63" s="12">
        <f>M13+M16+M28+M29+M33+M37+M38+M45+M49+M50+M51+M52</f>
        <v>63632.286099999983</v>
      </c>
      <c r="N63" s="12">
        <f>N13+N16+N28+N29+N33+N37+N38+N45+N49+N50+N51+N52</f>
        <v>69571.167199999982</v>
      </c>
      <c r="O63" s="12">
        <f>O13+O16+O28+O29+O33+O37+O38+O45+O49+O50+O51+O52</f>
        <v>74041.068200000009</v>
      </c>
    </row>
    <row r="65" spans="12:12">
      <c r="L65" s="16"/>
    </row>
  </sheetData>
  <customSheetViews>
    <customSheetView guid="{73D7718A-C58D-41DD-83DC-9368C9B04778}" showPageBreaks="1" fitToPage="1" hiddenColumns="1" topLeftCell="A34">
      <selection activeCell="M39" sqref="M39"/>
      <pageMargins left="0" right="0" top="0.39370078740157483" bottom="0.19685039370078741" header="0.31496062992125984" footer="0.31496062992125984"/>
      <printOptions horizontalCentered="1"/>
      <pageSetup paperSize="9" scale="60" fitToHeight="0" orientation="landscape" r:id="rId1"/>
    </customSheetView>
    <customSheetView guid="{83B7096A-0FA0-4627-A58C-4D002CA0D88C}" fitToPage="1" hiddenColumns="1">
      <selection activeCell="C14" sqref="C14"/>
      <pageMargins left="0" right="0" top="0.39370078740157483" bottom="0.19685039370078741" header="0.31496062992125984" footer="0.31496062992125984"/>
      <printOptions horizontalCentered="1"/>
      <pageSetup paperSize="9" scale="60" fitToHeight="0" orientation="landscape" r:id="rId2"/>
    </customSheetView>
  </customSheetViews>
  <mergeCells count="36">
    <mergeCell ref="N23:N25"/>
    <mergeCell ref="O23:O25"/>
    <mergeCell ref="E23:E25"/>
    <mergeCell ref="J23:J25"/>
    <mergeCell ref="K23:K25"/>
    <mergeCell ref="J18:J20"/>
    <mergeCell ref="K18:K20"/>
    <mergeCell ref="L18:L20"/>
    <mergeCell ref="M18:M20"/>
    <mergeCell ref="L23:L25"/>
    <mergeCell ref="M23:M25"/>
    <mergeCell ref="M21:M22"/>
    <mergeCell ref="N18:N20"/>
    <mergeCell ref="O18:O20"/>
    <mergeCell ref="C9:D9"/>
    <mergeCell ref="M9:O9"/>
    <mergeCell ref="A2:O2"/>
    <mergeCell ref="A3:O3"/>
    <mergeCell ref="E5:O5"/>
    <mergeCell ref="E6:O6"/>
    <mergeCell ref="A9:A10"/>
    <mergeCell ref="B9:B10"/>
    <mergeCell ref="E9:E10"/>
    <mergeCell ref="F9:I9"/>
    <mergeCell ref="J9:J10"/>
    <mergeCell ref="K9:K10"/>
    <mergeCell ref="L9:L10"/>
    <mergeCell ref="E18:E20"/>
    <mergeCell ref="N21:N22"/>
    <mergeCell ref="O21:O22"/>
    <mergeCell ref="E21:E22"/>
    <mergeCell ref="A21:A22"/>
    <mergeCell ref="B21:B22"/>
    <mergeCell ref="J21:J22"/>
    <mergeCell ref="K21:K22"/>
    <mergeCell ref="L21:L22"/>
  </mergeCells>
  <pageMargins left="0.51181102362204722" right="0.51181102362204722" top="0.74803149606299213" bottom="0.55118110236220474" header="0.31496062992125984" footer="0.31496062992125984"/>
  <pageSetup paperSize="9" scale="45" fitToHeight="0" orientation="landscape" r:id="rId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налоговые и неналоговые</vt:lpstr>
      <vt:lpstr>'налоговые и неналоговые'!Заголовки_для_печати</vt:lpstr>
      <vt:lpstr>'налоговые и неналоговые'!Область_печати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 Людмила Станиславовна</dc:creator>
  <cp:lastModifiedBy>minfin user</cp:lastModifiedBy>
  <cp:lastPrinted>2019-10-10T14:43:10Z</cp:lastPrinted>
  <dcterms:created xsi:type="dcterms:W3CDTF">2017-10-31T15:07:42Z</dcterms:created>
  <dcterms:modified xsi:type="dcterms:W3CDTF">2019-10-10T14:43:13Z</dcterms:modified>
</cp:coreProperties>
</file>