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8800" windowHeight="12135"/>
  </bookViews>
  <sheets>
    <sheet name="расчет субсидии 2020 г (для МФ)" sheetId="4" r:id="rId1"/>
  </sheets>
  <definedNames>
    <definedName name="_xlnm.Print_Area" localSheetId="0">'расчет субсидии 2020 г (для МФ)'!$A$1:$V$39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39" i="4"/>
  <c r="P39"/>
  <c r="V35"/>
  <c r="P32"/>
  <c r="V21"/>
  <c r="V20"/>
  <c r="V19"/>
  <c r="P14"/>
  <c r="V14" s="1"/>
  <c r="P18"/>
  <c r="V18" s="1"/>
  <c r="O24"/>
  <c r="P26"/>
  <c r="V26" s="1"/>
  <c r="P28"/>
  <c r="V28" s="1"/>
  <c r="P30"/>
  <c r="V30" s="1"/>
  <c r="O36"/>
  <c r="O38"/>
  <c r="S39"/>
  <c r="K39"/>
  <c r="D39"/>
  <c r="T38"/>
  <c r="P38"/>
  <c r="V38" s="1"/>
  <c r="G38"/>
  <c r="D38"/>
  <c r="T37"/>
  <c r="H37"/>
  <c r="L37" s="1"/>
  <c r="N37" s="1"/>
  <c r="G37"/>
  <c r="D37"/>
  <c r="P36"/>
  <c r="V36" s="1"/>
  <c r="G36"/>
  <c r="E36"/>
  <c r="T36" s="1"/>
  <c r="D36"/>
  <c r="T35"/>
  <c r="G35"/>
  <c r="F35" s="1"/>
  <c r="H35" s="1"/>
  <c r="D35"/>
  <c r="J34"/>
  <c r="G34"/>
  <c r="E34"/>
  <c r="D34"/>
  <c r="T33"/>
  <c r="G33"/>
  <c r="D33"/>
  <c r="T32"/>
  <c r="G32"/>
  <c r="D32"/>
  <c r="T31"/>
  <c r="P31"/>
  <c r="V31" s="1"/>
  <c r="O31"/>
  <c r="G31"/>
  <c r="D31"/>
  <c r="T30"/>
  <c r="O30"/>
  <c r="J30"/>
  <c r="G30"/>
  <c r="D30"/>
  <c r="J29"/>
  <c r="G29"/>
  <c r="E29"/>
  <c r="T29" s="1"/>
  <c r="D29"/>
  <c r="T28"/>
  <c r="O28"/>
  <c r="J28"/>
  <c r="G28"/>
  <c r="D28"/>
  <c r="T27"/>
  <c r="G27"/>
  <c r="D27"/>
  <c r="T26"/>
  <c r="O26"/>
  <c r="J26"/>
  <c r="G26"/>
  <c r="D26"/>
  <c r="T25"/>
  <c r="P25"/>
  <c r="V25" s="1"/>
  <c r="O25"/>
  <c r="G25"/>
  <c r="D25"/>
  <c r="P24"/>
  <c r="V24" s="1"/>
  <c r="J24"/>
  <c r="G24"/>
  <c r="E24"/>
  <c r="D24"/>
  <c r="F24" s="1"/>
  <c r="T23"/>
  <c r="J23"/>
  <c r="G23"/>
  <c r="D23"/>
  <c r="T22"/>
  <c r="G22"/>
  <c r="D22"/>
  <c r="T21"/>
  <c r="J21"/>
  <c r="G21"/>
  <c r="D21"/>
  <c r="F21" s="1"/>
  <c r="H21" s="1"/>
  <c r="T20"/>
  <c r="J20"/>
  <c r="H20"/>
  <c r="I20" s="1"/>
  <c r="G20"/>
  <c r="D20"/>
  <c r="T19"/>
  <c r="J19"/>
  <c r="G19"/>
  <c r="D19"/>
  <c r="T18"/>
  <c r="O18"/>
  <c r="J18"/>
  <c r="G18"/>
  <c r="D18"/>
  <c r="T17"/>
  <c r="G17"/>
  <c r="D17"/>
  <c r="T16"/>
  <c r="J16"/>
  <c r="G16"/>
  <c r="D16"/>
  <c r="T15"/>
  <c r="J15"/>
  <c r="G15"/>
  <c r="D15"/>
  <c r="T14"/>
  <c r="O14"/>
  <c r="J14"/>
  <c r="G14"/>
  <c r="D14"/>
  <c r="T13"/>
  <c r="J13"/>
  <c r="G13"/>
  <c r="D13"/>
  <c r="F15" l="1"/>
  <c r="H15" s="1"/>
  <c r="L15" s="1"/>
  <c r="N15" s="1"/>
  <c r="F16"/>
  <c r="H16" s="1"/>
  <c r="F23"/>
  <c r="H23" s="1"/>
  <c r="L23" s="1"/>
  <c r="N23" s="1"/>
  <c r="P23" s="1"/>
  <c r="V23" s="1"/>
  <c r="F26"/>
  <c r="H26" s="1"/>
  <c r="F29"/>
  <c r="F27"/>
  <c r="H27" s="1"/>
  <c r="L27" s="1"/>
  <c r="N27" s="1"/>
  <c r="F13"/>
  <c r="H13" s="1"/>
  <c r="L13" s="1"/>
  <c r="F32"/>
  <c r="H32" s="1"/>
  <c r="F38"/>
  <c r="H38" s="1"/>
  <c r="L38" s="1"/>
  <c r="F33"/>
  <c r="H33" s="1"/>
  <c r="L33" s="1"/>
  <c r="N33" s="1"/>
  <c r="L20"/>
  <c r="J39"/>
  <c r="F22"/>
  <c r="H22" s="1"/>
  <c r="L22" s="1"/>
  <c r="N22" s="1"/>
  <c r="O22" s="1"/>
  <c r="F34"/>
  <c r="H34" s="1"/>
  <c r="L34" s="1"/>
  <c r="N34" s="1"/>
  <c r="O34" s="1"/>
  <c r="F36"/>
  <c r="H36" s="1"/>
  <c r="I37"/>
  <c r="F14"/>
  <c r="H14" s="1"/>
  <c r="L14" s="1"/>
  <c r="H29"/>
  <c r="L16"/>
  <c r="N16" s="1"/>
  <c r="I16"/>
  <c r="L21"/>
  <c r="N21" s="1"/>
  <c r="I21"/>
  <c r="I27"/>
  <c r="O37"/>
  <c r="P37"/>
  <c r="V37" s="1"/>
  <c r="I13"/>
  <c r="P15"/>
  <c r="V15" s="1"/>
  <c r="O15"/>
  <c r="O23"/>
  <c r="L26"/>
  <c r="I26"/>
  <c r="L29"/>
  <c r="N29" s="1"/>
  <c r="I29"/>
  <c r="I32"/>
  <c r="L32"/>
  <c r="N32" s="1"/>
  <c r="I33"/>
  <c r="I35"/>
  <c r="L35"/>
  <c r="N35" s="1"/>
  <c r="I15"/>
  <c r="T24"/>
  <c r="H24"/>
  <c r="T34"/>
  <c r="I38"/>
  <c r="F17"/>
  <c r="H17" s="1"/>
  <c r="F18"/>
  <c r="H18" s="1"/>
  <c r="F19"/>
  <c r="H19" s="1"/>
  <c r="F25"/>
  <c r="H25" s="1"/>
  <c r="F28"/>
  <c r="H28" s="1"/>
  <c r="F30"/>
  <c r="H30" s="1"/>
  <c r="F31"/>
  <c r="H31" s="1"/>
  <c r="E39"/>
  <c r="I23" l="1"/>
  <c r="P22"/>
  <c r="P27"/>
  <c r="V27" s="1"/>
  <c r="O27"/>
  <c r="N20"/>
  <c r="P20" s="1"/>
  <c r="I14"/>
  <c r="P34"/>
  <c r="V34" s="1"/>
  <c r="V22"/>
  <c r="I34"/>
  <c r="I22"/>
  <c r="L36"/>
  <c r="I36"/>
  <c r="L30"/>
  <c r="I30"/>
  <c r="L25"/>
  <c r="I25"/>
  <c r="L18"/>
  <c r="I18"/>
  <c r="O29"/>
  <c r="P29"/>
  <c r="V29" s="1"/>
  <c r="L31"/>
  <c r="I31"/>
  <c r="L28"/>
  <c r="I28"/>
  <c r="L19"/>
  <c r="N19" s="1"/>
  <c r="I19"/>
  <c r="L17"/>
  <c r="N17" s="1"/>
  <c r="I17"/>
  <c r="L24"/>
  <c r="I24"/>
  <c r="P35"/>
  <c r="O35"/>
  <c r="P33"/>
  <c r="V33" s="1"/>
  <c r="O33"/>
  <c r="V32"/>
  <c r="O32"/>
  <c r="H39"/>
  <c r="F39" s="1"/>
  <c r="N13"/>
  <c r="O21"/>
  <c r="P21"/>
  <c r="O16"/>
  <c r="P16"/>
  <c r="V16" s="1"/>
  <c r="L39" l="1"/>
  <c r="O20"/>
  <c r="I39"/>
  <c r="N39"/>
  <c r="O13"/>
  <c r="P13"/>
  <c r="V13" s="1"/>
  <c r="O17"/>
  <c r="P17"/>
  <c r="V17" s="1"/>
  <c r="P19"/>
  <c r="O19"/>
  <c r="O39" l="1"/>
</calcChain>
</file>

<file path=xl/sharedStrings.xml><?xml version="1.0" encoding="utf-8"?>
<sst xmlns="http://schemas.openxmlformats.org/spreadsheetml/2006/main" count="56" uniqueCount="56">
  <si>
    <t>№ п/п</t>
  </si>
  <si>
    <t>Наименование МО</t>
  </si>
  <si>
    <t>Средняя заработная учителей на 2020 год (руб.)</t>
  </si>
  <si>
    <t>Среднесписочная численность  педагогических работников муниципальных образовательных организаций дополнительного образования на 2020 год, ед.</t>
  </si>
  <si>
    <t>Планируемая средняя заработная плата педагогов допобразования в 2020 году (руб.)</t>
  </si>
  <si>
    <t xml:space="preserve">Целевой показатель на 2020 год (соотношение средней заработной платы педагогов дополнительного образования к средней заработной плате учителей), % </t>
  </si>
  <si>
    <t>Потребность за счет всех источников (тыс.руб.)</t>
  </si>
  <si>
    <t>Потребность за счет средств консолидированного бюджета Архангельской области (тыс.руб.)</t>
  </si>
  <si>
    <t>Запланированный объем средств на меры социальной поддержки педработников (на селе), (тыс. руб.)</t>
  </si>
  <si>
    <t>Запланированный объем средств от внебюджетной деятельности, направляемый на повышение оплаты труда (тыс.руб.)</t>
  </si>
  <si>
    <t>8= гр.7-гр.10</t>
  </si>
  <si>
    <t>Вельский р-он</t>
  </si>
  <si>
    <t>Верхнетоемский р-он</t>
  </si>
  <si>
    <t>Вилегодский р-он</t>
  </si>
  <si>
    <t>Виноградовский р-он</t>
  </si>
  <si>
    <t>Каргопольский р-он</t>
  </si>
  <si>
    <t>Коношский р-он</t>
  </si>
  <si>
    <t>Котласский р-он</t>
  </si>
  <si>
    <t>Красноборский р-он</t>
  </si>
  <si>
    <t>Ленский р-он</t>
  </si>
  <si>
    <t>Лешуконский р-он</t>
  </si>
  <si>
    <t>Мезенский р-он</t>
  </si>
  <si>
    <t>Няндомский р-он</t>
  </si>
  <si>
    <t>Онежский р-он</t>
  </si>
  <si>
    <t>Пинежский р-он</t>
  </si>
  <si>
    <t>Плесецкий р-он</t>
  </si>
  <si>
    <t>Приморский р-он</t>
  </si>
  <si>
    <t>Устьянский р-он</t>
  </si>
  <si>
    <t>Холмогорский р-он</t>
  </si>
  <si>
    <t>Шенкурский р-он</t>
  </si>
  <si>
    <t>г.Архангельск</t>
  </si>
  <si>
    <t>г.Северодвинск</t>
  </si>
  <si>
    <t>г.Котлас</t>
  </si>
  <si>
    <t>г.Новодвинск</t>
  </si>
  <si>
    <t>г.Коряжма</t>
  </si>
  <si>
    <t>Мирный</t>
  </si>
  <si>
    <t>Новая Земля</t>
  </si>
  <si>
    <t>Всего по МО</t>
  </si>
  <si>
    <t>5=гр.3а*гр.6</t>
  </si>
  <si>
    <t xml:space="preserve">Потребность районам (без в/б и МСП) </t>
  </si>
  <si>
    <t>Средняя заработная учителей на 2020 год с учетом достижения 100 % (руб.)</t>
  </si>
  <si>
    <t>гр11=7-9-10</t>
  </si>
  <si>
    <t>гр 12</t>
  </si>
  <si>
    <t>гр 14 = гр13*0,95</t>
  </si>
  <si>
    <t>гр 14 = гр13*0,88</t>
  </si>
  <si>
    <t>Предусморено в бюджете (без МСП)</t>
  </si>
  <si>
    <t>гр15=13-14</t>
  </si>
  <si>
    <t>Дополнительная потребность за счет средств консолидированного бюджета (тыс. руб.)</t>
  </si>
  <si>
    <t>в том числе:</t>
  </si>
  <si>
    <t>за счет средств местного бюджета, тыс. рублей</t>
  </si>
  <si>
    <t>Расчет субсидий на повышение средней заработной платы педагогических работников муниципальных учреждений дополнительного образования на 2020 год</t>
  </si>
  <si>
    <t>7=гр.3*гр.4*1,302* 12мес./1000</t>
  </si>
  <si>
    <t>за счет субсидии из областного бюджета, тыс. рублей</t>
  </si>
  <si>
    <t>гр 13 = 11 - 12 (если гр11&gt;гр12)</t>
  </si>
  <si>
    <t>к пояснительной записке</t>
  </si>
  <si>
    <t>Приложение № 19</t>
  </si>
</sst>
</file>

<file path=xl/styles.xml><?xml version="1.0" encoding="utf-8"?>
<styleSheet xmlns="http://schemas.openxmlformats.org/spreadsheetml/2006/main">
  <numFmts count="7">
    <numFmt numFmtId="43" formatCode="_-* #,##0.00\ _₽_-;\-* #,##0.00\ _₽_-;_-* &quot;-&quot;??\ _₽_-;_-@_-"/>
    <numFmt numFmtId="164" formatCode="_-* #,##0_р_._-;\-* #,##0_р_._-;_-* &quot;-&quot;??_р_._-;_-@_-"/>
    <numFmt numFmtId="165" formatCode="0.0"/>
    <numFmt numFmtId="166" formatCode="#,##0.0"/>
    <numFmt numFmtId="167" formatCode="_(* #,##0.00_);_(* \(#,##0.00\);_(* &quot;-&quot;??_);_(@_)"/>
    <numFmt numFmtId="168" formatCode="_-* #,##0.0_р_._-;\-* #,##0.0_р_._-;_-* &quot;-&quot;??_р_._-;_-@_-"/>
    <numFmt numFmtId="169" formatCode="_-* #,##0.0\ _₽_-;\-* #,##0.0\ _₽_-;_-* &quot;-&quot;??\ _₽_-;_-@_-"/>
  </numFmts>
  <fonts count="16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1"/>
      <color indexed="8"/>
      <name val="Calibri"/>
      <family val="2"/>
    </font>
    <font>
      <b/>
      <sz val="1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0" fontId="5" fillId="0" borderId="0"/>
    <xf numFmtId="0" fontId="1" fillId="0" borderId="0"/>
    <xf numFmtId="0" fontId="13" fillId="0" borderId="0"/>
  </cellStyleXfs>
  <cellXfs count="55">
    <xf numFmtId="0" fontId="0" fillId="0" borderId="0" xfId="0"/>
    <xf numFmtId="0" fontId="3" fillId="0" borderId="0" xfId="0" applyFont="1" applyAlignment="1"/>
    <xf numFmtId="0" fontId="3" fillId="0" borderId="0" xfId="0" applyFont="1"/>
    <xf numFmtId="164" fontId="3" fillId="2" borderId="0" xfId="1" applyNumberFormat="1" applyFont="1" applyFill="1"/>
    <xf numFmtId="0" fontId="6" fillId="2" borderId="0" xfId="2" applyFont="1" applyFill="1"/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NumberFormat="1" applyFont="1" applyFill="1" applyBorder="1" applyAlignment="1">
      <alignment horizontal="center" vertical="center" wrapText="1"/>
    </xf>
    <xf numFmtId="164" fontId="9" fillId="2" borderId="1" xfId="1" applyNumberFormat="1" applyFont="1" applyFill="1" applyBorder="1" applyAlignment="1">
      <alignment horizontal="center" vertical="center" wrapText="1"/>
    </xf>
    <xf numFmtId="1" fontId="9" fillId="2" borderId="1" xfId="3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43" fontId="3" fillId="0" borderId="0" xfId="0" applyNumberFormat="1" applyFont="1"/>
    <xf numFmtId="166" fontId="11" fillId="3" borderId="1" xfId="0" applyNumberFormat="1" applyFont="1" applyFill="1" applyBorder="1" applyAlignment="1">
      <alignment horizontal="right" vertical="center" wrapText="1" indent="1"/>
    </xf>
    <xf numFmtId="4" fontId="11" fillId="3" borderId="1" xfId="0" applyNumberFormat="1" applyFont="1" applyFill="1" applyBorder="1" applyAlignment="1">
      <alignment horizontal="center" vertical="center" wrapText="1"/>
    </xf>
    <xf numFmtId="165" fontId="3" fillId="0" borderId="0" xfId="0" applyNumberFormat="1" applyFont="1"/>
    <xf numFmtId="1" fontId="9" fillId="2" borderId="0" xfId="3" applyNumberFormat="1" applyFont="1" applyFill="1" applyBorder="1" applyAlignment="1">
      <alignment horizontal="center" vertical="center" wrapText="1"/>
    </xf>
    <xf numFmtId="166" fontId="3" fillId="2" borderId="0" xfId="1" applyNumberFormat="1" applyFont="1" applyFill="1" applyBorder="1" applyAlignment="1">
      <alignment horizontal="right" vertical="center" indent="1"/>
    </xf>
    <xf numFmtId="166" fontId="3" fillId="4" borderId="0" xfId="1" applyNumberFormat="1" applyFont="1" applyFill="1" applyBorder="1" applyAlignment="1">
      <alignment horizontal="right" vertical="center" indent="1"/>
    </xf>
    <xf numFmtId="43" fontId="3" fillId="4" borderId="0" xfId="0" applyNumberFormat="1" applyFont="1" applyFill="1"/>
    <xf numFmtId="165" fontId="3" fillId="4" borderId="0" xfId="0" applyNumberFormat="1" applyFont="1" applyFill="1"/>
    <xf numFmtId="0" fontId="3" fillId="4" borderId="0" xfId="0" applyFont="1" applyFill="1"/>
    <xf numFmtId="0" fontId="10" fillId="0" borderId="1" xfId="0" applyFont="1" applyFill="1" applyBorder="1" applyAlignment="1">
      <alignment horizontal="left"/>
    </xf>
    <xf numFmtId="166" fontId="10" fillId="0" borderId="1" xfId="1" applyNumberFormat="1" applyFont="1" applyFill="1" applyBorder="1" applyAlignment="1">
      <alignment horizontal="right" indent="1"/>
    </xf>
    <xf numFmtId="167" fontId="3" fillId="0" borderId="1" xfId="1" applyNumberFormat="1" applyFont="1" applyFill="1" applyBorder="1" applyAlignment="1">
      <alignment horizontal="right" vertical="center" wrapText="1" indent="1"/>
    </xf>
    <xf numFmtId="166" fontId="3" fillId="0" borderId="1" xfId="0" applyNumberFormat="1" applyFont="1" applyFill="1" applyBorder="1" applyAlignment="1">
      <alignment horizontal="right" vertical="center" wrapText="1" indent="1"/>
    </xf>
    <xf numFmtId="166" fontId="3" fillId="0" borderId="1" xfId="1" applyNumberFormat="1" applyFont="1" applyFill="1" applyBorder="1" applyAlignment="1">
      <alignment horizontal="right" vertical="center" wrapText="1" indent="1"/>
    </xf>
    <xf numFmtId="168" fontId="3" fillId="0" borderId="1" xfId="1" applyNumberFormat="1" applyFont="1" applyFill="1" applyBorder="1" applyAlignment="1">
      <alignment horizontal="center" vertical="center"/>
    </xf>
    <xf numFmtId="166" fontId="3" fillId="0" borderId="1" xfId="1" applyNumberFormat="1" applyFont="1" applyFill="1" applyBorder="1" applyAlignment="1">
      <alignment horizontal="right" vertical="center" indent="1"/>
    </xf>
    <xf numFmtId="169" fontId="3" fillId="0" borderId="1" xfId="1" applyNumberFormat="1" applyFont="1" applyFill="1" applyBorder="1"/>
    <xf numFmtId="169" fontId="11" fillId="0" borderId="1" xfId="1" applyNumberFormat="1" applyFont="1" applyFill="1" applyBorder="1"/>
    <xf numFmtId="0" fontId="3" fillId="0" borderId="1" xfId="1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/>
    <xf numFmtId="0" fontId="12" fillId="0" borderId="1" xfId="0" applyFont="1" applyFill="1" applyBorder="1" applyAlignment="1">
      <alignment horizontal="center" vertical="center" wrapText="1"/>
    </xf>
    <xf numFmtId="4" fontId="11" fillId="0" borderId="1" xfId="0" applyNumberFormat="1" applyFont="1" applyFill="1" applyBorder="1" applyAlignment="1">
      <alignment horizontal="right" vertical="center" wrapText="1" indent="1"/>
    </xf>
    <xf numFmtId="166" fontId="11" fillId="0" borderId="1" xfId="0" applyNumberFormat="1" applyFont="1" applyFill="1" applyBorder="1" applyAlignment="1">
      <alignment horizontal="right" vertical="center" wrapText="1" indent="1"/>
    </xf>
    <xf numFmtId="4" fontId="11" fillId="0" borderId="1" xfId="0" applyNumberFormat="1" applyFont="1" applyFill="1" applyBorder="1" applyAlignment="1">
      <alignment horizontal="center" vertical="center" wrapText="1"/>
    </xf>
    <xf numFmtId="165" fontId="8" fillId="0" borderId="0" xfId="3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7" fillId="0" borderId="0" xfId="0" applyFont="1"/>
    <xf numFmtId="0" fontId="7" fillId="0" borderId="0" xfId="0" applyFont="1" applyFill="1"/>
    <xf numFmtId="0" fontId="8" fillId="0" borderId="0" xfId="0" applyFont="1" applyFill="1"/>
    <xf numFmtId="0" fontId="8" fillId="0" borderId="0" xfId="0" applyFont="1"/>
    <xf numFmtId="0" fontId="3" fillId="0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5" fillId="0" borderId="0" xfId="0" applyFont="1" applyFill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</cellXfs>
  <cellStyles count="5">
    <cellStyle name="Normal" xfId="3"/>
    <cellStyle name="Обычный" xfId="0" builtinId="0"/>
    <cellStyle name="Обычный 3" xfId="2"/>
    <cellStyle name="Обычный 6" xfId="4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C00000"/>
    <pageSetUpPr fitToPage="1"/>
  </sheetPr>
  <dimension ref="A1:V39"/>
  <sheetViews>
    <sheetView tabSelected="1" view="pageBreakPreview" zoomScaleNormal="90" zoomScaleSheetLayoutView="100" workbookViewId="0">
      <pane xSplit="2" ySplit="11" topLeftCell="D12" activePane="bottomRight" state="frozen"/>
      <selection pane="topRight" activeCell="C1" sqref="C1"/>
      <selection pane="bottomLeft" activeCell="A8" sqref="A8"/>
      <selection pane="bottomRight" activeCell="H14" sqref="H14"/>
    </sheetView>
  </sheetViews>
  <sheetFormatPr defaultRowHeight="12.75"/>
  <cols>
    <col min="1" max="1" width="5.28515625" customWidth="1"/>
    <col min="2" max="2" width="21.5703125" customWidth="1"/>
    <col min="3" max="3" width="15.140625" hidden="1" customWidth="1"/>
    <col min="4" max="4" width="15.5703125" customWidth="1"/>
    <col min="5" max="5" width="17.85546875" customWidth="1"/>
    <col min="6" max="6" width="14.5703125" customWidth="1"/>
    <col min="7" max="7" width="18" customWidth="1"/>
    <col min="8" max="8" width="15.42578125" customWidth="1"/>
    <col min="9" max="9" width="14.42578125" customWidth="1"/>
    <col min="10" max="10" width="13.5703125" customWidth="1"/>
    <col min="11" max="11" width="13.28515625" customWidth="1"/>
    <col min="12" max="12" width="16" customWidth="1"/>
    <col min="13" max="13" width="15.7109375" customWidth="1"/>
    <col min="14" max="14" width="15.5703125" customWidth="1"/>
    <col min="15" max="15" width="16.7109375" hidden="1" customWidth="1"/>
    <col min="16" max="16" width="15.7109375" customWidth="1"/>
    <col min="17" max="18" width="16.7109375" hidden="1" customWidth="1"/>
    <col min="19" max="19" width="18.140625" hidden="1" customWidth="1"/>
    <col min="20" max="20" width="36.85546875" hidden="1" customWidth="1"/>
    <col min="21" max="21" width="15.42578125" hidden="1" customWidth="1"/>
    <col min="22" max="22" width="12.42578125" customWidth="1"/>
  </cols>
  <sheetData>
    <row r="1" spans="1:22" ht="15.75">
      <c r="P1" s="44" t="s">
        <v>55</v>
      </c>
    </row>
    <row r="2" spans="1:22" ht="15.75">
      <c r="P2" s="44" t="s">
        <v>54</v>
      </c>
    </row>
    <row r="5" spans="1:22" s="2" customFormat="1" ht="18.75">
      <c r="A5" s="1"/>
      <c r="B5" s="50" t="s">
        <v>50</v>
      </c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</row>
    <row r="6" spans="1:22" s="2" customFormat="1" ht="6.75" customHeight="1"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22" s="2" customFormat="1" ht="15.75" customHeight="1">
      <c r="B7" s="4"/>
      <c r="H7" s="3"/>
      <c r="I7" s="3"/>
      <c r="J7" s="3"/>
      <c r="K7" s="3"/>
      <c r="L7" s="3"/>
      <c r="M7" s="3"/>
      <c r="N7" s="3"/>
      <c r="O7" s="3"/>
      <c r="P7" s="3"/>
      <c r="Q7" s="3"/>
      <c r="R7" s="3"/>
    </row>
    <row r="8" spans="1:22" s="2" customFormat="1" ht="15.75">
      <c r="H8" s="3"/>
      <c r="I8" s="3"/>
      <c r="J8" s="3"/>
      <c r="K8" s="3"/>
      <c r="L8" s="3"/>
      <c r="M8" s="3"/>
      <c r="N8" s="3"/>
      <c r="O8" s="3"/>
      <c r="P8" s="3"/>
      <c r="Q8" s="3"/>
      <c r="R8" s="3"/>
    </row>
    <row r="9" spans="1:22" s="38" customFormat="1">
      <c r="A9" s="45" t="s">
        <v>0</v>
      </c>
      <c r="B9" s="46" t="s">
        <v>1</v>
      </c>
      <c r="C9" s="47" t="s">
        <v>2</v>
      </c>
      <c r="D9" s="47" t="s">
        <v>40</v>
      </c>
      <c r="E9" s="47" t="s">
        <v>3</v>
      </c>
      <c r="F9" s="47" t="s">
        <v>4</v>
      </c>
      <c r="G9" s="47" t="s">
        <v>5</v>
      </c>
      <c r="H9" s="47" t="s">
        <v>6</v>
      </c>
      <c r="I9" s="47" t="s">
        <v>7</v>
      </c>
      <c r="J9" s="47" t="s">
        <v>8</v>
      </c>
      <c r="K9" s="47" t="s">
        <v>9</v>
      </c>
      <c r="L9" s="51" t="s">
        <v>39</v>
      </c>
      <c r="M9" s="51" t="s">
        <v>45</v>
      </c>
      <c r="N9" s="51" t="s">
        <v>47</v>
      </c>
      <c r="O9" s="37"/>
      <c r="P9" s="54" t="s">
        <v>48</v>
      </c>
      <c r="Q9" s="54"/>
      <c r="R9" s="54"/>
      <c r="S9" s="54"/>
      <c r="T9" s="54"/>
      <c r="U9" s="54"/>
      <c r="V9" s="54"/>
    </row>
    <row r="10" spans="1:22" s="38" customFormat="1" ht="44.25" customHeight="1">
      <c r="A10" s="45"/>
      <c r="B10" s="46"/>
      <c r="C10" s="48"/>
      <c r="D10" s="48"/>
      <c r="E10" s="48"/>
      <c r="F10" s="48"/>
      <c r="G10" s="48"/>
      <c r="H10" s="48"/>
      <c r="I10" s="48"/>
      <c r="J10" s="48"/>
      <c r="K10" s="48"/>
      <c r="L10" s="51"/>
      <c r="M10" s="51"/>
      <c r="N10" s="51"/>
      <c r="O10" s="37"/>
      <c r="P10" s="52" t="s">
        <v>52</v>
      </c>
      <c r="Q10" s="36"/>
      <c r="R10" s="36"/>
      <c r="S10" s="39"/>
      <c r="T10" s="39"/>
      <c r="U10" s="39"/>
      <c r="V10" s="52" t="s">
        <v>49</v>
      </c>
    </row>
    <row r="11" spans="1:22" s="41" customFormat="1" ht="76.5" customHeight="1">
      <c r="A11" s="45"/>
      <c r="B11" s="46"/>
      <c r="C11" s="49"/>
      <c r="D11" s="49"/>
      <c r="E11" s="49"/>
      <c r="F11" s="49"/>
      <c r="G11" s="49"/>
      <c r="H11" s="49"/>
      <c r="I11" s="49"/>
      <c r="J11" s="49"/>
      <c r="K11" s="49"/>
      <c r="L11" s="51"/>
      <c r="M11" s="51"/>
      <c r="N11" s="51"/>
      <c r="O11" s="37"/>
      <c r="P11" s="53"/>
      <c r="Q11" s="36"/>
      <c r="R11" s="36"/>
      <c r="S11" s="40"/>
      <c r="T11" s="40"/>
      <c r="U11" s="40"/>
      <c r="V11" s="53"/>
    </row>
    <row r="12" spans="1:22" s="10" customFormat="1" ht="22.5">
      <c r="A12" s="5">
        <v>1</v>
      </c>
      <c r="B12" s="5">
        <v>2</v>
      </c>
      <c r="C12" s="5">
        <v>3</v>
      </c>
      <c r="D12" s="5">
        <v>3</v>
      </c>
      <c r="E12" s="6">
        <v>4</v>
      </c>
      <c r="F12" s="6" t="s">
        <v>38</v>
      </c>
      <c r="G12" s="7">
        <v>6</v>
      </c>
      <c r="H12" s="8" t="s">
        <v>51</v>
      </c>
      <c r="I12" s="8" t="s">
        <v>10</v>
      </c>
      <c r="J12" s="9">
        <v>9</v>
      </c>
      <c r="K12" s="9">
        <v>10</v>
      </c>
      <c r="L12" s="9" t="s">
        <v>41</v>
      </c>
      <c r="M12" s="9" t="s">
        <v>42</v>
      </c>
      <c r="N12" s="9" t="s">
        <v>53</v>
      </c>
      <c r="O12" s="9" t="s">
        <v>43</v>
      </c>
      <c r="P12" s="9" t="s">
        <v>44</v>
      </c>
      <c r="Q12" s="15"/>
      <c r="R12" s="15"/>
      <c r="V12" s="9" t="s">
        <v>46</v>
      </c>
    </row>
    <row r="13" spans="1:22" s="2" customFormat="1" ht="15.75" customHeight="1">
      <c r="A13" s="42">
        <v>1</v>
      </c>
      <c r="B13" s="21" t="s">
        <v>11</v>
      </c>
      <c r="C13" s="22">
        <v>45247.224050071876</v>
      </c>
      <c r="D13" s="22">
        <f>C13</f>
        <v>45247.224050071876</v>
      </c>
      <c r="E13" s="23">
        <v>84.8</v>
      </c>
      <c r="F13" s="24">
        <f t="shared" ref="F13:F18" si="0">ROUND(D13*G13/100,1)</f>
        <v>47658.5</v>
      </c>
      <c r="G13" s="25">
        <f>$G$39</f>
        <v>105.32919</v>
      </c>
      <c r="H13" s="26">
        <f t="shared" ref="H13:H38" si="1">ROUND(E13*F13*12*1.302/1000,2)</f>
        <v>63143.47</v>
      </c>
      <c r="I13" s="26">
        <f>H13-K13</f>
        <v>61920.691491999998</v>
      </c>
      <c r="J13" s="26">
        <f>186.3*1.047*1.038</f>
        <v>202.46823179999998</v>
      </c>
      <c r="K13" s="27">
        <v>1222.7785080000001</v>
      </c>
      <c r="L13" s="28">
        <f>H13-J13-K13</f>
        <v>61718.2232602</v>
      </c>
      <c r="M13" s="28">
        <v>59975.5</v>
      </c>
      <c r="N13" s="28">
        <f>L13-M13</f>
        <v>1742.7232602000004</v>
      </c>
      <c r="O13" s="29">
        <f>N13*0.95</f>
        <v>1655.5870971900003</v>
      </c>
      <c r="P13" s="29">
        <f>N13*0.88</f>
        <v>1533.5964689760003</v>
      </c>
      <c r="Q13" s="16"/>
      <c r="R13" s="16"/>
      <c r="S13" s="11">
        <v>77.8</v>
      </c>
      <c r="T13" s="11">
        <f t="shared" ref="T13:T38" si="2">S13-E13</f>
        <v>-7</v>
      </c>
      <c r="U13" s="14">
        <v>46597.77968563269</v>
      </c>
      <c r="V13" s="29">
        <f>N13-P13</f>
        <v>209.12679122400004</v>
      </c>
    </row>
    <row r="14" spans="1:22" s="2" customFormat="1" ht="15.75" customHeight="1">
      <c r="A14" s="42">
        <v>2</v>
      </c>
      <c r="B14" s="21" t="s">
        <v>12</v>
      </c>
      <c r="C14" s="22">
        <v>41395.81893938913</v>
      </c>
      <c r="D14" s="22">
        <f t="shared" ref="D14:D38" si="3">C14</f>
        <v>41395.81893938913</v>
      </c>
      <c r="E14" s="23">
        <v>24.3</v>
      </c>
      <c r="F14" s="24">
        <f t="shared" si="0"/>
        <v>43601.9</v>
      </c>
      <c r="G14" s="25">
        <f>$G$39</f>
        <v>105.32919</v>
      </c>
      <c r="H14" s="26">
        <f t="shared" si="1"/>
        <v>16554.04</v>
      </c>
      <c r="I14" s="26">
        <f>H14-K14</f>
        <v>16401.159159999999</v>
      </c>
      <c r="J14" s="26">
        <f>993.5*1.047*1.038</f>
        <v>1079.7218909999999</v>
      </c>
      <c r="K14" s="27">
        <v>152.88084000000001</v>
      </c>
      <c r="L14" s="28">
        <f t="shared" ref="L14:L38" si="4">H14-J14-K14</f>
        <v>15321.437269000002</v>
      </c>
      <c r="M14" s="28">
        <v>16040.8</v>
      </c>
      <c r="N14" s="28"/>
      <c r="O14" s="29">
        <f t="shared" ref="O14:O38" si="5">N14*0.95</f>
        <v>0</v>
      </c>
      <c r="P14" s="29">
        <f t="shared" ref="P14:P38" si="6">N14*0.88</f>
        <v>0</v>
      </c>
      <c r="Q14" s="16"/>
      <c r="R14" s="16"/>
      <c r="S14" s="11">
        <v>26</v>
      </c>
      <c r="T14" s="11">
        <f t="shared" si="2"/>
        <v>1.6999999999999993</v>
      </c>
      <c r="U14" s="14">
        <v>45113.272447121228</v>
      </c>
      <c r="V14" s="29">
        <f t="shared" ref="V14:V38" si="7">N14-P14</f>
        <v>0</v>
      </c>
    </row>
    <row r="15" spans="1:22" s="2" customFormat="1" ht="15.75" customHeight="1">
      <c r="A15" s="42">
        <v>3</v>
      </c>
      <c r="B15" s="21" t="s">
        <v>13</v>
      </c>
      <c r="C15" s="22">
        <v>44864.764522904028</v>
      </c>
      <c r="D15" s="22">
        <f t="shared" si="3"/>
        <v>44864.764522904028</v>
      </c>
      <c r="E15" s="23">
        <v>16</v>
      </c>
      <c r="F15" s="24">
        <f t="shared" si="0"/>
        <v>47255.7</v>
      </c>
      <c r="G15" s="25">
        <f t="shared" ref="G15:G38" si="8">$G$39</f>
        <v>105.32919</v>
      </c>
      <c r="H15" s="26">
        <f t="shared" si="1"/>
        <v>11813.17</v>
      </c>
      <c r="I15" s="26">
        <f t="shared" ref="I15:I38" si="9">H15-K15</f>
        <v>11685.501088000001</v>
      </c>
      <c r="J15" s="26">
        <f>648*1.047*1.038</f>
        <v>704.23732799999993</v>
      </c>
      <c r="K15" s="27">
        <v>127.66891200000001</v>
      </c>
      <c r="L15" s="28">
        <f>H15-J15-K15</f>
        <v>10981.263760000002</v>
      </c>
      <c r="M15" s="28">
        <v>10935.6</v>
      </c>
      <c r="N15" s="28">
        <f t="shared" ref="N15:N37" si="10">L15-M15</f>
        <v>45.663760000001275</v>
      </c>
      <c r="O15" s="29">
        <f t="shared" si="5"/>
        <v>43.380572000001209</v>
      </c>
      <c r="P15" s="29">
        <f t="shared" si="6"/>
        <v>40.18410880000112</v>
      </c>
      <c r="Q15" s="16"/>
      <c r="R15" s="16"/>
      <c r="S15" s="11">
        <v>15</v>
      </c>
      <c r="T15" s="11">
        <f t="shared" si="2"/>
        <v>-1</v>
      </c>
      <c r="U15" s="14">
        <v>46757.207536882175</v>
      </c>
      <c r="V15" s="29">
        <f t="shared" si="7"/>
        <v>5.4796512000001556</v>
      </c>
    </row>
    <row r="16" spans="1:22" s="2" customFormat="1" ht="15.75" customHeight="1">
      <c r="A16" s="42">
        <v>4</v>
      </c>
      <c r="B16" s="21" t="s">
        <v>14</v>
      </c>
      <c r="C16" s="22">
        <v>45967.344678134003</v>
      </c>
      <c r="D16" s="22">
        <f t="shared" si="3"/>
        <v>45967.344678134003</v>
      </c>
      <c r="E16" s="23">
        <v>18.5</v>
      </c>
      <c r="F16" s="24">
        <f t="shared" si="0"/>
        <v>48417</v>
      </c>
      <c r="G16" s="25">
        <f t="shared" si="8"/>
        <v>105.32919</v>
      </c>
      <c r="H16" s="26">
        <f t="shared" si="1"/>
        <v>13994.64</v>
      </c>
      <c r="I16" s="26">
        <f t="shared" si="9"/>
        <v>13867.507512</v>
      </c>
      <c r="J16" s="26">
        <f>1123.8*1.047*1.038</f>
        <v>1221.3301067999998</v>
      </c>
      <c r="K16" s="27">
        <v>127.13248800000001</v>
      </c>
      <c r="L16" s="28">
        <f t="shared" si="4"/>
        <v>12646.1774052</v>
      </c>
      <c r="M16" s="28">
        <v>12304.9</v>
      </c>
      <c r="N16" s="28">
        <f t="shared" si="10"/>
        <v>341.27740520000043</v>
      </c>
      <c r="O16" s="29">
        <f t="shared" si="5"/>
        <v>324.21353494000039</v>
      </c>
      <c r="P16" s="29">
        <f t="shared" si="6"/>
        <v>300.32411657600039</v>
      </c>
      <c r="Q16" s="16"/>
      <c r="R16" s="16"/>
      <c r="S16" s="11">
        <v>17</v>
      </c>
      <c r="T16" s="11">
        <f t="shared" si="2"/>
        <v>-1.5</v>
      </c>
      <c r="U16" s="14">
        <v>47111.095231886145</v>
      </c>
      <c r="V16" s="29">
        <f t="shared" si="7"/>
        <v>40.953288624000038</v>
      </c>
    </row>
    <row r="17" spans="1:22" s="2" customFormat="1" ht="15.75" customHeight="1">
      <c r="A17" s="42">
        <v>5</v>
      </c>
      <c r="B17" s="21" t="s">
        <v>15</v>
      </c>
      <c r="C17" s="22">
        <v>37647.365935430782</v>
      </c>
      <c r="D17" s="22">
        <f t="shared" si="3"/>
        <v>37647.365935430782</v>
      </c>
      <c r="E17" s="23">
        <v>29</v>
      </c>
      <c r="F17" s="24">
        <f t="shared" si="0"/>
        <v>39653.699999999997</v>
      </c>
      <c r="G17" s="25">
        <f t="shared" si="8"/>
        <v>105.32919</v>
      </c>
      <c r="H17" s="26">
        <f t="shared" si="1"/>
        <v>17966.93</v>
      </c>
      <c r="I17" s="26">
        <f t="shared" si="9"/>
        <v>17554.151731999998</v>
      </c>
      <c r="J17" s="26">
        <v>0</v>
      </c>
      <c r="K17" s="27">
        <v>412.77826800000003</v>
      </c>
      <c r="L17" s="28">
        <f t="shared" si="4"/>
        <v>17554.151731999998</v>
      </c>
      <c r="M17" s="28">
        <v>17063.599999999999</v>
      </c>
      <c r="N17" s="28">
        <f t="shared" si="10"/>
        <v>490.5517319999999</v>
      </c>
      <c r="O17" s="29">
        <f t="shared" si="5"/>
        <v>466.0241453999999</v>
      </c>
      <c r="P17" s="29">
        <f t="shared" si="6"/>
        <v>431.68552415999994</v>
      </c>
      <c r="Q17" s="16"/>
      <c r="R17" s="16"/>
      <c r="S17" s="11">
        <v>30</v>
      </c>
      <c r="T17" s="11">
        <f t="shared" si="2"/>
        <v>1</v>
      </c>
      <c r="U17" s="14">
        <v>38631.331406815596</v>
      </c>
      <c r="V17" s="29">
        <f t="shared" si="7"/>
        <v>58.866207839999959</v>
      </c>
    </row>
    <row r="18" spans="1:22" s="2" customFormat="1" ht="15.75" customHeight="1">
      <c r="A18" s="42">
        <v>6</v>
      </c>
      <c r="B18" s="21" t="s">
        <v>16</v>
      </c>
      <c r="C18" s="22">
        <v>46352.493682095519</v>
      </c>
      <c r="D18" s="22">
        <f t="shared" si="3"/>
        <v>46352.493682095519</v>
      </c>
      <c r="E18" s="23">
        <v>39.4</v>
      </c>
      <c r="F18" s="24">
        <f t="shared" si="0"/>
        <v>48822.7</v>
      </c>
      <c r="G18" s="25">
        <f t="shared" si="8"/>
        <v>105.32919</v>
      </c>
      <c r="H18" s="26">
        <f t="shared" si="1"/>
        <v>30054.55</v>
      </c>
      <c r="I18" s="26">
        <f t="shared" si="9"/>
        <v>29754.152559999999</v>
      </c>
      <c r="J18" s="26">
        <f>1837.05*1.047*1.038</f>
        <v>1996.4802213</v>
      </c>
      <c r="K18" s="27">
        <v>300.39744000000002</v>
      </c>
      <c r="L18" s="28">
        <f t="shared" si="4"/>
        <v>27757.672338699998</v>
      </c>
      <c r="M18" s="28">
        <v>28342.400000000001</v>
      </c>
      <c r="N18" s="28"/>
      <c r="O18" s="29">
        <f t="shared" si="5"/>
        <v>0</v>
      </c>
      <c r="P18" s="29">
        <f t="shared" si="6"/>
        <v>0</v>
      </c>
      <c r="Q18" s="16"/>
      <c r="R18" s="16"/>
      <c r="S18" s="11">
        <v>38</v>
      </c>
      <c r="T18" s="11">
        <f t="shared" si="2"/>
        <v>-1.3999999999999986</v>
      </c>
      <c r="U18" s="14">
        <v>49234.331778132895</v>
      </c>
      <c r="V18" s="29">
        <f t="shared" si="7"/>
        <v>0</v>
      </c>
    </row>
    <row r="19" spans="1:22" s="2" customFormat="1" ht="15.75" customHeight="1">
      <c r="A19" s="42">
        <v>7</v>
      </c>
      <c r="B19" s="21" t="s">
        <v>17</v>
      </c>
      <c r="C19" s="22">
        <v>43199.773080779734</v>
      </c>
      <c r="D19" s="22">
        <f t="shared" si="3"/>
        <v>43199.773080779734</v>
      </c>
      <c r="E19" s="23">
        <v>37</v>
      </c>
      <c r="F19" s="24">
        <f t="shared" ref="F19:F36" si="11">ROUND(D19*G19/100,1)</f>
        <v>45502</v>
      </c>
      <c r="G19" s="25">
        <f t="shared" si="8"/>
        <v>105.32919</v>
      </c>
      <c r="H19" s="26">
        <f t="shared" si="1"/>
        <v>26304.16</v>
      </c>
      <c r="I19" s="26">
        <f t="shared" si="9"/>
        <v>25831.704561999999</v>
      </c>
      <c r="J19" s="26">
        <f>848.6*1.047*1.038</f>
        <v>922.24659959999997</v>
      </c>
      <c r="K19" s="27">
        <v>472.45543800000007</v>
      </c>
      <c r="L19" s="28">
        <f t="shared" si="4"/>
        <v>24909.4579624</v>
      </c>
      <c r="M19" s="28">
        <v>23410.9</v>
      </c>
      <c r="N19" s="28">
        <f t="shared" si="10"/>
        <v>1498.5579623999984</v>
      </c>
      <c r="O19" s="29">
        <f t="shared" si="5"/>
        <v>1423.6300642799984</v>
      </c>
      <c r="P19" s="29">
        <f t="shared" si="6"/>
        <v>1318.7310069119985</v>
      </c>
      <c r="Q19" s="16"/>
      <c r="R19" s="16"/>
      <c r="S19" s="11">
        <v>25.9</v>
      </c>
      <c r="T19" s="11">
        <f t="shared" si="2"/>
        <v>-11.100000000000001</v>
      </c>
      <c r="U19" s="14">
        <v>43040.699320971005</v>
      </c>
      <c r="V19" s="29">
        <f>N19-P19+0.1</f>
        <v>179.92695548799983</v>
      </c>
    </row>
    <row r="20" spans="1:22" s="2" customFormat="1" ht="15.75" customHeight="1">
      <c r="A20" s="42">
        <v>8</v>
      </c>
      <c r="B20" s="21" t="s">
        <v>18</v>
      </c>
      <c r="C20" s="22">
        <v>46706.142075967058</v>
      </c>
      <c r="D20" s="22">
        <f t="shared" si="3"/>
        <v>46706.142075967058</v>
      </c>
      <c r="E20" s="23">
        <v>7.2</v>
      </c>
      <c r="F20" s="24">
        <v>50075</v>
      </c>
      <c r="G20" s="25">
        <f t="shared" si="8"/>
        <v>105.32919</v>
      </c>
      <c r="H20" s="26">
        <f t="shared" si="1"/>
        <v>5633.08</v>
      </c>
      <c r="I20" s="26">
        <f t="shared" si="9"/>
        <v>5437.8216640000001</v>
      </c>
      <c r="J20" s="26">
        <f>337.4*1.047*1.038</f>
        <v>366.68159639999999</v>
      </c>
      <c r="K20" s="27">
        <v>195.25833600000001</v>
      </c>
      <c r="L20" s="28">
        <f t="shared" si="4"/>
        <v>5071.1400676000003</v>
      </c>
      <c r="M20" s="28">
        <v>5063.2</v>
      </c>
      <c r="N20" s="28">
        <f t="shared" si="10"/>
        <v>7.9400676000004751</v>
      </c>
      <c r="O20" s="29">
        <f t="shared" si="5"/>
        <v>7.543064220000451</v>
      </c>
      <c r="P20" s="29">
        <f t="shared" si="6"/>
        <v>6.9872594880004177</v>
      </c>
      <c r="Q20" s="16"/>
      <c r="R20" s="16"/>
      <c r="S20" s="11">
        <v>6.3000000000000007</v>
      </c>
      <c r="T20" s="11">
        <f t="shared" si="2"/>
        <v>-0.89999999999999947</v>
      </c>
      <c r="U20" s="14">
        <v>50284.963887119811</v>
      </c>
      <c r="V20" s="29">
        <f>N20-P20-0.1</f>
        <v>0.85280811200005735</v>
      </c>
    </row>
    <row r="21" spans="1:22" s="2" customFormat="1" ht="15.75">
      <c r="A21" s="42">
        <v>9</v>
      </c>
      <c r="B21" s="21" t="s">
        <v>19</v>
      </c>
      <c r="C21" s="22">
        <v>53582.224997652411</v>
      </c>
      <c r="D21" s="22">
        <f t="shared" si="3"/>
        <v>53582.224997652411</v>
      </c>
      <c r="E21" s="23">
        <v>22</v>
      </c>
      <c r="F21" s="24">
        <f t="shared" si="11"/>
        <v>56437.7</v>
      </c>
      <c r="G21" s="25">
        <f t="shared" si="8"/>
        <v>105.32919</v>
      </c>
      <c r="H21" s="26">
        <f t="shared" si="1"/>
        <v>19399.22</v>
      </c>
      <c r="I21" s="26">
        <f t="shared" si="9"/>
        <v>19399.22</v>
      </c>
      <c r="J21" s="26">
        <f>1398.3*1.047*1.038</f>
        <v>1519.6528638</v>
      </c>
      <c r="K21" s="27">
        <v>0</v>
      </c>
      <c r="L21" s="28">
        <f t="shared" si="4"/>
        <v>17879.567136199999</v>
      </c>
      <c r="M21" s="28">
        <v>17072.5</v>
      </c>
      <c r="N21" s="28">
        <f t="shared" si="10"/>
        <v>807.06713619999937</v>
      </c>
      <c r="O21" s="29">
        <f t="shared" si="5"/>
        <v>766.71377938999933</v>
      </c>
      <c r="P21" s="29">
        <f t="shared" si="6"/>
        <v>710.21907985599944</v>
      </c>
      <c r="Q21" s="16"/>
      <c r="R21" s="16"/>
      <c r="S21" s="11">
        <v>20</v>
      </c>
      <c r="T21" s="11">
        <f t="shared" si="2"/>
        <v>-2</v>
      </c>
      <c r="U21" s="14">
        <v>54034.401539868843</v>
      </c>
      <c r="V21" s="29">
        <f>N21-P21+0.1</f>
        <v>96.948056343999923</v>
      </c>
    </row>
    <row r="22" spans="1:22" s="2" customFormat="1" ht="15.75">
      <c r="A22" s="42">
        <v>10</v>
      </c>
      <c r="B22" s="21" t="s">
        <v>20</v>
      </c>
      <c r="C22" s="22">
        <v>63512.109753918645</v>
      </c>
      <c r="D22" s="22">
        <f t="shared" si="3"/>
        <v>63512.109753918645</v>
      </c>
      <c r="E22" s="23">
        <v>3</v>
      </c>
      <c r="F22" s="24">
        <f t="shared" si="11"/>
        <v>66896.800000000003</v>
      </c>
      <c r="G22" s="25">
        <f t="shared" si="8"/>
        <v>105.32919</v>
      </c>
      <c r="H22" s="26">
        <f t="shared" si="1"/>
        <v>3135.59</v>
      </c>
      <c r="I22" s="26">
        <f t="shared" si="9"/>
        <v>3106.8913160000002</v>
      </c>
      <c r="J22" s="26">
        <v>0</v>
      </c>
      <c r="K22" s="27">
        <v>28.698684</v>
      </c>
      <c r="L22" s="28">
        <f t="shared" si="4"/>
        <v>3106.8913160000002</v>
      </c>
      <c r="M22" s="28">
        <v>3100.6</v>
      </c>
      <c r="N22" s="28">
        <f t="shared" si="10"/>
        <v>6.291316000000279</v>
      </c>
      <c r="O22" s="29">
        <f t="shared" si="5"/>
        <v>5.9767502000002644</v>
      </c>
      <c r="P22" s="29">
        <f t="shared" si="6"/>
        <v>5.5363580800002454</v>
      </c>
      <c r="Q22" s="16"/>
      <c r="R22" s="16"/>
      <c r="S22" s="11">
        <v>3</v>
      </c>
      <c r="T22" s="11">
        <f t="shared" si="2"/>
        <v>0</v>
      </c>
      <c r="U22" s="14">
        <v>66668.747735769794</v>
      </c>
      <c r="V22" s="29">
        <f t="shared" si="7"/>
        <v>0.75495792000003359</v>
      </c>
    </row>
    <row r="23" spans="1:22" s="2" customFormat="1" ht="15.75">
      <c r="A23" s="42">
        <v>11</v>
      </c>
      <c r="B23" s="21" t="s">
        <v>21</v>
      </c>
      <c r="C23" s="22">
        <v>53497.671787322506</v>
      </c>
      <c r="D23" s="22">
        <f t="shared" si="3"/>
        <v>53497.671787322506</v>
      </c>
      <c r="E23" s="23">
        <v>11.9</v>
      </c>
      <c r="F23" s="24">
        <f t="shared" si="11"/>
        <v>56348.7</v>
      </c>
      <c r="G23" s="25">
        <f t="shared" si="8"/>
        <v>105.32919</v>
      </c>
      <c r="H23" s="26">
        <f t="shared" si="1"/>
        <v>10476.67</v>
      </c>
      <c r="I23" s="26">
        <f t="shared" si="9"/>
        <v>10245.739468</v>
      </c>
      <c r="J23" s="26">
        <f>136.8*1.047*1.038</f>
        <v>148.67232480000001</v>
      </c>
      <c r="K23" s="27">
        <v>230.930532</v>
      </c>
      <c r="L23" s="28">
        <f t="shared" si="4"/>
        <v>10097.0671432</v>
      </c>
      <c r="M23" s="28">
        <v>10025.6</v>
      </c>
      <c r="N23" s="28">
        <f t="shared" si="10"/>
        <v>71.467143199999555</v>
      </c>
      <c r="O23" s="29">
        <f t="shared" si="5"/>
        <v>67.893786039999569</v>
      </c>
      <c r="P23" s="29">
        <f t="shared" si="6"/>
        <v>62.891086015999612</v>
      </c>
      <c r="Q23" s="16"/>
      <c r="R23" s="16"/>
      <c r="S23" s="11">
        <v>11.399999999999999</v>
      </c>
      <c r="T23" s="11">
        <f t="shared" si="2"/>
        <v>-0.50000000000000178</v>
      </c>
      <c r="U23" s="14">
        <v>55749.726942893227</v>
      </c>
      <c r="V23" s="29">
        <f t="shared" si="7"/>
        <v>8.5760571839999429</v>
      </c>
    </row>
    <row r="24" spans="1:22" s="2" customFormat="1" ht="15.75">
      <c r="A24" s="42">
        <v>12</v>
      </c>
      <c r="B24" s="21" t="s">
        <v>22</v>
      </c>
      <c r="C24" s="22">
        <v>41538.197269014949</v>
      </c>
      <c r="D24" s="22">
        <f t="shared" si="3"/>
        <v>41538.197269014949</v>
      </c>
      <c r="E24" s="23">
        <f>41.7-5</f>
        <v>36.700000000000003</v>
      </c>
      <c r="F24" s="24">
        <f t="shared" si="11"/>
        <v>43751.8</v>
      </c>
      <c r="G24" s="25">
        <f t="shared" si="8"/>
        <v>105.32919</v>
      </c>
      <c r="H24" s="26">
        <f t="shared" si="1"/>
        <v>25087.32</v>
      </c>
      <c r="I24" s="26">
        <f t="shared" si="9"/>
        <v>24309.236988000001</v>
      </c>
      <c r="J24" s="26">
        <f>99.1*1.047*1.038</f>
        <v>107.70049259999999</v>
      </c>
      <c r="K24" s="27">
        <v>778.08301200000005</v>
      </c>
      <c r="L24" s="28">
        <f t="shared" si="4"/>
        <v>24201.5364954</v>
      </c>
      <c r="M24" s="28">
        <v>24509.599999999999</v>
      </c>
      <c r="N24" s="28"/>
      <c r="O24" s="29">
        <f t="shared" si="5"/>
        <v>0</v>
      </c>
      <c r="P24" s="29">
        <f t="shared" si="6"/>
        <v>0</v>
      </c>
      <c r="Q24" s="16"/>
      <c r="R24" s="16"/>
      <c r="S24" s="11">
        <v>41</v>
      </c>
      <c r="T24" s="11">
        <f t="shared" si="2"/>
        <v>4.2999999999999972</v>
      </c>
      <c r="U24" s="14">
        <v>44268.478952155448</v>
      </c>
      <c r="V24" s="29">
        <f t="shared" si="7"/>
        <v>0</v>
      </c>
    </row>
    <row r="25" spans="1:22" s="2" customFormat="1" ht="15.75">
      <c r="A25" s="42">
        <v>13</v>
      </c>
      <c r="B25" s="21" t="s">
        <v>23</v>
      </c>
      <c r="C25" s="22">
        <v>43509.174984261168</v>
      </c>
      <c r="D25" s="22">
        <f t="shared" si="3"/>
        <v>43509.174984261168</v>
      </c>
      <c r="E25" s="23">
        <v>12</v>
      </c>
      <c r="F25" s="24">
        <f t="shared" si="11"/>
        <v>45827.9</v>
      </c>
      <c r="G25" s="25">
        <f t="shared" si="8"/>
        <v>105.32919</v>
      </c>
      <c r="H25" s="26">
        <f t="shared" si="1"/>
        <v>8592.18</v>
      </c>
      <c r="I25" s="26">
        <f t="shared" si="9"/>
        <v>8592.18</v>
      </c>
      <c r="J25" s="26">
        <v>0</v>
      </c>
      <c r="K25" s="27">
        <v>0</v>
      </c>
      <c r="L25" s="28">
        <f t="shared" si="4"/>
        <v>8592.18</v>
      </c>
      <c r="M25" s="28">
        <v>8773.4</v>
      </c>
      <c r="N25" s="28"/>
      <c r="O25" s="29">
        <f t="shared" si="5"/>
        <v>0</v>
      </c>
      <c r="P25" s="29">
        <f t="shared" si="6"/>
        <v>0</v>
      </c>
      <c r="Q25" s="16"/>
      <c r="R25" s="16"/>
      <c r="S25" s="11">
        <v>12.5</v>
      </c>
      <c r="T25" s="11">
        <f t="shared" si="2"/>
        <v>0.5</v>
      </c>
      <c r="U25" s="14">
        <v>46746.846697066394</v>
      </c>
      <c r="V25" s="29">
        <f t="shared" si="7"/>
        <v>0</v>
      </c>
    </row>
    <row r="26" spans="1:22" s="2" customFormat="1" ht="15.75">
      <c r="A26" s="42">
        <v>14</v>
      </c>
      <c r="B26" s="21" t="s">
        <v>24</v>
      </c>
      <c r="C26" s="22">
        <v>53707.470585431423</v>
      </c>
      <c r="D26" s="22">
        <f t="shared" si="3"/>
        <v>53707.470585431423</v>
      </c>
      <c r="E26" s="23">
        <v>31.7</v>
      </c>
      <c r="F26" s="24">
        <f t="shared" si="11"/>
        <v>56569.599999999999</v>
      </c>
      <c r="G26" s="25">
        <f t="shared" si="8"/>
        <v>105.32919</v>
      </c>
      <c r="H26" s="26">
        <f t="shared" si="1"/>
        <v>28017.84</v>
      </c>
      <c r="I26" s="26">
        <f t="shared" si="9"/>
        <v>28017.84</v>
      </c>
      <c r="J26" s="26">
        <f>1264.39*1.047*1.038</f>
        <v>1374.1213505400001</v>
      </c>
      <c r="K26" s="27">
        <v>0</v>
      </c>
      <c r="L26" s="28">
        <f t="shared" si="4"/>
        <v>26643.718649459999</v>
      </c>
      <c r="M26" s="28">
        <v>26985.200000000001</v>
      </c>
      <c r="N26" s="28"/>
      <c r="O26" s="29">
        <f t="shared" si="5"/>
        <v>0</v>
      </c>
      <c r="P26" s="29">
        <f t="shared" si="6"/>
        <v>0</v>
      </c>
      <c r="Q26" s="16"/>
      <c r="R26" s="16"/>
      <c r="S26" s="11">
        <v>27.7</v>
      </c>
      <c r="T26" s="11">
        <f t="shared" si="2"/>
        <v>-4</v>
      </c>
      <c r="U26" s="14">
        <v>57200.691511247765</v>
      </c>
      <c r="V26" s="29">
        <f t="shared" si="7"/>
        <v>0</v>
      </c>
    </row>
    <row r="27" spans="1:22" s="20" customFormat="1" ht="15.75">
      <c r="A27" s="42">
        <v>15</v>
      </c>
      <c r="B27" s="21" t="s">
        <v>25</v>
      </c>
      <c r="C27" s="22">
        <v>48363.836385391587</v>
      </c>
      <c r="D27" s="22">
        <f t="shared" si="3"/>
        <v>48363.836385391587</v>
      </c>
      <c r="E27" s="23"/>
      <c r="F27" s="24">
        <f t="shared" si="11"/>
        <v>50941.2</v>
      </c>
      <c r="G27" s="25">
        <f t="shared" si="8"/>
        <v>105.32919</v>
      </c>
      <c r="H27" s="26">
        <f t="shared" si="1"/>
        <v>0</v>
      </c>
      <c r="I27" s="26">
        <f t="shared" si="9"/>
        <v>0</v>
      </c>
      <c r="J27" s="26">
        <v>0</v>
      </c>
      <c r="K27" s="27">
        <v>0</v>
      </c>
      <c r="L27" s="28">
        <f t="shared" si="4"/>
        <v>0</v>
      </c>
      <c r="M27" s="28">
        <v>0</v>
      </c>
      <c r="N27" s="28">
        <f t="shared" si="10"/>
        <v>0</v>
      </c>
      <c r="O27" s="29">
        <f t="shared" si="5"/>
        <v>0</v>
      </c>
      <c r="P27" s="29">
        <f t="shared" si="6"/>
        <v>0</v>
      </c>
      <c r="Q27" s="17"/>
      <c r="R27" s="17"/>
      <c r="S27" s="18">
        <v>0</v>
      </c>
      <c r="T27" s="18">
        <f t="shared" si="2"/>
        <v>0</v>
      </c>
      <c r="U27" s="19">
        <v>49139.428360416787</v>
      </c>
      <c r="V27" s="29">
        <f t="shared" si="7"/>
        <v>0</v>
      </c>
    </row>
    <row r="28" spans="1:22" s="2" customFormat="1" ht="15.75">
      <c r="A28" s="42">
        <v>16</v>
      </c>
      <c r="B28" s="21" t="s">
        <v>26</v>
      </c>
      <c r="C28" s="22">
        <v>46917.725580936763</v>
      </c>
      <c r="D28" s="22">
        <f t="shared" si="3"/>
        <v>46917.725580936763</v>
      </c>
      <c r="E28" s="23">
        <v>21.4</v>
      </c>
      <c r="F28" s="24">
        <f t="shared" si="11"/>
        <v>49418.1</v>
      </c>
      <c r="G28" s="25">
        <f t="shared" si="8"/>
        <v>105.32919</v>
      </c>
      <c r="H28" s="26">
        <f t="shared" si="1"/>
        <v>16523.12</v>
      </c>
      <c r="I28" s="26">
        <f t="shared" si="9"/>
        <v>16386.465985999999</v>
      </c>
      <c r="J28" s="26">
        <f>594.44*1.047*1.038</f>
        <v>646.02906984000003</v>
      </c>
      <c r="K28" s="27">
        <v>136.65401399999999</v>
      </c>
      <c r="L28" s="28">
        <f t="shared" si="4"/>
        <v>15740.436916159999</v>
      </c>
      <c r="M28" s="28">
        <v>15973</v>
      </c>
      <c r="N28" s="28"/>
      <c r="O28" s="29">
        <f t="shared" si="5"/>
        <v>0</v>
      </c>
      <c r="P28" s="29">
        <f t="shared" si="6"/>
        <v>0</v>
      </c>
      <c r="Q28" s="16"/>
      <c r="R28" s="16"/>
      <c r="S28" s="11">
        <v>18</v>
      </c>
      <c r="T28" s="11">
        <f t="shared" si="2"/>
        <v>-3.3999999999999986</v>
      </c>
      <c r="U28" s="14">
        <v>50117.574045050169</v>
      </c>
      <c r="V28" s="29">
        <f t="shared" si="7"/>
        <v>0</v>
      </c>
    </row>
    <row r="29" spans="1:22" s="2" customFormat="1" ht="15.75">
      <c r="A29" s="42">
        <v>17</v>
      </c>
      <c r="B29" s="21" t="s">
        <v>27</v>
      </c>
      <c r="C29" s="22">
        <v>48803.676462739379</v>
      </c>
      <c r="D29" s="22">
        <f t="shared" si="3"/>
        <v>48803.676462739379</v>
      </c>
      <c r="E29" s="23">
        <f>34-12</f>
        <v>22</v>
      </c>
      <c r="F29" s="24">
        <f t="shared" si="11"/>
        <v>51404.5</v>
      </c>
      <c r="G29" s="25">
        <f t="shared" si="8"/>
        <v>105.32919</v>
      </c>
      <c r="H29" s="26">
        <f t="shared" si="1"/>
        <v>17669.169999999998</v>
      </c>
      <c r="I29" s="26">
        <f t="shared" si="9"/>
        <v>17162.115213999998</v>
      </c>
      <c r="J29" s="26">
        <f>1685*1.047*1.038</f>
        <v>1831.23441</v>
      </c>
      <c r="K29" s="27">
        <v>507.05478600000009</v>
      </c>
      <c r="L29" s="28">
        <f t="shared" si="4"/>
        <v>15330.880803999997</v>
      </c>
      <c r="M29" s="28">
        <v>14794.499999999998</v>
      </c>
      <c r="N29" s="28">
        <f t="shared" si="10"/>
        <v>536.38080399999853</v>
      </c>
      <c r="O29" s="29">
        <f t="shared" si="5"/>
        <v>509.56176379999857</v>
      </c>
      <c r="P29" s="29">
        <f t="shared" si="6"/>
        <v>472.01510751999871</v>
      </c>
      <c r="Q29" s="16"/>
      <c r="R29" s="16"/>
      <c r="S29" s="11">
        <v>34</v>
      </c>
      <c r="T29" s="11">
        <f t="shared" si="2"/>
        <v>12</v>
      </c>
      <c r="U29" s="14">
        <v>50780.70228075148</v>
      </c>
      <c r="V29" s="29">
        <f t="shared" si="7"/>
        <v>64.365696479999826</v>
      </c>
    </row>
    <row r="30" spans="1:22" s="2" customFormat="1" ht="15.75">
      <c r="A30" s="42">
        <v>18</v>
      </c>
      <c r="B30" s="21" t="s">
        <v>28</v>
      </c>
      <c r="C30" s="22">
        <v>53978.648421088263</v>
      </c>
      <c r="D30" s="22">
        <f t="shared" si="3"/>
        <v>53978.648421088263</v>
      </c>
      <c r="E30" s="23">
        <v>6</v>
      </c>
      <c r="F30" s="24">
        <f t="shared" si="11"/>
        <v>56855.3</v>
      </c>
      <c r="G30" s="25">
        <f t="shared" si="8"/>
        <v>105.32919</v>
      </c>
      <c r="H30" s="26">
        <f t="shared" si="1"/>
        <v>5329.84</v>
      </c>
      <c r="I30" s="26">
        <f t="shared" si="9"/>
        <v>5329.84</v>
      </c>
      <c r="J30" s="26">
        <f>218.6*1.047*1.038</f>
        <v>237.57141959999998</v>
      </c>
      <c r="K30" s="27">
        <v>0</v>
      </c>
      <c r="L30" s="28">
        <f t="shared" si="4"/>
        <v>5092.2685804000002</v>
      </c>
      <c r="M30" s="28">
        <v>5248.9</v>
      </c>
      <c r="N30" s="28"/>
      <c r="O30" s="29">
        <f t="shared" si="5"/>
        <v>0</v>
      </c>
      <c r="P30" s="29">
        <f t="shared" si="6"/>
        <v>0</v>
      </c>
      <c r="Q30" s="16"/>
      <c r="R30" s="16"/>
      <c r="S30" s="11">
        <v>6</v>
      </c>
      <c r="T30" s="11">
        <f t="shared" si="2"/>
        <v>0</v>
      </c>
      <c r="U30" s="14">
        <v>58466.737158132368</v>
      </c>
      <c r="V30" s="29">
        <f t="shared" si="7"/>
        <v>0</v>
      </c>
    </row>
    <row r="31" spans="1:22" s="2" customFormat="1" ht="15.75">
      <c r="A31" s="42">
        <v>19</v>
      </c>
      <c r="B31" s="21" t="s">
        <v>29</v>
      </c>
      <c r="C31" s="22">
        <v>42439.940778061777</v>
      </c>
      <c r="D31" s="22">
        <f t="shared" si="3"/>
        <v>42439.940778061777</v>
      </c>
      <c r="E31" s="23">
        <v>18</v>
      </c>
      <c r="F31" s="24">
        <f t="shared" si="11"/>
        <v>44701.599999999999</v>
      </c>
      <c r="G31" s="25">
        <f t="shared" si="8"/>
        <v>105.32919</v>
      </c>
      <c r="H31" s="26">
        <f t="shared" si="1"/>
        <v>12571.52</v>
      </c>
      <c r="I31" s="26">
        <f t="shared" si="9"/>
        <v>12571.52</v>
      </c>
      <c r="J31" s="26">
        <v>0</v>
      </c>
      <c r="K31" s="27">
        <v>0</v>
      </c>
      <c r="L31" s="28">
        <f t="shared" si="4"/>
        <v>12571.52</v>
      </c>
      <c r="M31" s="28">
        <v>12920.1</v>
      </c>
      <c r="N31" s="28"/>
      <c r="O31" s="29">
        <f t="shared" si="5"/>
        <v>0</v>
      </c>
      <c r="P31" s="29">
        <f t="shared" si="6"/>
        <v>0</v>
      </c>
      <c r="Q31" s="16"/>
      <c r="R31" s="16"/>
      <c r="S31" s="11">
        <v>8</v>
      </c>
      <c r="T31" s="11">
        <f t="shared" si="2"/>
        <v>-10</v>
      </c>
      <c r="U31" s="14">
        <v>45894.116089670875</v>
      </c>
      <c r="V31" s="29">
        <f t="shared" si="7"/>
        <v>0</v>
      </c>
    </row>
    <row r="32" spans="1:22" s="2" customFormat="1" ht="15.75">
      <c r="A32" s="42">
        <v>20</v>
      </c>
      <c r="B32" s="21" t="s">
        <v>30</v>
      </c>
      <c r="C32" s="22">
        <v>38425.953385962872</v>
      </c>
      <c r="D32" s="22">
        <f t="shared" si="3"/>
        <v>38425.953385962872</v>
      </c>
      <c r="E32" s="23">
        <v>443.4</v>
      </c>
      <c r="F32" s="24">
        <f t="shared" si="11"/>
        <v>40473.699999999997</v>
      </c>
      <c r="G32" s="25">
        <f t="shared" si="8"/>
        <v>105.32919</v>
      </c>
      <c r="H32" s="26">
        <f t="shared" si="1"/>
        <v>280388.90999999997</v>
      </c>
      <c r="I32" s="26">
        <f t="shared" si="9"/>
        <v>271550.117646</v>
      </c>
      <c r="J32" s="26">
        <v>0</v>
      </c>
      <c r="K32" s="27">
        <v>8838.7923540000011</v>
      </c>
      <c r="L32" s="28">
        <f t="shared" si="4"/>
        <v>271550.117646</v>
      </c>
      <c r="M32" s="28">
        <v>260233.7</v>
      </c>
      <c r="N32" s="28">
        <f t="shared" si="10"/>
        <v>11316.417645999987</v>
      </c>
      <c r="O32" s="29">
        <f t="shared" si="5"/>
        <v>10750.596763699987</v>
      </c>
      <c r="P32" s="29">
        <f>N32*0.88+0.1</f>
        <v>9958.5475284799886</v>
      </c>
      <c r="Q32" s="16"/>
      <c r="R32" s="16"/>
      <c r="S32" s="11">
        <v>447.27</v>
      </c>
      <c r="T32" s="11">
        <f t="shared" si="2"/>
        <v>3.8700000000000045</v>
      </c>
      <c r="U32" s="14">
        <v>38588.307824238211</v>
      </c>
      <c r="V32" s="29">
        <f t="shared" si="7"/>
        <v>1357.8701175199985</v>
      </c>
    </row>
    <row r="33" spans="1:22" s="2" customFormat="1" ht="15.75">
      <c r="A33" s="42">
        <v>21</v>
      </c>
      <c r="B33" s="21" t="s">
        <v>31</v>
      </c>
      <c r="C33" s="22">
        <v>47181.365328288535</v>
      </c>
      <c r="D33" s="22">
        <f t="shared" si="3"/>
        <v>47181.365328288535</v>
      </c>
      <c r="E33" s="23">
        <v>357.8</v>
      </c>
      <c r="F33" s="24">
        <f t="shared" si="11"/>
        <v>49695.7</v>
      </c>
      <c r="G33" s="25">
        <f t="shared" si="8"/>
        <v>105.32919</v>
      </c>
      <c r="H33" s="26">
        <f t="shared" si="1"/>
        <v>277812.24</v>
      </c>
      <c r="I33" s="26">
        <f t="shared" si="9"/>
        <v>270840.20316599996</v>
      </c>
      <c r="J33" s="26">
        <v>0</v>
      </c>
      <c r="K33" s="27">
        <v>6972.0368339999995</v>
      </c>
      <c r="L33" s="28">
        <f t="shared" si="4"/>
        <v>270840.20316599996</v>
      </c>
      <c r="M33" s="28">
        <v>257504.7</v>
      </c>
      <c r="N33" s="28">
        <f t="shared" si="10"/>
        <v>13335.503165999951</v>
      </c>
      <c r="O33" s="29">
        <f t="shared" si="5"/>
        <v>12668.728007699952</v>
      </c>
      <c r="P33" s="29">
        <f t="shared" si="6"/>
        <v>11735.242786079958</v>
      </c>
      <c r="Q33" s="16"/>
      <c r="R33" s="16"/>
      <c r="S33" s="11">
        <v>340.6</v>
      </c>
      <c r="T33" s="11">
        <f t="shared" si="2"/>
        <v>-17.199999999999989</v>
      </c>
      <c r="U33" s="14">
        <v>47030.117230692034</v>
      </c>
      <c r="V33" s="29">
        <f t="shared" si="7"/>
        <v>1600.2603799199933</v>
      </c>
    </row>
    <row r="34" spans="1:22" s="2" customFormat="1" ht="15.75">
      <c r="A34" s="42">
        <v>22</v>
      </c>
      <c r="B34" s="21" t="s">
        <v>32</v>
      </c>
      <c r="C34" s="22">
        <v>39808.011798917745</v>
      </c>
      <c r="D34" s="22">
        <f t="shared" si="3"/>
        <v>39808.011798917745</v>
      </c>
      <c r="E34" s="23">
        <f>116.7-23</f>
        <v>93.7</v>
      </c>
      <c r="F34" s="24">
        <f t="shared" si="11"/>
        <v>41929.5</v>
      </c>
      <c r="G34" s="25">
        <f t="shared" si="8"/>
        <v>105.32919</v>
      </c>
      <c r="H34" s="26">
        <f t="shared" si="1"/>
        <v>61383.48</v>
      </c>
      <c r="I34" s="26">
        <f t="shared" si="9"/>
        <v>57421.184124000007</v>
      </c>
      <c r="J34" s="26">
        <f>986*1.047*1.038</f>
        <v>1071.5709959999999</v>
      </c>
      <c r="K34" s="27">
        <v>3962.2958760000001</v>
      </c>
      <c r="L34" s="28">
        <f t="shared" si="4"/>
        <v>56349.613127999997</v>
      </c>
      <c r="M34" s="28">
        <v>49861.195984799997</v>
      </c>
      <c r="N34" s="28">
        <f t="shared" si="10"/>
        <v>6488.4171432000003</v>
      </c>
      <c r="O34" s="29">
        <f t="shared" si="5"/>
        <v>6163.9962860400001</v>
      </c>
      <c r="P34" s="29">
        <f t="shared" si="6"/>
        <v>5709.8070860160005</v>
      </c>
      <c r="Q34" s="16"/>
      <c r="R34" s="16"/>
      <c r="S34" s="11">
        <v>115.69999999999999</v>
      </c>
      <c r="T34" s="11">
        <f t="shared" si="2"/>
        <v>21.999999999999986</v>
      </c>
      <c r="U34" s="14">
        <v>39118.598419554284</v>
      </c>
      <c r="V34" s="29">
        <f t="shared" si="7"/>
        <v>778.61005718399974</v>
      </c>
    </row>
    <row r="35" spans="1:22" s="2" customFormat="1" ht="15.75">
      <c r="A35" s="42">
        <v>23</v>
      </c>
      <c r="B35" s="21" t="s">
        <v>33</v>
      </c>
      <c r="C35" s="22">
        <v>39147.4019360409</v>
      </c>
      <c r="D35" s="22">
        <f t="shared" si="3"/>
        <v>39147.4019360409</v>
      </c>
      <c r="E35" s="23">
        <v>87.2</v>
      </c>
      <c r="F35" s="24">
        <f t="shared" si="11"/>
        <v>41233.599999999999</v>
      </c>
      <c r="G35" s="25">
        <f>$G$39</f>
        <v>105.32919</v>
      </c>
      <c r="H35" s="26">
        <f t="shared" si="1"/>
        <v>56177.18</v>
      </c>
      <c r="I35" s="26">
        <f t="shared" si="9"/>
        <v>55580.140088</v>
      </c>
      <c r="J35" s="26">
        <v>0</v>
      </c>
      <c r="K35" s="27">
        <v>597.03991199999996</v>
      </c>
      <c r="L35" s="28">
        <f t="shared" si="4"/>
        <v>55580.140088</v>
      </c>
      <c r="M35" s="28">
        <v>49753.599999999999</v>
      </c>
      <c r="N35" s="28">
        <f t="shared" si="10"/>
        <v>5826.5400880000016</v>
      </c>
      <c r="O35" s="29">
        <f t="shared" si="5"/>
        <v>5535.2130836000015</v>
      </c>
      <c r="P35" s="29">
        <f t="shared" si="6"/>
        <v>5127.3552774400014</v>
      </c>
      <c r="Q35" s="16"/>
      <c r="R35" s="16"/>
      <c r="S35" s="11">
        <v>84.2</v>
      </c>
      <c r="T35" s="11">
        <f t="shared" si="2"/>
        <v>-3</v>
      </c>
      <c r="U35" s="14">
        <v>36836.743874526415</v>
      </c>
      <c r="V35" s="29">
        <f>N35-P35-0.1</f>
        <v>699.08481056000016</v>
      </c>
    </row>
    <row r="36" spans="1:22" s="2" customFormat="1" ht="15.75">
      <c r="A36" s="42">
        <v>24</v>
      </c>
      <c r="B36" s="21" t="s">
        <v>34</v>
      </c>
      <c r="C36" s="22">
        <v>35795.245581014082</v>
      </c>
      <c r="D36" s="22">
        <f t="shared" si="3"/>
        <v>35795.245581014082</v>
      </c>
      <c r="E36" s="23">
        <f>69.1-20.3</f>
        <v>48.8</v>
      </c>
      <c r="F36" s="24">
        <f t="shared" si="11"/>
        <v>37702.800000000003</v>
      </c>
      <c r="G36" s="25">
        <f t="shared" si="8"/>
        <v>105.32919</v>
      </c>
      <c r="H36" s="26">
        <f t="shared" si="1"/>
        <v>28746.55</v>
      </c>
      <c r="I36" s="26">
        <f t="shared" si="9"/>
        <v>24967.845237999998</v>
      </c>
      <c r="J36" s="26">
        <v>0</v>
      </c>
      <c r="K36" s="27">
        <v>3778.7047619999998</v>
      </c>
      <c r="L36" s="28">
        <f t="shared" si="4"/>
        <v>24967.845237999998</v>
      </c>
      <c r="M36" s="28">
        <v>26165.103595679997</v>
      </c>
      <c r="N36" s="28"/>
      <c r="O36" s="29">
        <f t="shared" si="5"/>
        <v>0</v>
      </c>
      <c r="P36" s="29">
        <f t="shared" si="6"/>
        <v>0</v>
      </c>
      <c r="Q36" s="16"/>
      <c r="R36" s="16"/>
      <c r="S36" s="11">
        <v>62.8</v>
      </c>
      <c r="T36" s="11">
        <f t="shared" si="2"/>
        <v>14</v>
      </c>
      <c r="U36" s="14">
        <v>37949.012599642403</v>
      </c>
      <c r="V36" s="29">
        <f t="shared" si="7"/>
        <v>0</v>
      </c>
    </row>
    <row r="37" spans="1:22" s="2" customFormat="1" ht="15.75">
      <c r="A37" s="42">
        <v>25</v>
      </c>
      <c r="B37" s="21" t="s">
        <v>35</v>
      </c>
      <c r="C37" s="22">
        <v>33294.017647200155</v>
      </c>
      <c r="D37" s="22">
        <f t="shared" si="3"/>
        <v>33294.017647200155</v>
      </c>
      <c r="E37" s="23">
        <v>60.9</v>
      </c>
      <c r="F37" s="24">
        <v>37239</v>
      </c>
      <c r="G37" s="25">
        <f t="shared" si="8"/>
        <v>105.32919</v>
      </c>
      <c r="H37" s="26">
        <f t="shared" si="1"/>
        <v>35432.97</v>
      </c>
      <c r="I37" s="26">
        <f t="shared" si="9"/>
        <v>35432.97</v>
      </c>
      <c r="J37" s="30">
        <v>0</v>
      </c>
      <c r="K37" s="27">
        <v>0</v>
      </c>
      <c r="L37" s="28">
        <f t="shared" si="4"/>
        <v>35432.97</v>
      </c>
      <c r="M37" s="28">
        <v>32806.6</v>
      </c>
      <c r="N37" s="28">
        <f t="shared" si="10"/>
        <v>2626.3700000000026</v>
      </c>
      <c r="O37" s="29">
        <f t="shared" si="5"/>
        <v>2495.0515000000023</v>
      </c>
      <c r="P37" s="29">
        <f t="shared" si="6"/>
        <v>2311.2056000000025</v>
      </c>
      <c r="Q37" s="16"/>
      <c r="R37" s="16"/>
      <c r="S37" s="11">
        <v>56.2</v>
      </c>
      <c r="T37" s="11">
        <f t="shared" si="2"/>
        <v>-4.6999999999999957</v>
      </c>
      <c r="U37" s="14">
        <v>34443.612216293943</v>
      </c>
      <c r="V37" s="29">
        <f t="shared" si="7"/>
        <v>315.16440000000011</v>
      </c>
    </row>
    <row r="38" spans="1:22" s="2" customFormat="1" ht="15.75">
      <c r="A38" s="42">
        <v>26</v>
      </c>
      <c r="B38" s="31" t="s">
        <v>36</v>
      </c>
      <c r="C38" s="22">
        <v>43835</v>
      </c>
      <c r="D38" s="22">
        <f t="shared" si="3"/>
        <v>43835</v>
      </c>
      <c r="E38" s="25">
        <v>6.2</v>
      </c>
      <c r="F38" s="24">
        <f>ROUND(D38*G38/100,1)</f>
        <v>46171.1</v>
      </c>
      <c r="G38" s="25">
        <f t="shared" si="8"/>
        <v>105.32919</v>
      </c>
      <c r="H38" s="26">
        <f t="shared" si="1"/>
        <v>4472.54</v>
      </c>
      <c r="I38" s="26">
        <f t="shared" si="9"/>
        <v>4472.54</v>
      </c>
      <c r="J38" s="30">
        <v>0</v>
      </c>
      <c r="K38" s="27">
        <v>0</v>
      </c>
      <c r="L38" s="28">
        <f t="shared" si="4"/>
        <v>4472.54</v>
      </c>
      <c r="M38" s="28">
        <v>4887.5</v>
      </c>
      <c r="N38" s="28"/>
      <c r="O38" s="29">
        <f t="shared" si="5"/>
        <v>0</v>
      </c>
      <c r="P38" s="29">
        <f t="shared" si="6"/>
        <v>0</v>
      </c>
      <c r="Q38" s="16"/>
      <c r="R38" s="16"/>
      <c r="S38" s="2">
        <v>6.2</v>
      </c>
      <c r="T38" s="2">
        <f t="shared" si="2"/>
        <v>0</v>
      </c>
      <c r="U38" s="14">
        <v>-735.44702745775101</v>
      </c>
      <c r="V38" s="29">
        <f t="shared" si="7"/>
        <v>0</v>
      </c>
    </row>
    <row r="39" spans="1:22" s="2" customFormat="1" ht="15.75">
      <c r="A39" s="43"/>
      <c r="B39" s="32" t="s">
        <v>37</v>
      </c>
      <c r="C39" s="33">
        <v>43835</v>
      </c>
      <c r="D39" s="34">
        <f>C39</f>
        <v>43835</v>
      </c>
      <c r="E39" s="33">
        <f>SUM(E13:E38)</f>
        <v>1538.9</v>
      </c>
      <c r="F39" s="34">
        <f>H39/E39/12/1.302*1000</f>
        <v>44780.008242965654</v>
      </c>
      <c r="G39" s="25">
        <v>105.32919</v>
      </c>
      <c r="H39" s="34">
        <f>SUM(H13:H38)</f>
        <v>1076680.3800000001</v>
      </c>
      <c r="I39" s="34">
        <f>SUM(I13:I38)</f>
        <v>1047838.7390040001</v>
      </c>
      <c r="J39" s="34">
        <f>SUM(J13:J38)</f>
        <v>13429.718902080001</v>
      </c>
      <c r="K39" s="34">
        <f>SUM(K13:K38)</f>
        <v>28841.640996000002</v>
      </c>
      <c r="L39" s="34">
        <f>SUM(L13:L38)</f>
        <v>1034409.02010192</v>
      </c>
      <c r="M39" s="35">
        <v>993752.69958047988</v>
      </c>
      <c r="N39" s="34">
        <f>SUM(N13:N38)</f>
        <v>45141.168629999942</v>
      </c>
      <c r="O39" s="34">
        <f>SUM(O13:O38)</f>
        <v>42884.110198499933</v>
      </c>
      <c r="P39" s="34">
        <f>SUM(P13:P38)-0.1</f>
        <v>39724.22839439995</v>
      </c>
      <c r="Q39" s="12"/>
      <c r="R39" s="12"/>
      <c r="S39" s="13">
        <f t="shared" ref="S39" si="12">SUM(S13:S38)</f>
        <v>1530.57</v>
      </c>
      <c r="V39" s="29">
        <f>N39-P39+0.1</f>
        <v>5417.0402355999922</v>
      </c>
    </row>
  </sheetData>
  <mergeCells count="18">
    <mergeCell ref="B5:V5"/>
    <mergeCell ref="J9:J11"/>
    <mergeCell ref="K9:K11"/>
    <mergeCell ref="L9:L11"/>
    <mergeCell ref="M9:M11"/>
    <mergeCell ref="N9:N11"/>
    <mergeCell ref="F9:F11"/>
    <mergeCell ref="G9:G11"/>
    <mergeCell ref="H9:H11"/>
    <mergeCell ref="I9:I11"/>
    <mergeCell ref="P10:P11"/>
    <mergeCell ref="V10:V11"/>
    <mergeCell ref="P9:V9"/>
    <mergeCell ref="A9:A11"/>
    <mergeCell ref="B9:B11"/>
    <mergeCell ref="C9:C11"/>
    <mergeCell ref="D9:D11"/>
    <mergeCell ref="E9:E11"/>
  </mergeCells>
  <pageMargins left="0.59055118110236227" right="0.39370078740157483" top="0.74803149606299213" bottom="0.35433070866141736" header="0.31496062992125984" footer="0.31496062992125984"/>
  <pageSetup paperSize="9" scale="6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расчет субсидии 2020 г (для МФ)</vt:lpstr>
      <vt:lpstr>'расчет субсидии 2020 г (для МФ)'!Область_печати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Бачурихина Светлана Михайловна</dc:creator>
  <cp:lastModifiedBy>minfin user</cp:lastModifiedBy>
  <cp:lastPrinted>2020-02-17T11:42:54Z</cp:lastPrinted>
  <dcterms:created xsi:type="dcterms:W3CDTF">2019-09-10T07:06:53Z</dcterms:created>
  <dcterms:modified xsi:type="dcterms:W3CDTF">2020-03-06T11:29:53Z</dcterms:modified>
</cp:coreProperties>
</file>