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200" windowHeight="12060"/>
  </bookViews>
  <sheets>
    <sheet name="жил 2020-2022  (дейст ут фед)" sheetId="1" r:id="rId1"/>
  </sheets>
  <definedNames>
    <definedName name="_xlnm.Print_Titles" localSheetId="0">'жил 2020-2022  (дейст ут фед)'!$A:$A</definedName>
    <definedName name="_xlnm.Print_Area" localSheetId="0">'жил 2020-2022  (дейст ут фед)'!$A$1:$AQ$38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7" i="1"/>
  <c r="U36"/>
  <c r="V36" s="1"/>
  <c r="U35"/>
  <c r="V35" s="1"/>
  <c r="U34"/>
  <c r="V34" s="1"/>
  <c r="U33"/>
  <c r="U32"/>
  <c r="V32" s="1"/>
  <c r="U31"/>
  <c r="U30"/>
  <c r="V30" s="1"/>
  <c r="U29"/>
  <c r="U28"/>
  <c r="U27"/>
  <c r="U26"/>
  <c r="V26" s="1"/>
  <c r="U25"/>
  <c r="U24"/>
  <c r="U23"/>
  <c r="U22"/>
  <c r="V22" s="1"/>
  <c r="U21"/>
  <c r="U20"/>
  <c r="U19"/>
  <c r="U18"/>
  <c r="V18" s="1"/>
  <c r="U17"/>
  <c r="U16"/>
  <c r="U15"/>
  <c r="U14"/>
  <c r="V14" s="1"/>
  <c r="U13"/>
  <c r="U12"/>
  <c r="I14"/>
  <c r="J14" s="1"/>
  <c r="I15"/>
  <c r="J15" s="1"/>
  <c r="I16"/>
  <c r="J16" s="1"/>
  <c r="I17"/>
  <c r="J17" s="1"/>
  <c r="I18"/>
  <c r="J18" s="1"/>
  <c r="I19"/>
  <c r="J19" s="1"/>
  <c r="I20"/>
  <c r="J20" s="1"/>
  <c r="I21"/>
  <c r="J21" s="1"/>
  <c r="I22"/>
  <c r="J22" s="1"/>
  <c r="I23"/>
  <c r="J23" s="1"/>
  <c r="I24"/>
  <c r="J24" s="1"/>
  <c r="I25"/>
  <c r="J25" s="1"/>
  <c r="I26"/>
  <c r="J26" s="1"/>
  <c r="I27"/>
  <c r="J27" s="1"/>
  <c r="I28"/>
  <c r="J28" s="1"/>
  <c r="I29"/>
  <c r="J29" s="1"/>
  <c r="I30"/>
  <c r="J30" s="1"/>
  <c r="I31"/>
  <c r="J31" s="1"/>
  <c r="I32"/>
  <c r="J32" s="1"/>
  <c r="I33"/>
  <c r="J33" s="1"/>
  <c r="I34"/>
  <c r="J34" s="1"/>
  <c r="I35"/>
  <c r="J35" s="1"/>
  <c r="I36"/>
  <c r="J36" s="1"/>
  <c r="I13"/>
  <c r="J13" s="1"/>
  <c r="I12"/>
  <c r="U38" l="1"/>
  <c r="I38"/>
  <c r="R33"/>
  <c r="N33"/>
  <c r="R29"/>
  <c r="N29"/>
  <c r="R17"/>
  <c r="N17"/>
  <c r="R34"/>
  <c r="S34" s="1"/>
  <c r="N34"/>
  <c r="N30"/>
  <c r="R30"/>
  <c r="S30" s="1"/>
  <c r="R26"/>
  <c r="S26" s="1"/>
  <c r="N26"/>
  <c r="R22"/>
  <c r="S22" s="1"/>
  <c r="N22"/>
  <c r="R18"/>
  <c r="S18" s="1"/>
  <c r="N18"/>
  <c r="N14"/>
  <c r="R14"/>
  <c r="S14" s="1"/>
  <c r="R13"/>
  <c r="S13" s="1"/>
  <c r="N13"/>
  <c r="R25"/>
  <c r="N25"/>
  <c r="R21"/>
  <c r="N21"/>
  <c r="N31"/>
  <c r="R31"/>
  <c r="R23"/>
  <c r="N23"/>
  <c r="R19"/>
  <c r="N19"/>
  <c r="N15"/>
  <c r="R15"/>
  <c r="R35"/>
  <c r="N35"/>
  <c r="N27"/>
  <c r="R27"/>
  <c r="N36"/>
  <c r="R36"/>
  <c r="R32"/>
  <c r="N32"/>
  <c r="N28"/>
  <c r="R28"/>
  <c r="N24"/>
  <c r="R24"/>
  <c r="N20"/>
  <c r="R20"/>
  <c r="R16"/>
  <c r="N16"/>
  <c r="V12"/>
  <c r="V33"/>
  <c r="W33" s="1"/>
  <c r="Y33" s="1"/>
  <c r="V27"/>
  <c r="W27" s="1"/>
  <c r="Y27" s="1"/>
  <c r="V23"/>
  <c r="W23" s="1"/>
  <c r="Y23" s="1"/>
  <c r="V19"/>
  <c r="W19" s="1"/>
  <c r="Y19" s="1"/>
  <c r="V15"/>
  <c r="W15" s="1"/>
  <c r="Y15" s="1"/>
  <c r="V31"/>
  <c r="W31" s="1"/>
  <c r="Y31" s="1"/>
  <c r="W34"/>
  <c r="Y34" s="1"/>
  <c r="W30"/>
  <c r="Y30" s="1"/>
  <c r="W26"/>
  <c r="Y26" s="1"/>
  <c r="W22"/>
  <c r="Y22" s="1"/>
  <c r="W18"/>
  <c r="Y18" s="1"/>
  <c r="W14"/>
  <c r="Y14" s="1"/>
  <c r="V29"/>
  <c r="W29" s="1"/>
  <c r="Y29" s="1"/>
  <c r="V24"/>
  <c r="W24" s="1"/>
  <c r="Y24" s="1"/>
  <c r="V20"/>
  <c r="W20" s="1"/>
  <c r="Y20" s="1"/>
  <c r="V16"/>
  <c r="W16" s="1"/>
  <c r="Y16" s="1"/>
  <c r="V28"/>
  <c r="W28" s="1"/>
  <c r="Y28" s="1"/>
  <c r="W35"/>
  <c r="Y35" s="1"/>
  <c r="J12"/>
  <c r="V25"/>
  <c r="W25" s="1"/>
  <c r="Y25" s="1"/>
  <c r="V21"/>
  <c r="W21" s="1"/>
  <c r="Y21" s="1"/>
  <c r="V17"/>
  <c r="W17" s="1"/>
  <c r="Y17" s="1"/>
  <c r="V13"/>
  <c r="W13" s="1"/>
  <c r="Y13" s="1"/>
  <c r="W36"/>
  <c r="Y36" s="1"/>
  <c r="W32"/>
  <c r="Y32" s="1"/>
  <c r="W12"/>
  <c r="Y12" s="1"/>
  <c r="T30"/>
  <c r="T26"/>
  <c r="T22"/>
  <c r="T14"/>
  <c r="T13"/>
  <c r="V38" l="1"/>
  <c r="T18"/>
  <c r="T34"/>
  <c r="O16"/>
  <c r="P16" s="1"/>
  <c r="S24"/>
  <c r="T24" s="1"/>
  <c r="O32"/>
  <c r="P32" s="1"/>
  <c r="S27"/>
  <c r="T27" s="1"/>
  <c r="S15"/>
  <c r="T15" s="1"/>
  <c r="O23"/>
  <c r="P23" s="1"/>
  <c r="O21"/>
  <c r="P21" s="1"/>
  <c r="O13"/>
  <c r="P13" s="1"/>
  <c r="Z13" s="1"/>
  <c r="O14"/>
  <c r="P14" s="1"/>
  <c r="Z14" s="1"/>
  <c r="O30"/>
  <c r="P30" s="1"/>
  <c r="Z30" s="1"/>
  <c r="S17"/>
  <c r="T17" s="1"/>
  <c r="S33"/>
  <c r="T33" s="1"/>
  <c r="P20"/>
  <c r="O20"/>
  <c r="O28"/>
  <c r="P28" s="1"/>
  <c r="P36"/>
  <c r="O36"/>
  <c r="T35"/>
  <c r="S35"/>
  <c r="T19"/>
  <c r="S19"/>
  <c r="P31"/>
  <c r="O31"/>
  <c r="T25"/>
  <c r="S25"/>
  <c r="P22"/>
  <c r="Z22" s="1"/>
  <c r="O22"/>
  <c r="K22" s="1"/>
  <c r="L22" s="1"/>
  <c r="P17"/>
  <c r="O17"/>
  <c r="P33"/>
  <c r="O33"/>
  <c r="W38"/>
  <c r="K30"/>
  <c r="L30" s="1"/>
  <c r="R12"/>
  <c r="N12"/>
  <c r="J38"/>
  <c r="S20"/>
  <c r="T20" s="1"/>
  <c r="S28"/>
  <c r="T28" s="1"/>
  <c r="S36"/>
  <c r="T36" s="1"/>
  <c r="O35"/>
  <c r="P35" s="1"/>
  <c r="Z35" s="1"/>
  <c r="P19"/>
  <c r="O19"/>
  <c r="S31"/>
  <c r="K31" s="1"/>
  <c r="L31" s="1"/>
  <c r="O25"/>
  <c r="P25" s="1"/>
  <c r="S29"/>
  <c r="T29" s="1"/>
  <c r="S16"/>
  <c r="T16" s="1"/>
  <c r="O24"/>
  <c r="K24" s="1"/>
  <c r="L24" s="1"/>
  <c r="S32"/>
  <c r="T32" s="1"/>
  <c r="O27"/>
  <c r="P27" s="1"/>
  <c r="Z27" s="1"/>
  <c r="O15"/>
  <c r="P15" s="1"/>
  <c r="S23"/>
  <c r="K23" s="1"/>
  <c r="L23" s="1"/>
  <c r="S21"/>
  <c r="T21" s="1"/>
  <c r="O18"/>
  <c r="P18" s="1"/>
  <c r="Z18" s="1"/>
  <c r="O26"/>
  <c r="P26" s="1"/>
  <c r="Z26" s="1"/>
  <c r="O34"/>
  <c r="K34" s="1"/>
  <c r="L34" s="1"/>
  <c r="O29"/>
  <c r="K13"/>
  <c r="L13" s="1"/>
  <c r="K14" l="1"/>
  <c r="L14" s="1"/>
  <c r="Z25"/>
  <c r="K17"/>
  <c r="L17" s="1"/>
  <c r="K25"/>
  <c r="L25" s="1"/>
  <c r="Z33"/>
  <c r="K29"/>
  <c r="L29" s="1"/>
  <c r="T31"/>
  <c r="Z31" s="1"/>
  <c r="K33"/>
  <c r="L33" s="1"/>
  <c r="Z17"/>
  <c r="Z19"/>
  <c r="Z16"/>
  <c r="Z21"/>
  <c r="Z32"/>
  <c r="Z15"/>
  <c r="S12"/>
  <c r="S38" s="1"/>
  <c r="T37" s="1"/>
  <c r="R38"/>
  <c r="K18"/>
  <c r="L18" s="1"/>
  <c r="P34"/>
  <c r="Z34" s="1"/>
  <c r="T23"/>
  <c r="Z23" s="1"/>
  <c r="P24"/>
  <c r="Z24" s="1"/>
  <c r="K26"/>
  <c r="L26" s="1"/>
  <c r="K35"/>
  <c r="L35" s="1"/>
  <c r="K28"/>
  <c r="L28" s="1"/>
  <c r="O12"/>
  <c r="P12" s="1"/>
  <c r="N38"/>
  <c r="Z36"/>
  <c r="Z20"/>
  <c r="K21"/>
  <c r="L21" s="1"/>
  <c r="K15"/>
  <c r="L15" s="1"/>
  <c r="K32"/>
  <c r="L32" s="1"/>
  <c r="K16"/>
  <c r="L16" s="1"/>
  <c r="P29"/>
  <c r="Z29" s="1"/>
  <c r="K19"/>
  <c r="L19" s="1"/>
  <c r="K36"/>
  <c r="L36" s="1"/>
  <c r="K20"/>
  <c r="L20" s="1"/>
  <c r="Z28"/>
  <c r="K27"/>
  <c r="L27" s="1"/>
  <c r="X38"/>
  <c r="Y38" s="1"/>
  <c r="U40"/>
  <c r="AF38"/>
  <c r="AE38"/>
  <c r="AD38"/>
  <c r="AQ37"/>
  <c r="AQ36"/>
  <c r="AP36"/>
  <c r="AL36"/>
  <c r="AM36" s="1"/>
  <c r="AK36"/>
  <c r="AG36"/>
  <c r="AQ35"/>
  <c r="AP35"/>
  <c r="AL35"/>
  <c r="AM35" s="1"/>
  <c r="AN35" s="1"/>
  <c r="AK35"/>
  <c r="AG35"/>
  <c r="AH35" s="1"/>
  <c r="AJ35" s="1"/>
  <c r="AQ34"/>
  <c r="AP34"/>
  <c r="AL34"/>
  <c r="AM34" s="1"/>
  <c r="AK34"/>
  <c r="AG34"/>
  <c r="AQ33"/>
  <c r="AP33"/>
  <c r="AL33"/>
  <c r="AM33" s="1"/>
  <c r="AK33"/>
  <c r="AG33"/>
  <c r="AQ32"/>
  <c r="AP32"/>
  <c r="AL32"/>
  <c r="AK32"/>
  <c r="AG32"/>
  <c r="AQ31"/>
  <c r="AP31"/>
  <c r="AL31"/>
  <c r="AK31"/>
  <c r="AG31"/>
  <c r="AH31" s="1"/>
  <c r="AQ30"/>
  <c r="AP30"/>
  <c r="AL30"/>
  <c r="AK30"/>
  <c r="AG30"/>
  <c r="AQ29"/>
  <c r="AP29"/>
  <c r="AL29"/>
  <c r="AK29"/>
  <c r="AG29"/>
  <c r="AQ28"/>
  <c r="AP28"/>
  <c r="AL28"/>
  <c r="AK28"/>
  <c r="AG28"/>
  <c r="AQ27"/>
  <c r="AP27"/>
  <c r="AL27"/>
  <c r="AK27"/>
  <c r="AG27"/>
  <c r="AQ26"/>
  <c r="AP26"/>
  <c r="AL26"/>
  <c r="AK26"/>
  <c r="AG26"/>
  <c r="AH26" s="1"/>
  <c r="AQ25"/>
  <c r="AP25"/>
  <c r="AL25"/>
  <c r="AK25"/>
  <c r="AG25"/>
  <c r="AH25" s="1"/>
  <c r="AQ24"/>
  <c r="AP24"/>
  <c r="AL24"/>
  <c r="AM24" s="1"/>
  <c r="AK24"/>
  <c r="AG24"/>
  <c r="AQ23"/>
  <c r="AP23"/>
  <c r="AL23"/>
  <c r="AM23" s="1"/>
  <c r="AO23" s="1"/>
  <c r="AK23"/>
  <c r="AG23"/>
  <c r="AQ22"/>
  <c r="AP22"/>
  <c r="AL22"/>
  <c r="AM22" s="1"/>
  <c r="AK22"/>
  <c r="AG22"/>
  <c r="AQ21"/>
  <c r="AP21"/>
  <c r="AL21"/>
  <c r="AM21" s="1"/>
  <c r="AK21"/>
  <c r="AG21"/>
  <c r="AQ20"/>
  <c r="AP20"/>
  <c r="AL20"/>
  <c r="AM20" s="1"/>
  <c r="AK20"/>
  <c r="AG20"/>
  <c r="AH20" s="1"/>
  <c r="AQ19"/>
  <c r="AP19"/>
  <c r="AL19"/>
  <c r="AM19" s="1"/>
  <c r="AO19" s="1"/>
  <c r="AK19"/>
  <c r="AG19"/>
  <c r="AQ18"/>
  <c r="AP18"/>
  <c r="AL18"/>
  <c r="AM18" s="1"/>
  <c r="AK18"/>
  <c r="AG18"/>
  <c r="AH18" s="1"/>
  <c r="AQ17"/>
  <c r="AP17"/>
  <c r="AL17"/>
  <c r="AM17" s="1"/>
  <c r="AK17"/>
  <c r="AG17"/>
  <c r="AQ16"/>
  <c r="AP16"/>
  <c r="AL16"/>
  <c r="AK16"/>
  <c r="AG16"/>
  <c r="AQ15"/>
  <c r="AP15"/>
  <c r="AL15"/>
  <c r="AK15"/>
  <c r="AG15"/>
  <c r="AQ14"/>
  <c r="AP14"/>
  <c r="AL14"/>
  <c r="AK14"/>
  <c r="AG14"/>
  <c r="AH14" s="1"/>
  <c r="AQ13"/>
  <c r="AP13"/>
  <c r="AL13"/>
  <c r="AK13"/>
  <c r="AG13"/>
  <c r="AH13" s="1"/>
  <c r="AQ12"/>
  <c r="AP12"/>
  <c r="AL12"/>
  <c r="AM12" s="1"/>
  <c r="AK12"/>
  <c r="AG12"/>
  <c r="K12" l="1"/>
  <c r="O38"/>
  <c r="P37" s="1"/>
  <c r="Z37" s="1"/>
  <c r="T12"/>
  <c r="T38" s="1"/>
  <c r="AP38"/>
  <c r="AQ38"/>
  <c r="AN17"/>
  <c r="AO17"/>
  <c r="AM28"/>
  <c r="AO28" s="1"/>
  <c r="AH34"/>
  <c r="AI34" s="1"/>
  <c r="AM31"/>
  <c r="AN31" s="1"/>
  <c r="AH21"/>
  <c r="AI21" s="1"/>
  <c r="AM30"/>
  <c r="AO30" s="1"/>
  <c r="AH32"/>
  <c r="AI32" s="1"/>
  <c r="AM13"/>
  <c r="AO13" s="1"/>
  <c r="AM14"/>
  <c r="AN14" s="1"/>
  <c r="AM26"/>
  <c r="AN26" s="1"/>
  <c r="AI13"/>
  <c r="AJ13"/>
  <c r="AJ14"/>
  <c r="AI14"/>
  <c r="AH12"/>
  <c r="AL38"/>
  <c r="AH15"/>
  <c r="AO18"/>
  <c r="AN18"/>
  <c r="AJ20"/>
  <c r="AI20"/>
  <c r="AH27"/>
  <c r="AJ18"/>
  <c r="AI18"/>
  <c r="AO21"/>
  <c r="AN21"/>
  <c r="AN12"/>
  <c r="AH16"/>
  <c r="AM27"/>
  <c r="AM16"/>
  <c r="AG38"/>
  <c r="AG40" s="1"/>
  <c r="AK38"/>
  <c r="AO12"/>
  <c r="AM15"/>
  <c r="AN19"/>
  <c r="AO20"/>
  <c r="AN20"/>
  <c r="AO22"/>
  <c r="AN22"/>
  <c r="AO24"/>
  <c r="AN24"/>
  <c r="AJ25"/>
  <c r="AI25"/>
  <c r="AH17"/>
  <c r="AH19"/>
  <c r="AI26"/>
  <c r="AJ26"/>
  <c r="AM25"/>
  <c r="AN30"/>
  <c r="AH23"/>
  <c r="AO26"/>
  <c r="AM29"/>
  <c r="AH29"/>
  <c r="AH22"/>
  <c r="AN23"/>
  <c r="AH24"/>
  <c r="AH28"/>
  <c r="AN28"/>
  <c r="AI31"/>
  <c r="AO33"/>
  <c r="AN33"/>
  <c r="AN34"/>
  <c r="AO34"/>
  <c r="AH30"/>
  <c r="AJ31"/>
  <c r="AM32"/>
  <c r="AJ34"/>
  <c r="AN36"/>
  <c r="AO36"/>
  <c r="AI35"/>
  <c r="AO35"/>
  <c r="AH33"/>
  <c r="AH36"/>
  <c r="AJ21" l="1"/>
  <c r="P38"/>
  <c r="AO31"/>
  <c r="Z12"/>
  <c r="Z38" s="1"/>
  <c r="L12"/>
  <c r="L38" s="1"/>
  <c r="K38"/>
  <c r="L37" s="1"/>
  <c r="AJ32"/>
  <c r="AO14"/>
  <c r="AN13"/>
  <c r="AM38"/>
  <c r="AI15"/>
  <c r="AJ15"/>
  <c r="AJ30"/>
  <c r="AI30"/>
  <c r="AJ36"/>
  <c r="AI36"/>
  <c r="AI28"/>
  <c r="AJ28"/>
  <c r="AJ17"/>
  <c r="AI17"/>
  <c r="AO16"/>
  <c r="AN16"/>
  <c r="AI16"/>
  <c r="AJ16"/>
  <c r="AJ29"/>
  <c r="AI29"/>
  <c r="AN25"/>
  <c r="AO25"/>
  <c r="AN27"/>
  <c r="AO27"/>
  <c r="AJ33"/>
  <c r="AI33"/>
  <c r="AN32"/>
  <c r="AO32"/>
  <c r="AJ24"/>
  <c r="AI24"/>
  <c r="AI23"/>
  <c r="AJ23"/>
  <c r="AJ19"/>
  <c r="AI19"/>
  <c r="AO15"/>
  <c r="AN15"/>
  <c r="AH38"/>
  <c r="AJ12"/>
  <c r="AI12"/>
  <c r="AJ22"/>
  <c r="AI22"/>
  <c r="AO29"/>
  <c r="AN29"/>
  <c r="AJ27"/>
  <c r="AI27"/>
  <c r="AO38" l="1"/>
  <c r="AP43" s="1"/>
  <c r="AN38"/>
  <c r="AP42" s="1"/>
  <c r="AI38"/>
  <c r="R39"/>
  <c r="AO41"/>
  <c r="N40"/>
  <c r="AJ38"/>
  <c r="AP41" l="1"/>
  <c r="AJ42"/>
  <c r="AH40"/>
  <c r="AR31"/>
  <c r="AJ43"/>
  <c r="AI42" s="1"/>
  <c r="AI41"/>
  <c r="Z53"/>
  <c r="AR24"/>
  <c r="AR35"/>
  <c r="Z44"/>
  <c r="AR15"/>
  <c r="Z50"/>
  <c r="AR21"/>
  <c r="Z52"/>
  <c r="AR23"/>
  <c r="AR32"/>
  <c r="Z48" l="1"/>
  <c r="AR19"/>
  <c r="Z43"/>
  <c r="AR14"/>
  <c r="AR33"/>
  <c r="Z55"/>
  <c r="AR26"/>
  <c r="AR28"/>
  <c r="Z49"/>
  <c r="AR20"/>
  <c r="AJ41"/>
  <c r="Z46"/>
  <c r="AR17"/>
  <c r="AR34"/>
  <c r="Z56"/>
  <c r="AR27"/>
  <c r="AR30"/>
  <c r="Z45"/>
  <c r="AR16"/>
  <c r="O42" l="1"/>
  <c r="Z42"/>
  <c r="AR13"/>
  <c r="Z47"/>
  <c r="AR18"/>
  <c r="Z54"/>
  <c r="AR25"/>
  <c r="Z41"/>
  <c r="AR12"/>
  <c r="AR29"/>
  <c r="Z51"/>
  <c r="AR22"/>
  <c r="AR37"/>
  <c r="AR36"/>
  <c r="AR38" l="1"/>
  <c r="O43"/>
  <c r="O41" s="1"/>
</calcChain>
</file>

<file path=xl/sharedStrings.xml><?xml version="1.0" encoding="utf-8"?>
<sst xmlns="http://schemas.openxmlformats.org/spreadsheetml/2006/main" count="138" uniqueCount="102">
  <si>
    <t>приложение к письму министерства образования от 10.08.2011 г. № 209</t>
  </si>
  <si>
    <t>наименование  МО</t>
  </si>
  <si>
    <t>Прогнозная численность лиц из числа детей-сирот и детей, оставшихся без попечения родителей, состоящих на учете в качестве нуждающихся в жилых помещениях на 2019-2021  годы, чел.</t>
  </si>
  <si>
    <t xml:space="preserve"> в том числе  на судебные решения</t>
  </si>
  <si>
    <t xml:space="preserve"> Рыночная стоимость 1 кв. м. на вторичном рынке жилья, рублей</t>
  </si>
  <si>
    <t>Социальная норма общей площади жилья на 1 чел., кв. м.</t>
  </si>
  <si>
    <t>Общая потребность средств на приобретение жилья всем лицам из числа детей-сирот и детей, оставшихся без попечения родителей (тыс. руб)</t>
  </si>
  <si>
    <t xml:space="preserve"> в т.ч на судебные решения</t>
  </si>
  <si>
    <t xml:space="preserve"> на 2020 год</t>
  </si>
  <si>
    <t>новый</t>
  </si>
  <si>
    <t xml:space="preserve">Расчетная стоимость 1 жилого помещения исходя из рыночной стоимости 1 кв.м. на вторичном рынке жилья, тыс. рублей </t>
  </si>
  <si>
    <t>Всего предусмотрено за счет средств  областного  и федерального бюджета, тыс. рублей</t>
  </si>
  <si>
    <t>в т.ч. нераспеделенный остаток в  сумме 5 %</t>
  </si>
  <si>
    <t xml:space="preserve"> в том числе</t>
  </si>
  <si>
    <t xml:space="preserve"> по договорам специализированных жилых помещений за счет средств областного бюджета</t>
  </si>
  <si>
    <t>ИТОГО  по договорам специализированных жилых помещений за счет средств областного  и федерального бюджета</t>
  </si>
  <si>
    <t>в том числе</t>
  </si>
  <si>
    <t>Распределение остатка предусмотренных средств на 2020 год в размере 106604,11111 тыс.руб. пропорционально численности нуждающихся в жилье лиц из числа сирот, тыс. руб. (106604,11111 тыс.руб.-28532,2 тыс.руб)</t>
  </si>
  <si>
    <t>Распределение остатка предусмотренных средств на 2021 год в размере 106604,11111 тыс.руб. пропорционально численности нуждающихся в жилье лиц из числа сирот, тыс. руб. (106604,1111 тыс.руб.-28532,2 тыс.руб)</t>
  </si>
  <si>
    <t>требуемый процент софинансирования за счет средств ОБ</t>
  </si>
  <si>
    <t xml:space="preserve"> по договорам специализированных жилых помещений за счет средств областного бюджета в рамках соглашения с Минборнауки РФ</t>
  </si>
  <si>
    <t xml:space="preserve"> по договорам специализированных жилых помещений за счет средств областного бюджета в рамках соглашения с Минборнауки РФ </t>
  </si>
  <si>
    <t>требуемый процент софинансирования за счет средств ФБ</t>
  </si>
  <si>
    <t xml:space="preserve"> по договорам специализированных жилых помещений за счет средств федерального бюджета</t>
  </si>
  <si>
    <t>отклон</t>
  </si>
  <si>
    <t>гр.1</t>
  </si>
  <si>
    <t>гр.2</t>
  </si>
  <si>
    <t>гр.2а</t>
  </si>
  <si>
    <t>гр.3</t>
  </si>
  <si>
    <t>гр.4</t>
  </si>
  <si>
    <t>гр.5=(гр.2 х гр.3 х гр.4)/1000</t>
  </si>
  <si>
    <t>гр.5а=(гр.2а х гр.3 х гр.4)/1000</t>
  </si>
  <si>
    <t>гр.6=(гр3 х гр4)/1000</t>
  </si>
  <si>
    <t>гр.8=гр.6 + гр.7</t>
  </si>
  <si>
    <t>гр.9=гр.13+ гр.17</t>
  </si>
  <si>
    <t>гр.10=гр.8 - гр. 9</t>
  </si>
  <si>
    <t>гр.11</t>
  </si>
  <si>
    <t>гр.12=гр.8 х гр.11</t>
  </si>
  <si>
    <t>гр.13=гр.12*0,05</t>
  </si>
  <si>
    <t>гр.14=гр.12-гр.13</t>
  </si>
  <si>
    <t>гр.15</t>
  </si>
  <si>
    <t>гр.16=гр.8 х гр.15</t>
  </si>
  <si>
    <t>гр.17=гр.16*0,05</t>
  </si>
  <si>
    <t>гр.18=гр.16-гр.17</t>
  </si>
  <si>
    <t>гр.20=гр.19*0,05</t>
  </si>
  <si>
    <t>гр.21=гр.19-гр.20</t>
  </si>
  <si>
    <t>гр.14= (106604,11111 т.р. - 28532,2 т.р.)/1581 чел х гр.2</t>
  </si>
  <si>
    <t>гр.15=гр.6 + гр.15</t>
  </si>
  <si>
    <t>гр.16=гр.15*10%</t>
  </si>
  <si>
    <t>гр.17=гр.15*90%</t>
  </si>
  <si>
    <t>гр.18=(84569,1-гр.16)/1581*гр.2</t>
  </si>
  <si>
    <t>гр.19= (106604,11111 т.р. - 28532,2 т.р.)/1581 чел х гр.2</t>
  </si>
  <si>
    <t>гр.20=гр.6 + гр.19</t>
  </si>
  <si>
    <t>гр.21=гр.20*10%</t>
  </si>
  <si>
    <t>гр.22=гр.20*90%</t>
  </si>
  <si>
    <t>гр.23=(84569,1-гр.16)/1581*гр.2</t>
  </si>
  <si>
    <t>МО "Вельский район"</t>
  </si>
  <si>
    <t>МО "Верхнетоемский район"</t>
  </si>
  <si>
    <t>МО "Вилегодский район"</t>
  </si>
  <si>
    <t xml:space="preserve"> -   </t>
  </si>
  <si>
    <t>МО "Виноградовский район"</t>
  </si>
  <si>
    <t>МО "Каргопольский район"</t>
  </si>
  <si>
    <t>МО "Коношский район"</t>
  </si>
  <si>
    <t>МО "Котласский район"</t>
  </si>
  <si>
    <t>МО "Красноборский район"</t>
  </si>
  <si>
    <t>МО "Ленский район"</t>
  </si>
  <si>
    <t>МО "Лешуконский район"</t>
  </si>
  <si>
    <t>МО "Мезенский район"</t>
  </si>
  <si>
    <t>МО "Няндомский район"</t>
  </si>
  <si>
    <t>МО "Онежский район"</t>
  </si>
  <si>
    <t>МО "Пинежский район"</t>
  </si>
  <si>
    <t>МО "Плесецкий район"</t>
  </si>
  <si>
    <t>МО "Приморский район"</t>
  </si>
  <si>
    <t>МО "Устьянский район"</t>
  </si>
  <si>
    <t>МО "Холмогорский район"</t>
  </si>
  <si>
    <t xml:space="preserve">МО "Шенкурский район" </t>
  </si>
  <si>
    <t>МО "Город Архангельск "</t>
  </si>
  <si>
    <t>МО "Северодвинск"</t>
  </si>
  <si>
    <t>МО "Котлас"</t>
  </si>
  <si>
    <t>МО "Город Новодвинск"</t>
  </si>
  <si>
    <t>МО "Город Коряжма"</t>
  </si>
  <si>
    <t>МО "Город Мирный"</t>
  </si>
  <si>
    <t>Нераспределенный остаток</t>
  </si>
  <si>
    <t>Итого муниципальные образования Архангельской области</t>
  </si>
  <si>
    <t>исп: Орехова Е.А. 20-09-69</t>
  </si>
  <si>
    <t>ОБ</t>
  </si>
  <si>
    <t>ФБ</t>
  </si>
  <si>
    <t>новое по старой</t>
  </si>
  <si>
    <t>Всего в рамках соглашения между Министерством просвещения Российской Федерации и Правительством Архангельской области на 2020 год</t>
  </si>
  <si>
    <t>Распределение остатка предусмотренных средств на 2020 год в размере 102013,44444 тыс.руб. пропорционально численности нуждающихся в жилье лиц из числа сирот, тыс. руб. (102013,44444 тыс.руб.-33631,5 тыс.руб)</t>
  </si>
  <si>
    <t>гр.7= (102013,44444 т.р. - 33631,5 т.р.)/1628 чел х гр.2</t>
  </si>
  <si>
    <t>гр.19=(263050,09442-гр.10)/1628*гр.2</t>
  </si>
  <si>
    <t>гр.22</t>
  </si>
  <si>
    <t>Расчет субвенций бюджетам муниципальных образований Архангельской области  на осуществление государственных полномочий по обеспечению детей-сирот и детей, оставшихся без попечения родителей, а также лиц из их числа жилым помещением на 2020 год</t>
  </si>
  <si>
    <t>Утверждено  по договорам специализированных жилых помещений за счет средств областного бюджета на 2020 год</t>
  </si>
  <si>
    <t>Изменения за счет остатков субвенции на 01.01.2020 (на мартовскую сессию АОСД)</t>
  </si>
  <si>
    <t>гр.22а=21+22</t>
  </si>
  <si>
    <t xml:space="preserve">Всего с учетом изменений  по договорам специализированных жилых помещений за счет средств областного бюджета </t>
  </si>
  <si>
    <t xml:space="preserve">Всего с учетом расходов по соглашению между Министерством просвещения Российской Федерации и Правительством Архангельской области </t>
  </si>
  <si>
    <t>гр.23=гр.14+гр.18+гр.21+гр.22</t>
  </si>
  <si>
    <t>к пояснительной записке</t>
  </si>
  <si>
    <t>Приложение № 22</t>
  </si>
</sst>
</file>

<file path=xl/styles.xml><?xml version="1.0" encoding="utf-8"?>
<styleSheet xmlns="http://schemas.openxmlformats.org/spreadsheetml/2006/main">
  <numFmts count="27">
    <numFmt numFmtId="43" formatCode="_-* #,##0.00\ _₽_-;\-* #,##0.00\ _₽_-;_-* &quot;-&quot;??\ _₽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_-* #,##0.0_р_._-;\-* #,##0.0_р_._-;_-* &quot;-&quot;?_р_._-;_-@_-"/>
    <numFmt numFmtId="168" formatCode="_-* #,##0.00_р_._-;\-* #,##0.00_р_._-;_-* &quot;-&quot;??_р_._-;_-@_-"/>
    <numFmt numFmtId="169" formatCode="_-* #,##0.00000_р_._-;\-* #,##0.00000_р_._-;_-* &quot;-&quot;?????_р_._-;_-@_-"/>
    <numFmt numFmtId="170" formatCode="_-* #,##0.00000_р_._-;\-* #,##0.00000_р_._-;_-* &quot;-&quot;?_р_._-;_-@_-"/>
    <numFmt numFmtId="171" formatCode="_-* #,##0.00_р_._-;\-* #,##0.00_р_._-;_-* &quot;-&quot;?_р_._-;_-@_-"/>
    <numFmt numFmtId="172" formatCode="_-* #,##0.0000_р_._-;\-* #,##0.0000_р_._-;_-* &quot;-&quot;????_р_._-;_-@_-"/>
    <numFmt numFmtId="173" formatCode="_(* #,##0_);_(* \(#,##0\);_(* &quot;-&quot;??_);_(@_)"/>
    <numFmt numFmtId="174" formatCode="_(* #,##0.000000_);_(* \(#,##0.000000\);_(* &quot;-&quot;??_);_(@_)"/>
    <numFmt numFmtId="175" formatCode="_-* #,##0.0000000\ _₽_-;\-* #,##0.0000000\ _₽_-;_-* &quot;-&quot;???????\ _₽_-;_-@_-"/>
    <numFmt numFmtId="176" formatCode="_-* #,##0.000000\ _₽_-;\-* #,##0.000000\ _₽_-;_-* &quot;-&quot;??????\ _₽_-;_-@_-"/>
    <numFmt numFmtId="177" formatCode="_-* #,##0.000000_р_._-;\-* #,##0.000000_р_._-;_-* &quot;-&quot;?_р_._-;_-@_-"/>
    <numFmt numFmtId="178" formatCode="_-* #,##0.00000\ _₽_-;\-* #,##0.00000\ _₽_-;_-* &quot;-&quot;?????\ _₽_-;_-@_-"/>
    <numFmt numFmtId="179" formatCode="_-* #,##0.000000\ _₽_-;\-* #,##0.000000\ _₽_-;_-* &quot;-&quot;??\ _₽_-;_-@_-"/>
    <numFmt numFmtId="180" formatCode="_-* #,##0.0\ _₽_-;\-* #,##0.0\ _₽_-;_-* &quot;-&quot;?\ _₽_-;_-@_-"/>
    <numFmt numFmtId="181" formatCode="#,##0.000000"/>
    <numFmt numFmtId="182" formatCode="_-* #,##0.000000_р_._-;\-* #,##0.000000_р_._-;_-* &quot;-&quot;??????_р_._-;_-@_-"/>
    <numFmt numFmtId="183" formatCode="_-* #,##0.000000_р_._-;\-* #,##0.000000_р_._-;_-* &quot;-&quot;?????_р_._-;_-@_-"/>
    <numFmt numFmtId="184" formatCode="#,##0.00000"/>
    <numFmt numFmtId="185" formatCode="_-* #,##0.000000_р_._-;\-* #,##0.000000_р_._-;_-* &quot;-&quot;??_р_._-;_-@_-"/>
    <numFmt numFmtId="186" formatCode="#,##0.0000000"/>
    <numFmt numFmtId="187" formatCode="_-* #,##0.00000000\ _₽_-;\-* #,##0.00000000\ _₽_-;_-* &quot;-&quot;????????\ _₽_-;_-@_-"/>
    <numFmt numFmtId="188" formatCode="_-* #,##0.00000000_р_._-;\-* #,##0.00000000_р_._-;_-* &quot;-&quot;?_р_._-;_-@_-"/>
    <numFmt numFmtId="189" formatCode="_-* #,##0.0000000_р_._-;\-* #,##0.0000000_р_._-;_-* &quot;-&quot;?_р_._-;_-@_-"/>
  </numFmts>
  <fonts count="17">
    <font>
      <sz val="10"/>
      <name val="Arial"/>
    </font>
    <font>
      <sz val="10"/>
      <color indexed="9"/>
      <name val="Arial"/>
      <family val="2"/>
      <charset val="204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Times New Roman"/>
      <family val="1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9"/>
      <name val="Arial Cyr"/>
      <charset val="204"/>
    </font>
    <font>
      <b/>
      <sz val="12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4"/>
      <name val="Arial"/>
      <family val="2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20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Border="1"/>
    <xf numFmtId="0" fontId="2" fillId="0" borderId="0" xfId="0" applyFont="1" applyAlignment="1">
      <alignment vertical="center" wrapText="1"/>
    </xf>
    <xf numFmtId="0" fontId="0" fillId="2" borderId="0" xfId="0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3" fontId="7" fillId="0" borderId="1" xfId="0" applyNumberFormat="1" applyFont="1" applyFill="1" applyBorder="1" applyAlignment="1">
      <alignment horizontal="right" vertical="center" wrapText="1"/>
    </xf>
    <xf numFmtId="43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1" xfId="1" applyNumberFormat="1" applyFont="1" applyBorder="1" applyAlignment="1">
      <alignment horizontal="center"/>
    </xf>
    <xf numFmtId="165" fontId="8" fillId="2" borderId="1" xfId="1" applyNumberFormat="1" applyFont="1" applyFill="1" applyBorder="1" applyAlignment="1">
      <alignment horizontal="center"/>
    </xf>
    <xf numFmtId="166" fontId="8" fillId="2" borderId="1" xfId="0" applyNumberFormat="1" applyFont="1" applyFill="1" applyBorder="1" applyAlignment="1">
      <alignment horizontal="center"/>
    </xf>
    <xf numFmtId="167" fontId="8" fillId="2" borderId="1" xfId="0" applyNumberFormat="1" applyFont="1" applyFill="1" applyBorder="1" applyAlignment="1">
      <alignment horizontal="center"/>
    </xf>
    <xf numFmtId="167" fontId="9" fillId="2" borderId="1" xfId="0" applyNumberFormat="1" applyFont="1" applyFill="1" applyBorder="1" applyAlignment="1">
      <alignment horizontal="center"/>
    </xf>
    <xf numFmtId="167" fontId="8" fillId="2" borderId="1" xfId="1" applyNumberFormat="1" applyFont="1" applyFill="1" applyBorder="1" applyAlignment="1">
      <alignment horizontal="center"/>
    </xf>
    <xf numFmtId="167" fontId="8" fillId="3" borderId="1" xfId="1" applyNumberFormat="1" applyFont="1" applyFill="1" applyBorder="1" applyAlignment="1">
      <alignment horizontal="center"/>
    </xf>
    <xf numFmtId="167" fontId="0" fillId="0" borderId="0" xfId="0" applyNumberFormat="1"/>
    <xf numFmtId="168" fontId="0" fillId="0" borderId="0" xfId="0" applyNumberFormat="1"/>
    <xf numFmtId="3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/>
    <xf numFmtId="43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0" fillId="2" borderId="0" xfId="0" applyFill="1"/>
    <xf numFmtId="166" fontId="8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173" fontId="11" fillId="0" borderId="1" xfId="1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5" fontId="11" fillId="0" borderId="1" xfId="1" applyNumberFormat="1" applyFont="1" applyBorder="1" applyAlignment="1">
      <alignment horizontal="center"/>
    </xf>
    <xf numFmtId="164" fontId="11" fillId="2" borderId="1" xfId="1" applyNumberFormat="1" applyFont="1" applyFill="1" applyBorder="1" applyAlignment="1">
      <alignment horizontal="center"/>
    </xf>
    <xf numFmtId="174" fontId="11" fillId="2" borderId="1" xfId="1" applyNumberFormat="1" applyFont="1" applyFill="1" applyBorder="1" applyAlignment="1">
      <alignment horizontal="center"/>
    </xf>
    <xf numFmtId="165" fontId="11" fillId="2" borderId="1" xfId="1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left" vertical="center" wrapText="1"/>
    </xf>
    <xf numFmtId="173" fontId="11" fillId="0" borderId="0" xfId="1" applyNumberFormat="1" applyFont="1" applyBorder="1" applyAlignment="1">
      <alignment horizontal="center"/>
    </xf>
    <xf numFmtId="166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65" fontId="11" fillId="0" borderId="0" xfId="1" applyNumberFormat="1" applyFont="1" applyBorder="1" applyAlignment="1">
      <alignment horizontal="center"/>
    </xf>
    <xf numFmtId="164" fontId="11" fillId="2" borderId="0" xfId="1" applyNumberFormat="1" applyFont="1" applyFill="1" applyBorder="1" applyAlignment="1">
      <alignment horizontal="center"/>
    </xf>
    <xf numFmtId="174" fontId="11" fillId="2" borderId="0" xfId="1" applyNumberFormat="1" applyFont="1" applyFill="1" applyBorder="1" applyAlignment="1">
      <alignment horizontal="center"/>
    </xf>
    <xf numFmtId="165" fontId="11" fillId="2" borderId="0" xfId="1" applyNumberFormat="1" applyFont="1" applyFill="1" applyBorder="1" applyAlignment="1">
      <alignment horizontal="center"/>
    </xf>
    <xf numFmtId="165" fontId="12" fillId="2" borderId="0" xfId="1" applyNumberFormat="1" applyFont="1" applyFill="1" applyBorder="1" applyAlignment="1">
      <alignment horizontal="center"/>
    </xf>
    <xf numFmtId="175" fontId="0" fillId="0" borderId="0" xfId="0" applyNumberFormat="1"/>
    <xf numFmtId="176" fontId="0" fillId="0" borderId="0" xfId="0" applyNumberFormat="1"/>
    <xf numFmtId="177" fontId="0" fillId="0" borderId="0" xfId="0" applyNumberFormat="1"/>
    <xf numFmtId="167" fontId="13" fillId="2" borderId="0" xfId="0" applyNumberFormat="1" applyFont="1" applyFill="1"/>
    <xf numFmtId="170" fontId="13" fillId="2" borderId="0" xfId="0" applyNumberFormat="1" applyFont="1" applyFill="1"/>
    <xf numFmtId="167" fontId="14" fillId="2" borderId="0" xfId="0" applyNumberFormat="1" applyFont="1" applyFill="1"/>
    <xf numFmtId="176" fontId="0" fillId="2" borderId="0" xfId="0" applyNumberFormat="1" applyFill="1"/>
    <xf numFmtId="178" fontId="0" fillId="0" borderId="0" xfId="0" applyNumberFormat="1"/>
    <xf numFmtId="179" fontId="0" fillId="0" borderId="0" xfId="0" applyNumberFormat="1"/>
    <xf numFmtId="167" fontId="14" fillId="0" borderId="0" xfId="0" applyNumberFormat="1" applyFont="1"/>
    <xf numFmtId="167" fontId="0" fillId="4" borderId="0" xfId="0" applyNumberFormat="1" applyFill="1"/>
    <xf numFmtId="180" fontId="15" fillId="0" borderId="0" xfId="0" applyNumberFormat="1" applyFont="1"/>
    <xf numFmtId="174" fontId="0" fillId="5" borderId="0" xfId="1" applyNumberFormat="1" applyFont="1" applyFill="1"/>
    <xf numFmtId="181" fontId="0" fillId="0" borderId="0" xfId="0" applyNumberFormat="1"/>
    <xf numFmtId="182" fontId="0" fillId="0" borderId="0" xfId="0" applyNumberFormat="1"/>
    <xf numFmtId="169" fontId="0" fillId="5" borderId="1" xfId="0" applyNumberFormat="1" applyFill="1" applyBorder="1"/>
    <xf numFmtId="165" fontId="0" fillId="2" borderId="0" xfId="1" applyNumberFormat="1" applyFont="1" applyFill="1"/>
    <xf numFmtId="183" fontId="0" fillId="5" borderId="1" xfId="0" applyNumberFormat="1" applyFill="1" applyBorder="1"/>
    <xf numFmtId="169" fontId="0" fillId="5" borderId="0" xfId="0" applyNumberFormat="1" applyFill="1" applyBorder="1"/>
    <xf numFmtId="184" fontId="0" fillId="0" borderId="0" xfId="0" applyNumberFormat="1"/>
    <xf numFmtId="0" fontId="0" fillId="0" borderId="0" xfId="0" applyNumberFormat="1"/>
    <xf numFmtId="185" fontId="0" fillId="5" borderId="1" xfId="0" applyNumberFormat="1" applyFill="1" applyBorder="1"/>
    <xf numFmtId="185" fontId="0" fillId="5" borderId="0" xfId="0" applyNumberFormat="1" applyFill="1" applyBorder="1"/>
    <xf numFmtId="177" fontId="0" fillId="5" borderId="1" xfId="0" applyNumberFormat="1" applyFill="1" applyBorder="1"/>
    <xf numFmtId="177" fontId="0" fillId="5" borderId="0" xfId="0" applyNumberFormat="1" applyFill="1" applyBorder="1"/>
    <xf numFmtId="165" fontId="8" fillId="0" borderId="0" xfId="1" applyNumberFormat="1" applyFont="1" applyBorder="1" applyAlignment="1">
      <alignment horizontal="center"/>
    </xf>
    <xf numFmtId="2" fontId="0" fillId="0" borderId="0" xfId="0" applyNumberFormat="1"/>
    <xf numFmtId="186" fontId="0" fillId="0" borderId="0" xfId="0" applyNumberFormat="1"/>
    <xf numFmtId="187" fontId="0" fillId="0" borderId="0" xfId="0" applyNumberFormat="1"/>
    <xf numFmtId="172" fontId="0" fillId="0" borderId="0" xfId="0" applyNumberFormat="1"/>
    <xf numFmtId="9" fontId="0" fillId="0" borderId="0" xfId="0" applyNumberFormat="1"/>
    <xf numFmtId="174" fontId="0" fillId="0" borderId="0" xfId="1" applyNumberFormat="1" applyFont="1"/>
    <xf numFmtId="188" fontId="0" fillId="0" borderId="0" xfId="0" applyNumberFormat="1"/>
    <xf numFmtId="170" fontId="0" fillId="0" borderId="0" xfId="0" applyNumberFormat="1"/>
    <xf numFmtId="171" fontId="0" fillId="0" borderId="0" xfId="0" applyNumberFormat="1"/>
    <xf numFmtId="189" fontId="0" fillId="0" borderId="0" xfId="0" applyNumberFormat="1"/>
    <xf numFmtId="167" fontId="0" fillId="3" borderId="0" xfId="0" applyNumberFormat="1" applyFill="1"/>
    <xf numFmtId="165" fontId="0" fillId="0" borderId="0" xfId="0" applyNumberFormat="1"/>
    <xf numFmtId="180" fontId="0" fillId="2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11" fillId="0" borderId="1" xfId="1" applyFont="1" applyBorder="1" applyAlignment="1">
      <alignment horizontal="center"/>
    </xf>
    <xf numFmtId="0" fontId="0" fillId="0" borderId="3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7" fontId="11" fillId="2" borderId="1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0" xfId="0" applyFont="1" applyAlignment="1">
      <alignment horizontal="center" vertical="center" wrapText="1"/>
    </xf>
    <xf numFmtId="0" fontId="0" fillId="2" borderId="8" xfId="0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1:AR123"/>
  <sheetViews>
    <sheetView tabSelected="1" view="pageBreakPreview" zoomScale="85" zoomScaleNormal="90" zoomScaleSheetLayoutView="85" workbookViewId="0">
      <pane xSplit="1" ySplit="11" topLeftCell="B33" activePane="bottomRight" state="frozen"/>
      <selection pane="topRight" activeCell="B1" sqref="B1"/>
      <selection pane="bottomLeft" activeCell="A9" sqref="A9"/>
      <selection pane="bottomRight" activeCell="M2" sqref="M2"/>
    </sheetView>
  </sheetViews>
  <sheetFormatPr defaultRowHeight="7.5" customHeight="1"/>
  <cols>
    <col min="1" max="1" width="26" customWidth="1"/>
    <col min="2" max="2" width="13.140625" customWidth="1"/>
    <col min="3" max="3" width="10.42578125" customWidth="1"/>
    <col min="4" max="4" width="18.140625" customWidth="1"/>
    <col min="5" max="5" width="9.5703125" customWidth="1"/>
    <col min="6" max="6" width="16" customWidth="1"/>
    <col min="7" max="7" width="17.42578125" customWidth="1"/>
    <col min="8" max="8" width="13.5703125" customWidth="1"/>
    <col min="9" max="9" width="18.85546875" customWidth="1"/>
    <col min="10" max="10" width="22.5703125" customWidth="1"/>
    <col min="11" max="11" width="16.5703125" customWidth="1"/>
    <col min="12" max="12" width="21.42578125" customWidth="1"/>
    <col min="13" max="13" width="11.42578125" customWidth="1"/>
    <col min="14" max="14" width="20" customWidth="1"/>
    <col min="15" max="15" width="13.28515625" customWidth="1"/>
    <col min="16" max="16" width="15" customWidth="1"/>
    <col min="17" max="17" width="9.28515625" customWidth="1"/>
    <col min="18" max="18" width="15.28515625" customWidth="1"/>
    <col min="19" max="19" width="13.28515625" customWidth="1"/>
    <col min="20" max="20" width="18.5703125" customWidth="1"/>
    <col min="21" max="21" width="19.28515625" customWidth="1"/>
    <col min="22" max="22" width="16.7109375" customWidth="1"/>
    <col min="23" max="23" width="23.42578125" customWidth="1"/>
    <col min="24" max="25" width="18.7109375" customWidth="1"/>
    <col min="26" max="26" width="19.5703125" customWidth="1"/>
    <col min="27" max="28" width="19.5703125" hidden="1" customWidth="1"/>
    <col min="29" max="29" width="24.5703125" hidden="1" customWidth="1"/>
    <col min="30" max="31" width="18.28515625" hidden="1" customWidth="1"/>
    <col min="32" max="32" width="22.140625" hidden="1" customWidth="1"/>
    <col min="33" max="33" width="20.5703125" hidden="1" customWidth="1"/>
    <col min="34" max="34" width="22.85546875" hidden="1" customWidth="1"/>
    <col min="35" max="36" width="20.5703125" hidden="1" customWidth="1"/>
    <col min="37" max="37" width="24.28515625" hidden="1" customWidth="1"/>
    <col min="38" max="41" width="20.5703125" hidden="1" customWidth="1"/>
    <col min="42" max="44" width="23.5703125" hidden="1" customWidth="1"/>
  </cols>
  <sheetData>
    <row r="1" spans="1:44" ht="15.75" customHeight="1">
      <c r="M1" s="98" t="s">
        <v>101</v>
      </c>
    </row>
    <row r="2" spans="1:44" ht="15.75" customHeight="1">
      <c r="M2" s="98" t="s">
        <v>100</v>
      </c>
    </row>
    <row r="4" spans="1:44" ht="11.25" customHeight="1">
      <c r="F4" s="112" t="s">
        <v>0</v>
      </c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"/>
      <c r="AI4" s="1"/>
      <c r="AJ4" s="2"/>
      <c r="AK4" s="2"/>
    </row>
    <row r="5" spans="1:44" ht="59.25" customHeight="1">
      <c r="B5" s="99" t="s">
        <v>93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6"/>
      <c r="N5" s="96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</row>
    <row r="6" spans="1:44" ht="4.5" customHeight="1"/>
    <row r="7" spans="1:44" ht="5.25" customHeight="1">
      <c r="AN7" s="3"/>
      <c r="AO7" s="3"/>
      <c r="AP7" s="3"/>
      <c r="AQ7" s="3"/>
      <c r="AR7" s="3"/>
    </row>
    <row r="8" spans="1:44" ht="21" customHeight="1">
      <c r="A8" s="113" t="s">
        <v>1</v>
      </c>
      <c r="B8" s="111" t="s">
        <v>2</v>
      </c>
      <c r="C8" s="106" t="s">
        <v>3</v>
      </c>
      <c r="D8" s="113" t="s">
        <v>4</v>
      </c>
      <c r="E8" s="113" t="s">
        <v>5</v>
      </c>
      <c r="F8" s="113" t="s">
        <v>6</v>
      </c>
      <c r="G8" s="115" t="s">
        <v>7</v>
      </c>
      <c r="H8" s="113" t="s">
        <v>8</v>
      </c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93"/>
      <c r="AB8" s="93"/>
      <c r="AC8" s="5"/>
      <c r="AD8" s="118" t="s">
        <v>9</v>
      </c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6"/>
    </row>
    <row r="9" spans="1:44" ht="21" customHeight="1">
      <c r="A9" s="113"/>
      <c r="B9" s="113"/>
      <c r="C9" s="114"/>
      <c r="D9" s="113"/>
      <c r="E9" s="113"/>
      <c r="F9" s="113"/>
      <c r="G9" s="116"/>
      <c r="H9" s="113" t="s">
        <v>10</v>
      </c>
      <c r="I9" s="111" t="s">
        <v>89</v>
      </c>
      <c r="J9" s="111" t="s">
        <v>11</v>
      </c>
      <c r="K9" s="106" t="s">
        <v>12</v>
      </c>
      <c r="L9" s="106" t="s">
        <v>88</v>
      </c>
      <c r="M9" s="108" t="s">
        <v>13</v>
      </c>
      <c r="N9" s="109"/>
      <c r="O9" s="109"/>
      <c r="P9" s="109"/>
      <c r="Q9" s="109"/>
      <c r="R9" s="109"/>
      <c r="S9" s="109"/>
      <c r="T9" s="110"/>
      <c r="U9" s="111" t="s">
        <v>14</v>
      </c>
      <c r="V9" s="106" t="s">
        <v>12</v>
      </c>
      <c r="W9" s="106" t="s">
        <v>94</v>
      </c>
      <c r="X9" s="106" t="s">
        <v>95</v>
      </c>
      <c r="Y9" s="106" t="s">
        <v>97</v>
      </c>
      <c r="Z9" s="111" t="s">
        <v>98</v>
      </c>
      <c r="AA9" s="91"/>
      <c r="AB9" s="91"/>
      <c r="AC9" s="7"/>
      <c r="AD9" s="7"/>
      <c r="AE9" s="7"/>
      <c r="AF9" s="7"/>
      <c r="AG9" s="104" t="s">
        <v>17</v>
      </c>
      <c r="AH9" s="100" t="s">
        <v>15</v>
      </c>
      <c r="AI9" s="102" t="s">
        <v>16</v>
      </c>
      <c r="AJ9" s="103"/>
      <c r="AK9" s="104" t="s">
        <v>14</v>
      </c>
      <c r="AL9" s="104" t="s">
        <v>18</v>
      </c>
      <c r="AM9" s="100" t="s">
        <v>15</v>
      </c>
      <c r="AN9" s="102" t="s">
        <v>16</v>
      </c>
      <c r="AO9" s="103"/>
      <c r="AP9" s="104" t="s">
        <v>14</v>
      </c>
      <c r="AQ9" s="6"/>
      <c r="AR9" s="6"/>
    </row>
    <row r="10" spans="1:44" ht="204" customHeight="1">
      <c r="A10" s="113"/>
      <c r="B10" s="113"/>
      <c r="C10" s="107"/>
      <c r="D10" s="113"/>
      <c r="E10" s="113"/>
      <c r="F10" s="113"/>
      <c r="G10" s="117"/>
      <c r="H10" s="113"/>
      <c r="I10" s="113"/>
      <c r="J10" s="111"/>
      <c r="K10" s="107"/>
      <c r="L10" s="107"/>
      <c r="M10" s="94" t="s">
        <v>19</v>
      </c>
      <c r="N10" s="95" t="s">
        <v>20</v>
      </c>
      <c r="O10" s="95" t="s">
        <v>12</v>
      </c>
      <c r="P10" s="90" t="s">
        <v>21</v>
      </c>
      <c r="Q10" s="94" t="s">
        <v>22</v>
      </c>
      <c r="R10" s="95" t="s">
        <v>23</v>
      </c>
      <c r="S10" s="95" t="s">
        <v>12</v>
      </c>
      <c r="T10" s="90" t="s">
        <v>23</v>
      </c>
      <c r="U10" s="111"/>
      <c r="V10" s="107"/>
      <c r="W10" s="107"/>
      <c r="X10" s="107"/>
      <c r="Y10" s="107"/>
      <c r="Z10" s="113"/>
      <c r="AA10" s="91" t="s">
        <v>87</v>
      </c>
      <c r="AB10" s="91"/>
      <c r="AC10" s="10"/>
      <c r="AD10" s="10"/>
      <c r="AE10" s="10"/>
      <c r="AF10" s="10"/>
      <c r="AG10" s="105"/>
      <c r="AH10" s="101"/>
      <c r="AI10" s="8" t="s">
        <v>20</v>
      </c>
      <c r="AJ10" s="9" t="s">
        <v>23</v>
      </c>
      <c r="AK10" s="104"/>
      <c r="AL10" s="105"/>
      <c r="AM10" s="101"/>
      <c r="AN10" s="8" t="s">
        <v>20</v>
      </c>
      <c r="AO10" s="7" t="s">
        <v>23</v>
      </c>
      <c r="AP10" s="104"/>
      <c r="AQ10" s="6"/>
      <c r="AR10" s="6" t="s">
        <v>24</v>
      </c>
    </row>
    <row r="11" spans="1:44" ht="48" customHeight="1">
      <c r="A11" s="11" t="s">
        <v>25</v>
      </c>
      <c r="B11" s="12" t="s">
        <v>26</v>
      </c>
      <c r="C11" s="12" t="s">
        <v>27</v>
      </c>
      <c r="D11" s="11" t="s">
        <v>28</v>
      </c>
      <c r="E11" s="11" t="s">
        <v>29</v>
      </c>
      <c r="F11" s="11" t="s">
        <v>30</v>
      </c>
      <c r="G11" s="11" t="s">
        <v>31</v>
      </c>
      <c r="H11" s="13" t="s">
        <v>32</v>
      </c>
      <c r="I11" s="14" t="s">
        <v>90</v>
      </c>
      <c r="J11" s="14" t="s">
        <v>33</v>
      </c>
      <c r="K11" s="14" t="s">
        <v>34</v>
      </c>
      <c r="L11" s="14" t="s">
        <v>35</v>
      </c>
      <c r="M11" s="14" t="s">
        <v>36</v>
      </c>
      <c r="N11" s="14" t="s">
        <v>37</v>
      </c>
      <c r="O11" s="14" t="s">
        <v>38</v>
      </c>
      <c r="P11" s="14" t="s">
        <v>39</v>
      </c>
      <c r="Q11" s="14" t="s">
        <v>40</v>
      </c>
      <c r="R11" s="14" t="s">
        <v>41</v>
      </c>
      <c r="S11" s="14" t="s">
        <v>42</v>
      </c>
      <c r="T11" s="14" t="s">
        <v>43</v>
      </c>
      <c r="U11" s="14" t="s">
        <v>91</v>
      </c>
      <c r="V11" s="14" t="s">
        <v>44</v>
      </c>
      <c r="W11" s="14" t="s">
        <v>45</v>
      </c>
      <c r="X11" s="14" t="s">
        <v>92</v>
      </c>
      <c r="Y11" s="14" t="s">
        <v>96</v>
      </c>
      <c r="Z11" s="14" t="s">
        <v>99</v>
      </c>
      <c r="AA11" s="14"/>
      <c r="AB11" s="14"/>
      <c r="AC11" s="14"/>
      <c r="AD11" s="14"/>
      <c r="AE11" s="14"/>
      <c r="AF11" s="14"/>
      <c r="AG11" s="14" t="s">
        <v>46</v>
      </c>
      <c r="AH11" s="14" t="s">
        <v>47</v>
      </c>
      <c r="AI11" s="14" t="s">
        <v>48</v>
      </c>
      <c r="AJ11" s="14" t="s">
        <v>49</v>
      </c>
      <c r="AK11" s="14" t="s">
        <v>50</v>
      </c>
      <c r="AL11" s="14" t="s">
        <v>51</v>
      </c>
      <c r="AM11" s="14" t="s">
        <v>52</v>
      </c>
      <c r="AN11" s="14" t="s">
        <v>53</v>
      </c>
      <c r="AO11" s="14" t="s">
        <v>54</v>
      </c>
      <c r="AP11" s="14" t="s">
        <v>55</v>
      </c>
      <c r="AQ11" s="15"/>
      <c r="AR11" s="15"/>
    </row>
    <row r="12" spans="1:44" ht="15.75" customHeight="1">
      <c r="A12" s="16" t="s">
        <v>56</v>
      </c>
      <c r="B12" s="17">
        <v>141</v>
      </c>
      <c r="C12" s="17">
        <v>60</v>
      </c>
      <c r="D12" s="18">
        <v>40625</v>
      </c>
      <c r="E12" s="19">
        <v>33</v>
      </c>
      <c r="F12" s="20">
        <v>189028.1</v>
      </c>
      <c r="G12" s="20">
        <v>80437.5</v>
      </c>
      <c r="H12" s="21">
        <v>1340.6</v>
      </c>
      <c r="I12" s="22">
        <f>ROUND((102013.44444-33631.5)/1628 *B12,5)+0.00001</f>
        <v>5922.5148499999996</v>
      </c>
      <c r="J12" s="23">
        <f>H12+I12</f>
        <v>7263.1148499999999</v>
      </c>
      <c r="K12" s="23">
        <f>O12+S12</f>
        <v>363.1</v>
      </c>
      <c r="L12" s="23">
        <f>J12-K12</f>
        <v>6900.0148499999996</v>
      </c>
      <c r="M12" s="24">
        <v>10</v>
      </c>
      <c r="N12" s="23">
        <f>ROUND(J12*M12/100,5)-0.00001</f>
        <v>726.31148000000007</v>
      </c>
      <c r="O12" s="23">
        <f>ROUND(N12*0.05,1)</f>
        <v>36.299999999999997</v>
      </c>
      <c r="P12" s="23">
        <f>ROUND(N12-O12,5)</f>
        <v>690.01148000000001</v>
      </c>
      <c r="Q12" s="24">
        <v>90</v>
      </c>
      <c r="R12" s="23">
        <f>ROUND(J12*Q12/100,5)-0.00004+0</f>
        <v>6536.8033299999997</v>
      </c>
      <c r="S12" s="23">
        <f>ROUND(R12*0.05,1)</f>
        <v>326.8</v>
      </c>
      <c r="T12" s="23">
        <f>ROUND(R12-S12,5)</f>
        <v>6210.0033299999996</v>
      </c>
      <c r="U12" s="25">
        <f>ROUND((263050.09442)/1628 *B12,5)+0.1-0.04</f>
        <v>22782.654169999998</v>
      </c>
      <c r="V12" s="23">
        <f>ROUND(U12*0.05,1)</f>
        <v>1139.0999999999999</v>
      </c>
      <c r="W12" s="25">
        <f>U12-V12</f>
        <v>21643.554169999999</v>
      </c>
      <c r="X12" s="25">
        <v>370.9</v>
      </c>
      <c r="Y12" s="25">
        <f>W12+X12</f>
        <v>22014.454170000001</v>
      </c>
      <c r="Z12" s="25">
        <f>P12+T12+W12+X12</f>
        <v>28914.468980000001</v>
      </c>
      <c r="AA12" s="25">
        <v>22306.81251</v>
      </c>
      <c r="AB12" s="25">
        <v>6236.5964800000038</v>
      </c>
      <c r="AC12" s="25"/>
      <c r="AD12" s="25">
        <v>564.92989999999998</v>
      </c>
      <c r="AE12" s="25">
        <v>5084.3693300000004</v>
      </c>
      <c r="AF12" s="25">
        <v>15383.64611</v>
      </c>
      <c r="AG12" s="23">
        <f t="shared" ref="AG12:AG36" si="0">ROUND((106604.11111-28532.2)/1581 *B12,5)</f>
        <v>6962.7700599999998</v>
      </c>
      <c r="AH12" s="23">
        <f>ROUND(H12+AG12,1)-0.08889</f>
        <v>8303.3111099999987</v>
      </c>
      <c r="AI12" s="23">
        <f>ROUND(AH12*M12/100,1)+0.11111</f>
        <v>830.41111000000001</v>
      </c>
      <c r="AJ12" s="23">
        <f>ROUND(AH12*Q12/100,1)-0.1</f>
        <v>7472.9</v>
      </c>
      <c r="AK12" s="25">
        <f>ROUND((84569.1-10660.41111)/1581*B12,5)+0.01113-0.01111</f>
        <v>6591.4770199999994</v>
      </c>
      <c r="AL12" s="23">
        <f t="shared" ref="AL12:AL36" si="1">ROUND((106604.11111-28532.2)/1581 *B12,5)</f>
        <v>6962.7700599999998</v>
      </c>
      <c r="AM12" s="23">
        <f>ROUND(AL12+H12,1)-0.08889</f>
        <v>8303.3111099999987</v>
      </c>
      <c r="AN12" s="23">
        <f>ROUND(AM12*M12/100,1)+0.11111</f>
        <v>830.41111000000001</v>
      </c>
      <c r="AO12" s="23">
        <f>ROUND(AM12*Q12/100,1)-0.1</f>
        <v>7472.9</v>
      </c>
      <c r="AP12" s="25">
        <f>ROUND((88569.1-10660.41111)/1581 *B12,5)-0.00001</f>
        <v>6948.2132300000003</v>
      </c>
      <c r="AQ12" s="26">
        <f>AD12+AE12+AF12</f>
        <v>21032.945339999998</v>
      </c>
      <c r="AR12" s="26">
        <f t="shared" ref="AR12:AR37" si="2">AQ12-Z12</f>
        <v>-7881.5236400000031</v>
      </c>
    </row>
    <row r="13" spans="1:44" ht="15.75" customHeight="1">
      <c r="A13" s="16" t="s">
        <v>57</v>
      </c>
      <c r="B13" s="17">
        <v>17</v>
      </c>
      <c r="C13" s="17">
        <v>2</v>
      </c>
      <c r="D13" s="18">
        <v>23616.595000000001</v>
      </c>
      <c r="E13" s="19">
        <v>33</v>
      </c>
      <c r="F13" s="20">
        <v>13248.9</v>
      </c>
      <c r="G13" s="20">
        <v>1558.7</v>
      </c>
      <c r="H13" s="21">
        <v>779.3</v>
      </c>
      <c r="I13" s="22">
        <f>ROUND((102013.44444-33631.5)/1628 *B13,5)</f>
        <v>714.06206999999995</v>
      </c>
      <c r="J13" s="23">
        <f t="shared" ref="J13:J36" si="3">H13+I13</f>
        <v>1493.3620699999999</v>
      </c>
      <c r="K13" s="23">
        <f t="shared" ref="K13:K36" si="4">O13+S13</f>
        <v>74.7</v>
      </c>
      <c r="L13" s="23">
        <f t="shared" ref="L13:L36" si="5">J13-K13</f>
        <v>1418.6620699999999</v>
      </c>
      <c r="M13" s="24">
        <v>10</v>
      </c>
      <c r="N13" s="23">
        <f>ROUND(J13*M13/100,5)</f>
        <v>149.33620999999999</v>
      </c>
      <c r="O13" s="23">
        <f t="shared" ref="O13:O36" si="6">ROUND(N13*0.05,1)</f>
        <v>7.5</v>
      </c>
      <c r="P13" s="23">
        <f t="shared" ref="P13:P36" si="7">ROUND(N13-O13,5)</f>
        <v>141.83620999999999</v>
      </c>
      <c r="Q13" s="24">
        <v>90</v>
      </c>
      <c r="R13" s="23">
        <f>ROUND(J13*Q13/100,5)</f>
        <v>1344.02586</v>
      </c>
      <c r="S13" s="23">
        <f t="shared" ref="S13" si="8">ROUND(R13*0.05,1)</f>
        <v>67.2</v>
      </c>
      <c r="T13" s="23">
        <f t="shared" ref="T13" si="9">ROUND(R13-S13,5)</f>
        <v>1276.8258599999999</v>
      </c>
      <c r="U13" s="25">
        <f>ROUND((263050.09442)/1628 *B13,5)-0.0875</f>
        <v>2746.7500999999997</v>
      </c>
      <c r="V13" s="23">
        <f t="shared" ref="V13:V36" si="10">ROUND(U13*0.05,1)</f>
        <v>137.30000000000001</v>
      </c>
      <c r="W13" s="25">
        <f t="shared" ref="W13:W36" si="11">U13-V13</f>
        <v>2609.4500999999996</v>
      </c>
      <c r="X13" s="25"/>
      <c r="Y13" s="25">
        <f t="shared" ref="Y13:Y38" si="12">W13+X13</f>
        <v>2609.4500999999996</v>
      </c>
      <c r="Z13" s="25">
        <f t="shared" ref="Z13:Z37" si="13">P13+T13+W13+X13</f>
        <v>4028.1121699999994</v>
      </c>
      <c r="AA13" s="25">
        <v>2213.9225099999999</v>
      </c>
      <c r="AB13" s="25">
        <v>1814.2771499999999</v>
      </c>
      <c r="AC13" s="25"/>
      <c r="AD13" s="25">
        <v>104.70395000000001</v>
      </c>
      <c r="AE13" s="25">
        <v>942.33548000000008</v>
      </c>
      <c r="AF13" s="25">
        <v>1078.2372799999998</v>
      </c>
      <c r="AG13" s="23">
        <f t="shared" si="0"/>
        <v>839.48292000000004</v>
      </c>
      <c r="AH13" s="23">
        <f t="shared" ref="AH13:AH36" si="14">ROUND(H13+AG13,1)</f>
        <v>1618.8</v>
      </c>
      <c r="AI13" s="23">
        <f t="shared" ref="AI13:AI36" si="15">ROUND(AH13*M13/100,1)</f>
        <v>161.9</v>
      </c>
      <c r="AJ13" s="23">
        <f t="shared" ref="AJ13:AJ36" si="16">ROUND(AH13*Q13/100,1)</f>
        <v>1456.9</v>
      </c>
      <c r="AK13" s="25">
        <f t="shared" ref="AK13:AK36" si="17">ROUND((84569.1-10660.41111)/1581*B13,5)</f>
        <v>794.71708000000001</v>
      </c>
      <c r="AL13" s="23">
        <f t="shared" si="1"/>
        <v>839.48292000000004</v>
      </c>
      <c r="AM13" s="23">
        <f t="shared" ref="AM13:AM36" si="18">ROUND(AL13+H13,1)</f>
        <v>1618.8</v>
      </c>
      <c r="AN13" s="23">
        <f t="shared" ref="AN13:AN36" si="19">ROUND(AM13*M13/100,1)</f>
        <v>161.9</v>
      </c>
      <c r="AO13" s="23">
        <f t="shared" ref="AO13:AO36" si="20">ROUND(AM13*Q13/100,1)</f>
        <v>1456.9</v>
      </c>
      <c r="AP13" s="25">
        <f t="shared" ref="AP13:AP36" si="21">ROUND((88569.1-10660.41111)/1581 *B13,5)</f>
        <v>837.72784000000001</v>
      </c>
      <c r="AQ13" s="26">
        <f t="shared" ref="AQ13:AQ37" si="22">AD13+AE13+AF13</f>
        <v>2125.2767100000001</v>
      </c>
      <c r="AR13" s="26">
        <f t="shared" si="2"/>
        <v>-1902.8354599999993</v>
      </c>
    </row>
    <row r="14" spans="1:44" ht="15.75" customHeight="1">
      <c r="A14" s="16" t="s">
        <v>58</v>
      </c>
      <c r="B14" s="29">
        <v>16</v>
      </c>
      <c r="C14" s="29" t="s">
        <v>59</v>
      </c>
      <c r="D14" s="18">
        <v>39541.040000000001</v>
      </c>
      <c r="E14" s="19">
        <v>33</v>
      </c>
      <c r="F14" s="20">
        <v>20877.7</v>
      </c>
      <c r="G14" s="20"/>
      <c r="H14" s="21">
        <v>1304.9000000000001</v>
      </c>
      <c r="I14" s="22">
        <f t="shared" ref="I14:I36" si="23">ROUND((102013.44444-33631.5)/1628 *B14,5)</f>
        <v>672.05841999999996</v>
      </c>
      <c r="J14" s="23">
        <f t="shared" si="3"/>
        <v>1976.9584199999999</v>
      </c>
      <c r="K14" s="23">
        <f t="shared" si="4"/>
        <v>98.9</v>
      </c>
      <c r="L14" s="23">
        <f t="shared" si="5"/>
        <v>1878.0584199999998</v>
      </c>
      <c r="M14" s="24">
        <v>10</v>
      </c>
      <c r="N14" s="23">
        <f t="shared" ref="N14:N36" si="24">ROUND(J14*M14/100,5)</f>
        <v>197.69584</v>
      </c>
      <c r="O14" s="23">
        <f t="shared" si="6"/>
        <v>9.9</v>
      </c>
      <c r="P14" s="23">
        <f t="shared" si="7"/>
        <v>187.79584</v>
      </c>
      <c r="Q14" s="24">
        <v>90</v>
      </c>
      <c r="R14" s="23">
        <f t="shared" ref="R14:R36" si="25">ROUND(J14*Q14/100,5)</f>
        <v>1779.2625800000001</v>
      </c>
      <c r="S14" s="23">
        <f t="shared" ref="S14:S36" si="26">ROUND(R14*0.05,1)</f>
        <v>89</v>
      </c>
      <c r="T14" s="23">
        <f t="shared" ref="T14:T36" si="27">ROUND(R14-S14,5)</f>
        <v>1690.2625800000001</v>
      </c>
      <c r="U14" s="25">
        <f>ROUND((263050.09442)/1628 *B14,5)-0.00096</f>
        <v>2585.2579500000002</v>
      </c>
      <c r="V14" s="23">
        <f t="shared" si="10"/>
        <v>129.30000000000001</v>
      </c>
      <c r="W14" s="25">
        <f t="shared" si="11"/>
        <v>2455.95795</v>
      </c>
      <c r="X14" s="25"/>
      <c r="Y14" s="25">
        <f t="shared" si="12"/>
        <v>2455.95795</v>
      </c>
      <c r="Z14" s="25">
        <f t="shared" si="13"/>
        <v>4334.0163700000003</v>
      </c>
      <c r="AA14" s="25">
        <v>3561.81873</v>
      </c>
      <c r="AB14" s="25">
        <v>772.29860999999983</v>
      </c>
      <c r="AC14" s="25"/>
      <c r="AD14" s="25">
        <v>172.29617999999999</v>
      </c>
      <c r="AE14" s="25">
        <v>1550.6655799999999</v>
      </c>
      <c r="AF14" s="25">
        <v>1699.0930899999998</v>
      </c>
      <c r="AG14" s="23">
        <f t="shared" si="0"/>
        <v>790.10157000000004</v>
      </c>
      <c r="AH14" s="23">
        <f t="shared" si="14"/>
        <v>2095</v>
      </c>
      <c r="AI14" s="23">
        <f t="shared" si="15"/>
        <v>209.5</v>
      </c>
      <c r="AJ14" s="23">
        <f t="shared" si="16"/>
        <v>1885.5</v>
      </c>
      <c r="AK14" s="25">
        <f t="shared" si="17"/>
        <v>747.96902</v>
      </c>
      <c r="AL14" s="23">
        <f t="shared" si="1"/>
        <v>790.10157000000004</v>
      </c>
      <c r="AM14" s="23">
        <f t="shared" si="18"/>
        <v>2095</v>
      </c>
      <c r="AN14" s="23">
        <f t="shared" si="19"/>
        <v>209.5</v>
      </c>
      <c r="AO14" s="23">
        <f t="shared" si="20"/>
        <v>1885.5</v>
      </c>
      <c r="AP14" s="25">
        <f t="shared" si="21"/>
        <v>788.44973000000005</v>
      </c>
      <c r="AQ14" s="26">
        <f t="shared" si="22"/>
        <v>3422.0548499999995</v>
      </c>
      <c r="AR14" s="26">
        <f t="shared" si="2"/>
        <v>-911.96152000000075</v>
      </c>
    </row>
    <row r="15" spans="1:44" ht="15.75" customHeight="1">
      <c r="A15" s="16" t="s">
        <v>60</v>
      </c>
      <c r="B15" s="17">
        <v>23</v>
      </c>
      <c r="C15" s="17" t="s">
        <v>59</v>
      </c>
      <c r="D15" s="18">
        <v>32534.895</v>
      </c>
      <c r="E15" s="19">
        <v>33</v>
      </c>
      <c r="F15" s="20">
        <v>24694</v>
      </c>
      <c r="G15" s="20"/>
      <c r="H15" s="21">
        <v>1073.7</v>
      </c>
      <c r="I15" s="22">
        <f t="shared" si="23"/>
        <v>966.08398</v>
      </c>
      <c r="J15" s="23">
        <f t="shared" si="3"/>
        <v>2039.7839800000002</v>
      </c>
      <c r="K15" s="23">
        <f t="shared" si="4"/>
        <v>102</v>
      </c>
      <c r="L15" s="23">
        <f t="shared" si="5"/>
        <v>1937.7839800000002</v>
      </c>
      <c r="M15" s="24">
        <v>10</v>
      </c>
      <c r="N15" s="23">
        <f t="shared" si="24"/>
        <v>203.97839999999999</v>
      </c>
      <c r="O15" s="23">
        <f t="shared" si="6"/>
        <v>10.199999999999999</v>
      </c>
      <c r="P15" s="23">
        <f t="shared" si="7"/>
        <v>193.7784</v>
      </c>
      <c r="Q15" s="24">
        <v>90</v>
      </c>
      <c r="R15" s="23">
        <f t="shared" si="25"/>
        <v>1835.80558</v>
      </c>
      <c r="S15" s="23">
        <f t="shared" si="26"/>
        <v>91.8</v>
      </c>
      <c r="T15" s="23">
        <f t="shared" si="27"/>
        <v>1744.00558</v>
      </c>
      <c r="U15" s="25">
        <f t="shared" ref="U15:U36" si="28">ROUND((263050.09442)/1628 *B15,5)</f>
        <v>3716.30969</v>
      </c>
      <c r="V15" s="23">
        <f t="shared" si="10"/>
        <v>185.8</v>
      </c>
      <c r="W15" s="25">
        <f t="shared" si="11"/>
        <v>3530.5096899999999</v>
      </c>
      <c r="X15" s="25">
        <v>4500</v>
      </c>
      <c r="Y15" s="25">
        <f t="shared" si="12"/>
        <v>8030.5096899999999</v>
      </c>
      <c r="Z15" s="25">
        <f t="shared" si="13"/>
        <v>9968.2936699999991</v>
      </c>
      <c r="AA15" s="25">
        <v>3766.6893100000007</v>
      </c>
      <c r="AB15" s="25">
        <v>1701.6043599999994</v>
      </c>
      <c r="AC15" s="25"/>
      <c r="AD15" s="25">
        <v>159.16669999999999</v>
      </c>
      <c r="AE15" s="25">
        <v>1432.5002200000001</v>
      </c>
      <c r="AF15" s="25">
        <v>2009.6756199999998</v>
      </c>
      <c r="AG15" s="23">
        <f t="shared" si="0"/>
        <v>1135.771</v>
      </c>
      <c r="AH15" s="23">
        <f t="shared" si="14"/>
        <v>2209.5</v>
      </c>
      <c r="AI15" s="23">
        <f t="shared" si="15"/>
        <v>221</v>
      </c>
      <c r="AJ15" s="23">
        <f t="shared" si="16"/>
        <v>1988.6</v>
      </c>
      <c r="AK15" s="25">
        <f t="shared" si="17"/>
        <v>1075.2054700000001</v>
      </c>
      <c r="AL15" s="23">
        <f t="shared" si="1"/>
        <v>1135.771</v>
      </c>
      <c r="AM15" s="23">
        <f t="shared" si="18"/>
        <v>2209.5</v>
      </c>
      <c r="AN15" s="23">
        <f t="shared" si="19"/>
        <v>221</v>
      </c>
      <c r="AO15" s="23">
        <f t="shared" si="20"/>
        <v>1988.6</v>
      </c>
      <c r="AP15" s="25">
        <f t="shared" si="21"/>
        <v>1133.3964900000001</v>
      </c>
      <c r="AQ15" s="26">
        <f t="shared" si="22"/>
        <v>3601.3425399999996</v>
      </c>
      <c r="AR15" s="26">
        <f t="shared" si="2"/>
        <v>-6366.9511299999995</v>
      </c>
    </row>
    <row r="16" spans="1:44" ht="15.75" customHeight="1">
      <c r="A16" s="16" t="s">
        <v>61</v>
      </c>
      <c r="B16" s="17">
        <v>30</v>
      </c>
      <c r="C16" s="17">
        <v>3</v>
      </c>
      <c r="D16" s="18">
        <v>43568.535000000003</v>
      </c>
      <c r="E16" s="19">
        <v>33</v>
      </c>
      <c r="F16" s="20">
        <v>43132.800000000003</v>
      </c>
      <c r="G16" s="20">
        <v>4313.3</v>
      </c>
      <c r="H16" s="21">
        <v>1437.8</v>
      </c>
      <c r="I16" s="22">
        <f t="shared" si="23"/>
        <v>1260.1095399999999</v>
      </c>
      <c r="J16" s="23">
        <f t="shared" si="3"/>
        <v>2697.9095399999997</v>
      </c>
      <c r="K16" s="23">
        <f t="shared" si="4"/>
        <v>134.9</v>
      </c>
      <c r="L16" s="23">
        <f t="shared" si="5"/>
        <v>2563.0095399999996</v>
      </c>
      <c r="M16" s="24">
        <v>10</v>
      </c>
      <c r="N16" s="23">
        <f t="shared" si="24"/>
        <v>269.79095000000001</v>
      </c>
      <c r="O16" s="23">
        <f t="shared" si="6"/>
        <v>13.5</v>
      </c>
      <c r="P16" s="23">
        <f t="shared" si="7"/>
        <v>256.29095000000001</v>
      </c>
      <c r="Q16" s="24">
        <v>90</v>
      </c>
      <c r="R16" s="23">
        <f t="shared" si="25"/>
        <v>2428.11859</v>
      </c>
      <c r="S16" s="23">
        <f t="shared" si="26"/>
        <v>121.4</v>
      </c>
      <c r="T16" s="23">
        <f t="shared" si="27"/>
        <v>2306.7185899999999</v>
      </c>
      <c r="U16" s="25">
        <f>ROUND((263050.09442)/1628 *B16,5)-0.01</f>
        <v>4847.3504599999997</v>
      </c>
      <c r="V16" s="23">
        <f t="shared" si="10"/>
        <v>242.4</v>
      </c>
      <c r="W16" s="25">
        <f t="shared" si="11"/>
        <v>4604.95046</v>
      </c>
      <c r="X16" s="25">
        <v>329.7</v>
      </c>
      <c r="Y16" s="25">
        <f t="shared" si="12"/>
        <v>4934.6504599999998</v>
      </c>
      <c r="Z16" s="25">
        <f t="shared" si="13"/>
        <v>7497.66</v>
      </c>
      <c r="AA16" s="25">
        <v>6163.78514</v>
      </c>
      <c r="AB16" s="25">
        <v>1004.2848699999995</v>
      </c>
      <c r="AC16" s="25"/>
      <c r="AD16" s="25">
        <v>236.44096000000002</v>
      </c>
      <c r="AE16" s="25">
        <v>2127.9685899999999</v>
      </c>
      <c r="AF16" s="25">
        <v>3510.28334</v>
      </c>
      <c r="AG16" s="23">
        <f t="shared" si="0"/>
        <v>1481.4404400000001</v>
      </c>
      <c r="AH16" s="23">
        <f t="shared" si="14"/>
        <v>2919.2</v>
      </c>
      <c r="AI16" s="23">
        <f t="shared" si="15"/>
        <v>291.89999999999998</v>
      </c>
      <c r="AJ16" s="23">
        <f t="shared" si="16"/>
        <v>2627.3</v>
      </c>
      <c r="AK16" s="25">
        <f t="shared" si="17"/>
        <v>1402.44191</v>
      </c>
      <c r="AL16" s="23">
        <f t="shared" si="1"/>
        <v>1481.4404400000001</v>
      </c>
      <c r="AM16" s="23">
        <f t="shared" si="18"/>
        <v>2919.2</v>
      </c>
      <c r="AN16" s="23">
        <f t="shared" si="19"/>
        <v>291.89999999999998</v>
      </c>
      <c r="AO16" s="23">
        <f t="shared" si="20"/>
        <v>2627.3</v>
      </c>
      <c r="AP16" s="25">
        <f t="shared" si="21"/>
        <v>1478.3432399999999</v>
      </c>
      <c r="AQ16" s="26">
        <f t="shared" si="22"/>
        <v>5874.6928900000003</v>
      </c>
      <c r="AR16" s="26">
        <f t="shared" si="2"/>
        <v>-1622.9671099999996</v>
      </c>
    </row>
    <row r="17" spans="1:44" ht="15.75" customHeight="1">
      <c r="A17" s="16" t="s">
        <v>62</v>
      </c>
      <c r="B17" s="17">
        <v>36</v>
      </c>
      <c r="C17" s="17" t="s">
        <v>59</v>
      </c>
      <c r="D17" s="18">
        <v>31890</v>
      </c>
      <c r="E17" s="19">
        <v>33</v>
      </c>
      <c r="F17" s="20">
        <v>37885.300000000003</v>
      </c>
      <c r="G17" s="20"/>
      <c r="H17" s="21">
        <v>1052.4000000000001</v>
      </c>
      <c r="I17" s="22">
        <f t="shared" si="23"/>
        <v>1512.1314500000001</v>
      </c>
      <c r="J17" s="23">
        <f t="shared" si="3"/>
        <v>2564.5314500000004</v>
      </c>
      <c r="K17" s="23">
        <f t="shared" si="4"/>
        <v>128.20000000000002</v>
      </c>
      <c r="L17" s="23">
        <f t="shared" si="5"/>
        <v>2436.3314500000006</v>
      </c>
      <c r="M17" s="24">
        <v>10</v>
      </c>
      <c r="N17" s="23">
        <f t="shared" si="24"/>
        <v>256.45314999999999</v>
      </c>
      <c r="O17" s="23">
        <f t="shared" si="6"/>
        <v>12.8</v>
      </c>
      <c r="P17" s="23">
        <f t="shared" si="7"/>
        <v>243.65315000000001</v>
      </c>
      <c r="Q17" s="24">
        <v>90</v>
      </c>
      <c r="R17" s="23">
        <f t="shared" si="25"/>
        <v>2308.0783099999999</v>
      </c>
      <c r="S17" s="23">
        <f t="shared" si="26"/>
        <v>115.4</v>
      </c>
      <c r="T17" s="23">
        <f t="shared" si="27"/>
        <v>2192.6783099999998</v>
      </c>
      <c r="U17" s="25">
        <f t="shared" si="28"/>
        <v>5816.8325500000001</v>
      </c>
      <c r="V17" s="23">
        <f t="shared" si="10"/>
        <v>290.8</v>
      </c>
      <c r="W17" s="25">
        <f t="shared" si="11"/>
        <v>5526.0325499999999</v>
      </c>
      <c r="X17" s="25">
        <v>19.600000000000001</v>
      </c>
      <c r="Y17" s="25">
        <f t="shared" si="12"/>
        <v>5545.6325500000003</v>
      </c>
      <c r="Z17" s="25">
        <f t="shared" si="13"/>
        <v>7981.9640099999997</v>
      </c>
      <c r="AA17" s="25">
        <v>5213.9278400000003</v>
      </c>
      <c r="AB17" s="25">
        <v>2748.3361700000005</v>
      </c>
      <c r="AC17" s="25"/>
      <c r="AD17" s="25">
        <v>187.68029000000001</v>
      </c>
      <c r="AE17" s="25">
        <v>1689.12265</v>
      </c>
      <c r="AF17" s="25">
        <v>3083.22523</v>
      </c>
      <c r="AG17" s="23">
        <f t="shared" si="0"/>
        <v>1777.7285300000001</v>
      </c>
      <c r="AH17" s="23">
        <f t="shared" si="14"/>
        <v>2830.1</v>
      </c>
      <c r="AI17" s="23">
        <f t="shared" si="15"/>
        <v>283</v>
      </c>
      <c r="AJ17" s="23">
        <f t="shared" si="16"/>
        <v>2547.1</v>
      </c>
      <c r="AK17" s="25">
        <f t="shared" si="17"/>
        <v>1682.9303</v>
      </c>
      <c r="AL17" s="23">
        <f t="shared" si="1"/>
        <v>1777.7285300000001</v>
      </c>
      <c r="AM17" s="23">
        <f t="shared" si="18"/>
        <v>2830.1</v>
      </c>
      <c r="AN17" s="23">
        <f t="shared" si="19"/>
        <v>283</v>
      </c>
      <c r="AO17" s="23">
        <f t="shared" si="20"/>
        <v>2547.1</v>
      </c>
      <c r="AP17" s="25">
        <f t="shared" si="21"/>
        <v>1774.01189</v>
      </c>
      <c r="AQ17" s="26">
        <f t="shared" si="22"/>
        <v>4960.0281699999996</v>
      </c>
      <c r="AR17" s="26">
        <f t="shared" si="2"/>
        <v>-3021.9358400000001</v>
      </c>
    </row>
    <row r="18" spans="1:44" ht="15.75" customHeight="1">
      <c r="A18" s="16" t="s">
        <v>63</v>
      </c>
      <c r="B18" s="17">
        <v>45</v>
      </c>
      <c r="C18" s="17">
        <v>7</v>
      </c>
      <c r="D18" s="18">
        <v>41296.165000000001</v>
      </c>
      <c r="E18" s="19">
        <v>33</v>
      </c>
      <c r="F18" s="20">
        <v>61324.800000000003</v>
      </c>
      <c r="G18" s="20">
        <v>9539.4</v>
      </c>
      <c r="H18" s="21">
        <v>1362.8</v>
      </c>
      <c r="I18" s="22">
        <f t="shared" si="23"/>
        <v>1890.1643099999999</v>
      </c>
      <c r="J18" s="23">
        <f t="shared" si="3"/>
        <v>3252.9643099999998</v>
      </c>
      <c r="K18" s="23">
        <f t="shared" si="4"/>
        <v>162.70000000000002</v>
      </c>
      <c r="L18" s="23">
        <f t="shared" si="5"/>
        <v>3090.26431</v>
      </c>
      <c r="M18" s="24">
        <v>10</v>
      </c>
      <c r="N18" s="23">
        <f t="shared" si="24"/>
        <v>325.29642999999999</v>
      </c>
      <c r="O18" s="23">
        <f t="shared" si="6"/>
        <v>16.3</v>
      </c>
      <c r="P18" s="23">
        <f t="shared" si="7"/>
        <v>308.99642999999998</v>
      </c>
      <c r="Q18" s="24">
        <v>90</v>
      </c>
      <c r="R18" s="23">
        <f t="shared" si="25"/>
        <v>2927.66788</v>
      </c>
      <c r="S18" s="23">
        <f t="shared" si="26"/>
        <v>146.4</v>
      </c>
      <c r="T18" s="23">
        <f t="shared" si="27"/>
        <v>2781.2678799999999</v>
      </c>
      <c r="U18" s="25">
        <f t="shared" si="28"/>
        <v>7271.0406899999998</v>
      </c>
      <c r="V18" s="23">
        <f t="shared" si="10"/>
        <v>363.6</v>
      </c>
      <c r="W18" s="25">
        <f t="shared" si="11"/>
        <v>6907.4406899999994</v>
      </c>
      <c r="X18" s="25">
        <v>227.4</v>
      </c>
      <c r="Y18" s="25">
        <f t="shared" si="12"/>
        <v>7134.8406899999991</v>
      </c>
      <c r="Z18" s="25">
        <f t="shared" si="13"/>
        <v>10225.105</v>
      </c>
      <c r="AA18" s="25">
        <v>8116.1818700000003</v>
      </c>
      <c r="AB18" s="25">
        <v>1881.6231299999999</v>
      </c>
      <c r="AC18" s="25"/>
      <c r="AD18" s="25">
        <v>271.42939000000001</v>
      </c>
      <c r="AE18" s="25">
        <v>2442.8644999999997</v>
      </c>
      <c r="AF18" s="25">
        <v>4990.8056800000004</v>
      </c>
      <c r="AG18" s="23">
        <f t="shared" si="0"/>
        <v>2222.16066</v>
      </c>
      <c r="AH18" s="23">
        <f t="shared" si="14"/>
        <v>3585</v>
      </c>
      <c r="AI18" s="23">
        <f t="shared" si="15"/>
        <v>358.5</v>
      </c>
      <c r="AJ18" s="23">
        <f t="shared" si="16"/>
        <v>3226.5</v>
      </c>
      <c r="AK18" s="25">
        <f t="shared" si="17"/>
        <v>2103.6628700000001</v>
      </c>
      <c r="AL18" s="23">
        <f t="shared" si="1"/>
        <v>2222.16066</v>
      </c>
      <c r="AM18" s="23">
        <f t="shared" si="18"/>
        <v>3585</v>
      </c>
      <c r="AN18" s="23">
        <f t="shared" si="19"/>
        <v>358.5</v>
      </c>
      <c r="AO18" s="23">
        <f t="shared" si="20"/>
        <v>3226.5</v>
      </c>
      <c r="AP18" s="25">
        <f t="shared" si="21"/>
        <v>2217.5148600000002</v>
      </c>
      <c r="AQ18" s="26">
        <f t="shared" si="22"/>
        <v>7705.0995700000003</v>
      </c>
      <c r="AR18" s="26">
        <f t="shared" si="2"/>
        <v>-2520.0054299999993</v>
      </c>
    </row>
    <row r="19" spans="1:44" ht="15.75" customHeight="1">
      <c r="A19" s="16" t="s">
        <v>64</v>
      </c>
      <c r="B19" s="17">
        <v>26</v>
      </c>
      <c r="C19" s="17">
        <v>1</v>
      </c>
      <c r="D19" s="18">
        <v>33848.794999999998</v>
      </c>
      <c r="E19" s="19">
        <v>33</v>
      </c>
      <c r="F19" s="20">
        <v>29042.3</v>
      </c>
      <c r="G19" s="20">
        <v>1117</v>
      </c>
      <c r="H19" s="21">
        <v>1117</v>
      </c>
      <c r="I19" s="22">
        <f t="shared" si="23"/>
        <v>1092.09494</v>
      </c>
      <c r="J19" s="23">
        <f t="shared" si="3"/>
        <v>2209.09494</v>
      </c>
      <c r="K19" s="23">
        <f t="shared" si="4"/>
        <v>110.4</v>
      </c>
      <c r="L19" s="23">
        <f t="shared" si="5"/>
        <v>2098.6949399999999</v>
      </c>
      <c r="M19" s="24">
        <v>10</v>
      </c>
      <c r="N19" s="23">
        <f t="shared" si="24"/>
        <v>220.90949000000001</v>
      </c>
      <c r="O19" s="23">
        <f t="shared" si="6"/>
        <v>11</v>
      </c>
      <c r="P19" s="23">
        <f t="shared" si="7"/>
        <v>209.90949000000001</v>
      </c>
      <c r="Q19" s="24">
        <v>90</v>
      </c>
      <c r="R19" s="23">
        <f t="shared" si="25"/>
        <v>1988.1854499999999</v>
      </c>
      <c r="S19" s="23">
        <f t="shared" si="26"/>
        <v>99.4</v>
      </c>
      <c r="T19" s="23">
        <f t="shared" si="27"/>
        <v>1888.7854500000001</v>
      </c>
      <c r="U19" s="25">
        <f t="shared" si="28"/>
        <v>4201.0457299999998</v>
      </c>
      <c r="V19" s="23">
        <f t="shared" si="10"/>
        <v>210.1</v>
      </c>
      <c r="W19" s="25">
        <f t="shared" si="11"/>
        <v>3990.9457299999999</v>
      </c>
      <c r="X19" s="25">
        <v>603.29999999999995</v>
      </c>
      <c r="Y19" s="25">
        <f t="shared" si="12"/>
        <v>4594.2457299999996</v>
      </c>
      <c r="Z19" s="25">
        <f t="shared" si="13"/>
        <v>6692.9406700000009</v>
      </c>
      <c r="AA19" s="25">
        <v>4291.6545700000006</v>
      </c>
      <c r="AB19" s="25">
        <v>1797.9861000000001</v>
      </c>
      <c r="AC19" s="25"/>
      <c r="AD19" s="25">
        <v>173.34625</v>
      </c>
      <c r="AE19" s="25">
        <v>1560.1163099999999</v>
      </c>
      <c r="AF19" s="25">
        <v>2363.5539900000003</v>
      </c>
      <c r="AG19" s="23">
        <f t="shared" si="0"/>
        <v>1283.9150500000001</v>
      </c>
      <c r="AH19" s="23">
        <f t="shared" si="14"/>
        <v>2400.9</v>
      </c>
      <c r="AI19" s="23">
        <f t="shared" si="15"/>
        <v>240.1</v>
      </c>
      <c r="AJ19" s="23">
        <f t="shared" si="16"/>
        <v>2160.8000000000002</v>
      </c>
      <c r="AK19" s="25">
        <f t="shared" si="17"/>
        <v>1215.44966</v>
      </c>
      <c r="AL19" s="23">
        <f t="shared" si="1"/>
        <v>1283.9150500000001</v>
      </c>
      <c r="AM19" s="23">
        <f t="shared" si="18"/>
        <v>2400.9</v>
      </c>
      <c r="AN19" s="23">
        <f t="shared" si="19"/>
        <v>240.1</v>
      </c>
      <c r="AO19" s="23">
        <f t="shared" si="20"/>
        <v>2160.8000000000002</v>
      </c>
      <c r="AP19" s="25">
        <f t="shared" si="21"/>
        <v>1281.23081</v>
      </c>
      <c r="AQ19" s="26">
        <f t="shared" si="22"/>
        <v>4097.0165500000003</v>
      </c>
      <c r="AR19" s="26">
        <f t="shared" si="2"/>
        <v>-2595.9241200000006</v>
      </c>
    </row>
    <row r="20" spans="1:44" ht="15.75" customHeight="1">
      <c r="A20" s="16" t="s">
        <v>65</v>
      </c>
      <c r="B20" s="29">
        <v>26</v>
      </c>
      <c r="C20" s="29">
        <v>1</v>
      </c>
      <c r="D20" s="18">
        <v>40233.96</v>
      </c>
      <c r="E20" s="19">
        <v>33</v>
      </c>
      <c r="F20" s="20">
        <v>34520.699999999997</v>
      </c>
      <c r="G20" s="20">
        <v>1327.7</v>
      </c>
      <c r="H20" s="21">
        <v>1327.7</v>
      </c>
      <c r="I20" s="22">
        <f t="shared" si="23"/>
        <v>1092.09494</v>
      </c>
      <c r="J20" s="23">
        <f t="shared" si="3"/>
        <v>2419.7949399999998</v>
      </c>
      <c r="K20" s="23">
        <f t="shared" si="4"/>
        <v>121</v>
      </c>
      <c r="L20" s="23">
        <f t="shared" si="5"/>
        <v>2298.7949399999998</v>
      </c>
      <c r="M20" s="24">
        <v>10</v>
      </c>
      <c r="N20" s="23">
        <f t="shared" si="24"/>
        <v>241.97949</v>
      </c>
      <c r="O20" s="23">
        <f t="shared" si="6"/>
        <v>12.1</v>
      </c>
      <c r="P20" s="23">
        <f t="shared" si="7"/>
        <v>229.87949</v>
      </c>
      <c r="Q20" s="24">
        <v>90</v>
      </c>
      <c r="R20" s="23">
        <f t="shared" si="25"/>
        <v>2177.8154500000001</v>
      </c>
      <c r="S20" s="23">
        <f t="shared" si="26"/>
        <v>108.9</v>
      </c>
      <c r="T20" s="23">
        <f t="shared" si="27"/>
        <v>2068.91545</v>
      </c>
      <c r="U20" s="25">
        <f t="shared" si="28"/>
        <v>4201.0457299999998</v>
      </c>
      <c r="V20" s="23">
        <f t="shared" si="10"/>
        <v>210.1</v>
      </c>
      <c r="W20" s="25">
        <f t="shared" si="11"/>
        <v>3990.9457299999999</v>
      </c>
      <c r="X20" s="25">
        <v>1551.3</v>
      </c>
      <c r="Y20" s="25">
        <f t="shared" si="12"/>
        <v>5542.2457299999996</v>
      </c>
      <c r="Z20" s="25">
        <f t="shared" si="13"/>
        <v>7841.0406699999994</v>
      </c>
      <c r="AA20" s="25">
        <v>5101.24917</v>
      </c>
      <c r="AB20" s="25">
        <v>1188.5915000000005</v>
      </c>
      <c r="AC20" s="25"/>
      <c r="AD20" s="25">
        <v>206.04494</v>
      </c>
      <c r="AE20" s="25">
        <v>1854.40444</v>
      </c>
      <c r="AF20" s="25">
        <v>2809.4034700000002</v>
      </c>
      <c r="AG20" s="23">
        <f t="shared" si="0"/>
        <v>1283.9150500000001</v>
      </c>
      <c r="AH20" s="23">
        <f t="shared" si="14"/>
        <v>2611.6</v>
      </c>
      <c r="AI20" s="23">
        <f t="shared" si="15"/>
        <v>261.2</v>
      </c>
      <c r="AJ20" s="23">
        <f t="shared" si="16"/>
        <v>2350.4</v>
      </c>
      <c r="AK20" s="25">
        <f t="shared" si="17"/>
        <v>1215.44966</v>
      </c>
      <c r="AL20" s="23">
        <f t="shared" si="1"/>
        <v>1283.9150500000001</v>
      </c>
      <c r="AM20" s="23">
        <f t="shared" si="18"/>
        <v>2611.6</v>
      </c>
      <c r="AN20" s="23">
        <f t="shared" si="19"/>
        <v>261.2</v>
      </c>
      <c r="AO20" s="23">
        <f t="shared" si="20"/>
        <v>2350.4</v>
      </c>
      <c r="AP20" s="25">
        <f t="shared" si="21"/>
        <v>1281.23081</v>
      </c>
      <c r="AQ20" s="26">
        <f t="shared" si="22"/>
        <v>4869.8528500000002</v>
      </c>
      <c r="AR20" s="26">
        <f t="shared" si="2"/>
        <v>-2971.1878199999992</v>
      </c>
    </row>
    <row r="21" spans="1:44" ht="15.75" customHeight="1">
      <c r="A21" s="16" t="s">
        <v>66</v>
      </c>
      <c r="B21" s="29">
        <v>16</v>
      </c>
      <c r="C21" s="29" t="s">
        <v>59</v>
      </c>
      <c r="D21" s="18">
        <v>25912.95</v>
      </c>
      <c r="E21" s="19">
        <v>33</v>
      </c>
      <c r="F21" s="20">
        <v>13682</v>
      </c>
      <c r="G21" s="20"/>
      <c r="H21" s="21">
        <v>855.1</v>
      </c>
      <c r="I21" s="22">
        <f t="shared" si="23"/>
        <v>672.05841999999996</v>
      </c>
      <c r="J21" s="23">
        <f t="shared" si="3"/>
        <v>1527.15842</v>
      </c>
      <c r="K21" s="23">
        <f t="shared" si="4"/>
        <v>76.3</v>
      </c>
      <c r="L21" s="23">
        <f t="shared" si="5"/>
        <v>1450.85842</v>
      </c>
      <c r="M21" s="24">
        <v>10</v>
      </c>
      <c r="N21" s="23">
        <f t="shared" si="24"/>
        <v>152.71583999999999</v>
      </c>
      <c r="O21" s="23">
        <f t="shared" si="6"/>
        <v>7.6</v>
      </c>
      <c r="P21" s="23">
        <f t="shared" si="7"/>
        <v>145.11583999999999</v>
      </c>
      <c r="Q21" s="24">
        <v>90</v>
      </c>
      <c r="R21" s="23">
        <f t="shared" si="25"/>
        <v>1374.4425799999999</v>
      </c>
      <c r="S21" s="23">
        <f t="shared" si="26"/>
        <v>68.7</v>
      </c>
      <c r="T21" s="23">
        <f t="shared" si="27"/>
        <v>1305.7425800000001</v>
      </c>
      <c r="U21" s="25">
        <f>ROUND((263050.09442)/1628 *B21,5)-0.0089</f>
        <v>2585.2500100000002</v>
      </c>
      <c r="V21" s="23">
        <f t="shared" si="10"/>
        <v>129.30000000000001</v>
      </c>
      <c r="W21" s="25">
        <f t="shared" si="11"/>
        <v>2455.95001</v>
      </c>
      <c r="X21" s="25"/>
      <c r="Y21" s="25">
        <f t="shared" si="12"/>
        <v>2455.95001</v>
      </c>
      <c r="Z21" s="25">
        <f t="shared" si="13"/>
        <v>3906.80843</v>
      </c>
      <c r="AA21" s="25">
        <v>2334.1364599999997</v>
      </c>
      <c r="AB21" s="25">
        <v>1572.5808800000004</v>
      </c>
      <c r="AC21" s="25"/>
      <c r="AD21" s="25">
        <v>112.90755</v>
      </c>
      <c r="AE21" s="25">
        <v>1016.1678999999999</v>
      </c>
      <c r="AF21" s="25">
        <v>1113.48432</v>
      </c>
      <c r="AG21" s="23">
        <f t="shared" si="0"/>
        <v>790.10157000000004</v>
      </c>
      <c r="AH21" s="23">
        <f t="shared" si="14"/>
        <v>1645.2</v>
      </c>
      <c r="AI21" s="23">
        <f t="shared" si="15"/>
        <v>164.5</v>
      </c>
      <c r="AJ21" s="23">
        <f t="shared" si="16"/>
        <v>1480.7</v>
      </c>
      <c r="AK21" s="25">
        <f t="shared" si="17"/>
        <v>747.96902</v>
      </c>
      <c r="AL21" s="23">
        <f t="shared" si="1"/>
        <v>790.10157000000004</v>
      </c>
      <c r="AM21" s="23">
        <f t="shared" si="18"/>
        <v>1645.2</v>
      </c>
      <c r="AN21" s="23">
        <f t="shared" si="19"/>
        <v>164.5</v>
      </c>
      <c r="AO21" s="23">
        <f t="shared" si="20"/>
        <v>1480.7</v>
      </c>
      <c r="AP21" s="25">
        <f t="shared" si="21"/>
        <v>788.44973000000005</v>
      </c>
      <c r="AQ21" s="26">
        <f t="shared" si="22"/>
        <v>2242.5597699999998</v>
      </c>
      <c r="AR21" s="26">
        <f t="shared" si="2"/>
        <v>-1664.2486600000002</v>
      </c>
    </row>
    <row r="22" spans="1:44" ht="15.75" customHeight="1">
      <c r="A22" s="16" t="s">
        <v>67</v>
      </c>
      <c r="B22" s="29">
        <v>9</v>
      </c>
      <c r="C22" s="29" t="s">
        <v>59</v>
      </c>
      <c r="D22" s="18">
        <v>28421.474999999999</v>
      </c>
      <c r="E22" s="19">
        <v>33</v>
      </c>
      <c r="F22" s="20">
        <v>8441.2000000000007</v>
      </c>
      <c r="G22" s="20"/>
      <c r="H22" s="21">
        <v>937.9</v>
      </c>
      <c r="I22" s="22">
        <f t="shared" si="23"/>
        <v>378.03286000000003</v>
      </c>
      <c r="J22" s="23">
        <f t="shared" si="3"/>
        <v>1315.9328599999999</v>
      </c>
      <c r="K22" s="23">
        <f t="shared" si="4"/>
        <v>65.8</v>
      </c>
      <c r="L22" s="23">
        <f t="shared" si="5"/>
        <v>1250.1328599999999</v>
      </c>
      <c r="M22" s="24">
        <v>10</v>
      </c>
      <c r="N22" s="23">
        <f t="shared" si="24"/>
        <v>131.59329</v>
      </c>
      <c r="O22" s="23">
        <f t="shared" si="6"/>
        <v>6.6</v>
      </c>
      <c r="P22" s="23">
        <f t="shared" si="7"/>
        <v>124.99329</v>
      </c>
      <c r="Q22" s="24">
        <v>90</v>
      </c>
      <c r="R22" s="23">
        <f t="shared" si="25"/>
        <v>1184.3395700000001</v>
      </c>
      <c r="S22" s="23">
        <f t="shared" si="26"/>
        <v>59.2</v>
      </c>
      <c r="T22" s="23">
        <f t="shared" si="27"/>
        <v>1125.13957</v>
      </c>
      <c r="U22" s="25">
        <f t="shared" si="28"/>
        <v>1454.20814</v>
      </c>
      <c r="V22" s="23">
        <f t="shared" si="10"/>
        <v>72.7</v>
      </c>
      <c r="W22" s="25">
        <f t="shared" si="11"/>
        <v>1381.5081399999999</v>
      </c>
      <c r="X22" s="25">
        <v>100.2</v>
      </c>
      <c r="Y22" s="25">
        <f t="shared" si="12"/>
        <v>1481.70814</v>
      </c>
      <c r="Z22" s="25">
        <f t="shared" si="13"/>
        <v>2731.8409999999999</v>
      </c>
      <c r="AA22" s="25">
        <v>1829.7637</v>
      </c>
      <c r="AB22" s="25">
        <v>801.85037000000011</v>
      </c>
      <c r="AC22" s="25"/>
      <c r="AD22" s="25">
        <v>108.64139</v>
      </c>
      <c r="AE22" s="25">
        <v>977.77253999999994</v>
      </c>
      <c r="AF22" s="25">
        <v>686.97149000000002</v>
      </c>
      <c r="AG22" s="23">
        <f t="shared" si="0"/>
        <v>444.43212999999997</v>
      </c>
      <c r="AH22" s="23">
        <f t="shared" si="14"/>
        <v>1382.3</v>
      </c>
      <c r="AI22" s="23">
        <f t="shared" si="15"/>
        <v>138.19999999999999</v>
      </c>
      <c r="AJ22" s="23">
        <f t="shared" si="16"/>
        <v>1244.0999999999999</v>
      </c>
      <c r="AK22" s="25">
        <f t="shared" si="17"/>
        <v>420.73257000000001</v>
      </c>
      <c r="AL22" s="23">
        <f t="shared" si="1"/>
        <v>444.43212999999997</v>
      </c>
      <c r="AM22" s="23">
        <f t="shared" si="18"/>
        <v>1382.3</v>
      </c>
      <c r="AN22" s="23">
        <f t="shared" si="19"/>
        <v>138.19999999999999</v>
      </c>
      <c r="AO22" s="23">
        <f t="shared" si="20"/>
        <v>1244.0999999999999</v>
      </c>
      <c r="AP22" s="25">
        <f t="shared" si="21"/>
        <v>443.50297</v>
      </c>
      <c r="AQ22" s="26">
        <f t="shared" si="22"/>
        <v>1773.3854200000001</v>
      </c>
      <c r="AR22" s="26">
        <f t="shared" si="2"/>
        <v>-958.45557999999983</v>
      </c>
    </row>
    <row r="23" spans="1:44" ht="15.75" customHeight="1">
      <c r="A23" s="16" t="s">
        <v>68</v>
      </c>
      <c r="B23" s="17">
        <v>52</v>
      </c>
      <c r="C23" s="17">
        <v>4</v>
      </c>
      <c r="D23" s="18">
        <v>41786.49</v>
      </c>
      <c r="E23" s="19">
        <v>33</v>
      </c>
      <c r="F23" s="20">
        <v>71705.600000000006</v>
      </c>
      <c r="G23" s="20">
        <v>5515.8</v>
      </c>
      <c r="H23" s="21">
        <v>1379</v>
      </c>
      <c r="I23" s="22">
        <f t="shared" si="23"/>
        <v>2184.1898700000002</v>
      </c>
      <c r="J23" s="23">
        <f t="shared" si="3"/>
        <v>3563.1898700000002</v>
      </c>
      <c r="K23" s="23">
        <f t="shared" si="4"/>
        <v>178.10000000000002</v>
      </c>
      <c r="L23" s="23">
        <f t="shared" si="5"/>
        <v>3385.0898700000002</v>
      </c>
      <c r="M23" s="24">
        <v>10</v>
      </c>
      <c r="N23" s="23">
        <f t="shared" si="24"/>
        <v>356.31898999999999</v>
      </c>
      <c r="O23" s="23">
        <f t="shared" si="6"/>
        <v>17.8</v>
      </c>
      <c r="P23" s="23">
        <f t="shared" si="7"/>
        <v>338.51898999999997</v>
      </c>
      <c r="Q23" s="24">
        <v>90</v>
      </c>
      <c r="R23" s="23">
        <f t="shared" si="25"/>
        <v>3206.8708799999999</v>
      </c>
      <c r="S23" s="23">
        <f t="shared" si="26"/>
        <v>160.30000000000001</v>
      </c>
      <c r="T23" s="23">
        <f t="shared" si="27"/>
        <v>3046.5708800000002</v>
      </c>
      <c r="U23" s="25">
        <f t="shared" si="28"/>
        <v>8402.0914699999994</v>
      </c>
      <c r="V23" s="23">
        <f t="shared" si="10"/>
        <v>420.1</v>
      </c>
      <c r="W23" s="25">
        <f t="shared" si="11"/>
        <v>7981.991469999999</v>
      </c>
      <c r="X23" s="25">
        <v>5522.7</v>
      </c>
      <c r="Y23" s="25">
        <f t="shared" si="12"/>
        <v>13504.691469999998</v>
      </c>
      <c r="Z23" s="25">
        <f t="shared" si="13"/>
        <v>16889.781339999998</v>
      </c>
      <c r="AA23" s="25">
        <v>9286.3242000000009</v>
      </c>
      <c r="AB23" s="25">
        <v>2080.6571399999993</v>
      </c>
      <c r="AC23" s="25"/>
      <c r="AD23" s="25">
        <v>296.99935000000005</v>
      </c>
      <c r="AE23" s="25">
        <v>2672.9941100000001</v>
      </c>
      <c r="AF23" s="25">
        <v>5835.6279399999994</v>
      </c>
      <c r="AG23" s="23">
        <f t="shared" si="0"/>
        <v>2567.8300899999999</v>
      </c>
      <c r="AH23" s="23">
        <f t="shared" si="14"/>
        <v>3946.8</v>
      </c>
      <c r="AI23" s="23">
        <f t="shared" si="15"/>
        <v>394.7</v>
      </c>
      <c r="AJ23" s="23">
        <f t="shared" si="16"/>
        <v>3552.1</v>
      </c>
      <c r="AK23" s="25">
        <f t="shared" si="17"/>
        <v>2430.89932</v>
      </c>
      <c r="AL23" s="23">
        <f t="shared" si="1"/>
        <v>2567.8300899999999</v>
      </c>
      <c r="AM23" s="23">
        <f t="shared" si="18"/>
        <v>3946.8</v>
      </c>
      <c r="AN23" s="23">
        <f t="shared" si="19"/>
        <v>394.7</v>
      </c>
      <c r="AO23" s="23">
        <f t="shared" si="20"/>
        <v>3552.1</v>
      </c>
      <c r="AP23" s="25">
        <f t="shared" si="21"/>
        <v>2562.46162</v>
      </c>
      <c r="AQ23" s="26">
        <f t="shared" si="22"/>
        <v>8805.6214</v>
      </c>
      <c r="AR23" s="26">
        <f t="shared" si="2"/>
        <v>-8084.1599399999977</v>
      </c>
    </row>
    <row r="24" spans="1:44" ht="15.75" customHeight="1">
      <c r="A24" s="16" t="s">
        <v>69</v>
      </c>
      <c r="B24" s="17">
        <v>92</v>
      </c>
      <c r="C24" s="17">
        <v>19</v>
      </c>
      <c r="D24" s="18">
        <v>38072</v>
      </c>
      <c r="E24" s="19">
        <v>33</v>
      </c>
      <c r="F24" s="20">
        <v>115586.6</v>
      </c>
      <c r="G24" s="20">
        <v>23871.1</v>
      </c>
      <c r="H24" s="21">
        <v>1256.4000000000001</v>
      </c>
      <c r="I24" s="22">
        <f t="shared" si="23"/>
        <v>3864.3359300000002</v>
      </c>
      <c r="J24" s="23">
        <f t="shared" si="3"/>
        <v>5120.7359300000007</v>
      </c>
      <c r="K24" s="23">
        <f t="shared" si="4"/>
        <v>256</v>
      </c>
      <c r="L24" s="23">
        <f t="shared" si="5"/>
        <v>4864.7359300000007</v>
      </c>
      <c r="M24" s="24">
        <v>10</v>
      </c>
      <c r="N24" s="23">
        <f t="shared" si="24"/>
        <v>512.07358999999997</v>
      </c>
      <c r="O24" s="23">
        <f t="shared" si="6"/>
        <v>25.6</v>
      </c>
      <c r="P24" s="23">
        <f t="shared" si="7"/>
        <v>486.47359</v>
      </c>
      <c r="Q24" s="24">
        <v>90</v>
      </c>
      <c r="R24" s="23">
        <f t="shared" si="25"/>
        <v>4608.6623399999999</v>
      </c>
      <c r="S24" s="23">
        <f t="shared" si="26"/>
        <v>230.4</v>
      </c>
      <c r="T24" s="23">
        <f t="shared" si="27"/>
        <v>4378.2623400000002</v>
      </c>
      <c r="U24" s="25">
        <f t="shared" si="28"/>
        <v>14865.23875</v>
      </c>
      <c r="V24" s="23">
        <f t="shared" si="10"/>
        <v>743.3</v>
      </c>
      <c r="W24" s="25">
        <f t="shared" si="11"/>
        <v>14121.938750000001</v>
      </c>
      <c r="X24" s="25">
        <v>1166.7</v>
      </c>
      <c r="Y24" s="25">
        <f t="shared" si="12"/>
        <v>15288.638750000002</v>
      </c>
      <c r="Z24" s="25">
        <f t="shared" si="13"/>
        <v>20153.374680000001</v>
      </c>
      <c r="AA24" s="25">
        <v>14051.180699999999</v>
      </c>
      <c r="AB24" s="25">
        <v>4935.4939800000011</v>
      </c>
      <c r="AC24" s="25"/>
      <c r="AD24" s="25">
        <v>386.93434000000002</v>
      </c>
      <c r="AE24" s="25">
        <v>3482.40906</v>
      </c>
      <c r="AF24" s="25">
        <v>9406.8021399999998</v>
      </c>
      <c r="AG24" s="23">
        <f t="shared" si="0"/>
        <v>4543.0840099999996</v>
      </c>
      <c r="AH24" s="23">
        <f t="shared" si="14"/>
        <v>5799.5</v>
      </c>
      <c r="AI24" s="23">
        <f t="shared" si="15"/>
        <v>580</v>
      </c>
      <c r="AJ24" s="23">
        <f t="shared" si="16"/>
        <v>5219.6000000000004</v>
      </c>
      <c r="AK24" s="25">
        <f t="shared" si="17"/>
        <v>4300.8218699999998</v>
      </c>
      <c r="AL24" s="23">
        <f t="shared" si="1"/>
        <v>4543.0840099999996</v>
      </c>
      <c r="AM24" s="23">
        <f t="shared" si="18"/>
        <v>5799.5</v>
      </c>
      <c r="AN24" s="23">
        <f t="shared" si="19"/>
        <v>580</v>
      </c>
      <c r="AO24" s="23">
        <f t="shared" si="20"/>
        <v>5219.6000000000004</v>
      </c>
      <c r="AP24" s="25">
        <f t="shared" si="21"/>
        <v>4533.5859399999999</v>
      </c>
      <c r="AQ24" s="26">
        <f t="shared" si="22"/>
        <v>13276.14554</v>
      </c>
      <c r="AR24" s="26">
        <f t="shared" si="2"/>
        <v>-6877.2291400000013</v>
      </c>
    </row>
    <row r="25" spans="1:44" ht="15.75" customHeight="1">
      <c r="A25" s="16" t="s">
        <v>70</v>
      </c>
      <c r="B25" s="17">
        <v>32</v>
      </c>
      <c r="C25" s="17" t="s">
        <v>59</v>
      </c>
      <c r="D25" s="18">
        <v>36613.5</v>
      </c>
      <c r="E25" s="19">
        <v>33</v>
      </c>
      <c r="F25" s="20">
        <v>38663.9</v>
      </c>
      <c r="G25" s="20"/>
      <c r="H25" s="21">
        <v>1208.2</v>
      </c>
      <c r="I25" s="22">
        <f t="shared" si="23"/>
        <v>1344.1168399999999</v>
      </c>
      <c r="J25" s="23">
        <f t="shared" si="3"/>
        <v>2552.31684</v>
      </c>
      <c r="K25" s="23">
        <f t="shared" si="4"/>
        <v>127.7</v>
      </c>
      <c r="L25" s="23">
        <f t="shared" si="5"/>
        <v>2424.6168400000001</v>
      </c>
      <c r="M25" s="24">
        <v>10</v>
      </c>
      <c r="N25" s="23">
        <f t="shared" si="24"/>
        <v>255.23168000000001</v>
      </c>
      <c r="O25" s="23">
        <f t="shared" si="6"/>
        <v>12.8</v>
      </c>
      <c r="P25" s="23">
        <f t="shared" si="7"/>
        <v>242.43168</v>
      </c>
      <c r="Q25" s="24">
        <v>90</v>
      </c>
      <c r="R25" s="23">
        <f t="shared" si="25"/>
        <v>2297.0851600000001</v>
      </c>
      <c r="S25" s="23">
        <f t="shared" si="26"/>
        <v>114.9</v>
      </c>
      <c r="T25" s="23">
        <f t="shared" si="27"/>
        <v>2182.18516</v>
      </c>
      <c r="U25" s="25">
        <f t="shared" si="28"/>
        <v>5170.5178299999998</v>
      </c>
      <c r="V25" s="23">
        <f t="shared" si="10"/>
        <v>258.5</v>
      </c>
      <c r="W25" s="25">
        <f t="shared" si="11"/>
        <v>4912.0178299999998</v>
      </c>
      <c r="X25" s="25"/>
      <c r="Y25" s="25">
        <f t="shared" si="12"/>
        <v>4912.0178299999998</v>
      </c>
      <c r="Z25" s="25">
        <f t="shared" si="13"/>
        <v>7336.6346699999995</v>
      </c>
      <c r="AA25" s="25">
        <v>5448.3981999999996</v>
      </c>
      <c r="AB25" s="25">
        <v>1888.2364699999998</v>
      </c>
      <c r="AC25" s="25"/>
      <c r="AD25" s="25">
        <v>204.28371000000001</v>
      </c>
      <c r="AE25" s="25">
        <v>1838.5533700000001</v>
      </c>
      <c r="AF25" s="25">
        <v>3146.59015</v>
      </c>
      <c r="AG25" s="23">
        <f t="shared" si="0"/>
        <v>1580.2031300000001</v>
      </c>
      <c r="AH25" s="23">
        <f t="shared" si="14"/>
        <v>2788.4</v>
      </c>
      <c r="AI25" s="23">
        <f t="shared" si="15"/>
        <v>278.8</v>
      </c>
      <c r="AJ25" s="23">
        <f t="shared" si="16"/>
        <v>2509.6</v>
      </c>
      <c r="AK25" s="25">
        <f t="shared" si="17"/>
        <v>1495.93804</v>
      </c>
      <c r="AL25" s="23">
        <f t="shared" si="1"/>
        <v>1580.2031300000001</v>
      </c>
      <c r="AM25" s="23">
        <f t="shared" si="18"/>
        <v>2788.4</v>
      </c>
      <c r="AN25" s="23">
        <f t="shared" si="19"/>
        <v>278.8</v>
      </c>
      <c r="AO25" s="23">
        <f t="shared" si="20"/>
        <v>2509.6</v>
      </c>
      <c r="AP25" s="25">
        <f t="shared" si="21"/>
        <v>1576.8994600000001</v>
      </c>
      <c r="AQ25" s="26">
        <f t="shared" si="22"/>
        <v>5189.4272300000002</v>
      </c>
      <c r="AR25" s="26">
        <f t="shared" si="2"/>
        <v>-2147.2074399999992</v>
      </c>
    </row>
    <row r="26" spans="1:44" ht="15.75" customHeight="1">
      <c r="A26" s="16" t="s">
        <v>71</v>
      </c>
      <c r="B26" s="17">
        <v>123</v>
      </c>
      <c r="C26" s="17">
        <v>39</v>
      </c>
      <c r="D26" s="18">
        <v>48469</v>
      </c>
      <c r="E26" s="19">
        <v>33</v>
      </c>
      <c r="F26" s="20">
        <v>196735.7</v>
      </c>
      <c r="G26" s="20">
        <v>62379.6</v>
      </c>
      <c r="H26" s="21">
        <v>1599.5</v>
      </c>
      <c r="I26" s="22">
        <f t="shared" si="23"/>
        <v>5166.4491200000002</v>
      </c>
      <c r="J26" s="23">
        <f t="shared" si="3"/>
        <v>6765.9491200000002</v>
      </c>
      <c r="K26" s="23">
        <f t="shared" si="4"/>
        <v>338.3</v>
      </c>
      <c r="L26" s="23">
        <f t="shared" si="5"/>
        <v>6427.64912</v>
      </c>
      <c r="M26" s="24">
        <v>10</v>
      </c>
      <c r="N26" s="23">
        <f t="shared" si="24"/>
        <v>676.59491000000003</v>
      </c>
      <c r="O26" s="23">
        <f t="shared" si="6"/>
        <v>33.799999999999997</v>
      </c>
      <c r="P26" s="23">
        <f t="shared" si="7"/>
        <v>642.79490999999996</v>
      </c>
      <c r="Q26" s="24">
        <v>90</v>
      </c>
      <c r="R26" s="23">
        <f t="shared" si="25"/>
        <v>6089.3542100000004</v>
      </c>
      <c r="S26" s="23">
        <f t="shared" si="26"/>
        <v>304.5</v>
      </c>
      <c r="T26" s="23">
        <f t="shared" si="27"/>
        <v>5784.8542100000004</v>
      </c>
      <c r="U26" s="25">
        <f t="shared" si="28"/>
        <v>19874.177899999999</v>
      </c>
      <c r="V26" s="23">
        <f t="shared" si="10"/>
        <v>993.7</v>
      </c>
      <c r="W26" s="25">
        <f t="shared" si="11"/>
        <v>18880.477899999998</v>
      </c>
      <c r="X26" s="25">
        <v>7468.9</v>
      </c>
      <c r="Y26" s="25">
        <f t="shared" si="12"/>
        <v>26349.377899999999</v>
      </c>
      <c r="Z26" s="25">
        <f t="shared" si="13"/>
        <v>32777.027020000001</v>
      </c>
      <c r="AA26" s="25">
        <v>23404.154549999999</v>
      </c>
      <c r="AB26" s="25">
        <v>1904.072460000003</v>
      </c>
      <c r="AC26" s="25"/>
      <c r="AD26" s="25">
        <v>607.38434000000007</v>
      </c>
      <c r="AE26" s="25">
        <v>5466.4591199999995</v>
      </c>
      <c r="AF26" s="25">
        <v>16010.9719</v>
      </c>
      <c r="AG26" s="23">
        <f t="shared" si="0"/>
        <v>6073.9058000000005</v>
      </c>
      <c r="AH26" s="23">
        <f t="shared" si="14"/>
        <v>7673.4</v>
      </c>
      <c r="AI26" s="23">
        <f t="shared" si="15"/>
        <v>767.3</v>
      </c>
      <c r="AJ26" s="23">
        <f t="shared" si="16"/>
        <v>6906.1</v>
      </c>
      <c r="AK26" s="25">
        <f t="shared" si="17"/>
        <v>5750.0118499999999</v>
      </c>
      <c r="AL26" s="23">
        <f t="shared" si="1"/>
        <v>6073.9058000000005</v>
      </c>
      <c r="AM26" s="23">
        <f t="shared" si="18"/>
        <v>7673.4</v>
      </c>
      <c r="AN26" s="23">
        <f t="shared" si="19"/>
        <v>767.3</v>
      </c>
      <c r="AO26" s="23">
        <f t="shared" si="20"/>
        <v>6906.1</v>
      </c>
      <c r="AP26" s="25">
        <f t="shared" si="21"/>
        <v>6061.2073</v>
      </c>
      <c r="AQ26" s="26">
        <f t="shared" si="22"/>
        <v>22084.815360000001</v>
      </c>
      <c r="AR26" s="26">
        <f t="shared" si="2"/>
        <v>-10692.211660000001</v>
      </c>
    </row>
    <row r="27" spans="1:44" ht="15.75" customHeight="1">
      <c r="A27" s="16" t="s">
        <v>72</v>
      </c>
      <c r="B27" s="17">
        <v>18</v>
      </c>
      <c r="C27" s="17">
        <v>2</v>
      </c>
      <c r="D27" s="18">
        <v>47729.16</v>
      </c>
      <c r="E27" s="19">
        <v>33</v>
      </c>
      <c r="F27" s="20">
        <v>28351.1</v>
      </c>
      <c r="G27" s="20">
        <v>3150.1</v>
      </c>
      <c r="H27" s="21">
        <v>1575.1</v>
      </c>
      <c r="I27" s="22">
        <f t="shared" si="23"/>
        <v>756.06572000000006</v>
      </c>
      <c r="J27" s="23">
        <f t="shared" si="3"/>
        <v>2331.16572</v>
      </c>
      <c r="K27" s="23">
        <f t="shared" si="4"/>
        <v>116.60000000000001</v>
      </c>
      <c r="L27" s="23">
        <f t="shared" si="5"/>
        <v>2214.5657200000001</v>
      </c>
      <c r="M27" s="24">
        <v>10</v>
      </c>
      <c r="N27" s="23">
        <f t="shared" si="24"/>
        <v>233.11657</v>
      </c>
      <c r="O27" s="23">
        <f t="shared" si="6"/>
        <v>11.7</v>
      </c>
      <c r="P27" s="23">
        <f t="shared" si="7"/>
        <v>221.41657000000001</v>
      </c>
      <c r="Q27" s="24">
        <v>90</v>
      </c>
      <c r="R27" s="23">
        <f t="shared" si="25"/>
        <v>2098.0491499999998</v>
      </c>
      <c r="S27" s="23">
        <f t="shared" si="26"/>
        <v>104.9</v>
      </c>
      <c r="T27" s="23">
        <f t="shared" si="27"/>
        <v>1993.14915</v>
      </c>
      <c r="U27" s="25">
        <f t="shared" si="28"/>
        <v>2908.4162799999999</v>
      </c>
      <c r="V27" s="23">
        <f t="shared" si="10"/>
        <v>145.4</v>
      </c>
      <c r="W27" s="25">
        <f t="shared" si="11"/>
        <v>2763.0162799999998</v>
      </c>
      <c r="X27" s="25">
        <v>17.399999999999999</v>
      </c>
      <c r="Y27" s="25">
        <f t="shared" si="12"/>
        <v>2780.4162799999999</v>
      </c>
      <c r="Z27" s="25">
        <f t="shared" si="13"/>
        <v>4994.982</v>
      </c>
      <c r="AA27" s="25">
        <v>4649.9183400000002</v>
      </c>
      <c r="AB27" s="25">
        <v>327.66366000000016</v>
      </c>
      <c r="AC27" s="25"/>
      <c r="AD27" s="25">
        <v>215.26567</v>
      </c>
      <c r="AE27" s="25">
        <v>1937.3910100000001</v>
      </c>
      <c r="AF27" s="25">
        <v>2307.30195</v>
      </c>
      <c r="AG27" s="23">
        <f t="shared" si="0"/>
        <v>888.86425999999994</v>
      </c>
      <c r="AH27" s="23">
        <f t="shared" si="14"/>
        <v>2464</v>
      </c>
      <c r="AI27" s="23">
        <f t="shared" si="15"/>
        <v>246.4</v>
      </c>
      <c r="AJ27" s="23">
        <f t="shared" si="16"/>
        <v>2217.6</v>
      </c>
      <c r="AK27" s="25">
        <f t="shared" si="17"/>
        <v>841.46514999999999</v>
      </c>
      <c r="AL27" s="23">
        <f t="shared" si="1"/>
        <v>888.86425999999994</v>
      </c>
      <c r="AM27" s="23">
        <f t="shared" si="18"/>
        <v>2464</v>
      </c>
      <c r="AN27" s="23">
        <f t="shared" si="19"/>
        <v>246.4</v>
      </c>
      <c r="AO27" s="23">
        <f t="shared" si="20"/>
        <v>2217.6</v>
      </c>
      <c r="AP27" s="25">
        <f t="shared" si="21"/>
        <v>887.00594999999998</v>
      </c>
      <c r="AQ27" s="26">
        <f t="shared" si="22"/>
        <v>4459.9586300000001</v>
      </c>
      <c r="AR27" s="26">
        <f t="shared" si="2"/>
        <v>-535.02336999999989</v>
      </c>
    </row>
    <row r="28" spans="1:44" s="33" customFormat="1" ht="15.75" customHeight="1">
      <c r="A28" s="30" t="s">
        <v>73</v>
      </c>
      <c r="B28" s="29">
        <v>73</v>
      </c>
      <c r="C28" s="29">
        <v>13</v>
      </c>
      <c r="D28" s="31">
        <v>45930</v>
      </c>
      <c r="E28" s="32">
        <v>33</v>
      </c>
      <c r="F28" s="20">
        <v>110645.4</v>
      </c>
      <c r="G28" s="20">
        <v>19704</v>
      </c>
      <c r="H28" s="21">
        <v>1515.7</v>
      </c>
      <c r="I28" s="22">
        <f t="shared" si="23"/>
        <v>3066.2665499999998</v>
      </c>
      <c r="J28" s="23">
        <f t="shared" si="3"/>
        <v>4581.9665500000001</v>
      </c>
      <c r="K28" s="23">
        <f t="shared" si="4"/>
        <v>229.1</v>
      </c>
      <c r="L28" s="23">
        <f t="shared" si="5"/>
        <v>4352.8665499999997</v>
      </c>
      <c r="M28" s="24">
        <v>10</v>
      </c>
      <c r="N28" s="23">
        <f t="shared" si="24"/>
        <v>458.19666000000001</v>
      </c>
      <c r="O28" s="23">
        <f t="shared" si="6"/>
        <v>22.9</v>
      </c>
      <c r="P28" s="23">
        <f t="shared" si="7"/>
        <v>435.29665999999997</v>
      </c>
      <c r="Q28" s="24">
        <v>90</v>
      </c>
      <c r="R28" s="23">
        <f t="shared" si="25"/>
        <v>4123.7699000000002</v>
      </c>
      <c r="S28" s="23">
        <f t="shared" si="26"/>
        <v>206.2</v>
      </c>
      <c r="T28" s="23">
        <f t="shared" si="27"/>
        <v>3917.5699</v>
      </c>
      <c r="U28" s="25">
        <f t="shared" si="28"/>
        <v>11795.24379</v>
      </c>
      <c r="V28" s="23">
        <f>ROUND(U28*0.05,1)+0.03</f>
        <v>589.82999999999993</v>
      </c>
      <c r="W28" s="25">
        <f t="shared" si="11"/>
        <v>11205.413790000001</v>
      </c>
      <c r="X28" s="25">
        <v>1047.7</v>
      </c>
      <c r="Y28" s="25">
        <f t="shared" si="12"/>
        <v>12253.113790000001</v>
      </c>
      <c r="Z28" s="25">
        <f t="shared" si="13"/>
        <v>16605.980350000002</v>
      </c>
      <c r="AA28" s="25">
        <v>13747.85967</v>
      </c>
      <c r="AB28" s="25">
        <v>1810.5206799999996</v>
      </c>
      <c r="AC28" s="25"/>
      <c r="AD28" s="25">
        <v>400.12924999999996</v>
      </c>
      <c r="AE28" s="25">
        <v>3601.1632100000002</v>
      </c>
      <c r="AF28" s="25">
        <v>9004.6717000000008</v>
      </c>
      <c r="AG28" s="23">
        <f t="shared" si="0"/>
        <v>3604.8384000000001</v>
      </c>
      <c r="AH28" s="23">
        <f t="shared" si="14"/>
        <v>5120.5</v>
      </c>
      <c r="AI28" s="23">
        <f t="shared" si="15"/>
        <v>512.1</v>
      </c>
      <c r="AJ28" s="23">
        <f t="shared" si="16"/>
        <v>4608.5</v>
      </c>
      <c r="AK28" s="25">
        <f t="shared" si="17"/>
        <v>3412.6086599999999</v>
      </c>
      <c r="AL28" s="23">
        <f t="shared" si="1"/>
        <v>3604.8384000000001</v>
      </c>
      <c r="AM28" s="23">
        <f t="shared" si="18"/>
        <v>5120.5</v>
      </c>
      <c r="AN28" s="23">
        <f t="shared" si="19"/>
        <v>512.1</v>
      </c>
      <c r="AO28" s="23">
        <f t="shared" si="20"/>
        <v>4608.5</v>
      </c>
      <c r="AP28" s="25">
        <f t="shared" si="21"/>
        <v>3597.3018900000002</v>
      </c>
      <c r="AQ28" s="26">
        <f t="shared" si="22"/>
        <v>13005.964160000001</v>
      </c>
      <c r="AR28" s="26">
        <f t="shared" si="2"/>
        <v>-3600.0161900000003</v>
      </c>
    </row>
    <row r="29" spans="1:44" s="33" customFormat="1" ht="15.75" customHeight="1">
      <c r="A29" s="30" t="s">
        <v>74</v>
      </c>
      <c r="B29" s="29">
        <v>33</v>
      </c>
      <c r="C29" s="29">
        <v>6</v>
      </c>
      <c r="D29" s="31">
        <v>38872.964999999997</v>
      </c>
      <c r="E29" s="32">
        <v>33</v>
      </c>
      <c r="F29" s="20">
        <v>42332.7</v>
      </c>
      <c r="G29" s="20">
        <v>7696.8</v>
      </c>
      <c r="H29" s="21">
        <v>1282.8</v>
      </c>
      <c r="I29" s="22">
        <f t="shared" si="23"/>
        <v>1386.1205</v>
      </c>
      <c r="J29" s="23">
        <f t="shared" si="3"/>
        <v>2668.9205000000002</v>
      </c>
      <c r="K29" s="23">
        <f t="shared" si="4"/>
        <v>133.4</v>
      </c>
      <c r="L29" s="23">
        <f t="shared" si="5"/>
        <v>2535.5205000000001</v>
      </c>
      <c r="M29" s="24">
        <v>10</v>
      </c>
      <c r="N29" s="23">
        <f t="shared" si="24"/>
        <v>266.89204999999998</v>
      </c>
      <c r="O29" s="23">
        <f t="shared" si="6"/>
        <v>13.3</v>
      </c>
      <c r="P29" s="23">
        <f t="shared" si="7"/>
        <v>253.59205</v>
      </c>
      <c r="Q29" s="24">
        <v>90</v>
      </c>
      <c r="R29" s="23">
        <f t="shared" si="25"/>
        <v>2402.0284499999998</v>
      </c>
      <c r="S29" s="23">
        <f t="shared" si="26"/>
        <v>120.1</v>
      </c>
      <c r="T29" s="23">
        <f t="shared" si="27"/>
        <v>2281.9284499999999</v>
      </c>
      <c r="U29" s="25">
        <f>ROUND((263050.09442)/1628 *B29,5)-0.0366</f>
        <v>5332.0599099999999</v>
      </c>
      <c r="V29" s="23">
        <f t="shared" si="10"/>
        <v>266.60000000000002</v>
      </c>
      <c r="W29" s="25">
        <f t="shared" si="11"/>
        <v>5065.4599099999996</v>
      </c>
      <c r="X29" s="25">
        <v>274.60000000000002</v>
      </c>
      <c r="Y29" s="25">
        <f t="shared" si="12"/>
        <v>5340.0599099999999</v>
      </c>
      <c r="Z29" s="25">
        <f t="shared" si="13"/>
        <v>7875.5804100000005</v>
      </c>
      <c r="AA29" s="25">
        <v>5927.4972299999999</v>
      </c>
      <c r="AB29" s="25">
        <v>1673.5197699999999</v>
      </c>
      <c r="AC29" s="25"/>
      <c r="AD29" s="25">
        <v>219.86377000000002</v>
      </c>
      <c r="AE29" s="25">
        <v>1978.7739199999999</v>
      </c>
      <c r="AF29" s="25">
        <v>3445.16867</v>
      </c>
      <c r="AG29" s="23">
        <f t="shared" si="0"/>
        <v>1629.58448</v>
      </c>
      <c r="AH29" s="23">
        <f t="shared" si="14"/>
        <v>2912.4</v>
      </c>
      <c r="AI29" s="23">
        <f t="shared" si="15"/>
        <v>291.2</v>
      </c>
      <c r="AJ29" s="23">
        <f t="shared" si="16"/>
        <v>2621.1999999999998</v>
      </c>
      <c r="AK29" s="25">
        <f t="shared" si="17"/>
        <v>1542.6861100000001</v>
      </c>
      <c r="AL29" s="23">
        <f t="shared" si="1"/>
        <v>1629.58448</v>
      </c>
      <c r="AM29" s="23">
        <f t="shared" si="18"/>
        <v>2912.4</v>
      </c>
      <c r="AN29" s="23">
        <f t="shared" si="19"/>
        <v>291.2</v>
      </c>
      <c r="AO29" s="23">
        <f t="shared" si="20"/>
        <v>2621.1999999999998</v>
      </c>
      <c r="AP29" s="25">
        <f t="shared" si="21"/>
        <v>1626.1775700000001</v>
      </c>
      <c r="AQ29" s="26">
        <f t="shared" si="22"/>
        <v>5643.8063600000005</v>
      </c>
      <c r="AR29" s="26">
        <f t="shared" si="2"/>
        <v>-2231.77405</v>
      </c>
    </row>
    <row r="30" spans="1:44" s="33" customFormat="1" ht="15.75" customHeight="1">
      <c r="A30" s="30" t="s">
        <v>75</v>
      </c>
      <c r="B30" s="29">
        <v>26</v>
      </c>
      <c r="C30" s="29" t="s">
        <v>59</v>
      </c>
      <c r="D30" s="31">
        <v>36354.770000000004</v>
      </c>
      <c r="E30" s="32">
        <v>33</v>
      </c>
      <c r="F30" s="20">
        <v>31192.400000000001</v>
      </c>
      <c r="G30" s="20"/>
      <c r="H30" s="21">
        <v>1199.7</v>
      </c>
      <c r="I30" s="22">
        <f t="shared" si="23"/>
        <v>1092.09494</v>
      </c>
      <c r="J30" s="23">
        <f t="shared" si="3"/>
        <v>2291.7949399999998</v>
      </c>
      <c r="K30" s="23">
        <f t="shared" si="4"/>
        <v>114.6</v>
      </c>
      <c r="L30" s="23">
        <f t="shared" si="5"/>
        <v>2177.1949399999999</v>
      </c>
      <c r="M30" s="24">
        <v>10</v>
      </c>
      <c r="N30" s="23">
        <f t="shared" si="24"/>
        <v>229.17948999999999</v>
      </c>
      <c r="O30" s="23">
        <f t="shared" si="6"/>
        <v>11.5</v>
      </c>
      <c r="P30" s="23">
        <f t="shared" si="7"/>
        <v>217.67948999999999</v>
      </c>
      <c r="Q30" s="24">
        <v>90</v>
      </c>
      <c r="R30" s="23">
        <f t="shared" si="25"/>
        <v>2062.6154499999998</v>
      </c>
      <c r="S30" s="23">
        <f t="shared" si="26"/>
        <v>103.1</v>
      </c>
      <c r="T30" s="23">
        <f t="shared" si="27"/>
        <v>1959.5154500000001</v>
      </c>
      <c r="U30" s="25">
        <f t="shared" si="28"/>
        <v>4201.0457299999998</v>
      </c>
      <c r="V30" s="23">
        <f t="shared" si="10"/>
        <v>210.1</v>
      </c>
      <c r="W30" s="25">
        <f t="shared" si="11"/>
        <v>3990.9457299999999</v>
      </c>
      <c r="X30" s="25">
        <v>0.1</v>
      </c>
      <c r="Y30" s="25">
        <f t="shared" si="12"/>
        <v>3991.0457299999998</v>
      </c>
      <c r="Z30" s="25">
        <f t="shared" si="13"/>
        <v>6168.240670000001</v>
      </c>
      <c r="AA30" s="25">
        <v>4609.3210600000002</v>
      </c>
      <c r="AB30" s="25">
        <v>1558.9196099999999</v>
      </c>
      <c r="AC30" s="25"/>
      <c r="AD30" s="25">
        <v>186.18012000000002</v>
      </c>
      <c r="AE30" s="25">
        <v>1675.62103</v>
      </c>
      <c r="AF30" s="25">
        <v>2538.5359200000003</v>
      </c>
      <c r="AG30" s="23">
        <f t="shared" si="0"/>
        <v>1283.9150500000001</v>
      </c>
      <c r="AH30" s="23">
        <f t="shared" si="14"/>
        <v>2483.6</v>
      </c>
      <c r="AI30" s="23">
        <f t="shared" si="15"/>
        <v>248.4</v>
      </c>
      <c r="AJ30" s="23">
        <f t="shared" si="16"/>
        <v>2235.1999999999998</v>
      </c>
      <c r="AK30" s="25">
        <f t="shared" si="17"/>
        <v>1215.44966</v>
      </c>
      <c r="AL30" s="23">
        <f t="shared" si="1"/>
        <v>1283.9150500000001</v>
      </c>
      <c r="AM30" s="23">
        <f t="shared" si="18"/>
        <v>2483.6</v>
      </c>
      <c r="AN30" s="23">
        <f t="shared" si="19"/>
        <v>248.4</v>
      </c>
      <c r="AO30" s="23">
        <f t="shared" si="20"/>
        <v>2235.1999999999998</v>
      </c>
      <c r="AP30" s="25">
        <f t="shared" si="21"/>
        <v>1281.23081</v>
      </c>
      <c r="AQ30" s="26">
        <f t="shared" si="22"/>
        <v>4400.3370700000005</v>
      </c>
      <c r="AR30" s="26">
        <f t="shared" si="2"/>
        <v>-1767.9036000000006</v>
      </c>
    </row>
    <row r="31" spans="1:44" s="33" customFormat="1" ht="15.75" customHeight="1">
      <c r="A31" s="30" t="s">
        <v>76</v>
      </c>
      <c r="B31" s="29">
        <v>470</v>
      </c>
      <c r="C31" s="29">
        <v>285</v>
      </c>
      <c r="D31" s="31">
        <v>69284.255000000005</v>
      </c>
      <c r="E31" s="32">
        <v>33</v>
      </c>
      <c r="F31" s="20">
        <v>1074598.8</v>
      </c>
      <c r="G31" s="20">
        <v>651618.4</v>
      </c>
      <c r="H31" s="21">
        <v>2286.4</v>
      </c>
      <c r="I31" s="22">
        <f t="shared" si="23"/>
        <v>19741.71615</v>
      </c>
      <c r="J31" s="23">
        <f t="shared" si="3"/>
        <v>22028.116150000002</v>
      </c>
      <c r="K31" s="23">
        <f t="shared" si="4"/>
        <v>1101.3999999999999</v>
      </c>
      <c r="L31" s="23">
        <f t="shared" si="5"/>
        <v>20926.71615</v>
      </c>
      <c r="M31" s="24">
        <v>10</v>
      </c>
      <c r="N31" s="23">
        <f t="shared" si="24"/>
        <v>2202.8116199999999</v>
      </c>
      <c r="O31" s="23">
        <f t="shared" si="6"/>
        <v>110.1</v>
      </c>
      <c r="P31" s="23">
        <f t="shared" si="7"/>
        <v>2092.71162</v>
      </c>
      <c r="Q31" s="24">
        <v>90</v>
      </c>
      <c r="R31" s="23">
        <f t="shared" si="25"/>
        <v>19825.304540000001</v>
      </c>
      <c r="S31" s="23">
        <f t="shared" si="26"/>
        <v>991.3</v>
      </c>
      <c r="T31" s="23">
        <f t="shared" si="27"/>
        <v>18834.004540000002</v>
      </c>
      <c r="U31" s="25">
        <f>ROUND((263050.09442)/1628 *B31,5)-0.03</f>
        <v>75941.950580000004</v>
      </c>
      <c r="V31" s="23">
        <f>ROUND(U31*0.05,1)-0.1</f>
        <v>3797</v>
      </c>
      <c r="W31" s="25">
        <f t="shared" si="11"/>
        <v>72144.950580000004</v>
      </c>
      <c r="X31" s="25"/>
      <c r="Y31" s="25">
        <f t="shared" si="12"/>
        <v>72144.950580000004</v>
      </c>
      <c r="Z31" s="25">
        <f t="shared" si="13"/>
        <v>93071.666740000015</v>
      </c>
      <c r="AA31" s="25">
        <v>121710.85047999999</v>
      </c>
      <c r="AB31" s="25">
        <v>-28639.153749999998</v>
      </c>
      <c r="AC31" s="25"/>
      <c r="AD31" s="25">
        <v>2704.8425099999999</v>
      </c>
      <c r="AE31" s="25">
        <v>24343.58253</v>
      </c>
      <c r="AF31" s="25">
        <v>87454.240319999997</v>
      </c>
      <c r="AG31" s="23">
        <f t="shared" si="0"/>
        <v>23209.233540000001</v>
      </c>
      <c r="AH31" s="23">
        <f t="shared" si="14"/>
        <v>25495.599999999999</v>
      </c>
      <c r="AI31" s="23">
        <f t="shared" si="15"/>
        <v>2549.6</v>
      </c>
      <c r="AJ31" s="23">
        <f t="shared" si="16"/>
        <v>22946</v>
      </c>
      <c r="AK31" s="25">
        <f t="shared" si="17"/>
        <v>21971.58999</v>
      </c>
      <c r="AL31" s="23">
        <f t="shared" si="1"/>
        <v>23209.233540000001</v>
      </c>
      <c r="AM31" s="23">
        <f t="shared" si="18"/>
        <v>25495.599999999999</v>
      </c>
      <c r="AN31" s="23">
        <f t="shared" si="19"/>
        <v>2549.6</v>
      </c>
      <c r="AO31" s="23">
        <f t="shared" si="20"/>
        <v>22946</v>
      </c>
      <c r="AP31" s="25">
        <f t="shared" si="21"/>
        <v>23160.710800000001</v>
      </c>
      <c r="AQ31" s="26">
        <f t="shared" si="22"/>
        <v>114502.66536</v>
      </c>
      <c r="AR31" s="26">
        <f t="shared" si="2"/>
        <v>21430.998619999984</v>
      </c>
    </row>
    <row r="32" spans="1:44" ht="15.75" customHeight="1">
      <c r="A32" s="16" t="s">
        <v>77</v>
      </c>
      <c r="B32" s="17">
        <v>198</v>
      </c>
      <c r="C32" s="17">
        <v>152</v>
      </c>
      <c r="D32" s="18">
        <v>72153.760000000009</v>
      </c>
      <c r="E32" s="19">
        <v>33</v>
      </c>
      <c r="F32" s="20">
        <v>471452.7</v>
      </c>
      <c r="G32" s="20">
        <v>361923.3</v>
      </c>
      <c r="H32" s="21">
        <v>2381.1</v>
      </c>
      <c r="I32" s="22">
        <f t="shared" si="23"/>
        <v>8316.7229700000007</v>
      </c>
      <c r="J32" s="23">
        <f t="shared" si="3"/>
        <v>10697.822970000001</v>
      </c>
      <c r="K32" s="23">
        <f t="shared" si="4"/>
        <v>534.9</v>
      </c>
      <c r="L32" s="23">
        <f t="shared" si="5"/>
        <v>10162.922970000001</v>
      </c>
      <c r="M32" s="24">
        <v>10</v>
      </c>
      <c r="N32" s="23">
        <f t="shared" si="24"/>
        <v>1069.7823000000001</v>
      </c>
      <c r="O32" s="23">
        <f t="shared" si="6"/>
        <v>53.5</v>
      </c>
      <c r="P32" s="23">
        <f t="shared" si="7"/>
        <v>1016.2823</v>
      </c>
      <c r="Q32" s="24">
        <v>90</v>
      </c>
      <c r="R32" s="23">
        <f t="shared" si="25"/>
        <v>9628.0406700000003</v>
      </c>
      <c r="S32" s="23">
        <f t="shared" si="26"/>
        <v>481.4</v>
      </c>
      <c r="T32" s="23">
        <f t="shared" si="27"/>
        <v>9146.6406700000007</v>
      </c>
      <c r="U32" s="25">
        <f t="shared" si="28"/>
        <v>31992.57905</v>
      </c>
      <c r="V32" s="23">
        <f t="shared" si="10"/>
        <v>1599.6</v>
      </c>
      <c r="W32" s="25">
        <f t="shared" si="11"/>
        <v>30392.979050000002</v>
      </c>
      <c r="X32" s="25">
        <v>294.5</v>
      </c>
      <c r="Y32" s="25">
        <f t="shared" si="12"/>
        <v>30687.479050000002</v>
      </c>
      <c r="Z32" s="25">
        <f t="shared" si="13"/>
        <v>40850.402020000001</v>
      </c>
      <c r="AA32" s="25">
        <v>54706.509339999997</v>
      </c>
      <c r="AB32" s="25">
        <v>-14150.607309999999</v>
      </c>
      <c r="AC32" s="25"/>
      <c r="AD32" s="25">
        <v>1317.59043</v>
      </c>
      <c r="AE32" s="25">
        <v>11858.31381</v>
      </c>
      <c r="AF32" s="25">
        <v>38368.307990000001</v>
      </c>
      <c r="AG32" s="23">
        <f t="shared" si="0"/>
        <v>9777.5068900000006</v>
      </c>
      <c r="AH32" s="23">
        <f t="shared" si="14"/>
        <v>12158.6</v>
      </c>
      <c r="AI32" s="23">
        <f t="shared" si="15"/>
        <v>1215.9000000000001</v>
      </c>
      <c r="AJ32" s="23">
        <f t="shared" si="16"/>
        <v>10942.7</v>
      </c>
      <c r="AK32" s="25">
        <f t="shared" si="17"/>
        <v>9256.1166400000002</v>
      </c>
      <c r="AL32" s="23">
        <f t="shared" si="1"/>
        <v>9777.5068900000006</v>
      </c>
      <c r="AM32" s="23">
        <f t="shared" si="18"/>
        <v>12158.6</v>
      </c>
      <c r="AN32" s="23">
        <f t="shared" si="19"/>
        <v>1215.9000000000001</v>
      </c>
      <c r="AO32" s="23">
        <f t="shared" si="20"/>
        <v>10942.7</v>
      </c>
      <c r="AP32" s="25">
        <f t="shared" si="21"/>
        <v>9757.0653999999995</v>
      </c>
      <c r="AQ32" s="26">
        <f t="shared" si="22"/>
        <v>51544.212230000005</v>
      </c>
      <c r="AR32" s="26">
        <f t="shared" si="2"/>
        <v>10693.810210000003</v>
      </c>
    </row>
    <row r="33" spans="1:44" ht="15.75" customHeight="1">
      <c r="A33" s="16" t="s">
        <v>78</v>
      </c>
      <c r="B33" s="17">
        <v>68</v>
      </c>
      <c r="C33" s="17">
        <v>32</v>
      </c>
      <c r="D33" s="18">
        <v>43405.22</v>
      </c>
      <c r="E33" s="19">
        <v>33</v>
      </c>
      <c r="F33" s="20">
        <v>97401.3</v>
      </c>
      <c r="G33" s="20">
        <v>45835.9</v>
      </c>
      <c r="H33" s="21">
        <v>1432.4</v>
      </c>
      <c r="I33" s="22">
        <f t="shared" si="23"/>
        <v>2856.24829</v>
      </c>
      <c r="J33" s="23">
        <f t="shared" si="3"/>
        <v>4288.6482900000001</v>
      </c>
      <c r="K33" s="23">
        <f t="shared" si="4"/>
        <v>214.4</v>
      </c>
      <c r="L33" s="23">
        <f t="shared" si="5"/>
        <v>4074.24829</v>
      </c>
      <c r="M33" s="24">
        <v>10</v>
      </c>
      <c r="N33" s="23">
        <f t="shared" si="24"/>
        <v>428.86482999999998</v>
      </c>
      <c r="O33" s="23">
        <f t="shared" si="6"/>
        <v>21.4</v>
      </c>
      <c r="P33" s="23">
        <f t="shared" si="7"/>
        <v>407.46483000000001</v>
      </c>
      <c r="Q33" s="24">
        <v>90</v>
      </c>
      <c r="R33" s="23">
        <f t="shared" si="25"/>
        <v>3859.7834600000001</v>
      </c>
      <c r="S33" s="23">
        <f t="shared" si="26"/>
        <v>193</v>
      </c>
      <c r="T33" s="23">
        <f t="shared" si="27"/>
        <v>3666.7834600000001</v>
      </c>
      <c r="U33" s="25">
        <f t="shared" si="28"/>
        <v>10987.35038</v>
      </c>
      <c r="V33" s="23">
        <f t="shared" si="10"/>
        <v>549.4</v>
      </c>
      <c r="W33" s="25">
        <f t="shared" si="11"/>
        <v>10437.95038</v>
      </c>
      <c r="X33" s="25">
        <v>2934.3</v>
      </c>
      <c r="Y33" s="25">
        <f t="shared" si="12"/>
        <v>13372.250380000001</v>
      </c>
      <c r="Z33" s="25">
        <f t="shared" si="13"/>
        <v>17446.498670000001</v>
      </c>
      <c r="AA33" s="25">
        <v>12195.568520000001</v>
      </c>
      <c r="AB33" s="25">
        <v>2316.5301599999984</v>
      </c>
      <c r="AC33" s="25"/>
      <c r="AD33" s="25">
        <v>361.55640999999997</v>
      </c>
      <c r="AE33" s="25">
        <v>3254.0077299999998</v>
      </c>
      <c r="AF33" s="25">
        <v>7926.8250599999992</v>
      </c>
      <c r="AG33" s="23">
        <f t="shared" si="0"/>
        <v>3357.9316600000002</v>
      </c>
      <c r="AH33" s="23">
        <f t="shared" si="14"/>
        <v>4790.3</v>
      </c>
      <c r="AI33" s="23">
        <f t="shared" si="15"/>
        <v>479</v>
      </c>
      <c r="AJ33" s="23">
        <f t="shared" si="16"/>
        <v>4311.3</v>
      </c>
      <c r="AK33" s="25">
        <f t="shared" si="17"/>
        <v>3178.86834</v>
      </c>
      <c r="AL33" s="23">
        <f t="shared" si="1"/>
        <v>3357.9316600000002</v>
      </c>
      <c r="AM33" s="23">
        <f t="shared" si="18"/>
        <v>4790.3</v>
      </c>
      <c r="AN33" s="23">
        <f t="shared" si="19"/>
        <v>479</v>
      </c>
      <c r="AO33" s="23">
        <f t="shared" si="20"/>
        <v>4311.3</v>
      </c>
      <c r="AP33" s="25">
        <f t="shared" si="21"/>
        <v>3350.9113499999999</v>
      </c>
      <c r="AQ33" s="26">
        <f t="shared" si="22"/>
        <v>11542.3892</v>
      </c>
      <c r="AR33" s="26">
        <f t="shared" si="2"/>
        <v>-5904.1094700000012</v>
      </c>
    </row>
    <row r="34" spans="1:44" ht="15.75" customHeight="1">
      <c r="A34" s="16" t="s">
        <v>79</v>
      </c>
      <c r="B34" s="17">
        <v>36</v>
      </c>
      <c r="C34" s="17">
        <v>15</v>
      </c>
      <c r="D34" s="18">
        <v>41337.660000000003</v>
      </c>
      <c r="E34" s="19">
        <v>33</v>
      </c>
      <c r="F34" s="20">
        <v>49109.1</v>
      </c>
      <c r="G34" s="20">
        <v>20462.099999999999</v>
      </c>
      <c r="H34" s="21">
        <v>1364.1</v>
      </c>
      <c r="I34" s="22">
        <f t="shared" si="23"/>
        <v>1512.1314500000001</v>
      </c>
      <c r="J34" s="23">
        <f t="shared" si="3"/>
        <v>2876.2314500000002</v>
      </c>
      <c r="K34" s="23">
        <f t="shared" si="4"/>
        <v>143.80000000000001</v>
      </c>
      <c r="L34" s="23">
        <f t="shared" si="5"/>
        <v>2732.43145</v>
      </c>
      <c r="M34" s="24">
        <v>10</v>
      </c>
      <c r="N34" s="23">
        <f t="shared" si="24"/>
        <v>287.62315000000001</v>
      </c>
      <c r="O34" s="23">
        <f t="shared" si="6"/>
        <v>14.4</v>
      </c>
      <c r="P34" s="23">
        <f t="shared" si="7"/>
        <v>273.22314999999998</v>
      </c>
      <c r="Q34" s="24">
        <v>90</v>
      </c>
      <c r="R34" s="23">
        <f t="shared" si="25"/>
        <v>2588.6083100000001</v>
      </c>
      <c r="S34" s="23">
        <f t="shared" si="26"/>
        <v>129.4</v>
      </c>
      <c r="T34" s="23">
        <f t="shared" si="27"/>
        <v>2459.20831</v>
      </c>
      <c r="U34" s="25">
        <f t="shared" si="28"/>
        <v>5816.8325500000001</v>
      </c>
      <c r="V34" s="23">
        <f t="shared" si="10"/>
        <v>290.8</v>
      </c>
      <c r="W34" s="25">
        <f t="shared" si="11"/>
        <v>5526.0325499999999</v>
      </c>
      <c r="X34" s="25">
        <v>9911.7999999999993</v>
      </c>
      <c r="Y34" s="25">
        <f t="shared" si="12"/>
        <v>15437.832549999999</v>
      </c>
      <c r="Z34" s="25">
        <f t="shared" si="13"/>
        <v>18170.264009999999</v>
      </c>
      <c r="AA34" s="25">
        <v>6758.581470000001</v>
      </c>
      <c r="AB34" s="25">
        <v>1499.8825399999987</v>
      </c>
      <c r="AC34" s="25"/>
      <c r="AD34" s="25">
        <v>243.27423999999999</v>
      </c>
      <c r="AE34" s="25">
        <v>2189.4682200000002</v>
      </c>
      <c r="AF34" s="25">
        <v>3996.6534800000004</v>
      </c>
      <c r="AG34" s="23">
        <f t="shared" si="0"/>
        <v>1777.7285300000001</v>
      </c>
      <c r="AH34" s="23">
        <f t="shared" si="14"/>
        <v>3141.8</v>
      </c>
      <c r="AI34" s="23">
        <f t="shared" si="15"/>
        <v>314.2</v>
      </c>
      <c r="AJ34" s="23">
        <f t="shared" si="16"/>
        <v>2827.6</v>
      </c>
      <c r="AK34" s="25">
        <f t="shared" si="17"/>
        <v>1682.9303</v>
      </c>
      <c r="AL34" s="23">
        <f t="shared" si="1"/>
        <v>1777.7285300000001</v>
      </c>
      <c r="AM34" s="23">
        <f t="shared" si="18"/>
        <v>3141.8</v>
      </c>
      <c r="AN34" s="23">
        <f t="shared" si="19"/>
        <v>314.2</v>
      </c>
      <c r="AO34" s="23">
        <f t="shared" si="20"/>
        <v>2827.6</v>
      </c>
      <c r="AP34" s="25">
        <f t="shared" si="21"/>
        <v>1774.01189</v>
      </c>
      <c r="AQ34" s="26">
        <f t="shared" si="22"/>
        <v>6429.3959400000003</v>
      </c>
      <c r="AR34" s="26">
        <f t="shared" si="2"/>
        <v>-11740.868069999999</v>
      </c>
    </row>
    <row r="35" spans="1:44" ht="15.75" customHeight="1">
      <c r="A35" s="16" t="s">
        <v>80</v>
      </c>
      <c r="B35" s="17">
        <v>18</v>
      </c>
      <c r="C35" s="17">
        <v>6</v>
      </c>
      <c r="D35" s="18">
        <v>35821.5</v>
      </c>
      <c r="E35" s="19">
        <v>33</v>
      </c>
      <c r="F35" s="20">
        <v>21278</v>
      </c>
      <c r="G35" s="20">
        <v>7092.7</v>
      </c>
      <c r="H35" s="21">
        <v>1182.0999999999999</v>
      </c>
      <c r="I35" s="22">
        <f t="shared" si="23"/>
        <v>756.06572000000006</v>
      </c>
      <c r="J35" s="23">
        <f t="shared" si="3"/>
        <v>1938.16572</v>
      </c>
      <c r="K35" s="23">
        <f t="shared" si="4"/>
        <v>96.9</v>
      </c>
      <c r="L35" s="23">
        <f t="shared" si="5"/>
        <v>1841.2657199999999</v>
      </c>
      <c r="M35" s="24">
        <v>10</v>
      </c>
      <c r="N35" s="23">
        <f t="shared" si="24"/>
        <v>193.81657000000001</v>
      </c>
      <c r="O35" s="23">
        <f t="shared" si="6"/>
        <v>9.6999999999999993</v>
      </c>
      <c r="P35" s="23">
        <f t="shared" si="7"/>
        <v>184.11657</v>
      </c>
      <c r="Q35" s="24">
        <v>90</v>
      </c>
      <c r="R35" s="23">
        <f t="shared" si="25"/>
        <v>1744.34915</v>
      </c>
      <c r="S35" s="23">
        <f t="shared" si="26"/>
        <v>87.2</v>
      </c>
      <c r="T35" s="23">
        <f t="shared" si="27"/>
        <v>1657.14915</v>
      </c>
      <c r="U35" s="25">
        <f t="shared" si="28"/>
        <v>2908.4162799999999</v>
      </c>
      <c r="V35" s="23">
        <f t="shared" si="10"/>
        <v>145.4</v>
      </c>
      <c r="W35" s="25">
        <f t="shared" si="11"/>
        <v>2763.0162799999998</v>
      </c>
      <c r="X35" s="25">
        <v>621.6</v>
      </c>
      <c r="Y35" s="25">
        <f t="shared" si="12"/>
        <v>3384.6162799999997</v>
      </c>
      <c r="Z35" s="25">
        <f t="shared" si="13"/>
        <v>5225.8819999999996</v>
      </c>
      <c r="AA35" s="25">
        <v>3489.79196</v>
      </c>
      <c r="AB35" s="25">
        <v>1114.4900400000001</v>
      </c>
      <c r="AC35" s="25"/>
      <c r="AD35" s="25">
        <v>161.55685</v>
      </c>
      <c r="AE35" s="25">
        <v>1454.01163</v>
      </c>
      <c r="AF35" s="25">
        <v>1731.67076</v>
      </c>
      <c r="AG35" s="23">
        <f t="shared" si="0"/>
        <v>888.86425999999994</v>
      </c>
      <c r="AH35" s="23">
        <f t="shared" si="14"/>
        <v>2071</v>
      </c>
      <c r="AI35" s="23">
        <f t="shared" si="15"/>
        <v>207.1</v>
      </c>
      <c r="AJ35" s="23">
        <f t="shared" si="16"/>
        <v>1863.9</v>
      </c>
      <c r="AK35" s="25">
        <f t="shared" si="17"/>
        <v>841.46514999999999</v>
      </c>
      <c r="AL35" s="23">
        <f t="shared" si="1"/>
        <v>888.86425999999994</v>
      </c>
      <c r="AM35" s="23">
        <f t="shared" si="18"/>
        <v>2071</v>
      </c>
      <c r="AN35" s="23">
        <f t="shared" si="19"/>
        <v>207.1</v>
      </c>
      <c r="AO35" s="23">
        <f t="shared" si="20"/>
        <v>1863.9</v>
      </c>
      <c r="AP35" s="25">
        <f t="shared" si="21"/>
        <v>887.00594999999998</v>
      </c>
      <c r="AQ35" s="26">
        <f t="shared" si="22"/>
        <v>3347.2392399999999</v>
      </c>
      <c r="AR35" s="26">
        <f t="shared" si="2"/>
        <v>-1878.6427599999997</v>
      </c>
    </row>
    <row r="36" spans="1:44" ht="15.75" customHeight="1">
      <c r="A36" s="16" t="s">
        <v>81</v>
      </c>
      <c r="B36" s="17">
        <v>4</v>
      </c>
      <c r="C36" s="17">
        <v>1</v>
      </c>
      <c r="D36" s="18">
        <v>41812</v>
      </c>
      <c r="E36" s="19">
        <v>33</v>
      </c>
      <c r="F36" s="20">
        <v>5519.2</v>
      </c>
      <c r="G36" s="20">
        <v>1379.8</v>
      </c>
      <c r="H36" s="21">
        <v>1379.8</v>
      </c>
      <c r="I36" s="22">
        <f t="shared" si="23"/>
        <v>168.01461</v>
      </c>
      <c r="J36" s="23">
        <f t="shared" si="3"/>
        <v>1547.8146099999999</v>
      </c>
      <c r="K36" s="23">
        <f t="shared" si="4"/>
        <v>77.400000000000006</v>
      </c>
      <c r="L36" s="23">
        <f t="shared" si="5"/>
        <v>1470.4146099999998</v>
      </c>
      <c r="M36" s="24">
        <v>10</v>
      </c>
      <c r="N36" s="23">
        <f t="shared" si="24"/>
        <v>154.78146000000001</v>
      </c>
      <c r="O36" s="23">
        <f t="shared" si="6"/>
        <v>7.7</v>
      </c>
      <c r="P36" s="23">
        <f t="shared" si="7"/>
        <v>147.08145999999999</v>
      </c>
      <c r="Q36" s="24">
        <v>90</v>
      </c>
      <c r="R36" s="23">
        <f t="shared" si="25"/>
        <v>1393.03315</v>
      </c>
      <c r="S36" s="23">
        <f t="shared" si="26"/>
        <v>69.7</v>
      </c>
      <c r="T36" s="23">
        <f t="shared" si="27"/>
        <v>1323.3331499999999</v>
      </c>
      <c r="U36" s="25">
        <f t="shared" si="28"/>
        <v>646.31473000000005</v>
      </c>
      <c r="V36" s="23">
        <f t="shared" si="10"/>
        <v>32.299999999999997</v>
      </c>
      <c r="W36" s="25">
        <f t="shared" si="11"/>
        <v>614.0147300000001</v>
      </c>
      <c r="X36" s="25">
        <v>217.6</v>
      </c>
      <c r="Y36" s="25">
        <f t="shared" si="12"/>
        <v>831.61473000000012</v>
      </c>
      <c r="Z36" s="25">
        <f t="shared" si="13"/>
        <v>2302.0293399999996</v>
      </c>
      <c r="AA36" s="25">
        <v>1924.5113799999999</v>
      </c>
      <c r="AB36" s="25">
        <v>160.01794999999993</v>
      </c>
      <c r="AC36" s="25"/>
      <c r="AD36" s="25">
        <v>143.85764</v>
      </c>
      <c r="AE36" s="25">
        <v>1294.7186799999999</v>
      </c>
      <c r="AF36" s="25">
        <v>449.16991000000002</v>
      </c>
      <c r="AG36" s="23">
        <f t="shared" si="0"/>
        <v>197.52538999999999</v>
      </c>
      <c r="AH36" s="23">
        <f t="shared" si="14"/>
        <v>1577.3</v>
      </c>
      <c r="AI36" s="23">
        <f t="shared" si="15"/>
        <v>157.69999999999999</v>
      </c>
      <c r="AJ36" s="23">
        <f t="shared" si="16"/>
        <v>1419.6</v>
      </c>
      <c r="AK36" s="25">
        <f t="shared" si="17"/>
        <v>186.99225999999999</v>
      </c>
      <c r="AL36" s="23">
        <f t="shared" si="1"/>
        <v>197.52538999999999</v>
      </c>
      <c r="AM36" s="23">
        <f t="shared" si="18"/>
        <v>1577.3</v>
      </c>
      <c r="AN36" s="23">
        <f t="shared" si="19"/>
        <v>157.69999999999999</v>
      </c>
      <c r="AO36" s="23">
        <f t="shared" si="20"/>
        <v>1419.6</v>
      </c>
      <c r="AP36" s="25">
        <f t="shared" si="21"/>
        <v>197.11242999999999</v>
      </c>
      <c r="AQ36" s="26">
        <f t="shared" si="22"/>
        <v>1887.74623</v>
      </c>
      <c r="AR36" s="26">
        <f t="shared" si="2"/>
        <v>-414.28310999999962</v>
      </c>
    </row>
    <row r="37" spans="1:44" ht="22.5" customHeight="1">
      <c r="A37" s="16" t="s">
        <v>82</v>
      </c>
      <c r="B37" s="17"/>
      <c r="C37" s="17"/>
      <c r="D37" s="34"/>
      <c r="E37" s="19"/>
      <c r="F37" s="20"/>
      <c r="G37" s="20"/>
      <c r="H37" s="21"/>
      <c r="I37" s="22"/>
      <c r="J37" s="23"/>
      <c r="K37" s="23"/>
      <c r="L37" s="23">
        <f>K38</f>
        <v>5100.5999999999985</v>
      </c>
      <c r="M37" s="24"/>
      <c r="N37" s="23"/>
      <c r="O37" s="23"/>
      <c r="P37" s="23">
        <f>O38</f>
        <v>509.99999999999989</v>
      </c>
      <c r="Q37" s="24"/>
      <c r="R37" s="23"/>
      <c r="S37" s="23"/>
      <c r="T37" s="23">
        <f>S38</f>
        <v>4590.5999999999985</v>
      </c>
      <c r="U37" s="23"/>
      <c r="V37" s="25"/>
      <c r="W37" s="25">
        <v>13152.7</v>
      </c>
      <c r="X37" s="25"/>
      <c r="Y37" s="25">
        <f t="shared" si="12"/>
        <v>13152.7</v>
      </c>
      <c r="Z37" s="25">
        <f t="shared" si="13"/>
        <v>18253.3</v>
      </c>
      <c r="AA37" s="25">
        <v>18253.130000000005</v>
      </c>
      <c r="AB37" s="25">
        <v>-0.5300000000061118</v>
      </c>
      <c r="AC37" s="25"/>
      <c r="AD37" s="25">
        <v>513.01608999999996</v>
      </c>
      <c r="AE37" s="25">
        <v>4617.1450299999988</v>
      </c>
      <c r="AF37" s="25">
        <v>12123.73249</v>
      </c>
      <c r="AG37" s="23"/>
      <c r="AH37" s="23"/>
      <c r="AI37" s="23"/>
      <c r="AJ37" s="23"/>
      <c r="AK37" s="25"/>
      <c r="AL37" s="23"/>
      <c r="AM37" s="23"/>
      <c r="AN37" s="23"/>
      <c r="AO37" s="23"/>
      <c r="AP37" s="25"/>
      <c r="AQ37" s="26">
        <f t="shared" si="22"/>
        <v>17253.893609999999</v>
      </c>
      <c r="AR37" s="26">
        <f t="shared" si="2"/>
        <v>-999.4063900000001</v>
      </c>
    </row>
    <row r="38" spans="1:44" ht="44.45" customHeight="1">
      <c r="A38" s="35" t="s">
        <v>83</v>
      </c>
      <c r="B38" s="36">
        <v>1628</v>
      </c>
      <c r="C38" s="36">
        <v>648</v>
      </c>
      <c r="D38" s="92">
        <v>40765.267599999999</v>
      </c>
      <c r="E38" s="37">
        <v>33</v>
      </c>
      <c r="F38" s="38">
        <v>2830450.3000000003</v>
      </c>
      <c r="G38" s="38">
        <v>1308923.2</v>
      </c>
      <c r="H38" s="39">
        <v>33631.5</v>
      </c>
      <c r="I38" s="41">
        <f>SUM(I12:I36)</f>
        <v>68381.944440000007</v>
      </c>
      <c r="J38" s="41">
        <f t="shared" ref="J38:V38" si="29">SUM(J12:J36)</f>
        <v>102013.44444000001</v>
      </c>
      <c r="K38" s="41">
        <f t="shared" si="29"/>
        <v>5100.5999999999985</v>
      </c>
      <c r="L38" s="41">
        <f>SUM(L12:L37)</f>
        <v>102013.44444000002</v>
      </c>
      <c r="M38" s="41">
        <v>10</v>
      </c>
      <c r="N38" s="97">
        <f t="shared" si="29"/>
        <v>10201.344440000003</v>
      </c>
      <c r="O38" s="41">
        <f t="shared" si="29"/>
        <v>509.99999999999989</v>
      </c>
      <c r="P38" s="41">
        <f>SUM(P12:P37)</f>
        <v>10201.344440000001</v>
      </c>
      <c r="Q38" s="41">
        <v>90</v>
      </c>
      <c r="R38" s="41">
        <f t="shared" si="29"/>
        <v>91812.099999999991</v>
      </c>
      <c r="S38" s="41">
        <f t="shared" si="29"/>
        <v>4590.5999999999985</v>
      </c>
      <c r="T38" s="41">
        <f>SUM(T12:T37)</f>
        <v>91812.1</v>
      </c>
      <c r="U38" s="41">
        <f t="shared" si="29"/>
        <v>263049.98044999997</v>
      </c>
      <c r="V38" s="41">
        <f t="shared" si="29"/>
        <v>13152.529999999997</v>
      </c>
      <c r="W38" s="41">
        <f>SUM(W12:W37)</f>
        <v>263050.15045000002</v>
      </c>
      <c r="X38" s="41">
        <f>SUM(X12:X37)</f>
        <v>37180.299999999988</v>
      </c>
      <c r="Y38" s="97">
        <f t="shared" si="12"/>
        <v>300230.45045</v>
      </c>
      <c r="Z38" s="41">
        <f>SUM(Z12:Z37)</f>
        <v>402243.89488999994</v>
      </c>
      <c r="AA38" s="41">
        <v>365063.53890999989</v>
      </c>
      <c r="AB38" s="41">
        <v>-0.25697999999283638</v>
      </c>
      <c r="AC38" s="40"/>
      <c r="AD38" s="40">
        <f t="shared" ref="AD38:AR38" si="30">SUM(AD12:AD37)</f>
        <v>10260.32222</v>
      </c>
      <c r="AE38" s="40">
        <f t="shared" si="30"/>
        <v>92342.9</v>
      </c>
      <c r="AF38" s="40">
        <f t="shared" si="30"/>
        <v>242474.65000000002</v>
      </c>
      <c r="AG38" s="40">
        <f t="shared" si="30"/>
        <v>80392.834470000002</v>
      </c>
      <c r="AH38" s="40">
        <f t="shared" si="30"/>
        <v>114024.11111000001</v>
      </c>
      <c r="AI38" s="40">
        <f t="shared" si="30"/>
        <v>11402.61111</v>
      </c>
      <c r="AJ38" s="40">
        <f t="shared" si="30"/>
        <v>102621.79999999999</v>
      </c>
      <c r="AK38" s="40">
        <f t="shared" si="30"/>
        <v>76105.84792</v>
      </c>
      <c r="AL38" s="40">
        <f t="shared" si="30"/>
        <v>80392.834470000002</v>
      </c>
      <c r="AM38" s="40">
        <f t="shared" si="30"/>
        <v>114024.11111000001</v>
      </c>
      <c r="AN38" s="40">
        <f t="shared" si="30"/>
        <v>11402.61111</v>
      </c>
      <c r="AO38" s="40">
        <f t="shared" si="30"/>
        <v>102621.79999999999</v>
      </c>
      <c r="AP38" s="40">
        <f t="shared" si="30"/>
        <v>80224.759959999996</v>
      </c>
      <c r="AQ38" s="40">
        <f t="shared" si="30"/>
        <v>345077.87222000002</v>
      </c>
      <c r="AR38" s="40">
        <f t="shared" si="30"/>
        <v>-57166.022670000006</v>
      </c>
    </row>
    <row r="39" spans="1:44" ht="18.75" hidden="1" customHeight="1">
      <c r="A39" s="42"/>
      <c r="B39" s="43"/>
      <c r="C39" s="43"/>
      <c r="D39" s="44"/>
      <c r="E39" s="45"/>
      <c r="F39" s="46"/>
      <c r="G39" s="46"/>
      <c r="H39" s="47"/>
      <c r="I39" s="48"/>
      <c r="J39" s="49"/>
      <c r="K39" s="49"/>
      <c r="L39" s="49"/>
      <c r="M39" s="47"/>
      <c r="N39" s="49"/>
      <c r="O39" s="49"/>
      <c r="P39" s="49"/>
      <c r="Q39" s="47"/>
      <c r="R39" s="48">
        <f>92330-R38</f>
        <v>517.90000000000873</v>
      </c>
      <c r="S39" s="49"/>
      <c r="T39" s="48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50"/>
      <c r="AK39" s="49"/>
      <c r="AL39" s="49"/>
      <c r="AM39" s="49"/>
      <c r="AN39" s="49"/>
      <c r="AO39" s="49"/>
      <c r="AP39" s="50"/>
      <c r="AQ39" s="50"/>
      <c r="AR39" s="50"/>
    </row>
    <row r="40" spans="1:44" ht="15.75" hidden="1" customHeight="1">
      <c r="A40" t="s">
        <v>84</v>
      </c>
      <c r="G40" s="51"/>
      <c r="I40" s="52"/>
      <c r="J40" s="27"/>
      <c r="K40" s="27"/>
      <c r="L40" s="27"/>
      <c r="N40" s="53">
        <f>N38-10258.88889</f>
        <v>-57.544449999997596</v>
      </c>
      <c r="O40" s="27"/>
      <c r="P40" s="27"/>
      <c r="R40" s="54"/>
      <c r="S40" s="55"/>
      <c r="T40" s="56"/>
      <c r="U40" s="57">
        <f>242474.65+20000</f>
        <v>262474.65000000002</v>
      </c>
      <c r="AG40" s="59">
        <f>AG38+H38</f>
        <v>114024.33447</v>
      </c>
      <c r="AH40" s="60">
        <f>AI38+AJ38</f>
        <v>114024.41110999999</v>
      </c>
      <c r="AO40" s="60"/>
      <c r="AP40" s="61"/>
      <c r="AQ40" s="61"/>
      <c r="AR40" s="61"/>
    </row>
    <row r="41" spans="1:44" ht="18" hidden="1">
      <c r="G41" s="62"/>
      <c r="I41" s="52"/>
      <c r="J41" s="63"/>
      <c r="L41" s="64"/>
      <c r="N41" s="65"/>
      <c r="O41" s="66">
        <f>O42+O43</f>
        <v>365063.42489000002</v>
      </c>
      <c r="P41" s="52"/>
      <c r="R41" s="67"/>
      <c r="S41" s="67"/>
      <c r="T41" s="67">
        <v>7996.6</v>
      </c>
      <c r="U41" s="89">
        <v>-1744.0416600000008</v>
      </c>
      <c r="W41" t="s">
        <v>56</v>
      </c>
      <c r="Z41" s="52">
        <f>Z12/E12/D12*1000</f>
        <v>21.567902269463872</v>
      </c>
      <c r="AA41" s="52"/>
      <c r="AB41" s="52"/>
      <c r="AH41" s="64">
        <v>106120.22222</v>
      </c>
      <c r="AI41" s="52">
        <f>G38+AJ38</f>
        <v>1411545</v>
      </c>
      <c r="AJ41" s="68">
        <f>AJ42+AJ43</f>
        <v>190130.25902999999</v>
      </c>
      <c r="AK41" s="52"/>
      <c r="AM41" s="64">
        <v>106120.22222</v>
      </c>
      <c r="AO41" s="52">
        <f>G38+AO38</f>
        <v>1411545</v>
      </c>
      <c r="AP41" s="66">
        <f>AP42+AP43</f>
        <v>194249.17106999998</v>
      </c>
      <c r="AQ41" s="69"/>
      <c r="AR41" s="69"/>
    </row>
    <row r="42" spans="1:44" ht="12.75" hidden="1">
      <c r="J42" s="28"/>
      <c r="K42" s="28"/>
      <c r="L42" s="70"/>
      <c r="M42" s="28"/>
      <c r="N42" s="71"/>
      <c r="O42" s="72">
        <f>P38+U38</f>
        <v>273251.32488999999</v>
      </c>
      <c r="P42" s="28" t="s">
        <v>85</v>
      </c>
      <c r="Q42" s="28"/>
      <c r="R42" s="67"/>
      <c r="S42" s="67"/>
      <c r="T42" s="67">
        <v>964.1</v>
      </c>
      <c r="U42" s="89">
        <v>317.83390999999995</v>
      </c>
      <c r="V42" s="28"/>
      <c r="W42" s="28" t="s">
        <v>57</v>
      </c>
      <c r="X42" s="28"/>
      <c r="Y42" s="28"/>
      <c r="Z42" s="52">
        <f t="shared" ref="Z42:Z56" si="31">Z13/E13/D13*1000</f>
        <v>5.1685691841484829</v>
      </c>
      <c r="AA42" s="52"/>
      <c r="AB42" s="52"/>
      <c r="AC42" s="28"/>
      <c r="AD42" s="28"/>
      <c r="AE42" s="28"/>
      <c r="AF42" s="28"/>
      <c r="AG42" s="28"/>
      <c r="AH42" s="70"/>
      <c r="AI42" s="52">
        <f>180512.8-AJ43</f>
        <v>77891</v>
      </c>
      <c r="AJ42" s="68">
        <f>AI38+AK38</f>
        <v>87508.459029999998</v>
      </c>
      <c r="AK42" s="28" t="s">
        <v>85</v>
      </c>
      <c r="AL42" s="28"/>
      <c r="AM42" s="70"/>
      <c r="AP42" s="72">
        <f>AN38+AP38</f>
        <v>91627.371069999994</v>
      </c>
      <c r="AQ42" s="73"/>
      <c r="AR42" s="73"/>
    </row>
    <row r="43" spans="1:44" ht="12.75" hidden="1">
      <c r="J43" s="52"/>
      <c r="L43" s="70"/>
      <c r="O43" s="74">
        <f>T38</f>
        <v>91812.1</v>
      </c>
      <c r="P43" t="s">
        <v>86</v>
      </c>
      <c r="R43" s="67"/>
      <c r="S43" s="67"/>
      <c r="T43" s="67">
        <v>907.4</v>
      </c>
      <c r="U43" s="89">
        <v>787.75250999999992</v>
      </c>
      <c r="W43" t="s">
        <v>58</v>
      </c>
      <c r="Z43" s="52">
        <f t="shared" si="31"/>
        <v>3.3214561223968664</v>
      </c>
      <c r="AA43" s="52"/>
      <c r="AB43" s="52"/>
      <c r="AH43" s="70"/>
      <c r="AJ43" s="68">
        <f>AJ38</f>
        <v>102621.79999999999</v>
      </c>
      <c r="AK43" t="s">
        <v>86</v>
      </c>
      <c r="AM43" s="70"/>
      <c r="AP43" s="74">
        <f>AO38</f>
        <v>102621.79999999999</v>
      </c>
      <c r="AQ43" s="75"/>
      <c r="AR43" s="75"/>
    </row>
    <row r="44" spans="1:44" ht="12.75" hidden="1">
      <c r="L44" s="70"/>
      <c r="R44" s="67"/>
      <c r="S44" s="67"/>
      <c r="T44" s="67">
        <v>1304.4000000000001</v>
      </c>
      <c r="U44" s="89">
        <v>446.52235999999994</v>
      </c>
      <c r="W44" t="s">
        <v>60</v>
      </c>
      <c r="Z44" s="52">
        <f t="shared" si="31"/>
        <v>9.2844776401311613</v>
      </c>
      <c r="AA44" s="52"/>
      <c r="AB44" s="52"/>
      <c r="AH44" s="70"/>
      <c r="AM44" s="70"/>
    </row>
    <row r="45" spans="1:44" ht="15" hidden="1">
      <c r="F45" s="20"/>
      <c r="G45" s="76"/>
      <c r="L45" s="70"/>
      <c r="R45" s="67"/>
      <c r="S45" s="67"/>
      <c r="T45" s="67">
        <v>1701.4</v>
      </c>
      <c r="U45" s="89">
        <v>614.36220000000003</v>
      </c>
      <c r="W45" t="s">
        <v>61</v>
      </c>
      <c r="Z45" s="52">
        <f t="shared" si="31"/>
        <v>5.2148142732322338</v>
      </c>
      <c r="AA45" s="52"/>
      <c r="AB45" s="52"/>
      <c r="AH45" s="70"/>
      <c r="AM45" s="70"/>
    </row>
    <row r="46" spans="1:44" ht="12.75" hidden="1">
      <c r="F46" s="27"/>
      <c r="G46" s="27"/>
      <c r="L46" s="70"/>
      <c r="O46" s="58"/>
      <c r="R46" s="67"/>
      <c r="S46" s="67"/>
      <c r="T46" s="67">
        <v>2041.7</v>
      </c>
      <c r="U46" s="89">
        <v>161.8306399999999</v>
      </c>
      <c r="W46" t="s">
        <v>62</v>
      </c>
      <c r="Z46" s="52">
        <f t="shared" si="31"/>
        <v>7.5847506200290766</v>
      </c>
      <c r="AA46" s="52"/>
      <c r="AB46" s="52"/>
      <c r="AH46" s="70"/>
      <c r="AM46" s="70"/>
    </row>
    <row r="47" spans="1:44" ht="12.75" hidden="1">
      <c r="B47" s="27"/>
      <c r="C47" s="27"/>
      <c r="F47" s="27"/>
      <c r="G47" s="27"/>
      <c r="L47" s="70"/>
      <c r="O47" s="52"/>
      <c r="R47" s="67"/>
      <c r="S47" s="67"/>
      <c r="T47" s="67">
        <v>2552.1</v>
      </c>
      <c r="U47" s="89">
        <v>242.78330000000005</v>
      </c>
      <c r="W47" t="s">
        <v>63</v>
      </c>
      <c r="Z47" s="52">
        <f t="shared" si="31"/>
        <v>7.5031583844811411</v>
      </c>
      <c r="AA47" s="52"/>
      <c r="AB47" s="52"/>
      <c r="AH47" s="70"/>
      <c r="AM47" s="70"/>
    </row>
    <row r="48" spans="1:44" ht="12.75" hidden="1">
      <c r="B48" s="27"/>
      <c r="C48" s="27"/>
      <c r="F48" s="27"/>
      <c r="G48" s="27"/>
      <c r="L48" s="70"/>
      <c r="R48" s="67"/>
      <c r="S48" s="67"/>
      <c r="T48" s="67">
        <v>1474.6</v>
      </c>
      <c r="U48" s="89">
        <v>422.05657000000019</v>
      </c>
      <c r="W48" t="s">
        <v>64</v>
      </c>
      <c r="Z48" s="52">
        <f t="shared" si="31"/>
        <v>5.9918346853822708</v>
      </c>
      <c r="AA48" s="52"/>
      <c r="AB48" s="52"/>
      <c r="AH48" s="70"/>
      <c r="AM48" s="70"/>
    </row>
    <row r="49" spans="2:44" ht="12.75" hidden="1">
      <c r="B49" s="27"/>
      <c r="C49" s="27"/>
      <c r="L49" s="70"/>
      <c r="R49" s="67"/>
      <c r="S49" s="67"/>
      <c r="T49" s="67">
        <v>1474.6</v>
      </c>
      <c r="U49" s="89">
        <v>602.1865700000003</v>
      </c>
      <c r="W49" t="s">
        <v>65</v>
      </c>
      <c r="Z49" s="52">
        <f t="shared" si="31"/>
        <v>5.9056402360171116</v>
      </c>
      <c r="AA49" s="52"/>
      <c r="AB49" s="52"/>
      <c r="AH49" s="70"/>
      <c r="AM49" s="70"/>
    </row>
    <row r="50" spans="2:44" ht="12.75" hidden="1">
      <c r="L50" s="70"/>
      <c r="R50" s="67"/>
      <c r="S50" s="67"/>
      <c r="T50" s="67">
        <v>907.4</v>
      </c>
      <c r="U50" s="89">
        <v>403.13251000000002</v>
      </c>
      <c r="W50" t="s">
        <v>66</v>
      </c>
      <c r="Z50" s="52">
        <f t="shared" si="31"/>
        <v>4.5686860910249214</v>
      </c>
      <c r="AA50" s="52"/>
      <c r="AB50" s="52"/>
      <c r="AH50" s="70"/>
      <c r="AM50" s="70"/>
    </row>
    <row r="51" spans="2:44" ht="12.75" hidden="1">
      <c r="H51" s="27"/>
      <c r="K51" s="77"/>
      <c r="L51" s="78"/>
      <c r="N51" s="79"/>
      <c r="O51" s="80"/>
      <c r="Q51" s="81"/>
      <c r="R51" s="67"/>
      <c r="S51" s="67"/>
      <c r="T51" s="67">
        <v>510.4</v>
      </c>
      <c r="U51" s="89">
        <v>617.40266000000008</v>
      </c>
      <c r="W51" t="s">
        <v>67</v>
      </c>
      <c r="Z51" s="52">
        <f t="shared" si="31"/>
        <v>2.9126940317510122</v>
      </c>
      <c r="AA51" s="52"/>
      <c r="AB51" s="52"/>
      <c r="AG51" s="77"/>
      <c r="AH51" s="78"/>
      <c r="AI51" s="51"/>
      <c r="AJ51" s="79"/>
      <c r="AK51" s="80"/>
      <c r="AL51" s="77"/>
      <c r="AM51" s="78"/>
      <c r="AN51" s="51"/>
      <c r="AO51" s="79"/>
      <c r="AP51" s="80"/>
      <c r="AQ51" s="80"/>
      <c r="AR51" s="80"/>
    </row>
    <row r="52" spans="2:44" ht="12.75" hidden="1">
      <c r="D52" s="27"/>
      <c r="K52" s="77"/>
      <c r="L52" s="82"/>
      <c r="N52" s="83"/>
      <c r="O52" s="84"/>
      <c r="P52" s="27"/>
      <c r="R52" s="85"/>
      <c r="S52" s="53"/>
      <c r="T52" s="85">
        <v>2949.1</v>
      </c>
      <c r="U52" s="89">
        <v>113.11313999999993</v>
      </c>
      <c r="W52" t="s">
        <v>68</v>
      </c>
      <c r="Z52" s="52">
        <f t="shared" si="31"/>
        <v>12.248254298400647</v>
      </c>
      <c r="AA52" s="52"/>
      <c r="AB52" s="52"/>
      <c r="AG52" s="77"/>
      <c r="AH52" s="82"/>
      <c r="AJ52" s="83"/>
      <c r="AK52" s="84"/>
      <c r="AL52" s="77"/>
      <c r="AM52" s="82"/>
      <c r="AO52" s="83"/>
      <c r="AP52" s="84"/>
      <c r="AQ52" s="84"/>
      <c r="AR52" s="84"/>
    </row>
    <row r="53" spans="2:44" ht="12.75" hidden="1">
      <c r="N53" s="27"/>
      <c r="O53" s="27"/>
      <c r="P53" s="86"/>
      <c r="R53" s="87"/>
      <c r="S53" s="87"/>
      <c r="T53" s="87">
        <v>5217.7</v>
      </c>
      <c r="U53" s="89">
        <v>-811.67058999999972</v>
      </c>
      <c r="V53" s="27"/>
      <c r="W53" s="27" t="s">
        <v>69</v>
      </c>
      <c r="X53" s="27"/>
      <c r="Y53" s="27"/>
      <c r="Z53" s="52">
        <f t="shared" si="31"/>
        <v>16.040878431297639</v>
      </c>
      <c r="AA53" s="52"/>
      <c r="AB53" s="52"/>
      <c r="AC53" s="27"/>
      <c r="AD53" s="27"/>
      <c r="AE53" s="27"/>
      <c r="AF53" s="27"/>
      <c r="AJ53" s="27"/>
      <c r="AK53" s="27"/>
      <c r="AO53" s="27"/>
    </row>
    <row r="54" spans="2:44" ht="12.75" hidden="1">
      <c r="R54" s="88"/>
      <c r="T54">
        <v>1814.8</v>
      </c>
      <c r="U54" s="89">
        <v>377.06501000000003</v>
      </c>
      <c r="V54" s="27"/>
      <c r="W54" s="27" t="s">
        <v>70</v>
      </c>
      <c r="X54" s="27"/>
      <c r="Y54" s="27"/>
      <c r="Z54" s="52">
        <f t="shared" si="31"/>
        <v>6.072139039623984</v>
      </c>
      <c r="AA54" s="52"/>
      <c r="AB54" s="52"/>
      <c r="AC54" s="27"/>
      <c r="AD54" s="27"/>
      <c r="AE54" s="27"/>
      <c r="AF54" s="27"/>
    </row>
    <row r="55" spans="2:44" ht="12.75" hidden="1">
      <c r="T55">
        <v>6975.8</v>
      </c>
      <c r="U55" s="89">
        <v>-1153.7169899999999</v>
      </c>
      <c r="W55" t="s">
        <v>71</v>
      </c>
      <c r="Z55" s="52">
        <f t="shared" si="31"/>
        <v>20.492340321242509</v>
      </c>
      <c r="AA55" s="52"/>
      <c r="AB55" s="52"/>
    </row>
    <row r="56" spans="2:44" ht="12.75" hidden="1">
      <c r="T56">
        <v>1020.8</v>
      </c>
      <c r="U56" s="89">
        <v>977.77531999999997</v>
      </c>
      <c r="W56" t="s">
        <v>72</v>
      </c>
      <c r="Z56" s="52">
        <f t="shared" si="31"/>
        <v>3.1712917409208732</v>
      </c>
      <c r="AA56" s="52"/>
      <c r="AB56" s="52"/>
    </row>
    <row r="57" spans="2:44" ht="4.5" customHeight="1">
      <c r="U57" s="89"/>
      <c r="Z57" s="52"/>
      <c r="AA57" s="52"/>
      <c r="AB57" s="52"/>
    </row>
    <row r="58" spans="2:44" ht="6" customHeight="1">
      <c r="U58" s="89"/>
      <c r="Z58" s="52"/>
      <c r="AA58" s="52"/>
      <c r="AB58" s="52"/>
    </row>
    <row r="59" spans="2:44" ht="6.75" customHeight="1">
      <c r="U59" s="89"/>
      <c r="Z59" s="52"/>
      <c r="AA59" s="52"/>
      <c r="AB59" s="52"/>
    </row>
    <row r="60" spans="2:44" ht="12.75">
      <c r="U60" s="89"/>
      <c r="Z60" s="52"/>
      <c r="AA60" s="52"/>
      <c r="AB60" s="52"/>
    </row>
    <row r="61" spans="2:44" ht="12.75">
      <c r="U61" s="89"/>
      <c r="Z61" s="52"/>
      <c r="AA61" s="52"/>
      <c r="AB61" s="52"/>
    </row>
    <row r="62" spans="2:44" ht="12.75">
      <c r="U62" s="89"/>
      <c r="Z62" s="52"/>
      <c r="AA62" s="52"/>
      <c r="AB62" s="52"/>
    </row>
    <row r="63" spans="2:44" ht="12.75">
      <c r="U63" s="89"/>
      <c r="Z63" s="52"/>
      <c r="AA63" s="52"/>
      <c r="AB63" s="52"/>
    </row>
    <row r="64" spans="2:44" ht="12.75">
      <c r="U64" s="89"/>
      <c r="Z64" s="52"/>
      <c r="AA64" s="52"/>
      <c r="AB64" s="52"/>
    </row>
    <row r="65" spans="21:28" ht="12.75">
      <c r="U65" s="89"/>
      <c r="Z65" s="52"/>
      <c r="AA65" s="52"/>
      <c r="AB65" s="52"/>
    </row>
    <row r="66" spans="21:28" ht="12.75">
      <c r="Z66" s="52"/>
      <c r="AA66" s="52"/>
      <c r="AB66" s="52"/>
    </row>
    <row r="67" spans="21:28" ht="12.75">
      <c r="Z67" s="52"/>
      <c r="AA67" s="52"/>
      <c r="AB67" s="52"/>
    </row>
    <row r="68" spans="21:28" ht="12.75">
      <c r="Z68" s="52"/>
      <c r="AA68" s="52"/>
      <c r="AB68" s="52"/>
    </row>
    <row r="69" spans="21:28" ht="12.75">
      <c r="Z69" s="52"/>
      <c r="AA69" s="52"/>
      <c r="AB69" s="52"/>
    </row>
    <row r="70" spans="21:28" ht="12.75">
      <c r="Z70" s="52"/>
      <c r="AA70" s="52"/>
      <c r="AB70" s="52"/>
    </row>
    <row r="71" spans="21:28" ht="12.75">
      <c r="Z71" s="52"/>
      <c r="AA71" s="52"/>
      <c r="AB71" s="52"/>
    </row>
    <row r="72" spans="21:28" ht="12.75">
      <c r="Z72" s="52"/>
      <c r="AA72" s="52"/>
      <c r="AB72" s="52"/>
    </row>
    <row r="73" spans="21:28" ht="12.75">
      <c r="Z73" s="52"/>
      <c r="AA73" s="52"/>
      <c r="AB73" s="52"/>
    </row>
    <row r="74" spans="21:28" ht="12.75">
      <c r="Z74" s="52"/>
      <c r="AA74" s="52"/>
      <c r="AB74" s="52"/>
    </row>
    <row r="75" spans="21:28" ht="12.75">
      <c r="Z75" s="52"/>
      <c r="AA75" s="52"/>
      <c r="AB75" s="52"/>
    </row>
    <row r="76" spans="21:28" ht="12.75">
      <c r="Z76" s="52"/>
      <c r="AA76" s="52"/>
      <c r="AB76" s="52"/>
    </row>
    <row r="77" spans="21:28" ht="12.75">
      <c r="Z77" s="52"/>
      <c r="AA77" s="52"/>
      <c r="AB77" s="52"/>
    </row>
    <row r="78" spans="21:28" ht="12.75">
      <c r="Z78" s="52"/>
      <c r="AA78" s="52"/>
      <c r="AB78" s="52"/>
    </row>
    <row r="79" spans="21:28" ht="12.75">
      <c r="Z79" s="52"/>
      <c r="AA79" s="52"/>
      <c r="AB79" s="52"/>
    </row>
    <row r="80" spans="21:28" ht="12.75">
      <c r="Z80" s="52"/>
      <c r="AA80" s="52"/>
      <c r="AB80" s="52"/>
    </row>
    <row r="81" spans="26:28" ht="7.5" customHeight="1">
      <c r="Z81" s="52"/>
      <c r="AA81" s="52"/>
      <c r="AB81" s="52"/>
    </row>
    <row r="82" spans="26:28" ht="7.5" customHeight="1">
      <c r="Z82" s="52"/>
      <c r="AA82" s="52"/>
      <c r="AB82" s="52"/>
    </row>
    <row r="83" spans="26:28" ht="7.5" customHeight="1">
      <c r="Z83" s="52"/>
      <c r="AA83" s="52"/>
      <c r="AB83" s="52"/>
    </row>
    <row r="84" spans="26:28" ht="7.5" customHeight="1">
      <c r="Z84" s="52"/>
      <c r="AA84" s="52"/>
      <c r="AB84" s="52"/>
    </row>
    <row r="85" spans="26:28" ht="7.5" customHeight="1">
      <c r="Z85" s="52"/>
      <c r="AA85" s="52"/>
      <c r="AB85" s="52"/>
    </row>
    <row r="86" spans="26:28" ht="7.5" customHeight="1">
      <c r="Z86" s="52"/>
      <c r="AA86" s="52"/>
      <c r="AB86" s="52"/>
    </row>
    <row r="87" spans="26:28" ht="7.5" customHeight="1">
      <c r="Z87" s="52"/>
      <c r="AA87" s="52"/>
      <c r="AB87" s="52"/>
    </row>
    <row r="88" spans="26:28" ht="7.5" customHeight="1">
      <c r="Z88" s="52"/>
      <c r="AA88" s="52"/>
      <c r="AB88" s="52"/>
    </row>
    <row r="89" spans="26:28" ht="7.5" customHeight="1">
      <c r="Z89" s="52"/>
      <c r="AA89" s="52"/>
      <c r="AB89" s="52"/>
    </row>
    <row r="90" spans="26:28" ht="7.5" customHeight="1">
      <c r="Z90" s="52"/>
      <c r="AA90" s="52"/>
      <c r="AB90" s="52"/>
    </row>
    <row r="91" spans="26:28" ht="7.5" customHeight="1">
      <c r="Z91" s="52"/>
      <c r="AA91" s="52"/>
      <c r="AB91" s="52"/>
    </row>
    <row r="92" spans="26:28" ht="7.5" customHeight="1">
      <c r="Z92" s="52"/>
      <c r="AA92" s="52"/>
      <c r="AB92" s="52"/>
    </row>
    <row r="93" spans="26:28" ht="7.5" customHeight="1">
      <c r="Z93" s="52"/>
      <c r="AA93" s="52"/>
      <c r="AB93" s="52"/>
    </row>
    <row r="94" spans="26:28" ht="7.5" customHeight="1">
      <c r="Z94" s="52"/>
      <c r="AA94" s="52"/>
      <c r="AB94" s="52"/>
    </row>
    <row r="95" spans="26:28" ht="7.5" customHeight="1">
      <c r="Z95" s="52"/>
      <c r="AA95" s="52"/>
      <c r="AB95" s="52"/>
    </row>
    <row r="96" spans="26:28" ht="7.5" customHeight="1">
      <c r="Z96" s="52"/>
      <c r="AA96" s="52"/>
      <c r="AB96" s="52"/>
    </row>
    <row r="97" spans="26:28" ht="7.5" customHeight="1">
      <c r="Z97" s="52"/>
      <c r="AA97" s="52"/>
      <c r="AB97" s="52"/>
    </row>
    <row r="98" spans="26:28" ht="7.5" customHeight="1">
      <c r="Z98" s="52"/>
      <c r="AA98" s="52"/>
      <c r="AB98" s="52"/>
    </row>
    <row r="99" spans="26:28" ht="7.5" customHeight="1">
      <c r="Z99" s="52"/>
      <c r="AA99" s="52"/>
      <c r="AB99" s="52"/>
    </row>
    <row r="100" spans="26:28" ht="7.5" customHeight="1">
      <c r="Z100" s="52"/>
      <c r="AA100" s="52"/>
      <c r="AB100" s="52"/>
    </row>
    <row r="101" spans="26:28" ht="7.5" customHeight="1">
      <c r="Z101" s="52"/>
      <c r="AA101" s="52"/>
      <c r="AB101" s="52"/>
    </row>
    <row r="102" spans="26:28" ht="7.5" customHeight="1">
      <c r="Z102" s="52"/>
      <c r="AA102" s="52"/>
      <c r="AB102" s="52"/>
    </row>
    <row r="103" spans="26:28" ht="7.5" customHeight="1">
      <c r="Z103" s="52"/>
      <c r="AA103" s="52"/>
      <c r="AB103" s="52"/>
    </row>
    <row r="104" spans="26:28" ht="7.5" customHeight="1">
      <c r="Z104" s="52"/>
      <c r="AA104" s="52"/>
      <c r="AB104" s="52"/>
    </row>
    <row r="105" spans="26:28" ht="7.5" customHeight="1">
      <c r="Z105" s="52"/>
      <c r="AA105" s="52"/>
      <c r="AB105" s="52"/>
    </row>
    <row r="106" spans="26:28" ht="7.5" customHeight="1">
      <c r="Z106" s="52"/>
      <c r="AA106" s="52"/>
      <c r="AB106" s="52"/>
    </row>
    <row r="107" spans="26:28" ht="7.5" customHeight="1">
      <c r="Z107" s="52"/>
      <c r="AA107" s="52"/>
      <c r="AB107" s="52"/>
    </row>
    <row r="108" spans="26:28" ht="7.5" customHeight="1">
      <c r="Z108" s="52"/>
      <c r="AA108" s="52"/>
      <c r="AB108" s="52"/>
    </row>
    <row r="109" spans="26:28" ht="7.5" customHeight="1">
      <c r="Z109" s="52"/>
      <c r="AA109" s="52"/>
      <c r="AB109" s="52"/>
    </row>
    <row r="110" spans="26:28" ht="7.5" customHeight="1">
      <c r="Z110" s="52"/>
      <c r="AA110" s="52"/>
      <c r="AB110" s="52"/>
    </row>
    <row r="111" spans="26:28" ht="7.5" customHeight="1">
      <c r="Z111" s="52"/>
      <c r="AA111" s="52"/>
      <c r="AB111" s="52"/>
    </row>
    <row r="112" spans="26:28" ht="7.5" customHeight="1">
      <c r="Z112" s="52"/>
      <c r="AA112" s="52"/>
      <c r="AB112" s="52"/>
    </row>
    <row r="113" spans="26:28" ht="7.5" customHeight="1">
      <c r="Z113" s="52"/>
      <c r="AA113" s="52"/>
      <c r="AB113" s="52"/>
    </row>
    <row r="114" spans="26:28" ht="7.5" customHeight="1">
      <c r="Z114" s="52"/>
      <c r="AA114" s="52"/>
      <c r="AB114" s="52"/>
    </row>
    <row r="115" spans="26:28" ht="7.5" customHeight="1">
      <c r="Z115" s="52"/>
      <c r="AA115" s="52"/>
      <c r="AB115" s="52"/>
    </row>
    <row r="116" spans="26:28" ht="7.5" customHeight="1">
      <c r="Z116" s="52"/>
      <c r="AA116" s="52"/>
      <c r="AB116" s="52"/>
    </row>
    <row r="117" spans="26:28" ht="7.5" customHeight="1">
      <c r="Z117" s="52"/>
      <c r="AA117" s="52"/>
      <c r="AB117" s="52"/>
    </row>
    <row r="118" spans="26:28" ht="7.5" customHeight="1">
      <c r="Z118" s="52"/>
      <c r="AA118" s="52"/>
      <c r="AB118" s="52"/>
    </row>
    <row r="119" spans="26:28" ht="7.5" customHeight="1">
      <c r="Z119" s="52"/>
      <c r="AA119" s="52"/>
      <c r="AB119" s="52"/>
    </row>
    <row r="120" spans="26:28" ht="7.5" customHeight="1">
      <c r="Z120" s="52"/>
      <c r="AA120" s="52"/>
      <c r="AB120" s="52"/>
    </row>
    <row r="121" spans="26:28" ht="7.5" customHeight="1">
      <c r="Z121" s="52"/>
      <c r="AA121" s="52"/>
      <c r="AB121" s="52"/>
    </row>
    <row r="122" spans="26:28" ht="7.5" customHeight="1">
      <c r="Z122" s="52"/>
      <c r="AA122" s="52"/>
      <c r="AB122" s="52"/>
    </row>
    <row r="123" spans="26:28" ht="7.5" customHeight="1">
      <c r="Z123" s="52"/>
      <c r="AA123" s="52"/>
      <c r="AB123" s="52"/>
    </row>
  </sheetData>
  <mergeCells count="31">
    <mergeCell ref="F4:AG4"/>
    <mergeCell ref="A8:A10"/>
    <mergeCell ref="B8:B10"/>
    <mergeCell ref="C8:C10"/>
    <mergeCell ref="D8:D10"/>
    <mergeCell ref="E8:E10"/>
    <mergeCell ref="F8:F10"/>
    <mergeCell ref="G8:G10"/>
    <mergeCell ref="H8:Z8"/>
    <mergeCell ref="AD8:AQ8"/>
    <mergeCell ref="H9:H10"/>
    <mergeCell ref="I9:I10"/>
    <mergeCell ref="J9:J10"/>
    <mergeCell ref="W9:W10"/>
    <mergeCell ref="Z9:Z10"/>
    <mergeCell ref="K9:K10"/>
    <mergeCell ref="B5:L5"/>
    <mergeCell ref="AM9:AM10"/>
    <mergeCell ref="AN9:AO9"/>
    <mergeCell ref="AP9:AP10"/>
    <mergeCell ref="AL9:AL10"/>
    <mergeCell ref="AG9:AG10"/>
    <mergeCell ref="AH9:AH10"/>
    <mergeCell ref="AI9:AJ9"/>
    <mergeCell ref="AK9:AK10"/>
    <mergeCell ref="L9:L10"/>
    <mergeCell ref="M9:T9"/>
    <mergeCell ref="U9:U10"/>
    <mergeCell ref="V9:V10"/>
    <mergeCell ref="X9:X10"/>
    <mergeCell ref="Y9:Y10"/>
  </mergeCells>
  <pageMargins left="0.59055118110236227" right="0.39370078740157483" top="0.78740157480314965" bottom="0.59055118110236227" header="0.51181102362204722" footer="0.51181102362204722"/>
  <pageSetup paperSize="9" scale="58" fitToWidth="0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жил 2020-2022  (дейст ут фед)</vt:lpstr>
      <vt:lpstr>'жил 2020-2022  (дейст ут фед)'!Заголовки_для_печати</vt:lpstr>
      <vt:lpstr>'жил 2020-2022  (дейст ут фед)'!Область_печати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2020-03-04T08:36:43Z</cp:lastPrinted>
  <dcterms:created xsi:type="dcterms:W3CDTF">2019-10-11T06:38:34Z</dcterms:created>
  <dcterms:modified xsi:type="dcterms:W3CDTF">2020-03-06T11:31:16Z</dcterms:modified>
</cp:coreProperties>
</file>