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20" yWindow="-120" windowWidth="29040" windowHeight="15840"/>
  </bookViews>
  <sheets>
    <sheet name="2021" sheetId="13" r:id="rId1"/>
    <sheet name="2022" sheetId="14" r:id="rId2"/>
    <sheet name="2023" sheetId="15" r:id="rId3"/>
  </sheets>
  <externalReferences>
    <externalReference r:id="rId4"/>
  </externalReferences>
  <definedNames>
    <definedName name="_xlnm.Print_Titles" localSheetId="0">'2021'!$A:$B,'2021'!$5:$6</definedName>
    <definedName name="_xlnm.Print_Titles" localSheetId="1">'2022'!$A:$B</definedName>
    <definedName name="_xlnm.Print_Titles" localSheetId="2">'2023'!$A:$B</definedName>
    <definedName name="_xlnm.Print_Area" localSheetId="0">'2021'!$A$1:$S$46</definedName>
    <definedName name="_xlnm.Print_Area" localSheetId="1">'2022'!$A$1:$S$45</definedName>
    <definedName name="_xlnm.Print_Area" localSheetId="2">'2023'!$A$1:$S$46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5" i="14"/>
  <c r="O8" i="13" l="1"/>
  <c r="O9"/>
  <c r="O10"/>
  <c r="O11"/>
  <c r="O12"/>
  <c r="O13"/>
  <c r="O14"/>
  <c r="O15"/>
  <c r="O16"/>
  <c r="O18"/>
  <c r="O19"/>
  <c r="O20"/>
  <c r="O21"/>
  <c r="O22"/>
  <c r="O23"/>
  <c r="O24"/>
  <c r="O25"/>
  <c r="O26"/>
  <c r="O27"/>
  <c r="O29"/>
  <c r="O30"/>
  <c r="O31"/>
  <c r="O32"/>
  <c r="O33"/>
  <c r="O34"/>
  <c r="O35"/>
  <c r="O36"/>
  <c r="O37"/>
  <c r="O38"/>
  <c r="O39"/>
  <c r="O41"/>
  <c r="O42"/>
  <c r="O43"/>
  <c r="O44"/>
  <c r="N8"/>
  <c r="N9"/>
  <c r="N10"/>
  <c r="N11"/>
  <c r="N12"/>
  <c r="N13"/>
  <c r="N14"/>
  <c r="N15"/>
  <c r="N16"/>
  <c r="N18"/>
  <c r="N19"/>
  <c r="N20"/>
  <c r="N21"/>
  <c r="N22"/>
  <c r="N23"/>
  <c r="N24"/>
  <c r="N25"/>
  <c r="N26"/>
  <c r="N27"/>
  <c r="N29"/>
  <c r="N30"/>
  <c r="N31"/>
  <c r="N32"/>
  <c r="N33"/>
  <c r="N34"/>
  <c r="N35"/>
  <c r="N36"/>
  <c r="N37"/>
  <c r="N38"/>
  <c r="N39"/>
  <c r="N41"/>
  <c r="N42"/>
  <c r="N43"/>
  <c r="N44"/>
  <c r="M8"/>
  <c r="M9"/>
  <c r="M10"/>
  <c r="M11"/>
  <c r="M12"/>
  <c r="M13"/>
  <c r="M14"/>
  <c r="M15"/>
  <c r="M16"/>
  <c r="M18"/>
  <c r="M19"/>
  <c r="M20"/>
  <c r="M21"/>
  <c r="M22"/>
  <c r="M23"/>
  <c r="M24"/>
  <c r="M25"/>
  <c r="M26"/>
  <c r="M27"/>
  <c r="M29"/>
  <c r="M30"/>
  <c r="M31"/>
  <c r="M32"/>
  <c r="M33"/>
  <c r="M34"/>
  <c r="M35"/>
  <c r="M36"/>
  <c r="M37"/>
  <c r="M38"/>
  <c r="M39"/>
  <c r="M41"/>
  <c r="M42"/>
  <c r="M43"/>
  <c r="M44"/>
  <c r="L8"/>
  <c r="L9"/>
  <c r="L10"/>
  <c r="L11"/>
  <c r="L12"/>
  <c r="L13"/>
  <c r="L14"/>
  <c r="L15"/>
  <c r="L16"/>
  <c r="L18"/>
  <c r="L19"/>
  <c r="L20"/>
  <c r="L21"/>
  <c r="L22"/>
  <c r="L23"/>
  <c r="L24"/>
  <c r="L25"/>
  <c r="L26"/>
  <c r="L27"/>
  <c r="L29"/>
  <c r="L30"/>
  <c r="L31"/>
  <c r="L32"/>
  <c r="L33"/>
  <c r="L34"/>
  <c r="L35"/>
  <c r="L36"/>
  <c r="L37"/>
  <c r="L38"/>
  <c r="L39"/>
  <c r="L41"/>
  <c r="L42"/>
  <c r="L43"/>
  <c r="L44"/>
  <c r="O7"/>
  <c r="N7"/>
  <c r="M7"/>
  <c r="L7"/>
  <c r="L17" s="1"/>
  <c r="N28" l="1"/>
  <c r="O40"/>
  <c r="R40" s="1"/>
  <c r="M17"/>
  <c r="L28"/>
  <c r="M45"/>
  <c r="M40"/>
  <c r="N45"/>
  <c r="O45"/>
  <c r="R45" s="1"/>
  <c r="R46" s="1"/>
  <c r="O17"/>
  <c r="R17" s="1"/>
  <c r="N17"/>
  <c r="L40"/>
  <c r="M28"/>
  <c r="N40"/>
  <c r="O28"/>
  <c r="R28" s="1"/>
  <c r="L45"/>
  <c r="P7"/>
  <c r="J6" i="14"/>
  <c r="K6" s="1"/>
  <c r="I43"/>
  <c r="H43"/>
  <c r="I42"/>
  <c r="H42"/>
  <c r="I41"/>
  <c r="I42" i="15" s="1"/>
  <c r="H41" i="14"/>
  <c r="I40"/>
  <c r="H40"/>
  <c r="I15"/>
  <c r="H15"/>
  <c r="I14"/>
  <c r="H14"/>
  <c r="I13"/>
  <c r="H13"/>
  <c r="I12"/>
  <c r="H12"/>
  <c r="I11"/>
  <c r="H11"/>
  <c r="I10"/>
  <c r="H10"/>
  <c r="I9"/>
  <c r="H9"/>
  <c r="I8"/>
  <c r="H8"/>
  <c r="I7"/>
  <c r="H7"/>
  <c r="I6"/>
  <c r="H6"/>
  <c r="H7" i="15" l="1"/>
  <c r="L6" i="14"/>
  <c r="M6"/>
  <c r="H11" i="15"/>
  <c r="H15"/>
  <c r="I7"/>
  <c r="N6" i="14"/>
  <c r="O6"/>
  <c r="I9" i="15"/>
  <c r="I11"/>
  <c r="I13"/>
  <c r="I15"/>
  <c r="I41"/>
  <c r="I43"/>
  <c r="H9"/>
  <c r="H13"/>
  <c r="H8"/>
  <c r="H10"/>
  <c r="H12"/>
  <c r="H14"/>
  <c r="H16"/>
  <c r="H42"/>
  <c r="H44"/>
  <c r="I8"/>
  <c r="I10"/>
  <c r="I12"/>
  <c r="I14"/>
  <c r="I16"/>
  <c r="O15" i="14"/>
  <c r="N15"/>
  <c r="I44" i="15"/>
  <c r="O43" i="14"/>
  <c r="N43"/>
  <c r="H43" i="15"/>
  <c r="H41"/>
  <c r="J44"/>
  <c r="J16"/>
  <c r="J7"/>
  <c r="K7" s="1"/>
  <c r="N44" l="1"/>
  <c r="O44"/>
  <c r="L7"/>
  <c r="M7"/>
  <c r="N7"/>
  <c r="O7"/>
  <c r="O16"/>
  <c r="N16"/>
  <c r="L44"/>
  <c r="M44"/>
  <c r="L16"/>
  <c r="M16"/>
  <c r="H38" i="14"/>
  <c r="H37"/>
  <c r="H36"/>
  <c r="H35"/>
  <c r="H34"/>
  <c r="H33"/>
  <c r="H32"/>
  <c r="H31"/>
  <c r="H30"/>
  <c r="H29"/>
  <c r="H28"/>
  <c r="H26"/>
  <c r="H18"/>
  <c r="H19"/>
  <c r="H20"/>
  <c r="H21"/>
  <c r="H22"/>
  <c r="H23"/>
  <c r="H24"/>
  <c r="H25"/>
  <c r="H17"/>
  <c r="J43"/>
  <c r="J42"/>
  <c r="J41"/>
  <c r="J40"/>
  <c r="J38"/>
  <c r="K38" s="1"/>
  <c r="J39" i="15" s="1"/>
  <c r="K39" s="1"/>
  <c r="J37" i="14"/>
  <c r="K37" s="1"/>
  <c r="J38" i="15" s="1"/>
  <c r="K38" s="1"/>
  <c r="J36" i="14"/>
  <c r="K36" s="1"/>
  <c r="J37" i="15" s="1"/>
  <c r="K37" s="1"/>
  <c r="J35" i="14"/>
  <c r="K35" s="1"/>
  <c r="J36" i="15" s="1"/>
  <c r="K36" s="1"/>
  <c r="J34" i="14"/>
  <c r="K34" s="1"/>
  <c r="J35" i="15" s="1"/>
  <c r="K35" s="1"/>
  <c r="J33" i="14"/>
  <c r="K33" s="1"/>
  <c r="J34" i="15" s="1"/>
  <c r="K34" s="1"/>
  <c r="J32" i="14"/>
  <c r="K32" s="1"/>
  <c r="J33" i="15" s="1"/>
  <c r="K33" s="1"/>
  <c r="J31" i="14"/>
  <c r="K31" s="1"/>
  <c r="J32" i="15" s="1"/>
  <c r="K32" s="1"/>
  <c r="J30" i="14"/>
  <c r="K30" s="1"/>
  <c r="J31" i="15" s="1"/>
  <c r="K31" s="1"/>
  <c r="J29" i="14"/>
  <c r="K29" s="1"/>
  <c r="J30" i="15" s="1"/>
  <c r="K30" s="1"/>
  <c r="J28" i="14"/>
  <c r="K28" s="1"/>
  <c r="J29" i="15" s="1"/>
  <c r="K29" s="1"/>
  <c r="J26" i="14"/>
  <c r="K26" s="1"/>
  <c r="J27" i="15" s="1"/>
  <c r="K27" s="1"/>
  <c r="J25" i="14"/>
  <c r="K25" s="1"/>
  <c r="J26" i="15" s="1"/>
  <c r="K26" s="1"/>
  <c r="J24" i="14"/>
  <c r="K24" s="1"/>
  <c r="J25" i="15" s="1"/>
  <c r="K25" s="1"/>
  <c r="J23" i="14"/>
  <c r="K23" s="1"/>
  <c r="J24" i="15" s="1"/>
  <c r="K24" s="1"/>
  <c r="J22" i="14"/>
  <c r="K22" s="1"/>
  <c r="J23" i="15" s="1"/>
  <c r="K23" s="1"/>
  <c r="J21" i="14"/>
  <c r="K21" s="1"/>
  <c r="J22" i="15" s="1"/>
  <c r="K22" s="1"/>
  <c r="J20" i="14"/>
  <c r="K20" s="1"/>
  <c r="J21" i="15" s="1"/>
  <c r="K21" s="1"/>
  <c r="J19" i="14"/>
  <c r="K19" s="1"/>
  <c r="J20" i="15" s="1"/>
  <c r="K20" s="1"/>
  <c r="J18" i="14"/>
  <c r="K18" s="1"/>
  <c r="J19" i="15" s="1"/>
  <c r="K19" s="1"/>
  <c r="J17" i="14"/>
  <c r="K17" s="1"/>
  <c r="J18" i="15" s="1"/>
  <c r="K18" s="1"/>
  <c r="J15" i="14"/>
  <c r="J14"/>
  <c r="J13"/>
  <c r="J12"/>
  <c r="J11"/>
  <c r="J10"/>
  <c r="J9"/>
  <c r="J8"/>
  <c r="J7"/>
  <c r="K8" l="1"/>
  <c r="M8"/>
  <c r="L8"/>
  <c r="I23"/>
  <c r="L23"/>
  <c r="M23"/>
  <c r="I37"/>
  <c r="M37"/>
  <c r="L37"/>
  <c r="K40"/>
  <c r="M40"/>
  <c r="L40"/>
  <c r="I17"/>
  <c r="M17"/>
  <c r="L17"/>
  <c r="I22"/>
  <c r="M22"/>
  <c r="L22"/>
  <c r="I18"/>
  <c r="M18"/>
  <c r="L18"/>
  <c r="I30"/>
  <c r="M30"/>
  <c r="L30"/>
  <c r="I34"/>
  <c r="M34"/>
  <c r="L34"/>
  <c r="I38"/>
  <c r="M38"/>
  <c r="L38"/>
  <c r="P16" i="15"/>
  <c r="L43" i="14"/>
  <c r="M43"/>
  <c r="I19"/>
  <c r="M19"/>
  <c r="L19"/>
  <c r="I33"/>
  <c r="M33"/>
  <c r="L33"/>
  <c r="K13"/>
  <c r="M13"/>
  <c r="L13"/>
  <c r="K10"/>
  <c r="L10"/>
  <c r="M10"/>
  <c r="K14"/>
  <c r="L14"/>
  <c r="M14"/>
  <c r="K41"/>
  <c r="L41"/>
  <c r="M41"/>
  <c r="I25"/>
  <c r="M25"/>
  <c r="L25"/>
  <c r="I21"/>
  <c r="L21"/>
  <c r="M21"/>
  <c r="I26"/>
  <c r="M26"/>
  <c r="L26"/>
  <c r="I31"/>
  <c r="M31"/>
  <c r="L31"/>
  <c r="I35"/>
  <c r="M35"/>
  <c r="L35"/>
  <c r="P7" i="15"/>
  <c r="K12" i="14"/>
  <c r="M12"/>
  <c r="L12"/>
  <c r="I29"/>
  <c r="M29"/>
  <c r="L29"/>
  <c r="K9"/>
  <c r="M9"/>
  <c r="L9"/>
  <c r="K7"/>
  <c r="L7"/>
  <c r="M7"/>
  <c r="K11"/>
  <c r="M11"/>
  <c r="L11"/>
  <c r="L15"/>
  <c r="M15"/>
  <c r="K42"/>
  <c r="L42"/>
  <c r="M42"/>
  <c r="I24"/>
  <c r="M24"/>
  <c r="L24"/>
  <c r="I20"/>
  <c r="M20"/>
  <c r="L20"/>
  <c r="I28"/>
  <c r="M28"/>
  <c r="L28"/>
  <c r="I32"/>
  <c r="L32"/>
  <c r="M32"/>
  <c r="I36"/>
  <c r="M36"/>
  <c r="L36"/>
  <c r="P44" i="15"/>
  <c r="F45"/>
  <c r="E45"/>
  <c r="D45"/>
  <c r="C45"/>
  <c r="G44"/>
  <c r="G43"/>
  <c r="G42"/>
  <c r="G41"/>
  <c r="V40"/>
  <c r="U40"/>
  <c r="F40"/>
  <c r="E40"/>
  <c r="D40"/>
  <c r="C40"/>
  <c r="G39"/>
  <c r="G38"/>
  <c r="G37"/>
  <c r="G36"/>
  <c r="G35"/>
  <c r="G34"/>
  <c r="G33"/>
  <c r="G32"/>
  <c r="G31"/>
  <c r="G30"/>
  <c r="G29"/>
  <c r="V28"/>
  <c r="F28"/>
  <c r="E28"/>
  <c r="D28"/>
  <c r="C28"/>
  <c r="G27"/>
  <c r="V26"/>
  <c r="G26"/>
  <c r="V25"/>
  <c r="G25"/>
  <c r="V24"/>
  <c r="G24"/>
  <c r="V23"/>
  <c r="U23"/>
  <c r="G23"/>
  <c r="V22"/>
  <c r="U22"/>
  <c r="G22"/>
  <c r="V21"/>
  <c r="U21"/>
  <c r="G21"/>
  <c r="V20"/>
  <c r="U20"/>
  <c r="G20"/>
  <c r="V19"/>
  <c r="U19"/>
  <c r="G19"/>
  <c r="V18"/>
  <c r="U18"/>
  <c r="U28" s="1"/>
  <c r="G18"/>
  <c r="F17"/>
  <c r="E17"/>
  <c r="D17"/>
  <c r="C17"/>
  <c r="G16"/>
  <c r="G15"/>
  <c r="G14"/>
  <c r="G13"/>
  <c r="G12"/>
  <c r="G11"/>
  <c r="G10"/>
  <c r="G9"/>
  <c r="G8"/>
  <c r="G7"/>
  <c r="F44" i="14"/>
  <c r="E44"/>
  <c r="D44"/>
  <c r="C44"/>
  <c r="G43"/>
  <c r="G42"/>
  <c r="G41"/>
  <c r="G40"/>
  <c r="V39"/>
  <c r="U39"/>
  <c r="F39"/>
  <c r="E39"/>
  <c r="D39"/>
  <c r="C39"/>
  <c r="G38"/>
  <c r="G37"/>
  <c r="G36"/>
  <c r="G35"/>
  <c r="G34"/>
  <c r="G33"/>
  <c r="G32"/>
  <c r="G31"/>
  <c r="G30"/>
  <c r="G29"/>
  <c r="G28"/>
  <c r="G39" s="1"/>
  <c r="V27"/>
  <c r="F27"/>
  <c r="E27"/>
  <c r="D27"/>
  <c r="C27"/>
  <c r="G26"/>
  <c r="V25"/>
  <c r="G25"/>
  <c r="V24"/>
  <c r="G24"/>
  <c r="V23"/>
  <c r="G23"/>
  <c r="V22"/>
  <c r="U22"/>
  <c r="G22"/>
  <c r="V21"/>
  <c r="U21"/>
  <c r="G21"/>
  <c r="V20"/>
  <c r="U20"/>
  <c r="G20"/>
  <c r="V19"/>
  <c r="U19"/>
  <c r="G19"/>
  <c r="V18"/>
  <c r="U18"/>
  <c r="G18"/>
  <c r="V17"/>
  <c r="U17"/>
  <c r="U27" s="1"/>
  <c r="G17"/>
  <c r="F16"/>
  <c r="E16"/>
  <c r="E45" s="1"/>
  <c r="D16"/>
  <c r="C16"/>
  <c r="G15"/>
  <c r="G14"/>
  <c r="G13"/>
  <c r="G12"/>
  <c r="G11"/>
  <c r="G10"/>
  <c r="G9"/>
  <c r="G8"/>
  <c r="G7"/>
  <c r="G6"/>
  <c r="D45" i="13"/>
  <c r="E45"/>
  <c r="F45"/>
  <c r="D40"/>
  <c r="E40"/>
  <c r="F40"/>
  <c r="D28"/>
  <c r="E28"/>
  <c r="F28"/>
  <c r="D17"/>
  <c r="E17"/>
  <c r="F17"/>
  <c r="Q17"/>
  <c r="C17"/>
  <c r="E46" i="15" l="1"/>
  <c r="M44" i="14"/>
  <c r="H33" i="15"/>
  <c r="N32" i="14"/>
  <c r="O32"/>
  <c r="J43" i="15"/>
  <c r="O42" i="14"/>
  <c r="P42" s="1"/>
  <c r="N42"/>
  <c r="J8" i="15"/>
  <c r="N7" i="14"/>
  <c r="O7"/>
  <c r="H27" i="15"/>
  <c r="O26" i="14"/>
  <c r="P26" s="1"/>
  <c r="N26"/>
  <c r="J15" i="15"/>
  <c r="N14" i="14"/>
  <c r="O14"/>
  <c r="H20" i="15"/>
  <c r="N19" i="14"/>
  <c r="P19" s="1"/>
  <c r="O19"/>
  <c r="H19" i="15"/>
  <c r="O18" i="14"/>
  <c r="N18"/>
  <c r="L27"/>
  <c r="H24" i="15"/>
  <c r="N23" i="14"/>
  <c r="O23"/>
  <c r="G40" i="15"/>
  <c r="F46"/>
  <c r="H37"/>
  <c r="O36" i="14"/>
  <c r="N36"/>
  <c r="L39"/>
  <c r="H25" i="15"/>
  <c r="O24" i="14"/>
  <c r="P24" s="1"/>
  <c r="N24"/>
  <c r="J12" i="15"/>
  <c r="O11" i="14"/>
  <c r="N11"/>
  <c r="J13" i="15"/>
  <c r="N12" i="14"/>
  <c r="O12"/>
  <c r="H32" i="15"/>
  <c r="O31" i="14"/>
  <c r="N31"/>
  <c r="J42" i="15"/>
  <c r="N41" i="14"/>
  <c r="P41" s="1"/>
  <c r="O41"/>
  <c r="H34" i="15"/>
  <c r="O33" i="14"/>
  <c r="N33"/>
  <c r="H31" i="15"/>
  <c r="N30" i="14"/>
  <c r="P30" s="1"/>
  <c r="O30"/>
  <c r="M27"/>
  <c r="J41" i="15"/>
  <c r="O40" i="14"/>
  <c r="N40"/>
  <c r="H38" i="15"/>
  <c r="O37" i="14"/>
  <c r="N37"/>
  <c r="M39"/>
  <c r="H21" i="15"/>
  <c r="O20" i="14"/>
  <c r="N20"/>
  <c r="M16"/>
  <c r="H30" i="15"/>
  <c r="O29" i="14"/>
  <c r="N29"/>
  <c r="H36" i="15"/>
  <c r="O35" i="14"/>
  <c r="P35" s="1"/>
  <c r="N35"/>
  <c r="H26" i="15"/>
  <c r="N25" i="14"/>
  <c r="O25"/>
  <c r="J14" i="15"/>
  <c r="N13" i="14"/>
  <c r="O13"/>
  <c r="H35" i="15"/>
  <c r="N34" i="14"/>
  <c r="O34"/>
  <c r="H18" i="15"/>
  <c r="N17" i="14"/>
  <c r="P17" s="1"/>
  <c r="O17"/>
  <c r="H29" i="15"/>
  <c r="N28" i="14"/>
  <c r="O28"/>
  <c r="L16"/>
  <c r="J10" i="15"/>
  <c r="O9" i="14"/>
  <c r="N9"/>
  <c r="H22" i="15"/>
  <c r="N21" i="14"/>
  <c r="P21" s="1"/>
  <c r="O21"/>
  <c r="J11" i="15"/>
  <c r="O10" i="14"/>
  <c r="N10"/>
  <c r="H39" i="15"/>
  <c r="O38" i="14"/>
  <c r="N38"/>
  <c r="H23" i="15"/>
  <c r="O22" i="14"/>
  <c r="N22"/>
  <c r="L44"/>
  <c r="J9" i="15"/>
  <c r="O8" i="14"/>
  <c r="N8"/>
  <c r="G16"/>
  <c r="D45"/>
  <c r="G17" i="15"/>
  <c r="D46"/>
  <c r="G27" i="14"/>
  <c r="G45" i="15"/>
  <c r="C46"/>
  <c r="G28"/>
  <c r="F45" i="14"/>
  <c r="G44"/>
  <c r="G45" s="1"/>
  <c r="P43"/>
  <c r="P15"/>
  <c r="P6"/>
  <c r="Q39"/>
  <c r="Q44"/>
  <c r="Q16"/>
  <c r="Q27"/>
  <c r="P8" i="13"/>
  <c r="P9"/>
  <c r="P10"/>
  <c r="P11"/>
  <c r="P12"/>
  <c r="P13"/>
  <c r="P14"/>
  <c r="P15"/>
  <c r="P16"/>
  <c r="P19"/>
  <c r="P20"/>
  <c r="P21"/>
  <c r="P22"/>
  <c r="P23"/>
  <c r="P24"/>
  <c r="P25"/>
  <c r="P26"/>
  <c r="P27"/>
  <c r="P30"/>
  <c r="P31"/>
  <c r="P32"/>
  <c r="P33"/>
  <c r="P34"/>
  <c r="P35"/>
  <c r="P36"/>
  <c r="P37"/>
  <c r="P38"/>
  <c r="P39"/>
  <c r="P42"/>
  <c r="P43"/>
  <c r="P44"/>
  <c r="Q45"/>
  <c r="Q40"/>
  <c r="Q28"/>
  <c r="P29" i="14" l="1"/>
  <c r="P37"/>
  <c r="P31"/>
  <c r="P14"/>
  <c r="P32"/>
  <c r="P11"/>
  <c r="P23"/>
  <c r="P40"/>
  <c r="P36"/>
  <c r="P12"/>
  <c r="P22"/>
  <c r="P18"/>
  <c r="P10"/>
  <c r="P34"/>
  <c r="P20"/>
  <c r="O44"/>
  <c r="R44" s="1"/>
  <c r="Q45" i="15" s="1"/>
  <c r="P8" i="14"/>
  <c r="P33"/>
  <c r="P7"/>
  <c r="P44"/>
  <c r="S44" s="1"/>
  <c r="P38"/>
  <c r="P9"/>
  <c r="N39"/>
  <c r="P13"/>
  <c r="P25"/>
  <c r="N44"/>
  <c r="K42" i="15"/>
  <c r="M42"/>
  <c r="L42"/>
  <c r="I25"/>
  <c r="L25"/>
  <c r="M25"/>
  <c r="I37"/>
  <c r="M37"/>
  <c r="L37"/>
  <c r="I20"/>
  <c r="M20"/>
  <c r="L20"/>
  <c r="N16" i="14"/>
  <c r="K43" i="15"/>
  <c r="L43"/>
  <c r="M43"/>
  <c r="K9"/>
  <c r="L9"/>
  <c r="M9"/>
  <c r="I23"/>
  <c r="M23"/>
  <c r="L23"/>
  <c r="I18"/>
  <c r="L18"/>
  <c r="M18"/>
  <c r="I36"/>
  <c r="M36"/>
  <c r="L36"/>
  <c r="P17" i="13"/>
  <c r="P28" i="14"/>
  <c r="I22" i="15"/>
  <c r="L22"/>
  <c r="M22"/>
  <c r="K10"/>
  <c r="L10"/>
  <c r="M10"/>
  <c r="I29"/>
  <c r="M29"/>
  <c r="L29"/>
  <c r="I26"/>
  <c r="L26"/>
  <c r="M26"/>
  <c r="I34"/>
  <c r="L34"/>
  <c r="M34"/>
  <c r="K12"/>
  <c r="L12"/>
  <c r="M12"/>
  <c r="I24"/>
  <c r="M24"/>
  <c r="L24"/>
  <c r="I19"/>
  <c r="M19"/>
  <c r="L19"/>
  <c r="K8"/>
  <c r="L8"/>
  <c r="M8"/>
  <c r="O27" i="14"/>
  <c r="R27" s="1"/>
  <c r="Q28" i="15" s="1"/>
  <c r="K14"/>
  <c r="L14"/>
  <c r="M14"/>
  <c r="K41"/>
  <c r="M41"/>
  <c r="L41"/>
  <c r="I31"/>
  <c r="L31"/>
  <c r="M31"/>
  <c r="K13"/>
  <c r="M13"/>
  <c r="L13"/>
  <c r="I27"/>
  <c r="M27"/>
  <c r="L27"/>
  <c r="K11"/>
  <c r="L11"/>
  <c r="M11"/>
  <c r="Q45" i="14"/>
  <c r="I39" i="15"/>
  <c r="L39"/>
  <c r="M39"/>
  <c r="O39" i="14"/>
  <c r="R39" s="1"/>
  <c r="Q40" i="15" s="1"/>
  <c r="N27" i="14"/>
  <c r="I35" i="15"/>
  <c r="L35"/>
  <c r="M35"/>
  <c r="I30"/>
  <c r="M30"/>
  <c r="L30"/>
  <c r="I21"/>
  <c r="L21"/>
  <c r="M21"/>
  <c r="I38"/>
  <c r="L38"/>
  <c r="M38"/>
  <c r="I32"/>
  <c r="M32"/>
  <c r="L32"/>
  <c r="K15"/>
  <c r="L15"/>
  <c r="M15"/>
  <c r="O16" i="14"/>
  <c r="R16" s="1"/>
  <c r="Q17" i="15" s="1"/>
  <c r="I33"/>
  <c r="M33"/>
  <c r="L33"/>
  <c r="G46"/>
  <c r="L45" i="14"/>
  <c r="M45"/>
  <c r="P18" i="13"/>
  <c r="P28" s="1"/>
  <c r="P29"/>
  <c r="P40" s="1"/>
  <c r="S17"/>
  <c r="P41"/>
  <c r="P45" s="1"/>
  <c r="C40"/>
  <c r="M45" i="15" l="1"/>
  <c r="P16" i="14"/>
  <c r="P45" s="1"/>
  <c r="P27"/>
  <c r="S27" s="1"/>
  <c r="P39"/>
  <c r="S39" s="1"/>
  <c r="N45"/>
  <c r="Q46" i="15"/>
  <c r="N21"/>
  <c r="O21"/>
  <c r="R45" i="14"/>
  <c r="O8" i="15"/>
  <c r="N8"/>
  <c r="L40"/>
  <c r="N22"/>
  <c r="O22"/>
  <c r="O32"/>
  <c r="N32"/>
  <c r="N35"/>
  <c r="O35"/>
  <c r="O41"/>
  <c r="N41"/>
  <c r="N12"/>
  <c r="O12"/>
  <c r="M40"/>
  <c r="N10"/>
  <c r="O10"/>
  <c r="O36"/>
  <c r="N36"/>
  <c r="O37"/>
  <c r="N37"/>
  <c r="O45" i="14"/>
  <c r="N38" i="15"/>
  <c r="O38"/>
  <c r="O27"/>
  <c r="N27"/>
  <c r="O14"/>
  <c r="N14"/>
  <c r="O34"/>
  <c r="N34"/>
  <c r="N18"/>
  <c r="O18"/>
  <c r="N25"/>
  <c r="O25"/>
  <c r="O33"/>
  <c r="N33"/>
  <c r="O15"/>
  <c r="N15"/>
  <c r="N30"/>
  <c r="O30"/>
  <c r="N39"/>
  <c r="O39"/>
  <c r="N31"/>
  <c r="O31"/>
  <c r="M17"/>
  <c r="O24"/>
  <c r="N24"/>
  <c r="O29"/>
  <c r="N29"/>
  <c r="P46" i="13"/>
  <c r="M28" i="15"/>
  <c r="O9"/>
  <c r="N9"/>
  <c r="N43"/>
  <c r="O43"/>
  <c r="O20"/>
  <c r="N20"/>
  <c r="N11"/>
  <c r="O11"/>
  <c r="N13"/>
  <c r="O13"/>
  <c r="L45"/>
  <c r="L17"/>
  <c r="O19"/>
  <c r="N19"/>
  <c r="N26"/>
  <c r="P26" s="1"/>
  <c r="O26"/>
  <c r="L28"/>
  <c r="O23"/>
  <c r="N23"/>
  <c r="O42"/>
  <c r="N42"/>
  <c r="D46" i="13"/>
  <c r="P12" i="15" l="1"/>
  <c r="P22"/>
  <c r="P21"/>
  <c r="P41"/>
  <c r="P37"/>
  <c r="P25"/>
  <c r="P27"/>
  <c r="P35"/>
  <c r="P31"/>
  <c r="S16" i="14"/>
  <c r="S45" s="1"/>
  <c r="P14" i="15"/>
  <c r="P36"/>
  <c r="P8"/>
  <c r="P10"/>
  <c r="P32"/>
  <c r="P38"/>
  <c r="P9"/>
  <c r="P18"/>
  <c r="P24"/>
  <c r="P20"/>
  <c r="P29"/>
  <c r="P34"/>
  <c r="P19"/>
  <c r="P42"/>
  <c r="P23"/>
  <c r="P13"/>
  <c r="P39"/>
  <c r="P15"/>
  <c r="P11"/>
  <c r="P43"/>
  <c r="P30"/>
  <c r="P33"/>
  <c r="N45"/>
  <c r="N17"/>
  <c r="O45"/>
  <c r="R45" s="1"/>
  <c r="O17"/>
  <c r="L46"/>
  <c r="N40"/>
  <c r="O28"/>
  <c r="R28" s="1"/>
  <c r="O40"/>
  <c r="R40" s="1"/>
  <c r="M46"/>
  <c r="N28"/>
  <c r="G32" i="13"/>
  <c r="G33"/>
  <c r="G34"/>
  <c r="G35"/>
  <c r="G36"/>
  <c r="G37"/>
  <c r="G38"/>
  <c r="G39"/>
  <c r="G11"/>
  <c r="G12"/>
  <c r="G8"/>
  <c r="G7"/>
  <c r="P28" i="15" l="1"/>
  <c r="S28" s="1"/>
  <c r="P40"/>
  <c r="S40" s="1"/>
  <c r="P17"/>
  <c r="P45"/>
  <c r="S45" s="1"/>
  <c r="N46"/>
  <c r="O46"/>
  <c r="R17"/>
  <c r="R46" s="1"/>
  <c r="E46" i="13"/>
  <c r="F46"/>
  <c r="C28"/>
  <c r="C45"/>
  <c r="P46" i="15" l="1"/>
  <c r="S17"/>
  <c r="S46" s="1"/>
  <c r="C46" i="13"/>
  <c r="G9"/>
  <c r="G10"/>
  <c r="G13"/>
  <c r="G14"/>
  <c r="G15"/>
  <c r="G16"/>
  <c r="G18"/>
  <c r="G19"/>
  <c r="G20"/>
  <c r="G21"/>
  <c r="G22"/>
  <c r="G23"/>
  <c r="G24"/>
  <c r="G25"/>
  <c r="G26"/>
  <c r="G27"/>
  <c r="G29"/>
  <c r="G30"/>
  <c r="G31"/>
  <c r="G41"/>
  <c r="G42"/>
  <c r="G43"/>
  <c r="G44"/>
  <c r="G40" l="1"/>
  <c r="G28"/>
  <c r="G17"/>
  <c r="G45"/>
  <c r="G46" l="1"/>
  <c r="Q46" l="1"/>
  <c r="L46"/>
  <c r="S40" l="1"/>
  <c r="S28" l="1"/>
  <c r="N46"/>
  <c r="O46" l="1"/>
  <c r="S45" l="1"/>
  <c r="S46" s="1"/>
  <c r="M46"/>
</calcChain>
</file>

<file path=xl/sharedStrings.xml><?xml version="1.0" encoding="utf-8"?>
<sst xmlns="http://schemas.openxmlformats.org/spreadsheetml/2006/main" count="260" uniqueCount="71">
  <si>
    <t>1 квартал</t>
  </si>
  <si>
    <t>2 квартал</t>
  </si>
  <si>
    <t>3 квартал</t>
  </si>
  <si>
    <t>4 квартал</t>
  </si>
  <si>
    <t>1 полугодие</t>
  </si>
  <si>
    <t>2 полугодие</t>
  </si>
  <si>
    <t>Итого</t>
  </si>
  <si>
    <t>Всего</t>
  </si>
  <si>
    <t>Предприятие</t>
  </si>
  <si>
    <t>Группы потребителей</t>
  </si>
  <si>
    <t xml:space="preserve"> - </t>
  </si>
  <si>
    <t>ООО "Поморские электросети"</t>
  </si>
  <si>
    <t xml:space="preserve">1 полугодие </t>
  </si>
  <si>
    <t>одноставочный тариф на электрическую энергию по двум зонам суток (ночь)</t>
  </si>
  <si>
    <t>потребители, приравненные к категории "население" (гаражи, хоз.постройки) одноставочный тариф на электрическую энергию</t>
  </si>
  <si>
    <t>потребители приравненные к категории "население" (религиозные) одноставочный тариф на электрическую энергию</t>
  </si>
  <si>
    <t>потребители приравненные к категории "население" (религиозные) одноставочный тариф на электрическую энергию по двум зонам суток (день)</t>
  </si>
  <si>
    <t>потребители приравненные к категории "население" (религиозные) одноставочный тариф на электрическую энергию по двум зонам суток (ночь)</t>
  </si>
  <si>
    <t>покупатели на розничных рынках Архангельской области (прочие потребители)</t>
  </si>
  <si>
    <t>всего</t>
  </si>
  <si>
    <t>Потребность в средствах субсидии, руб.</t>
  </si>
  <si>
    <t>Е.А. Попова</t>
  </si>
  <si>
    <t>СОГЛАСОВАНО:</t>
  </si>
  <si>
    <t>Руководитель АТиЦ АО</t>
  </si>
  <si>
    <t>население (одноставочный тариф на электрическую энергию)</t>
  </si>
  <si>
    <t>население (одноставочный тариф на электрическую энергию по двум зонам суток (ночь)</t>
  </si>
  <si>
    <t>население (одноставочный тариф на электрическую энергию по двум зонам суток (день)</t>
  </si>
  <si>
    <t xml:space="preserve"> городское население с газовыми плитами (одноставочный тариф на электрическую энергию по двум зонам суток (день)</t>
  </si>
  <si>
    <t xml:space="preserve">городское население с газовыми плитами (одноставочный тариф на электрическую энергию по двум зонам суток (ночь)  </t>
  </si>
  <si>
    <t>городское население с электроплитами (одноставочный тариф на электрическую энергию )</t>
  </si>
  <si>
    <t xml:space="preserve"> городское население с электроплитами (одноставочный тариф на электрическую энергию по двум зонам суток (день)</t>
  </si>
  <si>
    <t xml:space="preserve">городское население с электроплитами (одноставочный тариф на электрическую энергию по двум зонам суток (ночь) </t>
  </si>
  <si>
    <t>потребители приравненные к категории "население" (осужденные) одноставочный тариф на электрическую энергию</t>
  </si>
  <si>
    <t>потребители приравненные к категории "население" (садоводческие) одноставочный тариф на электрическую энергию</t>
  </si>
  <si>
    <t>ООО "ТГК-2 Энергосбыт"
(г. Коряжма)</t>
  </si>
  <si>
    <t>Д.Н. Поташев</t>
  </si>
  <si>
    <t xml:space="preserve">1 квартал </t>
  </si>
  <si>
    <t xml:space="preserve">2 квартал </t>
  </si>
  <si>
    <t xml:space="preserve">3 квартал </t>
  </si>
  <si>
    <t xml:space="preserve">4 квартал </t>
  </si>
  <si>
    <t xml:space="preserve">Плановый расчет 
потребности в средствах субсидии на возмещение недополученных доходов, возникающих в результате государственного регулирования тарифов на электрическую энергию, поставляемую покупателям на розничных рынках Архангельской области
 в 2021 году </t>
  </si>
  <si>
    <t xml:space="preserve">Плановый расчет 
потребности в средствах субсидии на возмещение недополученных доходов, возникающих в результате государственного регулирования тарифов на электрическую энергию, поставляемую покупателям на розничных рынках Архангельской области
 в 2022 году </t>
  </si>
  <si>
    <t>городское население с газовыми плитами (одноставочный тариф на электрическую энергию )</t>
  </si>
  <si>
    <t>ООО "ТГК-2 Энергосбыт"
(г. Мезень и раб. пос. Каменка)</t>
  </si>
  <si>
    <t>покупатели на розничных рынках Архангельской области (прочие потребители) по договорам энергоснабжения на уровне напряжения СН1</t>
  </si>
  <si>
    <t>покупатели на розничных рынках Архангельской области (прочие потребители) по договорам энергоснабжения на уровне напряжения СН2</t>
  </si>
  <si>
    <t>покупатели на розничных рынках Архангельской области (прочие потребители) по договорам энергоснабжения на уровне напряжения НН</t>
  </si>
  <si>
    <t>прочие потребители (договор э/сн одност по двум зонам/день СН-2)</t>
  </si>
  <si>
    <t>прочие потребители (договор э/сн одност по двум зонам/ночь СН-2)</t>
  </si>
  <si>
    <t>прочие потребители (договор э/сн одност по двум зонам/день НН)</t>
  </si>
  <si>
    <t>прочие потребители (договор э/сн одност по двум зонам/ночь НН)</t>
  </si>
  <si>
    <t>прочие потребители (договор купли-продажи одност СН-1)</t>
  </si>
  <si>
    <t>прочие потребители (договор купли-продажи одност СН-2)</t>
  </si>
  <si>
    <t>прочие потребители (договор купли-продажи одност НН)</t>
  </si>
  <si>
    <t>сетевые организации, покупающие электрическую энергию для компенсации потерь (одноставочный тариф)</t>
  </si>
  <si>
    <t>потребители приравненные к категории "население" (гаражи, хоз.постройки) одноставочный тариф на электрическую энергию по двум зонам суток (день)</t>
  </si>
  <si>
    <t>потребители приравненные к категории "население"(гаражи, хоз.постройки) одноставочный тариф на электрическую энергию по двум зонам суток (ночь)</t>
  </si>
  <si>
    <t>ПАО "ТГК-2"</t>
  </si>
  <si>
    <t>Экономически обоснованный тариф на эл. Энергию
 (без НДС),
 руб./кВт*ч</t>
  </si>
  <si>
    <t>Отпускной тариф для населения, потребителей приравленнных к категории "население", иных прочих потребителей
 (без НДС),
 руб./кВт*ч</t>
  </si>
  <si>
    <t xml:space="preserve">Кредиторская задолженность
 на 01.01.2021 г. </t>
  </si>
  <si>
    <t>Потребность в средствах субсидии за январь-ноябрь с учетом кредиторской задолженности,
 руб.,</t>
  </si>
  <si>
    <t xml:space="preserve">Кредиторская задолженность
 на 01.01.2022 г. </t>
  </si>
  <si>
    <t xml:space="preserve">Плановый расчет 
потребности в средствах субсидии на возмещение недополученных доходов, возникающих в результате государственного регулирования тарифов на электрическую энергию, поставляемую покупателям на розничных рынках Архангельской области
 в 2023 году </t>
  </si>
  <si>
    <t xml:space="preserve">Кредиторская задолженность
 на 01.01.2023 г. </t>
  </si>
  <si>
    <t>Министр ТЭК и ЖКХ АО</t>
  </si>
  <si>
    <t xml:space="preserve">Декабрь 2022
</t>
  </si>
  <si>
    <t xml:space="preserve">Декабрь 2021
</t>
  </si>
  <si>
    <t xml:space="preserve">Декабрь 2023
</t>
  </si>
  <si>
    <t xml:space="preserve">     Приложение № 13</t>
  </si>
  <si>
    <t xml:space="preserve">     к пояснительной записке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</si>
</sst>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0.0%"/>
    <numFmt numFmtId="166" formatCode="#,##0.000_ ;\-#,##0.000\ "/>
    <numFmt numFmtId="167" formatCode="#,##0.00_ ;\-#,##0.00\ 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b/>
      <sz val="8"/>
      <name val="Tahoma"/>
      <family val="2"/>
      <charset val="204"/>
    </font>
    <font>
      <b/>
      <sz val="10.5"/>
      <name val="Tahoma"/>
      <family val="2"/>
      <charset val="204"/>
    </font>
    <font>
      <sz val="10.5"/>
      <color theme="1"/>
      <name val="Calibri"/>
      <family val="2"/>
      <charset val="204"/>
      <scheme val="minor"/>
    </font>
    <font>
      <b/>
      <sz val="12"/>
      <name val="Tahoma"/>
      <family val="2"/>
      <charset val="204"/>
    </font>
    <font>
      <sz val="12"/>
      <name val="Tahoma"/>
      <family val="2"/>
      <charset val="204"/>
    </font>
    <font>
      <b/>
      <sz val="14"/>
      <name val="Tahoma"/>
      <family val="2"/>
      <charset val="204"/>
    </font>
    <font>
      <sz val="10"/>
      <color theme="1"/>
      <name val="Tahoma"/>
      <family val="2"/>
      <charset val="204"/>
    </font>
    <font>
      <sz val="12"/>
      <color theme="1"/>
      <name val="Tahoma"/>
      <family val="2"/>
      <charset val="204"/>
    </font>
    <font>
      <b/>
      <sz val="10.5"/>
      <color rgb="FFFF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6"/>
      <name val="Tahoma"/>
      <family val="2"/>
      <charset val="204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8"/>
      <name val="Tahoma"/>
      <family val="2"/>
      <charset val="204"/>
    </font>
    <font>
      <b/>
      <sz val="18"/>
      <name val="Tahoma"/>
      <family val="2"/>
      <charset val="204"/>
    </font>
    <font>
      <b/>
      <sz val="18"/>
      <color theme="1"/>
      <name val="Tahoma"/>
      <family val="2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0"/>
      <name val="Tahoma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</cellStyleXfs>
  <cellXfs count="116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 wrapText="1"/>
    </xf>
    <xf numFmtId="165" fontId="4" fillId="0" borderId="0" xfId="2" applyNumberFormat="1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0" xfId="0" applyFill="1" applyAlignment="1">
      <alignment horizontal="left"/>
    </xf>
    <xf numFmtId="167" fontId="3" fillId="0" borderId="2" xfId="0" applyNumberFormat="1" applyFont="1" applyFill="1" applyBorder="1" applyAlignment="1">
      <alignment horizontal="center" vertical="center" wrapText="1" shrinkToFit="1"/>
    </xf>
    <xf numFmtId="0" fontId="11" fillId="0" borderId="0" xfId="0" applyFont="1" applyFill="1"/>
    <xf numFmtId="0" fontId="10" fillId="0" borderId="0" xfId="0" applyFont="1" applyFill="1"/>
    <xf numFmtId="49" fontId="5" fillId="0" borderId="0" xfId="0" applyNumberFormat="1" applyFont="1" applyFill="1" applyBorder="1" applyAlignment="1">
      <alignment horizontal="righ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center" wrapText="1"/>
    </xf>
    <xf numFmtId="167" fontId="12" fillId="0" borderId="0" xfId="0" applyNumberFormat="1" applyFont="1" applyFill="1" applyBorder="1" applyAlignment="1">
      <alignment horizontal="center" vertical="center" wrapText="1" shrinkToFit="1"/>
    </xf>
    <xf numFmtId="167" fontId="12" fillId="0" borderId="0" xfId="0" applyNumberFormat="1" applyFont="1" applyFill="1" applyBorder="1" applyAlignment="1">
      <alignment horizontal="center" vertical="center" wrapText="1"/>
    </xf>
    <xf numFmtId="167" fontId="5" fillId="0" borderId="0" xfId="0" applyNumberFormat="1" applyFont="1" applyFill="1" applyBorder="1" applyAlignment="1">
      <alignment horizontal="center" vertical="center" wrapText="1"/>
    </xf>
    <xf numFmtId="164" fontId="5" fillId="0" borderId="0" xfId="1" applyFont="1" applyFill="1" applyBorder="1" applyAlignment="1">
      <alignment horizontal="center" vertical="center" wrapText="1"/>
    </xf>
    <xf numFmtId="167" fontId="5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wrapText="1" shrinkToFit="1"/>
    </xf>
    <xf numFmtId="166" fontId="3" fillId="0" borderId="0" xfId="0" applyNumberFormat="1" applyFont="1" applyFill="1" applyAlignment="1">
      <alignment horizontal="center" vertical="center" wrapText="1" shrinkToFit="1"/>
    </xf>
    <xf numFmtId="0" fontId="13" fillId="0" borderId="0" xfId="0" applyFont="1" applyFill="1"/>
    <xf numFmtId="0" fontId="15" fillId="0" borderId="0" xfId="0" applyFont="1" applyFill="1"/>
    <xf numFmtId="0" fontId="16" fillId="0" borderId="0" xfId="0" applyFont="1" applyFill="1"/>
    <xf numFmtId="0" fontId="18" fillId="0" borderId="0" xfId="0" applyFont="1" applyFill="1"/>
    <xf numFmtId="0" fontId="17" fillId="0" borderId="0" xfId="4" applyFont="1" applyFill="1"/>
    <xf numFmtId="0" fontId="19" fillId="0" borderId="0" xfId="0" applyFont="1" applyFill="1"/>
    <xf numFmtId="0" fontId="17" fillId="0" borderId="8" xfId="4" applyFont="1" applyFill="1" applyBorder="1"/>
    <xf numFmtId="0" fontId="17" fillId="0" borderId="0" xfId="7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21" fillId="0" borderId="0" xfId="0" applyFont="1" applyFill="1" applyBorder="1" applyAlignment="1">
      <alignment horizontal="left"/>
    </xf>
    <xf numFmtId="0" fontId="23" fillId="0" borderId="8" xfId="0" applyFont="1" applyFill="1" applyBorder="1"/>
    <xf numFmtId="0" fontId="22" fillId="0" borderId="0" xfId="0" applyFont="1" applyFill="1"/>
    <xf numFmtId="167" fontId="7" fillId="0" borderId="2" xfId="0" applyNumberFormat="1" applyFont="1" applyFill="1" applyBorder="1" applyAlignment="1">
      <alignment horizontal="center" vertical="center" wrapText="1" shrinkToFit="1"/>
    </xf>
    <xf numFmtId="0" fontId="15" fillId="0" borderId="0" xfId="0" applyFont="1" applyFill="1" applyAlignment="1">
      <alignment horizontal="left" wrapText="1"/>
    </xf>
    <xf numFmtId="0" fontId="15" fillId="0" borderId="0" xfId="0" applyFont="1" applyFill="1" applyAlignment="1">
      <alignment wrapText="1"/>
    </xf>
    <xf numFmtId="0" fontId="20" fillId="0" borderId="0" xfId="0" applyFont="1" applyFill="1" applyBorder="1" applyAlignment="1">
      <alignment horizontal="center" vertical="center"/>
    </xf>
    <xf numFmtId="164" fontId="20" fillId="0" borderId="0" xfId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wrapText="1"/>
    </xf>
    <xf numFmtId="0" fontId="16" fillId="0" borderId="0" xfId="0" applyFont="1" applyFill="1" applyAlignment="1">
      <alignment wrapText="1"/>
    </xf>
    <xf numFmtId="0" fontId="21" fillId="0" borderId="0" xfId="0" applyFont="1" applyFill="1"/>
    <xf numFmtId="0" fontId="15" fillId="0" borderId="0" xfId="0" applyFont="1" applyFill="1" applyAlignment="1">
      <alignment horizontal="left"/>
    </xf>
    <xf numFmtId="0" fontId="16" fillId="0" borderId="0" xfId="0" applyFont="1" applyFill="1" applyAlignment="1">
      <alignment horizontal="left" wrapText="1"/>
    </xf>
    <xf numFmtId="0" fontId="21" fillId="0" borderId="0" xfId="0" applyFont="1" applyFill="1" applyAlignment="1">
      <alignment horizontal="left"/>
    </xf>
    <xf numFmtId="167" fontId="7" fillId="0" borderId="1" xfId="0" applyNumberFormat="1" applyFont="1" applyFill="1" applyBorder="1" applyAlignment="1">
      <alignment horizontal="center" vertical="center" wrapText="1" shrinkToFit="1"/>
    </xf>
    <xf numFmtId="4" fontId="7" fillId="0" borderId="1" xfId="1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 wrapText="1" shrinkToFit="1"/>
    </xf>
    <xf numFmtId="0" fontId="7" fillId="0" borderId="0" xfId="0" applyFont="1" applyFill="1"/>
    <xf numFmtId="0" fontId="22" fillId="0" borderId="0" xfId="0" applyFont="1" applyFill="1" applyAlignment="1">
      <alignment horizontal="left"/>
    </xf>
    <xf numFmtId="0" fontId="23" fillId="0" borderId="0" xfId="0" applyFont="1" applyFill="1" applyBorder="1"/>
    <xf numFmtId="0" fontId="22" fillId="0" borderId="0" xfId="0" applyFont="1" applyFill="1" applyAlignment="1"/>
    <xf numFmtId="4" fontId="0" fillId="0" borderId="0" xfId="0" applyNumberFormat="1" applyFill="1"/>
    <xf numFmtId="167" fontId="0" fillId="0" borderId="0" xfId="0" applyNumberFormat="1" applyFill="1"/>
    <xf numFmtId="164" fontId="24" fillId="0" borderId="0" xfId="1" applyFont="1" applyFill="1" applyBorder="1" applyAlignment="1">
      <alignment horizontal="center" vertical="center"/>
    </xf>
    <xf numFmtId="4" fontId="3" fillId="2" borderId="2" xfId="1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 shrinkToFit="1"/>
    </xf>
    <xf numFmtId="4" fontId="3" fillId="2" borderId="2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 shrinkToFit="1"/>
    </xf>
    <xf numFmtId="4" fontId="7" fillId="2" borderId="2" xfId="0" applyNumberFormat="1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left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 shrinkToFit="1"/>
    </xf>
    <xf numFmtId="4" fontId="7" fillId="0" borderId="0" xfId="0" applyNumberFormat="1" applyFont="1" applyFill="1" applyBorder="1" applyAlignment="1">
      <alignment horizontal="center" vertical="center"/>
    </xf>
    <xf numFmtId="0" fontId="17" fillId="0" borderId="0" xfId="7" applyFont="1" applyFill="1" applyAlignment="1">
      <alignment horizontal="left" wrapText="1"/>
    </xf>
    <xf numFmtId="0" fontId="0" fillId="3" borderId="0" xfId="0" applyFill="1"/>
    <xf numFmtId="0" fontId="8" fillId="3" borderId="2" xfId="5" applyFont="1" applyFill="1" applyBorder="1" applyAlignment="1">
      <alignment horizontal="center" vertical="center" wrapText="1"/>
    </xf>
    <xf numFmtId="0" fontId="11" fillId="3" borderId="2" xfId="5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right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167" fontId="7" fillId="3" borderId="2" xfId="0" applyNumberFormat="1" applyFont="1" applyFill="1" applyBorder="1" applyAlignment="1">
      <alignment horizontal="center" vertical="center" wrapText="1"/>
    </xf>
    <xf numFmtId="4" fontId="7" fillId="3" borderId="2" xfId="1" applyNumberFormat="1" applyFont="1" applyFill="1" applyBorder="1" applyAlignment="1">
      <alignment horizontal="center" vertical="center" wrapText="1"/>
    </xf>
    <xf numFmtId="167" fontId="7" fillId="3" borderId="2" xfId="0" applyNumberFormat="1" applyFont="1" applyFill="1" applyBorder="1" applyAlignment="1">
      <alignment horizontal="center" vertical="center" wrapText="1" shrinkToFit="1"/>
    </xf>
    <xf numFmtId="0" fontId="13" fillId="3" borderId="0" xfId="0" applyFont="1" applyFill="1"/>
    <xf numFmtId="0" fontId="17" fillId="0" borderId="0" xfId="7" applyFont="1" applyFill="1" applyAlignment="1">
      <alignment wrapText="1"/>
    </xf>
    <xf numFmtId="0" fontId="16" fillId="0" borderId="8" xfId="0" applyFont="1" applyFill="1" applyBorder="1"/>
    <xf numFmtId="0" fontId="16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17" fillId="0" borderId="0" xfId="7" applyFont="1" applyFill="1" applyAlignment="1">
      <alignment horizontal="left" wrapText="1"/>
    </xf>
    <xf numFmtId="0" fontId="22" fillId="0" borderId="0" xfId="0" applyFont="1" applyFill="1" applyAlignment="1">
      <alignment horizontal="left"/>
    </xf>
    <xf numFmtId="2" fontId="3" fillId="0" borderId="2" xfId="0" applyNumberFormat="1" applyFont="1" applyFill="1" applyBorder="1" applyAlignment="1">
      <alignment horizontal="center" vertical="center"/>
    </xf>
    <xf numFmtId="0" fontId="17" fillId="0" borderId="0" xfId="4" applyFont="1" applyFill="1" applyBorder="1"/>
    <xf numFmtId="0" fontId="14" fillId="0" borderId="0" xfId="3" applyFont="1" applyFill="1" applyAlignment="1">
      <alignment horizontal="center" vertical="center" wrapText="1"/>
    </xf>
    <xf numFmtId="0" fontId="3" fillId="2" borderId="0" xfId="0" applyFont="1" applyFill="1"/>
    <xf numFmtId="0" fontId="10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 shrinkToFit="1"/>
    </xf>
    <xf numFmtId="0" fontId="7" fillId="2" borderId="5" xfId="0" applyFont="1" applyFill="1" applyBorder="1" applyAlignment="1">
      <alignment horizontal="left" vertical="center" wrapText="1" shrinkToFit="1"/>
    </xf>
    <xf numFmtId="0" fontId="10" fillId="2" borderId="5" xfId="0" applyFont="1" applyFill="1" applyBorder="1" applyAlignment="1">
      <alignment horizontal="left" vertical="center" wrapText="1"/>
    </xf>
    <xf numFmtId="0" fontId="8" fillId="3" borderId="2" xfId="4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8" fillId="3" borderId="1" xfId="4" applyFont="1" applyFill="1" applyBorder="1" applyAlignment="1">
      <alignment horizontal="center" vertical="center" wrapText="1"/>
    </xf>
    <xf numFmtId="0" fontId="8" fillId="3" borderId="6" xfId="4" applyFont="1" applyFill="1" applyBorder="1" applyAlignment="1">
      <alignment horizontal="center" vertical="center" wrapText="1"/>
    </xf>
    <xf numFmtId="0" fontId="11" fillId="3" borderId="3" xfId="5" applyFont="1" applyFill="1" applyBorder="1" applyAlignment="1">
      <alignment horizontal="center" vertical="center" wrapText="1"/>
    </xf>
    <xf numFmtId="0" fontId="11" fillId="3" borderId="5" xfId="5" applyFont="1" applyFill="1" applyBorder="1" applyAlignment="1">
      <alignment horizontal="center" vertical="center" wrapText="1"/>
    </xf>
    <xf numFmtId="0" fontId="8" fillId="3" borderId="3" xfId="4" applyFont="1" applyFill="1" applyBorder="1" applyAlignment="1">
      <alignment horizontal="center" vertical="center" wrapText="1"/>
    </xf>
    <xf numFmtId="0" fontId="8" fillId="3" borderId="4" xfId="4" applyFont="1" applyFill="1" applyBorder="1" applyAlignment="1">
      <alignment horizontal="center" vertical="center" wrapText="1"/>
    </xf>
    <xf numFmtId="0" fontId="8" fillId="3" borderId="5" xfId="4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 shrinkToFit="1"/>
    </xf>
    <xf numFmtId="0" fontId="9" fillId="0" borderId="6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5" applyFont="1" applyFill="1" applyBorder="1" applyAlignment="1">
      <alignment horizontal="center" vertical="center" wrapText="1"/>
    </xf>
    <xf numFmtId="0" fontId="8" fillId="3" borderId="5" xfId="5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17" fillId="0" borderId="0" xfId="7" applyFont="1" applyFill="1" applyAlignment="1">
      <alignment horizontal="left" wrapText="1"/>
    </xf>
    <xf numFmtId="0" fontId="22" fillId="0" borderId="0" xfId="0" applyFont="1" applyFill="1" applyAlignment="1">
      <alignment horizontal="left"/>
    </xf>
    <xf numFmtId="0" fontId="9" fillId="0" borderId="0" xfId="3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</cellXfs>
  <cellStyles count="8">
    <cellStyle name="Обычный" xfId="0" builtinId="0"/>
    <cellStyle name="Обычный 10 2" xfId="6"/>
    <cellStyle name="Обычный 10 2 4 2" xfId="7"/>
    <cellStyle name="Обычный 2" xfId="4"/>
    <cellStyle name="Обычный 2 2" xfId="5"/>
    <cellStyle name="Обычный 7" xfId="3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colors>
    <mruColors>
      <color rgb="FFCCFFCC"/>
      <color rgb="FFCCFFFF"/>
      <color rgb="FFFFFFCC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087a\&#1092;&#1080;&#1085;&#1072;&#1085;&#1089;&#1080;&#1088;&#1086;&#1074;&#1072;&#1085;&#1080;&#1077;\&#1041;&#1102;&#1076;&#1078;&#1077;&#1090;%202020_&#1080;&#1079;&#1084;&#1077;&#1085;&#1077;&#1085;&#1080;&#1103;\&#1089;&#1077;&#1089;&#1089;&#1080;&#1103;%20&#1089;&#1077;&#1085;&#1090;&#1103;&#1073;&#1088;&#1100;\&#1074;%20&#1084;&#1080;&#1085;&#1092;&#1080;&#1085;\&#1088;&#1072;&#1089;&#1095;&#1077;&#1090;&#1099;\2%20&#1044;&#1077;&#1083;&#1100;&#1090;&#1072;%20&#1069;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квартал факт 2020"/>
    </sheetNames>
    <sheetDataSet>
      <sheetData sheetId="0">
        <row r="15">
          <cell r="T15">
            <v>110440364.27999999</v>
          </cell>
        </row>
        <row r="26">
          <cell r="T26">
            <v>1509900.49</v>
          </cell>
        </row>
        <row r="38">
          <cell r="T38">
            <v>57126396.600000001</v>
          </cell>
        </row>
        <row r="43">
          <cell r="T43">
            <v>1942802.8953999998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GM88"/>
  <sheetViews>
    <sheetView tabSelected="1" view="pageBreakPreview" zoomScale="90" zoomScaleNormal="70" zoomScaleSheetLayoutView="90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C3" sqref="C3:K3"/>
    </sheetView>
  </sheetViews>
  <sheetFormatPr defaultRowHeight="15" outlineLevelRow="1"/>
  <cols>
    <col min="1" max="1" width="38.7109375" style="1" customWidth="1"/>
    <col min="2" max="2" width="48.85546875" style="1" customWidth="1"/>
    <col min="3" max="3" width="19.85546875" style="1" customWidth="1"/>
    <col min="4" max="4" width="20.28515625" style="1" customWidth="1"/>
    <col min="5" max="5" width="19.140625" style="1" customWidth="1"/>
    <col min="6" max="6" width="19.5703125" style="1" customWidth="1"/>
    <col min="7" max="7" width="22.5703125" style="1" customWidth="1"/>
    <col min="8" max="8" width="15" style="1" customWidth="1"/>
    <col min="9" max="11" width="15.140625" style="1" customWidth="1"/>
    <col min="12" max="15" width="21.5703125" style="1" customWidth="1"/>
    <col min="16" max="16" width="23.5703125" style="1" customWidth="1"/>
    <col min="17" max="17" width="22" style="1" customWidth="1"/>
    <col min="18" max="18" width="23.5703125" style="1" customWidth="1"/>
    <col min="19" max="19" width="25.5703125" style="1" customWidth="1"/>
    <col min="20" max="16384" width="9.140625" style="1"/>
  </cols>
  <sheetData>
    <row r="1" spans="1:19">
      <c r="I1" s="90" t="s">
        <v>69</v>
      </c>
    </row>
    <row r="2" spans="1:19">
      <c r="I2" s="90" t="s">
        <v>70</v>
      </c>
    </row>
    <row r="3" spans="1:19" ht="90.75" customHeight="1">
      <c r="A3" s="89"/>
      <c r="B3" s="89"/>
      <c r="C3" s="114" t="s">
        <v>40</v>
      </c>
      <c r="D3" s="114"/>
      <c r="E3" s="114"/>
      <c r="F3" s="114"/>
      <c r="G3" s="114"/>
      <c r="H3" s="114"/>
      <c r="I3" s="114"/>
      <c r="J3" s="114"/>
      <c r="K3" s="114"/>
      <c r="L3" s="89"/>
      <c r="M3" s="89"/>
      <c r="N3" s="89"/>
      <c r="O3" s="89"/>
      <c r="P3" s="89"/>
      <c r="Q3" s="89"/>
      <c r="R3" s="89"/>
      <c r="S3" s="89"/>
    </row>
    <row r="4" spans="1:19" ht="16.5" customHeight="1">
      <c r="A4" s="3"/>
      <c r="B4" s="4"/>
      <c r="C4" s="3"/>
      <c r="D4" s="3"/>
      <c r="E4" s="3"/>
      <c r="F4" s="3"/>
      <c r="G4" s="3"/>
      <c r="H4" s="2"/>
      <c r="I4" s="5"/>
      <c r="J4" s="3"/>
      <c r="K4" s="5"/>
      <c r="L4" s="3"/>
      <c r="M4" s="3"/>
      <c r="N4" s="3"/>
      <c r="O4" s="3"/>
      <c r="P4" s="3"/>
      <c r="Q4" s="3"/>
      <c r="R4" s="2"/>
      <c r="S4" s="2"/>
    </row>
    <row r="5" spans="1:19" s="70" customFormat="1" ht="111.75" customHeight="1">
      <c r="A5" s="95" t="s">
        <v>8</v>
      </c>
      <c r="B5" s="97" t="s">
        <v>9</v>
      </c>
      <c r="C5" s="108"/>
      <c r="D5" s="108"/>
      <c r="E5" s="108"/>
      <c r="F5" s="108"/>
      <c r="G5" s="109"/>
      <c r="H5" s="99" t="s">
        <v>58</v>
      </c>
      <c r="I5" s="100"/>
      <c r="J5" s="99" t="s">
        <v>59</v>
      </c>
      <c r="K5" s="100"/>
      <c r="L5" s="101" t="s">
        <v>20</v>
      </c>
      <c r="M5" s="102"/>
      <c r="N5" s="102"/>
      <c r="O5" s="102"/>
      <c r="P5" s="103"/>
      <c r="Q5" s="107" t="s">
        <v>60</v>
      </c>
      <c r="R5" s="110" t="s">
        <v>67</v>
      </c>
      <c r="S5" s="95" t="s">
        <v>61</v>
      </c>
    </row>
    <row r="6" spans="1:19" s="70" customFormat="1" ht="46.5" customHeight="1">
      <c r="A6" s="95"/>
      <c r="B6" s="98"/>
      <c r="C6" s="71" t="s">
        <v>36</v>
      </c>
      <c r="D6" s="71" t="s">
        <v>37</v>
      </c>
      <c r="E6" s="71" t="s">
        <v>38</v>
      </c>
      <c r="F6" s="71" t="s">
        <v>39</v>
      </c>
      <c r="G6" s="71" t="s">
        <v>19</v>
      </c>
      <c r="H6" s="72" t="s">
        <v>4</v>
      </c>
      <c r="I6" s="72" t="s">
        <v>5</v>
      </c>
      <c r="J6" s="72" t="s">
        <v>12</v>
      </c>
      <c r="K6" s="72" t="s">
        <v>5</v>
      </c>
      <c r="L6" s="71" t="s">
        <v>0</v>
      </c>
      <c r="M6" s="71" t="s">
        <v>1</v>
      </c>
      <c r="N6" s="71" t="s">
        <v>2</v>
      </c>
      <c r="O6" s="71" t="s">
        <v>3</v>
      </c>
      <c r="P6" s="71" t="s">
        <v>19</v>
      </c>
      <c r="Q6" s="107"/>
      <c r="R6" s="111"/>
      <c r="S6" s="95"/>
    </row>
    <row r="7" spans="1:19" ht="30" customHeight="1">
      <c r="A7" s="106" t="s">
        <v>57</v>
      </c>
      <c r="B7" s="63" t="s">
        <v>24</v>
      </c>
      <c r="C7" s="55">
        <v>2839327</v>
      </c>
      <c r="D7" s="56">
        <v>2775758</v>
      </c>
      <c r="E7" s="56">
        <v>2849270</v>
      </c>
      <c r="F7" s="56">
        <v>2981277</v>
      </c>
      <c r="G7" s="56">
        <f t="shared" ref="G7:G16" si="0">C7+D7+E7+F7</f>
        <v>11445632</v>
      </c>
      <c r="H7" s="8">
        <v>41.6</v>
      </c>
      <c r="I7" s="8">
        <v>41.6</v>
      </c>
      <c r="J7" s="8">
        <v>2.98</v>
      </c>
      <c r="K7" s="8">
        <v>3.08</v>
      </c>
      <c r="L7" s="8">
        <f>(H7-J7)*C7</f>
        <v>109654808.74000001</v>
      </c>
      <c r="M7" s="8">
        <f>(H7-J7)*D7</f>
        <v>107199773.96000001</v>
      </c>
      <c r="N7" s="8">
        <f>E7*(I7-K7)</f>
        <v>109753880.40000001</v>
      </c>
      <c r="O7" s="8">
        <f>F7*(I7-K7)</f>
        <v>114838790.04000001</v>
      </c>
      <c r="P7" s="8">
        <f>SUM(L7:O7)</f>
        <v>441447253.14000005</v>
      </c>
      <c r="Q7" s="8" t="s">
        <v>10</v>
      </c>
      <c r="R7" s="8"/>
      <c r="S7" s="8"/>
    </row>
    <row r="8" spans="1:19" ht="30" customHeight="1">
      <c r="A8" s="104"/>
      <c r="B8" s="63" t="s">
        <v>26</v>
      </c>
      <c r="C8" s="57">
        <v>1737300</v>
      </c>
      <c r="D8" s="57">
        <v>1361044</v>
      </c>
      <c r="E8" s="57">
        <v>1174087</v>
      </c>
      <c r="F8" s="57">
        <v>1471463</v>
      </c>
      <c r="G8" s="56">
        <f t="shared" si="0"/>
        <v>5743894</v>
      </c>
      <c r="H8" s="8">
        <v>41.6</v>
      </c>
      <c r="I8" s="8">
        <v>41.6</v>
      </c>
      <c r="J8" s="8">
        <v>3.43</v>
      </c>
      <c r="K8" s="8">
        <v>3.55</v>
      </c>
      <c r="L8" s="8">
        <f t="shared" ref="L8:L44" si="1">(H8-J8)*C8</f>
        <v>66312741</v>
      </c>
      <c r="M8" s="8">
        <f t="shared" ref="M8:M44" si="2">(H8-J8)*D8</f>
        <v>51951049.480000004</v>
      </c>
      <c r="N8" s="8">
        <f t="shared" ref="N8:N44" si="3">E8*(I8-K8)</f>
        <v>44674010.350000001</v>
      </c>
      <c r="O8" s="8">
        <f t="shared" ref="O8:O44" si="4">F8*(I8-K8)</f>
        <v>55989167.150000006</v>
      </c>
      <c r="P8" s="8">
        <f t="shared" ref="P8:P44" si="5">SUM(L8:O8)</f>
        <v>218926967.98000002</v>
      </c>
      <c r="Q8" s="8" t="s">
        <v>10</v>
      </c>
      <c r="R8" s="8"/>
      <c r="S8" s="8"/>
    </row>
    <row r="9" spans="1:19" ht="30" customHeight="1">
      <c r="A9" s="104"/>
      <c r="B9" s="91" t="s">
        <v>25</v>
      </c>
      <c r="C9" s="57">
        <v>808759</v>
      </c>
      <c r="D9" s="57">
        <v>608718</v>
      </c>
      <c r="E9" s="57">
        <v>461272</v>
      </c>
      <c r="F9" s="57">
        <v>665647</v>
      </c>
      <c r="G9" s="56">
        <f t="shared" si="0"/>
        <v>2544396</v>
      </c>
      <c r="H9" s="8">
        <v>41.6</v>
      </c>
      <c r="I9" s="8">
        <v>41.6</v>
      </c>
      <c r="J9" s="8">
        <v>1.08</v>
      </c>
      <c r="K9" s="8">
        <v>1.23</v>
      </c>
      <c r="L9" s="8">
        <f t="shared" si="1"/>
        <v>32770914.680000003</v>
      </c>
      <c r="M9" s="8">
        <f t="shared" si="2"/>
        <v>24665253.360000003</v>
      </c>
      <c r="N9" s="8">
        <f t="shared" si="3"/>
        <v>18621550.640000001</v>
      </c>
      <c r="O9" s="8">
        <f t="shared" si="4"/>
        <v>26872169.390000004</v>
      </c>
      <c r="P9" s="8">
        <f t="shared" si="5"/>
        <v>102929888.07000001</v>
      </c>
      <c r="Q9" s="8" t="s">
        <v>10</v>
      </c>
      <c r="R9" s="8"/>
      <c r="S9" s="8"/>
    </row>
    <row r="10" spans="1:19" ht="51" customHeight="1">
      <c r="A10" s="104"/>
      <c r="B10" s="91" t="s">
        <v>14</v>
      </c>
      <c r="C10" s="57">
        <v>23970</v>
      </c>
      <c r="D10" s="57">
        <v>23548</v>
      </c>
      <c r="E10" s="57">
        <v>9457</v>
      </c>
      <c r="F10" s="57">
        <v>20749</v>
      </c>
      <c r="G10" s="56">
        <f t="shared" si="0"/>
        <v>77724</v>
      </c>
      <c r="H10" s="8">
        <v>41.6</v>
      </c>
      <c r="I10" s="8">
        <v>41.6</v>
      </c>
      <c r="J10" s="8">
        <v>4.25</v>
      </c>
      <c r="K10" s="8">
        <v>4.41</v>
      </c>
      <c r="L10" s="8">
        <f t="shared" si="1"/>
        <v>895279.5</v>
      </c>
      <c r="M10" s="8">
        <f t="shared" si="2"/>
        <v>879517.8</v>
      </c>
      <c r="N10" s="8">
        <f t="shared" si="3"/>
        <v>351705.82999999996</v>
      </c>
      <c r="O10" s="8">
        <f t="shared" si="4"/>
        <v>771655.30999999994</v>
      </c>
      <c r="P10" s="8">
        <f t="shared" si="5"/>
        <v>2898158.44</v>
      </c>
      <c r="Q10" s="8" t="s">
        <v>10</v>
      </c>
      <c r="R10" s="8"/>
      <c r="S10" s="8"/>
    </row>
    <row r="11" spans="1:19" ht="54.75" customHeight="1">
      <c r="A11" s="104"/>
      <c r="B11" s="91" t="s">
        <v>55</v>
      </c>
      <c r="C11" s="57">
        <v>7946</v>
      </c>
      <c r="D11" s="57">
        <v>3744</v>
      </c>
      <c r="E11" s="57">
        <v>900</v>
      </c>
      <c r="F11" s="57">
        <v>4351</v>
      </c>
      <c r="G11" s="56">
        <f t="shared" si="0"/>
        <v>16941</v>
      </c>
      <c r="H11" s="8">
        <v>41.6</v>
      </c>
      <c r="I11" s="8">
        <v>41.6</v>
      </c>
      <c r="J11" s="8">
        <v>4.8899999999999997</v>
      </c>
      <c r="K11" s="8">
        <v>5.07</v>
      </c>
      <c r="L11" s="8">
        <f t="shared" si="1"/>
        <v>291697.66000000003</v>
      </c>
      <c r="M11" s="8">
        <f t="shared" si="2"/>
        <v>137442.23999999999</v>
      </c>
      <c r="N11" s="8">
        <f t="shared" si="3"/>
        <v>32877</v>
      </c>
      <c r="O11" s="8">
        <f t="shared" si="4"/>
        <v>158942.03</v>
      </c>
      <c r="P11" s="8">
        <f t="shared" si="5"/>
        <v>620958.93000000005</v>
      </c>
      <c r="Q11" s="8"/>
      <c r="R11" s="8"/>
      <c r="S11" s="8"/>
    </row>
    <row r="12" spans="1:19" ht="51" customHeight="1">
      <c r="A12" s="104"/>
      <c r="B12" s="91" t="s">
        <v>56</v>
      </c>
      <c r="C12" s="57">
        <v>4694</v>
      </c>
      <c r="D12" s="57">
        <v>1620</v>
      </c>
      <c r="E12" s="57">
        <v>450</v>
      </c>
      <c r="F12" s="57">
        <v>2271</v>
      </c>
      <c r="G12" s="56">
        <f t="shared" si="0"/>
        <v>9035</v>
      </c>
      <c r="H12" s="8">
        <v>41.6</v>
      </c>
      <c r="I12" s="8">
        <v>41.6</v>
      </c>
      <c r="J12" s="8">
        <v>1.54</v>
      </c>
      <c r="K12" s="8">
        <v>1.77</v>
      </c>
      <c r="L12" s="8">
        <f t="shared" si="1"/>
        <v>188041.64</v>
      </c>
      <c r="M12" s="8">
        <f t="shared" si="2"/>
        <v>64897.200000000004</v>
      </c>
      <c r="N12" s="8">
        <f t="shared" si="3"/>
        <v>17923.5</v>
      </c>
      <c r="O12" s="8">
        <f t="shared" si="4"/>
        <v>90453.93</v>
      </c>
      <c r="P12" s="8">
        <f t="shared" si="5"/>
        <v>361316.27</v>
      </c>
      <c r="Q12" s="8"/>
      <c r="R12" s="8"/>
      <c r="S12" s="8"/>
    </row>
    <row r="13" spans="1:19" ht="51" customHeight="1">
      <c r="A13" s="104"/>
      <c r="B13" s="91" t="s">
        <v>15</v>
      </c>
      <c r="C13" s="57">
        <v>99483</v>
      </c>
      <c r="D13" s="57">
        <v>77587</v>
      </c>
      <c r="E13" s="57">
        <v>149653</v>
      </c>
      <c r="F13" s="57">
        <v>88241</v>
      </c>
      <c r="G13" s="56">
        <f t="shared" si="0"/>
        <v>414964</v>
      </c>
      <c r="H13" s="8">
        <v>41.6</v>
      </c>
      <c r="I13" s="8">
        <v>41.6</v>
      </c>
      <c r="J13" s="8">
        <v>3.19</v>
      </c>
      <c r="K13" s="8">
        <v>3.31</v>
      </c>
      <c r="L13" s="8">
        <f t="shared" si="1"/>
        <v>3821142.0300000003</v>
      </c>
      <c r="M13" s="8">
        <f t="shared" si="2"/>
        <v>2980116.6700000004</v>
      </c>
      <c r="N13" s="8">
        <f t="shared" si="3"/>
        <v>5730213.3700000001</v>
      </c>
      <c r="O13" s="8">
        <f t="shared" si="4"/>
        <v>3378747.89</v>
      </c>
      <c r="P13" s="8">
        <f t="shared" si="5"/>
        <v>15910219.960000001</v>
      </c>
      <c r="Q13" s="8"/>
      <c r="R13" s="8"/>
      <c r="S13" s="8"/>
    </row>
    <row r="14" spans="1:19" ht="51" customHeight="1">
      <c r="A14" s="104"/>
      <c r="B14" s="91" t="s">
        <v>16</v>
      </c>
      <c r="C14" s="57">
        <v>201140</v>
      </c>
      <c r="D14" s="57">
        <v>145523</v>
      </c>
      <c r="E14" s="57">
        <v>167540</v>
      </c>
      <c r="F14" s="57">
        <v>154610</v>
      </c>
      <c r="G14" s="56">
        <f t="shared" si="0"/>
        <v>668813</v>
      </c>
      <c r="H14" s="8">
        <v>41.6</v>
      </c>
      <c r="I14" s="8">
        <v>41.6</v>
      </c>
      <c r="J14" s="8">
        <v>3.67</v>
      </c>
      <c r="K14" s="8">
        <v>3.81</v>
      </c>
      <c r="L14" s="8">
        <f t="shared" si="1"/>
        <v>7629240.2000000002</v>
      </c>
      <c r="M14" s="8">
        <f t="shared" si="2"/>
        <v>5519687.3899999997</v>
      </c>
      <c r="N14" s="8">
        <f t="shared" si="3"/>
        <v>6331336.5999999996</v>
      </c>
      <c r="O14" s="8">
        <f t="shared" si="4"/>
        <v>5842711.8999999994</v>
      </c>
      <c r="P14" s="8">
        <f t="shared" si="5"/>
        <v>25322976.089999996</v>
      </c>
      <c r="Q14" s="8"/>
      <c r="R14" s="8"/>
      <c r="S14" s="8"/>
    </row>
    <row r="15" spans="1:19" ht="51" customHeight="1">
      <c r="A15" s="104"/>
      <c r="B15" s="91" t="s">
        <v>17</v>
      </c>
      <c r="C15" s="57">
        <v>88747</v>
      </c>
      <c r="D15" s="57">
        <v>64748</v>
      </c>
      <c r="E15" s="57">
        <v>44965</v>
      </c>
      <c r="F15" s="57">
        <v>60979</v>
      </c>
      <c r="G15" s="56">
        <f t="shared" si="0"/>
        <v>259439</v>
      </c>
      <c r="H15" s="8">
        <v>41.6</v>
      </c>
      <c r="I15" s="8">
        <v>41.6</v>
      </c>
      <c r="J15" s="8">
        <v>1.1499999999999999</v>
      </c>
      <c r="K15" s="8">
        <v>1.32</v>
      </c>
      <c r="L15" s="8">
        <f t="shared" si="1"/>
        <v>3589816.1500000004</v>
      </c>
      <c r="M15" s="8">
        <f t="shared" si="2"/>
        <v>2619056.6</v>
      </c>
      <c r="N15" s="8">
        <f t="shared" si="3"/>
        <v>1811190.2</v>
      </c>
      <c r="O15" s="8">
        <f t="shared" si="4"/>
        <v>2456234.12</v>
      </c>
      <c r="P15" s="8">
        <f t="shared" si="5"/>
        <v>10476297.07</v>
      </c>
      <c r="Q15" s="8"/>
      <c r="R15" s="8"/>
      <c r="S15" s="8"/>
    </row>
    <row r="16" spans="1:19" ht="45" customHeight="1">
      <c r="A16" s="104"/>
      <c r="B16" s="91" t="s">
        <v>18</v>
      </c>
      <c r="C16" s="57">
        <v>4346050</v>
      </c>
      <c r="D16" s="57">
        <v>2618375</v>
      </c>
      <c r="E16" s="57">
        <v>2204836</v>
      </c>
      <c r="F16" s="57">
        <v>3711029</v>
      </c>
      <c r="G16" s="56">
        <f t="shared" si="0"/>
        <v>12880290</v>
      </c>
      <c r="H16" s="8">
        <v>41.6</v>
      </c>
      <c r="I16" s="8">
        <v>41.6</v>
      </c>
      <c r="J16" s="87">
        <v>7.95</v>
      </c>
      <c r="K16" s="87">
        <v>7.95</v>
      </c>
      <c r="L16" s="8">
        <f t="shared" si="1"/>
        <v>146244582.5</v>
      </c>
      <c r="M16" s="8">
        <f t="shared" si="2"/>
        <v>88108318.75</v>
      </c>
      <c r="N16" s="8">
        <f t="shared" si="3"/>
        <v>74192731.399999991</v>
      </c>
      <c r="O16" s="8">
        <f t="shared" si="4"/>
        <v>124876125.84999999</v>
      </c>
      <c r="P16" s="8">
        <f t="shared" si="5"/>
        <v>433421758.5</v>
      </c>
      <c r="Q16" s="8" t="s">
        <v>10</v>
      </c>
      <c r="R16" s="8"/>
      <c r="S16" s="8"/>
    </row>
    <row r="17" spans="1:195" s="21" customFormat="1" ht="30" customHeight="1">
      <c r="A17" s="105"/>
      <c r="B17" s="92" t="s">
        <v>6</v>
      </c>
      <c r="C17" s="58">
        <f>SUM(C7:C16)</f>
        <v>10157416</v>
      </c>
      <c r="D17" s="58">
        <f t="shared" ref="D17:P17" si="6">SUM(D7:D16)</f>
        <v>7680665</v>
      </c>
      <c r="E17" s="58">
        <f t="shared" si="6"/>
        <v>7062430</v>
      </c>
      <c r="F17" s="58">
        <f t="shared" si="6"/>
        <v>9160617</v>
      </c>
      <c r="G17" s="58">
        <f t="shared" si="6"/>
        <v>34061128</v>
      </c>
      <c r="H17" s="58"/>
      <c r="I17" s="58"/>
      <c r="J17" s="58"/>
      <c r="K17" s="58"/>
      <c r="L17" s="58">
        <f t="shared" si="6"/>
        <v>371398264.10000002</v>
      </c>
      <c r="M17" s="58">
        <f t="shared" si="6"/>
        <v>284125113.44999999</v>
      </c>
      <c r="N17" s="58">
        <f t="shared" si="6"/>
        <v>261517419.28999996</v>
      </c>
      <c r="O17" s="58">
        <f t="shared" si="6"/>
        <v>335274997.61000001</v>
      </c>
      <c r="P17" s="58">
        <f t="shared" si="6"/>
        <v>1252315794.4500003</v>
      </c>
      <c r="Q17" s="45">
        <f>'[1]1 квартал факт 2020'!$T$15</f>
        <v>110440364.27999999</v>
      </c>
      <c r="R17" s="46">
        <f>O17/3</f>
        <v>111758332.53666668</v>
      </c>
      <c r="S17" s="34">
        <f>P17+Q17-R17</f>
        <v>1250997826.1933336</v>
      </c>
    </row>
    <row r="18" spans="1:195" s="2" customFormat="1" ht="41.25" customHeight="1">
      <c r="A18" s="106" t="s">
        <v>34</v>
      </c>
      <c r="B18" s="63" t="s">
        <v>42</v>
      </c>
      <c r="C18" s="56">
        <v>5564672</v>
      </c>
      <c r="D18" s="56">
        <v>5059149</v>
      </c>
      <c r="E18" s="56">
        <v>4983637</v>
      </c>
      <c r="F18" s="56">
        <v>5295888</v>
      </c>
      <c r="G18" s="56">
        <f t="shared" ref="G18:G27" si="7">C18+D18+E18+F18</f>
        <v>20903346</v>
      </c>
      <c r="H18" s="8">
        <v>4.25</v>
      </c>
      <c r="I18" s="8">
        <v>4.41</v>
      </c>
      <c r="J18" s="8">
        <v>3.57</v>
      </c>
      <c r="K18" s="8">
        <v>3.74</v>
      </c>
      <c r="L18" s="8">
        <f t="shared" si="1"/>
        <v>3783976.9600000009</v>
      </c>
      <c r="M18" s="8">
        <f t="shared" si="2"/>
        <v>3440221.3200000008</v>
      </c>
      <c r="N18" s="8">
        <f t="shared" si="3"/>
        <v>3339036.7899999996</v>
      </c>
      <c r="O18" s="8">
        <f t="shared" si="4"/>
        <v>3548244.9599999995</v>
      </c>
      <c r="P18" s="8">
        <f t="shared" si="5"/>
        <v>14111480.029999999</v>
      </c>
      <c r="Q18" s="8" t="s">
        <v>10</v>
      </c>
      <c r="R18" s="46"/>
      <c r="S18" s="34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</row>
    <row r="19" spans="1:195" s="2" customFormat="1" ht="46.5" customHeight="1">
      <c r="A19" s="104"/>
      <c r="B19" s="63" t="s">
        <v>27</v>
      </c>
      <c r="C19" s="56">
        <v>99881</v>
      </c>
      <c r="D19" s="56">
        <v>94572</v>
      </c>
      <c r="E19" s="56">
        <v>64483</v>
      </c>
      <c r="F19" s="56">
        <v>84028</v>
      </c>
      <c r="G19" s="56">
        <f t="shared" si="7"/>
        <v>342964</v>
      </c>
      <c r="H19" s="8">
        <v>4.8899999999999997</v>
      </c>
      <c r="I19" s="8">
        <v>5.07</v>
      </c>
      <c r="J19" s="8">
        <v>3.82</v>
      </c>
      <c r="K19" s="8">
        <v>4.3</v>
      </c>
      <c r="L19" s="8">
        <f t="shared" si="1"/>
        <v>106872.66999999998</v>
      </c>
      <c r="M19" s="8">
        <f t="shared" si="2"/>
        <v>101192.03999999998</v>
      </c>
      <c r="N19" s="8">
        <f t="shared" si="3"/>
        <v>49651.910000000033</v>
      </c>
      <c r="O19" s="8">
        <f t="shared" si="4"/>
        <v>64701.560000000041</v>
      </c>
      <c r="P19" s="8">
        <f t="shared" si="5"/>
        <v>322418.18000000005</v>
      </c>
      <c r="Q19" s="8" t="s">
        <v>10</v>
      </c>
      <c r="R19" s="46"/>
      <c r="S19" s="34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</row>
    <row r="20" spans="1:195" s="2" customFormat="1" ht="45.75" customHeight="1">
      <c r="A20" s="104"/>
      <c r="B20" s="63" t="s">
        <v>28</v>
      </c>
      <c r="C20" s="56">
        <v>39319</v>
      </c>
      <c r="D20" s="56">
        <v>37705</v>
      </c>
      <c r="E20" s="56">
        <v>26139</v>
      </c>
      <c r="F20" s="56">
        <v>32683</v>
      </c>
      <c r="G20" s="56">
        <f t="shared" si="7"/>
        <v>135846</v>
      </c>
      <c r="H20" s="8">
        <v>1.54</v>
      </c>
      <c r="I20" s="8">
        <v>1.77</v>
      </c>
      <c r="J20" s="8">
        <v>1.38</v>
      </c>
      <c r="K20" s="8">
        <v>1.59</v>
      </c>
      <c r="L20" s="8">
        <f t="shared" si="1"/>
        <v>6291.0400000000054</v>
      </c>
      <c r="M20" s="8">
        <f t="shared" si="2"/>
        <v>6032.8000000000056</v>
      </c>
      <c r="N20" s="8">
        <f t="shared" si="3"/>
        <v>4705.0199999999986</v>
      </c>
      <c r="O20" s="8">
        <f t="shared" si="4"/>
        <v>5882.9399999999978</v>
      </c>
      <c r="P20" s="8">
        <f t="shared" si="5"/>
        <v>22911.800000000007</v>
      </c>
      <c r="Q20" s="8" t="s">
        <v>10</v>
      </c>
      <c r="R20" s="46"/>
      <c r="S20" s="34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</row>
    <row r="21" spans="1:195" s="2" customFormat="1" ht="36" customHeight="1">
      <c r="A21" s="104"/>
      <c r="B21" s="63" t="s">
        <v>29</v>
      </c>
      <c r="C21" s="56">
        <v>1215515</v>
      </c>
      <c r="D21" s="56">
        <v>1185116</v>
      </c>
      <c r="E21" s="56">
        <v>1143355</v>
      </c>
      <c r="F21" s="56">
        <v>1174535</v>
      </c>
      <c r="G21" s="56">
        <f t="shared" si="7"/>
        <v>4718521</v>
      </c>
      <c r="H21" s="8">
        <v>3.19</v>
      </c>
      <c r="I21" s="8">
        <v>3.31</v>
      </c>
      <c r="J21" s="8">
        <v>2.68</v>
      </c>
      <c r="K21" s="8">
        <v>2.81</v>
      </c>
      <c r="L21" s="8">
        <f t="shared" si="1"/>
        <v>619912.64999999979</v>
      </c>
      <c r="M21" s="8">
        <f t="shared" si="2"/>
        <v>604409.1599999998</v>
      </c>
      <c r="N21" s="8">
        <f t="shared" si="3"/>
        <v>571677.5</v>
      </c>
      <c r="O21" s="8">
        <f t="shared" si="4"/>
        <v>587267.5</v>
      </c>
      <c r="P21" s="8">
        <f t="shared" si="5"/>
        <v>2383266.8099999996</v>
      </c>
      <c r="Q21" s="8" t="s">
        <v>10</v>
      </c>
      <c r="R21" s="46"/>
      <c r="S21" s="34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</row>
    <row r="22" spans="1:195" s="2" customFormat="1" ht="42" customHeight="1">
      <c r="A22" s="104"/>
      <c r="B22" s="63" t="s">
        <v>30</v>
      </c>
      <c r="C22" s="56">
        <v>13675</v>
      </c>
      <c r="D22" s="56">
        <v>8758</v>
      </c>
      <c r="E22" s="56">
        <v>3933</v>
      </c>
      <c r="F22" s="56">
        <v>11986</v>
      </c>
      <c r="G22" s="56">
        <f t="shared" si="7"/>
        <v>38352</v>
      </c>
      <c r="H22" s="8">
        <v>3.67</v>
      </c>
      <c r="I22" s="8">
        <v>3.81</v>
      </c>
      <c r="J22" s="8">
        <v>2.88</v>
      </c>
      <c r="K22" s="8">
        <v>3.23</v>
      </c>
      <c r="L22" s="8">
        <f t="shared" si="1"/>
        <v>10803.25</v>
      </c>
      <c r="M22" s="8">
        <f t="shared" si="2"/>
        <v>6918.8200000000006</v>
      </c>
      <c r="N22" s="8">
        <f t="shared" si="3"/>
        <v>2281.1400000000003</v>
      </c>
      <c r="O22" s="8">
        <f t="shared" si="4"/>
        <v>6951.880000000001</v>
      </c>
      <c r="P22" s="8">
        <f t="shared" si="5"/>
        <v>26955.09</v>
      </c>
      <c r="Q22" s="8" t="s">
        <v>10</v>
      </c>
      <c r="R22" s="46"/>
      <c r="S22" s="34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</row>
    <row r="23" spans="1:195" s="2" customFormat="1" ht="49.5" customHeight="1">
      <c r="A23" s="104"/>
      <c r="B23" s="63" t="s">
        <v>31</v>
      </c>
      <c r="C23" s="56">
        <v>8115</v>
      </c>
      <c r="D23" s="56">
        <v>4520</v>
      </c>
      <c r="E23" s="56">
        <v>1737</v>
      </c>
      <c r="F23" s="56">
        <v>7124</v>
      </c>
      <c r="G23" s="56">
        <f t="shared" si="7"/>
        <v>21496</v>
      </c>
      <c r="H23" s="8">
        <v>1.1499999999999999</v>
      </c>
      <c r="I23" s="8">
        <v>1.32</v>
      </c>
      <c r="J23" s="8">
        <v>1.04</v>
      </c>
      <c r="K23" s="8">
        <v>1.2</v>
      </c>
      <c r="L23" s="8">
        <f t="shared" si="1"/>
        <v>892.64999999999895</v>
      </c>
      <c r="M23" s="8">
        <f t="shared" si="2"/>
        <v>497.19999999999942</v>
      </c>
      <c r="N23" s="8">
        <f t="shared" si="3"/>
        <v>208.4400000000002</v>
      </c>
      <c r="O23" s="8">
        <f t="shared" si="4"/>
        <v>854.88000000000079</v>
      </c>
      <c r="P23" s="8">
        <f t="shared" si="5"/>
        <v>2453.1699999999992</v>
      </c>
      <c r="Q23" s="8" t="s">
        <v>10</v>
      </c>
      <c r="R23" s="46"/>
      <c r="S23" s="34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</row>
    <row r="24" spans="1:195" ht="45" customHeight="1">
      <c r="A24" s="104"/>
      <c r="B24" s="91" t="s">
        <v>33</v>
      </c>
      <c r="C24" s="57">
        <v>75793</v>
      </c>
      <c r="D24" s="57">
        <v>197993</v>
      </c>
      <c r="E24" s="57">
        <v>183216</v>
      </c>
      <c r="F24" s="57">
        <v>79722</v>
      </c>
      <c r="G24" s="56">
        <f t="shared" si="7"/>
        <v>536724</v>
      </c>
      <c r="H24" s="8">
        <v>3.02</v>
      </c>
      <c r="I24" s="8">
        <v>3.13</v>
      </c>
      <c r="J24" s="8">
        <v>2.5299999999999998</v>
      </c>
      <c r="K24" s="8">
        <v>2.66</v>
      </c>
      <c r="L24" s="8">
        <f t="shared" si="1"/>
        <v>37138.570000000014</v>
      </c>
      <c r="M24" s="8">
        <f t="shared" si="2"/>
        <v>97016.570000000036</v>
      </c>
      <c r="N24" s="8">
        <f t="shared" si="3"/>
        <v>86111.51999999996</v>
      </c>
      <c r="O24" s="8">
        <f t="shared" si="4"/>
        <v>37469.339999999982</v>
      </c>
      <c r="P24" s="8">
        <f t="shared" si="5"/>
        <v>257736</v>
      </c>
      <c r="Q24" s="8"/>
      <c r="R24" s="46"/>
      <c r="S24" s="34"/>
    </row>
    <row r="25" spans="1:195" ht="46.5" customHeight="1">
      <c r="A25" s="104"/>
      <c r="B25" s="91" t="s">
        <v>32</v>
      </c>
      <c r="C25" s="57">
        <v>112100</v>
      </c>
      <c r="D25" s="57">
        <v>121000</v>
      </c>
      <c r="E25" s="57">
        <v>108500</v>
      </c>
      <c r="F25" s="57">
        <v>137300</v>
      </c>
      <c r="G25" s="56">
        <f t="shared" si="7"/>
        <v>478900</v>
      </c>
      <c r="H25" s="8">
        <v>4.25</v>
      </c>
      <c r="I25" s="8">
        <v>4.41</v>
      </c>
      <c r="J25" s="8">
        <v>3.57</v>
      </c>
      <c r="K25" s="8">
        <v>3.74</v>
      </c>
      <c r="L25" s="8">
        <f t="shared" si="1"/>
        <v>76228.000000000015</v>
      </c>
      <c r="M25" s="8">
        <f t="shared" si="2"/>
        <v>82280.000000000015</v>
      </c>
      <c r="N25" s="8">
        <f t="shared" si="3"/>
        <v>72694.999999999985</v>
      </c>
      <c r="O25" s="8">
        <f t="shared" si="4"/>
        <v>91990.999999999985</v>
      </c>
      <c r="P25" s="8">
        <f t="shared" si="5"/>
        <v>323194</v>
      </c>
      <c r="Q25" s="8"/>
      <c r="R25" s="46"/>
      <c r="S25" s="34"/>
    </row>
    <row r="26" spans="1:195" ht="45" customHeight="1">
      <c r="A26" s="104"/>
      <c r="B26" s="91" t="s">
        <v>15</v>
      </c>
      <c r="C26" s="57">
        <v>8752</v>
      </c>
      <c r="D26" s="57">
        <v>7376</v>
      </c>
      <c r="E26" s="57">
        <v>10119</v>
      </c>
      <c r="F26" s="57">
        <v>12939</v>
      </c>
      <c r="G26" s="56">
        <f t="shared" si="7"/>
        <v>39186</v>
      </c>
      <c r="H26" s="8">
        <v>3.19</v>
      </c>
      <c r="I26" s="8">
        <v>3.31</v>
      </c>
      <c r="J26" s="8">
        <v>2.68</v>
      </c>
      <c r="K26" s="8">
        <v>2.81</v>
      </c>
      <c r="L26" s="8">
        <f t="shared" si="1"/>
        <v>4463.5199999999977</v>
      </c>
      <c r="M26" s="8">
        <f t="shared" si="2"/>
        <v>3761.7599999999984</v>
      </c>
      <c r="N26" s="8">
        <f t="shared" si="3"/>
        <v>5059.5</v>
      </c>
      <c r="O26" s="8">
        <f t="shared" si="4"/>
        <v>6469.5</v>
      </c>
      <c r="P26" s="8">
        <f t="shared" si="5"/>
        <v>19754.279999999995</v>
      </c>
      <c r="Q26" s="8"/>
      <c r="R26" s="46"/>
      <c r="S26" s="34"/>
    </row>
    <row r="27" spans="1:195" ht="51" customHeight="1">
      <c r="A27" s="104"/>
      <c r="B27" s="91" t="s">
        <v>14</v>
      </c>
      <c r="C27" s="57">
        <v>136003</v>
      </c>
      <c r="D27" s="57">
        <v>124317</v>
      </c>
      <c r="E27" s="57">
        <v>120688</v>
      </c>
      <c r="F27" s="57">
        <v>156752</v>
      </c>
      <c r="G27" s="56">
        <f t="shared" si="7"/>
        <v>537760</v>
      </c>
      <c r="H27" s="8">
        <v>4.25</v>
      </c>
      <c r="I27" s="8">
        <v>4.41</v>
      </c>
      <c r="J27" s="8">
        <v>3.57</v>
      </c>
      <c r="K27" s="8">
        <v>3.74</v>
      </c>
      <c r="L27" s="8">
        <f t="shared" si="1"/>
        <v>92482.040000000023</v>
      </c>
      <c r="M27" s="8">
        <f t="shared" si="2"/>
        <v>84535.560000000027</v>
      </c>
      <c r="N27" s="8">
        <f t="shared" si="3"/>
        <v>80860.959999999992</v>
      </c>
      <c r="O27" s="8">
        <f t="shared" si="4"/>
        <v>105023.83999999998</v>
      </c>
      <c r="P27" s="8">
        <f t="shared" si="5"/>
        <v>362902.4</v>
      </c>
      <c r="Q27" s="8" t="s">
        <v>10</v>
      </c>
      <c r="R27" s="46"/>
      <c r="S27" s="34"/>
    </row>
    <row r="28" spans="1:195" s="48" customFormat="1" ht="26.25" customHeight="1">
      <c r="A28" s="105"/>
      <c r="B28" s="93" t="s">
        <v>6</v>
      </c>
      <c r="C28" s="59">
        <f>SUM(C18:C27)</f>
        <v>7273825</v>
      </c>
      <c r="D28" s="59">
        <f t="shared" ref="D28:P28" si="8">SUM(D18:D27)</f>
        <v>6840506</v>
      </c>
      <c r="E28" s="59">
        <f t="shared" si="8"/>
        <v>6645807</v>
      </c>
      <c r="F28" s="59">
        <f t="shared" si="8"/>
        <v>6992957</v>
      </c>
      <c r="G28" s="59">
        <f t="shared" si="8"/>
        <v>27753095</v>
      </c>
      <c r="H28" s="59"/>
      <c r="I28" s="59"/>
      <c r="J28" s="59"/>
      <c r="K28" s="59"/>
      <c r="L28" s="59">
        <f t="shared" si="8"/>
        <v>4739061.3500000006</v>
      </c>
      <c r="M28" s="59">
        <f t="shared" si="8"/>
        <v>4426865.2299999995</v>
      </c>
      <c r="N28" s="59">
        <f t="shared" si="8"/>
        <v>4212287.78</v>
      </c>
      <c r="O28" s="59">
        <f t="shared" si="8"/>
        <v>4454857.3999999985</v>
      </c>
      <c r="P28" s="59">
        <f t="shared" si="8"/>
        <v>17833071.760000002</v>
      </c>
      <c r="Q28" s="34">
        <f>'[1]1 квартал факт 2020'!$T$26</f>
        <v>1509900.49</v>
      </c>
      <c r="R28" s="46">
        <f>O28/3</f>
        <v>1484952.4666666661</v>
      </c>
      <c r="S28" s="34">
        <f>P28+Q28-R28</f>
        <v>17858019.783333335</v>
      </c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</row>
    <row r="29" spans="1:195" ht="48" customHeight="1">
      <c r="A29" s="104" t="s">
        <v>43</v>
      </c>
      <c r="B29" s="94" t="s">
        <v>44</v>
      </c>
      <c r="C29" s="57">
        <v>3651</v>
      </c>
      <c r="D29" s="57">
        <v>120</v>
      </c>
      <c r="E29" s="57">
        <v>135</v>
      </c>
      <c r="F29" s="57">
        <v>2807</v>
      </c>
      <c r="G29" s="56">
        <f t="shared" ref="G29:G39" si="9">C29+D29+E29+F29</f>
        <v>6713</v>
      </c>
      <c r="H29" s="8">
        <v>43.0075</v>
      </c>
      <c r="I29" s="8">
        <v>45.348559999999999</v>
      </c>
      <c r="J29" s="8">
        <v>5.1620299999999997</v>
      </c>
      <c r="K29" s="8">
        <v>5.3454600000000001</v>
      </c>
      <c r="L29" s="8">
        <f t="shared" si="1"/>
        <v>138173.81096999999</v>
      </c>
      <c r="M29" s="8">
        <f t="shared" si="2"/>
        <v>4541.4564</v>
      </c>
      <c r="N29" s="8">
        <f t="shared" si="3"/>
        <v>5400.4184999999998</v>
      </c>
      <c r="O29" s="8">
        <f t="shared" si="4"/>
        <v>112288.70169999999</v>
      </c>
      <c r="P29" s="8">
        <f t="shared" si="5"/>
        <v>260404.38756999996</v>
      </c>
      <c r="Q29" s="8"/>
      <c r="R29" s="46"/>
      <c r="S29" s="34"/>
    </row>
    <row r="30" spans="1:195" ht="48" customHeight="1">
      <c r="A30" s="104"/>
      <c r="B30" s="94" t="s">
        <v>45</v>
      </c>
      <c r="C30" s="57">
        <v>690775</v>
      </c>
      <c r="D30" s="57">
        <v>461736</v>
      </c>
      <c r="E30" s="57">
        <v>190330</v>
      </c>
      <c r="F30" s="57">
        <v>523820</v>
      </c>
      <c r="G30" s="56">
        <f t="shared" si="9"/>
        <v>1866661</v>
      </c>
      <c r="H30" s="8">
        <v>43.942309999999999</v>
      </c>
      <c r="I30" s="8">
        <v>46.420999999999999</v>
      </c>
      <c r="J30" s="8">
        <v>6.0968400000000003</v>
      </c>
      <c r="K30" s="8">
        <v>6.0968400000000003</v>
      </c>
      <c r="L30" s="8">
        <f t="shared" si="1"/>
        <v>26142704.539249998</v>
      </c>
      <c r="M30" s="8">
        <f t="shared" si="2"/>
        <v>17474615.93592</v>
      </c>
      <c r="N30" s="8">
        <f t="shared" si="3"/>
        <v>7674897.3728</v>
      </c>
      <c r="O30" s="8">
        <f t="shared" si="4"/>
        <v>21122601.4912</v>
      </c>
      <c r="P30" s="8">
        <f t="shared" si="5"/>
        <v>72414819.339170009</v>
      </c>
      <c r="Q30" s="8"/>
      <c r="R30" s="46"/>
      <c r="S30" s="34"/>
    </row>
    <row r="31" spans="1:195" ht="45.75" customHeight="1">
      <c r="A31" s="104"/>
      <c r="B31" s="94" t="s">
        <v>46</v>
      </c>
      <c r="C31" s="57">
        <v>994080</v>
      </c>
      <c r="D31" s="57">
        <v>643494</v>
      </c>
      <c r="E31" s="57">
        <v>398376</v>
      </c>
      <c r="F31" s="57">
        <v>602742</v>
      </c>
      <c r="G31" s="56">
        <f t="shared" si="9"/>
        <v>2638692</v>
      </c>
      <c r="H31" s="8">
        <v>44.902720000000002</v>
      </c>
      <c r="I31" s="8">
        <v>47.553260000000002</v>
      </c>
      <c r="J31" s="8">
        <v>7.0572499999999998</v>
      </c>
      <c r="K31" s="8">
        <v>7.55016</v>
      </c>
      <c r="L31" s="8">
        <f t="shared" si="1"/>
        <v>37621424.817600004</v>
      </c>
      <c r="M31" s="8">
        <f t="shared" si="2"/>
        <v>24353332.872180004</v>
      </c>
      <c r="N31" s="8">
        <f t="shared" si="3"/>
        <v>15936274.965600001</v>
      </c>
      <c r="O31" s="8">
        <f t="shared" si="4"/>
        <v>24111548.500200003</v>
      </c>
      <c r="P31" s="8">
        <f t="shared" si="5"/>
        <v>102022581.15558001</v>
      </c>
      <c r="Q31" s="8"/>
      <c r="R31" s="46"/>
      <c r="S31" s="34"/>
    </row>
    <row r="32" spans="1:195" ht="35.25" customHeight="1">
      <c r="A32" s="104"/>
      <c r="B32" s="94" t="s">
        <v>47</v>
      </c>
      <c r="C32" s="57">
        <v>1459</v>
      </c>
      <c r="D32" s="57">
        <v>1204</v>
      </c>
      <c r="E32" s="57">
        <v>879</v>
      </c>
      <c r="F32" s="57">
        <v>2228</v>
      </c>
      <c r="G32" s="56">
        <f t="shared" si="9"/>
        <v>5770</v>
      </c>
      <c r="H32" s="8">
        <v>43.942309999999999</v>
      </c>
      <c r="I32" s="8">
        <v>46.420999999999999</v>
      </c>
      <c r="J32" s="8">
        <v>6.0968400000000003</v>
      </c>
      <c r="K32" s="8">
        <v>6.0968400000000003</v>
      </c>
      <c r="L32" s="8">
        <f t="shared" si="1"/>
        <v>55216.540730000001</v>
      </c>
      <c r="M32" s="8">
        <f t="shared" si="2"/>
        <v>45565.945879999999</v>
      </c>
      <c r="N32" s="8">
        <f t="shared" si="3"/>
        <v>35444.93664</v>
      </c>
      <c r="O32" s="8">
        <f t="shared" si="4"/>
        <v>89842.228480000005</v>
      </c>
      <c r="P32" s="8">
        <f t="shared" si="5"/>
        <v>226069.65172999998</v>
      </c>
      <c r="Q32" s="8"/>
      <c r="R32" s="46"/>
      <c r="S32" s="34"/>
    </row>
    <row r="33" spans="1:195" ht="35.25" customHeight="1">
      <c r="A33" s="104"/>
      <c r="B33" s="94" t="s">
        <v>48</v>
      </c>
      <c r="C33" s="57">
        <v>707</v>
      </c>
      <c r="D33" s="57">
        <v>596</v>
      </c>
      <c r="E33" s="57">
        <v>405</v>
      </c>
      <c r="F33" s="57">
        <v>1121</v>
      </c>
      <c r="G33" s="56">
        <f t="shared" si="9"/>
        <v>2829</v>
      </c>
      <c r="H33" s="8">
        <v>43.942309999999999</v>
      </c>
      <c r="I33" s="8">
        <v>46.420999999999999</v>
      </c>
      <c r="J33" s="8">
        <v>6.0968400000000003</v>
      </c>
      <c r="K33" s="8">
        <v>6.0968400000000003</v>
      </c>
      <c r="L33" s="8">
        <f t="shared" si="1"/>
        <v>26756.747289999999</v>
      </c>
      <c r="M33" s="8">
        <f t="shared" si="2"/>
        <v>22555.900119999998</v>
      </c>
      <c r="N33" s="8">
        <f t="shared" si="3"/>
        <v>16331.284799999999</v>
      </c>
      <c r="O33" s="8">
        <f t="shared" si="4"/>
        <v>45203.38336</v>
      </c>
      <c r="P33" s="8">
        <f t="shared" si="5"/>
        <v>110847.31557000001</v>
      </c>
      <c r="Q33" s="8"/>
      <c r="R33" s="46"/>
      <c r="S33" s="34"/>
    </row>
    <row r="34" spans="1:195" ht="33" customHeight="1">
      <c r="A34" s="104"/>
      <c r="B34" s="94" t="s">
        <v>49</v>
      </c>
      <c r="C34" s="57">
        <v>1625</v>
      </c>
      <c r="D34" s="57">
        <v>1232</v>
      </c>
      <c r="E34" s="57">
        <v>90</v>
      </c>
      <c r="F34" s="57">
        <v>120</v>
      </c>
      <c r="G34" s="56">
        <f t="shared" si="9"/>
        <v>3067</v>
      </c>
      <c r="H34" s="8">
        <v>44.902720000000002</v>
      </c>
      <c r="I34" s="8">
        <v>47.553260000000002</v>
      </c>
      <c r="J34" s="8">
        <v>7.0572499999999998</v>
      </c>
      <c r="K34" s="8">
        <v>7.55016</v>
      </c>
      <c r="L34" s="8">
        <f t="shared" si="1"/>
        <v>61498.888750000013</v>
      </c>
      <c r="M34" s="8">
        <f t="shared" si="2"/>
        <v>46625.619040000005</v>
      </c>
      <c r="N34" s="8">
        <f t="shared" si="3"/>
        <v>3600.2790000000005</v>
      </c>
      <c r="O34" s="8">
        <f t="shared" si="4"/>
        <v>4800.3720000000003</v>
      </c>
      <c r="P34" s="8">
        <f t="shared" si="5"/>
        <v>116525.15879000002</v>
      </c>
      <c r="Q34" s="8"/>
      <c r="R34" s="46"/>
      <c r="S34" s="34"/>
    </row>
    <row r="35" spans="1:195" ht="35.25" customHeight="1">
      <c r="A35" s="104"/>
      <c r="B35" s="94" t="s">
        <v>50</v>
      </c>
      <c r="C35" s="57">
        <v>518</v>
      </c>
      <c r="D35" s="57">
        <v>200</v>
      </c>
      <c r="E35" s="57">
        <v>90</v>
      </c>
      <c r="F35" s="57">
        <v>100</v>
      </c>
      <c r="G35" s="56">
        <f t="shared" si="9"/>
        <v>908</v>
      </c>
      <c r="H35" s="8">
        <v>44.902720000000002</v>
      </c>
      <c r="I35" s="8">
        <v>47.553260000000002</v>
      </c>
      <c r="J35" s="8">
        <v>7.0572499999999998</v>
      </c>
      <c r="K35" s="8">
        <v>7.55016</v>
      </c>
      <c r="L35" s="8">
        <f t="shared" si="1"/>
        <v>19603.953460000004</v>
      </c>
      <c r="M35" s="8">
        <f t="shared" si="2"/>
        <v>7569.094000000001</v>
      </c>
      <c r="N35" s="8">
        <f t="shared" si="3"/>
        <v>3600.2790000000005</v>
      </c>
      <c r="O35" s="8">
        <f t="shared" si="4"/>
        <v>4000.3100000000004</v>
      </c>
      <c r="P35" s="8">
        <f t="shared" si="5"/>
        <v>34773.636460000002</v>
      </c>
      <c r="Q35" s="8"/>
      <c r="R35" s="46"/>
      <c r="S35" s="34"/>
    </row>
    <row r="36" spans="1:195" ht="34.5" customHeight="1">
      <c r="A36" s="104"/>
      <c r="B36" s="94" t="s">
        <v>51</v>
      </c>
      <c r="C36" s="57">
        <v>3732</v>
      </c>
      <c r="D36" s="57">
        <v>511</v>
      </c>
      <c r="E36" s="57">
        <v>209</v>
      </c>
      <c r="F36" s="57">
        <v>4631</v>
      </c>
      <c r="G36" s="56">
        <f t="shared" si="9"/>
        <v>9083</v>
      </c>
      <c r="H36" s="8">
        <v>40.526899999999998</v>
      </c>
      <c r="I36" s="8">
        <v>42.770910000000001</v>
      </c>
      <c r="J36" s="8">
        <v>2.6814300000000002</v>
      </c>
      <c r="K36" s="8">
        <v>2.7678099999999999</v>
      </c>
      <c r="L36" s="8">
        <f t="shared" si="1"/>
        <v>141239.29404000001</v>
      </c>
      <c r="M36" s="8">
        <f t="shared" si="2"/>
        <v>19339.035169999999</v>
      </c>
      <c r="N36" s="8">
        <f t="shared" si="3"/>
        <v>8360.6478999999999</v>
      </c>
      <c r="O36" s="8">
        <f t="shared" si="4"/>
        <v>185254.3561</v>
      </c>
      <c r="P36" s="8">
        <f t="shared" si="5"/>
        <v>354193.33321000001</v>
      </c>
      <c r="Q36" s="8"/>
      <c r="R36" s="46"/>
      <c r="S36" s="34"/>
    </row>
    <row r="37" spans="1:195" ht="33" customHeight="1">
      <c r="A37" s="104"/>
      <c r="B37" s="94" t="s">
        <v>52</v>
      </c>
      <c r="C37" s="57">
        <v>269245</v>
      </c>
      <c r="D37" s="57">
        <v>164042</v>
      </c>
      <c r="E37" s="57">
        <v>199743</v>
      </c>
      <c r="F37" s="57">
        <v>304918</v>
      </c>
      <c r="G37" s="56">
        <f t="shared" si="9"/>
        <v>937948</v>
      </c>
      <c r="H37" s="8">
        <v>40.526899999999998</v>
      </c>
      <c r="I37" s="8">
        <v>42.770910000000001</v>
      </c>
      <c r="J37" s="8">
        <v>2.6814300000000002</v>
      </c>
      <c r="K37" s="8">
        <v>2.7678099999999999</v>
      </c>
      <c r="L37" s="8">
        <f t="shared" si="1"/>
        <v>10189703.570149999</v>
      </c>
      <c r="M37" s="8">
        <f t="shared" si="2"/>
        <v>6208246.5897399997</v>
      </c>
      <c r="N37" s="8">
        <f t="shared" si="3"/>
        <v>7990339.2033000011</v>
      </c>
      <c r="O37" s="8">
        <f t="shared" si="4"/>
        <v>12197665.245800002</v>
      </c>
      <c r="P37" s="8">
        <f t="shared" si="5"/>
        <v>36585954.608990006</v>
      </c>
      <c r="Q37" s="8"/>
      <c r="R37" s="46"/>
      <c r="S37" s="34"/>
    </row>
    <row r="38" spans="1:195" ht="34.5" customHeight="1">
      <c r="A38" s="104"/>
      <c r="B38" s="94" t="s">
        <v>53</v>
      </c>
      <c r="C38" s="57">
        <v>557225</v>
      </c>
      <c r="D38" s="57">
        <v>211239</v>
      </c>
      <c r="E38" s="57">
        <v>224043</v>
      </c>
      <c r="F38" s="57">
        <v>802413</v>
      </c>
      <c r="G38" s="56">
        <f t="shared" si="9"/>
        <v>1794920</v>
      </c>
      <c r="H38" s="8">
        <v>40.526899999999998</v>
      </c>
      <c r="I38" s="8">
        <v>42.770910000000001</v>
      </c>
      <c r="J38" s="8">
        <v>2.6814300000000002</v>
      </c>
      <c r="K38" s="8">
        <v>2.7678099999999999</v>
      </c>
      <c r="L38" s="8">
        <f t="shared" si="1"/>
        <v>21088442.020750001</v>
      </c>
      <c r="M38" s="8">
        <f t="shared" si="2"/>
        <v>7994439.2373299999</v>
      </c>
      <c r="N38" s="8">
        <f t="shared" si="3"/>
        <v>8962414.5333000012</v>
      </c>
      <c r="O38" s="8">
        <f t="shared" si="4"/>
        <v>32099007.480300002</v>
      </c>
      <c r="P38" s="8">
        <f t="shared" si="5"/>
        <v>70144303.271679997</v>
      </c>
      <c r="Q38" s="8"/>
      <c r="R38" s="46"/>
      <c r="S38" s="34"/>
    </row>
    <row r="39" spans="1:195" ht="45" customHeight="1">
      <c r="A39" s="104"/>
      <c r="B39" s="94" t="s">
        <v>54</v>
      </c>
      <c r="C39" s="57">
        <v>853183</v>
      </c>
      <c r="D39" s="57">
        <v>346421</v>
      </c>
      <c r="E39" s="57">
        <v>521510</v>
      </c>
      <c r="F39" s="57">
        <v>1274910</v>
      </c>
      <c r="G39" s="56">
        <f t="shared" si="9"/>
        <v>2996024</v>
      </c>
      <c r="H39" s="8">
        <v>40.526899999999998</v>
      </c>
      <c r="I39" s="8">
        <v>42.770910000000001</v>
      </c>
      <c r="J39" s="8">
        <v>2.6814300000000002</v>
      </c>
      <c r="K39" s="8">
        <v>2.7678099999999999</v>
      </c>
      <c r="L39" s="8">
        <f t="shared" si="1"/>
        <v>32289111.63101</v>
      </c>
      <c r="M39" s="8">
        <f t="shared" si="2"/>
        <v>13110465.56287</v>
      </c>
      <c r="N39" s="8">
        <f t="shared" si="3"/>
        <v>20862016.681000002</v>
      </c>
      <c r="O39" s="8">
        <f t="shared" si="4"/>
        <v>51000352.221000001</v>
      </c>
      <c r="P39" s="8">
        <f t="shared" si="5"/>
        <v>117261946.09588</v>
      </c>
      <c r="Q39" s="8"/>
      <c r="R39" s="46"/>
      <c r="S39" s="34"/>
    </row>
    <row r="40" spans="1:195" s="48" customFormat="1" ht="26.25" customHeight="1">
      <c r="A40" s="105"/>
      <c r="B40" s="93" t="s">
        <v>6</v>
      </c>
      <c r="C40" s="59">
        <f>SUM(C29:C39)</f>
        <v>3376200</v>
      </c>
      <c r="D40" s="59">
        <f t="shared" ref="D40:P40" si="10">SUM(D29:D39)</f>
        <v>1830795</v>
      </c>
      <c r="E40" s="59">
        <f t="shared" si="10"/>
        <v>1535810</v>
      </c>
      <c r="F40" s="59">
        <f t="shared" si="10"/>
        <v>3519810</v>
      </c>
      <c r="G40" s="59">
        <f t="shared" si="10"/>
        <v>10262615</v>
      </c>
      <c r="H40" s="59"/>
      <c r="I40" s="59"/>
      <c r="J40" s="59"/>
      <c r="K40" s="59"/>
      <c r="L40" s="59">
        <f t="shared" si="10"/>
        <v>127773875.81400001</v>
      </c>
      <c r="M40" s="59">
        <f t="shared" si="10"/>
        <v>69287297.248649999</v>
      </c>
      <c r="N40" s="59">
        <f t="shared" si="10"/>
        <v>61498680.601840012</v>
      </c>
      <c r="O40" s="59">
        <f t="shared" si="10"/>
        <v>140972564.29014003</v>
      </c>
      <c r="P40" s="59">
        <f t="shared" si="10"/>
        <v>399532417.95463002</v>
      </c>
      <c r="Q40" s="34">
        <f>'[1]1 квартал факт 2020'!$T$38</f>
        <v>57126396.600000001</v>
      </c>
      <c r="R40" s="46">
        <f>O40/3</f>
        <v>46990854.763380013</v>
      </c>
      <c r="S40" s="34">
        <f>P40+Q40-R40</f>
        <v>409667959.79125005</v>
      </c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</row>
    <row r="41" spans="1:195" ht="30" customHeight="1" outlineLevel="1">
      <c r="A41" s="96" t="s">
        <v>11</v>
      </c>
      <c r="B41" s="63" t="s">
        <v>24</v>
      </c>
      <c r="C41" s="56">
        <v>46171</v>
      </c>
      <c r="D41" s="56">
        <v>42628</v>
      </c>
      <c r="E41" s="56">
        <v>47932</v>
      </c>
      <c r="F41" s="56">
        <v>45132</v>
      </c>
      <c r="G41" s="56">
        <f>C41+D41+E41+F41</f>
        <v>181863</v>
      </c>
      <c r="H41" s="8">
        <v>75.430000000000007</v>
      </c>
      <c r="I41" s="8">
        <v>75.430000000000007</v>
      </c>
      <c r="J41" s="8">
        <v>2.98</v>
      </c>
      <c r="K41" s="8">
        <v>3.08</v>
      </c>
      <c r="L41" s="8">
        <f t="shared" si="1"/>
        <v>3345088.95</v>
      </c>
      <c r="M41" s="8">
        <f t="shared" si="2"/>
        <v>3088398.6</v>
      </c>
      <c r="N41" s="8">
        <f t="shared" si="3"/>
        <v>3467880.2</v>
      </c>
      <c r="O41" s="8">
        <f t="shared" si="4"/>
        <v>3265300.2</v>
      </c>
      <c r="P41" s="8">
        <f t="shared" si="5"/>
        <v>13166667.949999999</v>
      </c>
      <c r="Q41" s="8"/>
      <c r="R41" s="46"/>
      <c r="S41" s="34"/>
    </row>
    <row r="42" spans="1:195" ht="30" customHeight="1" outlineLevel="1">
      <c r="A42" s="96"/>
      <c r="B42" s="63" t="s">
        <v>26</v>
      </c>
      <c r="C42" s="56">
        <v>1916</v>
      </c>
      <c r="D42" s="56">
        <v>2237</v>
      </c>
      <c r="E42" s="56">
        <v>2209</v>
      </c>
      <c r="F42" s="56">
        <v>2174</v>
      </c>
      <c r="G42" s="56">
        <f>C42+D42+E42+F42</f>
        <v>8536</v>
      </c>
      <c r="H42" s="8">
        <v>75.430000000000007</v>
      </c>
      <c r="I42" s="8">
        <v>75.430000000000007</v>
      </c>
      <c r="J42" s="8">
        <v>3.43</v>
      </c>
      <c r="K42" s="8">
        <v>3.55</v>
      </c>
      <c r="L42" s="8">
        <f t="shared" si="1"/>
        <v>137952</v>
      </c>
      <c r="M42" s="8">
        <f t="shared" si="2"/>
        <v>161064</v>
      </c>
      <c r="N42" s="8">
        <f t="shared" si="3"/>
        <v>158782.92000000001</v>
      </c>
      <c r="O42" s="8">
        <f t="shared" si="4"/>
        <v>156267.12000000002</v>
      </c>
      <c r="P42" s="8">
        <f t="shared" si="5"/>
        <v>614066.04</v>
      </c>
      <c r="Q42" s="8" t="s">
        <v>10</v>
      </c>
      <c r="R42" s="46"/>
      <c r="S42" s="34"/>
    </row>
    <row r="43" spans="1:195" ht="30" customHeight="1" outlineLevel="1">
      <c r="A43" s="96"/>
      <c r="B43" s="91" t="s">
        <v>13</v>
      </c>
      <c r="C43" s="56">
        <v>463</v>
      </c>
      <c r="D43" s="56">
        <v>574</v>
      </c>
      <c r="E43" s="56">
        <v>600</v>
      </c>
      <c r="F43" s="56">
        <v>663</v>
      </c>
      <c r="G43" s="56">
        <f>C43+D43+E43+F43</f>
        <v>2300</v>
      </c>
      <c r="H43" s="8">
        <v>75.430000000000007</v>
      </c>
      <c r="I43" s="8">
        <v>75.430000000000007</v>
      </c>
      <c r="J43" s="8">
        <v>1.08</v>
      </c>
      <c r="K43" s="8">
        <v>1.23</v>
      </c>
      <c r="L43" s="8">
        <f t="shared" si="1"/>
        <v>34424.050000000003</v>
      </c>
      <c r="M43" s="8">
        <f t="shared" si="2"/>
        <v>42676.9</v>
      </c>
      <c r="N43" s="8">
        <f t="shared" si="3"/>
        <v>44520</v>
      </c>
      <c r="O43" s="8">
        <f t="shared" si="4"/>
        <v>49194.6</v>
      </c>
      <c r="P43" s="8">
        <f t="shared" si="5"/>
        <v>170815.55000000002</v>
      </c>
      <c r="Q43" s="8"/>
      <c r="R43" s="46"/>
      <c r="S43" s="34"/>
    </row>
    <row r="44" spans="1:195" ht="31.5" customHeight="1" outlineLevel="1">
      <c r="A44" s="96"/>
      <c r="B44" s="63" t="s">
        <v>18</v>
      </c>
      <c r="C44" s="56">
        <v>59536</v>
      </c>
      <c r="D44" s="56">
        <v>33445.67</v>
      </c>
      <c r="E44" s="56">
        <v>25994</v>
      </c>
      <c r="F44" s="56">
        <v>44068.33</v>
      </c>
      <c r="G44" s="56">
        <f>C44+D44+E44+F44</f>
        <v>163044</v>
      </c>
      <c r="H44" s="8">
        <v>75.430000000000007</v>
      </c>
      <c r="I44" s="8">
        <v>75.430000000000007</v>
      </c>
      <c r="J44" s="8">
        <v>7.95</v>
      </c>
      <c r="K44" s="8">
        <v>7.95</v>
      </c>
      <c r="L44" s="8">
        <f t="shared" si="1"/>
        <v>4017489.2800000003</v>
      </c>
      <c r="M44" s="8">
        <f t="shared" si="2"/>
        <v>2256913.8116000001</v>
      </c>
      <c r="N44" s="8">
        <f t="shared" si="3"/>
        <v>1754075.12</v>
      </c>
      <c r="O44" s="8">
        <f t="shared" si="4"/>
        <v>2973730.9084000001</v>
      </c>
      <c r="P44" s="8">
        <f t="shared" si="5"/>
        <v>11002209.120000001</v>
      </c>
      <c r="Q44" s="8" t="s">
        <v>10</v>
      </c>
      <c r="R44" s="46"/>
      <c r="S44" s="34"/>
    </row>
    <row r="45" spans="1:195" s="21" customFormat="1" ht="22.5" customHeight="1" outlineLevel="1">
      <c r="A45" s="96"/>
      <c r="B45" s="67" t="s">
        <v>6</v>
      </c>
      <c r="C45" s="59">
        <f>SUM(C41:C44)</f>
        <v>108086</v>
      </c>
      <c r="D45" s="59">
        <f t="shared" ref="D45:P45" si="11">SUM(D41:D44)</f>
        <v>78884.67</v>
      </c>
      <c r="E45" s="59">
        <f t="shared" si="11"/>
        <v>76735</v>
      </c>
      <c r="F45" s="59">
        <f t="shared" si="11"/>
        <v>92037.33</v>
      </c>
      <c r="G45" s="59">
        <f t="shared" si="11"/>
        <v>355743</v>
      </c>
      <c r="H45" s="59"/>
      <c r="I45" s="59"/>
      <c r="J45" s="59"/>
      <c r="K45" s="59"/>
      <c r="L45" s="59">
        <f t="shared" si="11"/>
        <v>7534954.2800000003</v>
      </c>
      <c r="M45" s="59">
        <f t="shared" si="11"/>
        <v>5549053.3115999997</v>
      </c>
      <c r="N45" s="59">
        <f t="shared" si="11"/>
        <v>5425258.2400000002</v>
      </c>
      <c r="O45" s="59">
        <f t="shared" si="11"/>
        <v>6444492.8284000009</v>
      </c>
      <c r="P45" s="59">
        <f t="shared" si="11"/>
        <v>24953758.66</v>
      </c>
      <c r="Q45" s="34">
        <f>'[1]1 квартал факт 2020'!$T$43</f>
        <v>1942802.8953999998</v>
      </c>
      <c r="R45" s="46">
        <f>O45/3</f>
        <v>2148164.2761333338</v>
      </c>
      <c r="S45" s="34">
        <f>P45+Q45-R45</f>
        <v>24748397.279266667</v>
      </c>
    </row>
    <row r="46" spans="1:195" s="79" customFormat="1" ht="26.25" customHeight="1" outlineLevel="1">
      <c r="A46" s="73"/>
      <c r="B46" s="74" t="s">
        <v>7</v>
      </c>
      <c r="C46" s="75">
        <f>C17+C45+C28+C40</f>
        <v>20915527</v>
      </c>
      <c r="D46" s="75">
        <f>D17+D45+D28+D40</f>
        <v>16430850.67</v>
      </c>
      <c r="E46" s="75">
        <f>E17+E45+E28+E40</f>
        <v>15320782</v>
      </c>
      <c r="F46" s="75">
        <f>F17+F45+F28+F40</f>
        <v>19765421.329999998</v>
      </c>
      <c r="G46" s="75">
        <f>G17+G45+G28+G40</f>
        <v>72432581</v>
      </c>
      <c r="H46" s="75"/>
      <c r="I46" s="75"/>
      <c r="J46" s="75"/>
      <c r="K46" s="75"/>
      <c r="L46" s="75">
        <f t="shared" ref="L46:Q46" si="12">L17+L45+L28+L40</f>
        <v>511446155.54400003</v>
      </c>
      <c r="M46" s="75">
        <f t="shared" si="12"/>
        <v>363388329.24025005</v>
      </c>
      <c r="N46" s="75">
        <f t="shared" si="12"/>
        <v>332653645.91183996</v>
      </c>
      <c r="O46" s="75">
        <f t="shared" si="12"/>
        <v>487146912.12854004</v>
      </c>
      <c r="P46" s="75">
        <f>P17+P45+P28+P40</f>
        <v>1694635042.8246303</v>
      </c>
      <c r="Q46" s="76">
        <f t="shared" si="12"/>
        <v>171019464.26539999</v>
      </c>
      <c r="R46" s="77">
        <f>R45+R17+R28+R40</f>
        <v>162382304.04284668</v>
      </c>
      <c r="S46" s="78">
        <f>S45+S17+S28+S40</f>
        <v>1703272203.0471835</v>
      </c>
    </row>
    <row r="47" spans="1:195" s="6" customFormat="1" ht="15" customHeight="1" outlineLevel="1">
      <c r="A47" s="11"/>
      <c r="B47" s="12"/>
      <c r="C47" s="13"/>
      <c r="D47" s="13"/>
      <c r="E47" s="13"/>
      <c r="F47" s="13"/>
      <c r="G47" s="13"/>
      <c r="H47" s="14"/>
      <c r="I47" s="14"/>
      <c r="J47" s="15"/>
      <c r="K47" s="15"/>
      <c r="L47" s="16"/>
      <c r="M47" s="16"/>
      <c r="N47" s="16"/>
      <c r="O47" s="16"/>
      <c r="P47" s="16"/>
      <c r="Q47" s="16"/>
      <c r="R47" s="17"/>
      <c r="S47" s="18"/>
    </row>
    <row r="48" spans="1:195" ht="15" customHeight="1"/>
    <row r="49" spans="1:19" s="23" customFormat="1" ht="21.75" hidden="1" customHeight="1">
      <c r="A49" s="35"/>
      <c r="B49" s="36"/>
      <c r="C49" s="22"/>
      <c r="D49" s="22"/>
      <c r="E49" s="22"/>
      <c r="I49" s="24"/>
      <c r="J49" s="24"/>
      <c r="K49" s="24"/>
      <c r="L49" s="22"/>
      <c r="M49" s="22"/>
      <c r="N49" s="22"/>
      <c r="O49" s="22"/>
      <c r="P49" s="22"/>
      <c r="Q49" s="22"/>
      <c r="R49" s="37"/>
      <c r="S49" s="54"/>
    </row>
    <row r="50" spans="1:19" ht="15" hidden="1" customHeight="1">
      <c r="A50" s="10"/>
      <c r="P50" s="53"/>
    </row>
    <row r="51" spans="1:19" s="23" customFormat="1" ht="15" hidden="1" customHeight="1">
      <c r="A51" s="35"/>
      <c r="B51" s="36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53"/>
      <c r="Q51" s="1"/>
      <c r="R51" s="68"/>
      <c r="S51" s="38"/>
    </row>
    <row r="52" spans="1:19" s="23" customFormat="1" ht="21" hidden="1" customHeight="1">
      <c r="A52" s="35"/>
      <c r="B52" s="36"/>
      <c r="C52" s="22"/>
      <c r="D52" s="22"/>
      <c r="E52" s="22"/>
      <c r="F52" s="80"/>
      <c r="H52" s="112" t="s">
        <v>22</v>
      </c>
      <c r="I52" s="112"/>
      <c r="J52" s="112"/>
      <c r="K52" s="25"/>
      <c r="L52" s="26"/>
      <c r="M52" s="26"/>
      <c r="N52" s="26"/>
      <c r="O52" s="26"/>
      <c r="P52" s="26"/>
      <c r="Q52" s="26"/>
      <c r="R52" s="39"/>
      <c r="S52" s="37"/>
    </row>
    <row r="53" spans="1:19" s="23" customFormat="1" ht="22.5" hidden="1" customHeight="1">
      <c r="F53" s="30"/>
      <c r="G53" s="30"/>
      <c r="H53" s="30"/>
      <c r="I53" s="82"/>
      <c r="J53" s="82"/>
      <c r="L53" s="29"/>
      <c r="M53" s="29"/>
    </row>
    <row r="54" spans="1:19" s="23" customFormat="1" ht="42.75" hidden="1" customHeight="1">
      <c r="A54" s="22"/>
      <c r="B54" s="40"/>
      <c r="H54" s="112" t="s">
        <v>65</v>
      </c>
      <c r="I54" s="112"/>
      <c r="J54" s="112"/>
      <c r="K54" s="27"/>
      <c r="L54" s="81"/>
      <c r="M54" s="28" t="s">
        <v>35</v>
      </c>
      <c r="N54" s="41"/>
      <c r="R54" s="22"/>
      <c r="S54" s="22"/>
    </row>
    <row r="55" spans="1:19" s="23" customFormat="1" ht="60.75" hidden="1" customHeight="1">
      <c r="A55" s="22"/>
      <c r="B55" s="40"/>
      <c r="H55" s="69"/>
      <c r="I55" s="69"/>
      <c r="J55" s="69"/>
      <c r="K55" s="88"/>
      <c r="L55" s="29"/>
      <c r="M55" s="28"/>
      <c r="N55" s="41"/>
      <c r="R55" s="22"/>
      <c r="S55" s="22"/>
    </row>
    <row r="56" spans="1:19" s="23" customFormat="1" ht="26.25" hidden="1" customHeight="1">
      <c r="F56" s="51"/>
      <c r="H56" s="113" t="s">
        <v>23</v>
      </c>
      <c r="I56" s="113"/>
      <c r="J56" s="113"/>
      <c r="K56" s="32"/>
      <c r="L56" s="81"/>
      <c r="M56" s="33" t="s">
        <v>21</v>
      </c>
    </row>
    <row r="57" spans="1:19" s="23" customFormat="1" ht="60" hidden="1" customHeight="1">
      <c r="F57" s="49"/>
      <c r="H57" s="49"/>
      <c r="I57" s="83"/>
      <c r="J57" s="84"/>
      <c r="K57" s="50"/>
      <c r="M57" s="33"/>
    </row>
    <row r="58" spans="1:19" s="30" customFormat="1" ht="15" customHeight="1">
      <c r="A58" s="42"/>
      <c r="B58" s="43"/>
      <c r="I58" s="29"/>
      <c r="J58" s="29"/>
      <c r="K58" s="23"/>
      <c r="L58" s="31"/>
      <c r="M58" s="31"/>
      <c r="N58" s="44"/>
      <c r="R58" s="42"/>
      <c r="S58" s="42"/>
    </row>
    <row r="59" spans="1:19" s="30" customFormat="1" ht="15" customHeight="1">
      <c r="I59" s="29"/>
      <c r="J59" s="29"/>
      <c r="K59" s="23"/>
      <c r="L59" s="31"/>
      <c r="M59" s="31"/>
      <c r="N59" s="44"/>
    </row>
    <row r="60" spans="1:19" ht="15" customHeight="1">
      <c r="C60" s="52"/>
      <c r="D60" s="52"/>
      <c r="E60" s="52"/>
      <c r="F60" s="52"/>
      <c r="G60" s="7"/>
      <c r="H60" s="7"/>
    </row>
    <row r="61" spans="1:19" ht="15" customHeight="1">
      <c r="C61" s="52"/>
      <c r="D61" s="52"/>
      <c r="E61" s="52"/>
      <c r="F61" s="52"/>
      <c r="G61" s="7"/>
      <c r="H61" s="7"/>
    </row>
    <row r="62" spans="1:19" s="23" customFormat="1" ht="15" customHeight="1">
      <c r="B62" s="1"/>
      <c r="C62" s="52"/>
      <c r="D62" s="52"/>
      <c r="E62" s="52"/>
      <c r="F62" s="52"/>
      <c r="G62" s="7"/>
    </row>
    <row r="63" spans="1:19" s="23" customFormat="1" ht="15" customHeight="1">
      <c r="B63" s="1"/>
      <c r="C63" s="52"/>
      <c r="D63" s="52"/>
      <c r="E63" s="52"/>
      <c r="F63" s="52"/>
      <c r="G63" s="7"/>
    </row>
    <row r="64" spans="1:19" ht="15" customHeight="1">
      <c r="A64" s="10"/>
      <c r="C64" s="52"/>
      <c r="D64" s="52"/>
      <c r="E64" s="52"/>
      <c r="F64" s="52"/>
      <c r="G64" s="7"/>
    </row>
    <row r="65" spans="3:7">
      <c r="C65" s="52"/>
      <c r="D65" s="52"/>
      <c r="E65" s="52"/>
      <c r="F65" s="52"/>
      <c r="G65" s="7"/>
    </row>
    <row r="66" spans="3:7">
      <c r="C66" s="52"/>
      <c r="D66" s="52"/>
      <c r="E66" s="52"/>
      <c r="F66" s="52"/>
      <c r="G66" s="7"/>
    </row>
    <row r="67" spans="3:7">
      <c r="C67" s="52"/>
      <c r="D67" s="52"/>
      <c r="E67" s="52"/>
      <c r="F67" s="52"/>
      <c r="G67" s="7"/>
    </row>
    <row r="68" spans="3:7">
      <c r="C68" s="52"/>
      <c r="D68" s="52"/>
      <c r="E68" s="52"/>
      <c r="F68" s="52"/>
      <c r="G68" s="7"/>
    </row>
    <row r="69" spans="3:7">
      <c r="C69" s="52"/>
      <c r="D69" s="52"/>
      <c r="E69" s="52"/>
      <c r="F69" s="52"/>
      <c r="G69" s="7"/>
    </row>
    <row r="70" spans="3:7">
      <c r="C70" s="52"/>
      <c r="D70" s="52"/>
      <c r="E70" s="52"/>
      <c r="F70" s="52"/>
      <c r="G70" s="7"/>
    </row>
    <row r="71" spans="3:7">
      <c r="C71" s="52"/>
      <c r="D71" s="52"/>
      <c r="E71" s="52"/>
      <c r="F71" s="52"/>
      <c r="G71" s="7"/>
    </row>
    <row r="72" spans="3:7">
      <c r="C72" s="52"/>
      <c r="D72" s="52"/>
      <c r="E72" s="52"/>
    </row>
    <row r="73" spans="3:7">
      <c r="C73" s="52"/>
      <c r="D73" s="52"/>
      <c r="E73" s="52"/>
    </row>
    <row r="74" spans="3:7">
      <c r="C74" s="52"/>
      <c r="D74" s="52"/>
      <c r="E74" s="52"/>
    </row>
    <row r="75" spans="3:7">
      <c r="C75" s="52"/>
      <c r="D75" s="52"/>
      <c r="E75" s="52"/>
    </row>
    <row r="76" spans="3:7">
      <c r="C76" s="52"/>
      <c r="D76" s="52"/>
      <c r="E76" s="52"/>
    </row>
    <row r="77" spans="3:7">
      <c r="C77" s="52"/>
      <c r="D77" s="52"/>
      <c r="E77" s="52"/>
    </row>
    <row r="87" spans="2:2" ht="15.75">
      <c r="B87" s="9"/>
    </row>
    <row r="88" spans="2:2" ht="15.75">
      <c r="B88" s="9"/>
    </row>
  </sheetData>
  <mergeCells count="17">
    <mergeCell ref="C3:K3"/>
    <mergeCell ref="H54:J54"/>
    <mergeCell ref="H56:J56"/>
    <mergeCell ref="A18:A28"/>
    <mergeCell ref="H52:J52"/>
    <mergeCell ref="S5:S6"/>
    <mergeCell ref="A41:A45"/>
    <mergeCell ref="A5:A6"/>
    <mergeCell ref="B5:B6"/>
    <mergeCell ref="H5:I5"/>
    <mergeCell ref="J5:K5"/>
    <mergeCell ref="L5:P5"/>
    <mergeCell ref="A29:A40"/>
    <mergeCell ref="A7:A17"/>
    <mergeCell ref="Q5:Q6"/>
    <mergeCell ref="C5:G5"/>
    <mergeCell ref="R5:R6"/>
  </mergeCells>
  <pageMargins left="0.19685039370078741" right="0.19685039370078741" top="0.59055118110236227" bottom="0.19685039370078741" header="0.31496062992125984" footer="0.31496062992125984"/>
  <pageSetup paperSize="9" scale="52" fitToHeight="0" orientation="landscape" r:id="rId1"/>
  <headerFooter>
    <oddFooter>&amp;C&amp;P</oddFooter>
  </headerFooter>
  <colBreaks count="1" manualBreakCount="1">
    <brk id="11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O87"/>
  <sheetViews>
    <sheetView view="pageBreakPreview" zoomScale="70" zoomScaleNormal="70" zoomScaleSheetLayoutView="70" workbookViewId="0">
      <pane xSplit="3" ySplit="5" topLeftCell="D18" activePane="bottomRight" state="frozen"/>
      <selection pane="topRight" activeCell="D1" sqref="D1"/>
      <selection pane="bottomLeft" activeCell="A5" sqref="A5"/>
      <selection pane="bottomRight" activeCell="B4" sqref="B4:B5"/>
    </sheetView>
  </sheetViews>
  <sheetFormatPr defaultRowHeight="15" outlineLevelRow="1" outlineLevelCol="1"/>
  <cols>
    <col min="1" max="1" width="38.7109375" style="1" customWidth="1"/>
    <col min="2" max="2" width="48.85546875" style="1" customWidth="1"/>
    <col min="3" max="3" width="20.85546875" style="1" customWidth="1"/>
    <col min="4" max="4" width="22" style="1" customWidth="1"/>
    <col min="5" max="6" width="20.140625" style="1" customWidth="1"/>
    <col min="7" max="7" width="23.5703125" style="1" customWidth="1"/>
    <col min="8" max="11" width="16.42578125" style="1" customWidth="1"/>
    <col min="12" max="15" width="21.5703125" style="1" customWidth="1"/>
    <col min="16" max="16" width="24.5703125" style="1" customWidth="1"/>
    <col min="17" max="17" width="24.28515625" style="1" customWidth="1"/>
    <col min="18" max="18" width="25.5703125" style="1" customWidth="1"/>
    <col min="19" max="19" width="27.140625" style="1" customWidth="1"/>
    <col min="20" max="20" width="9.140625" style="1"/>
    <col min="21" max="22" width="9.140625" style="1" customWidth="1" outlineLevel="1"/>
    <col min="23" max="16384" width="9.140625" style="1"/>
  </cols>
  <sheetData>
    <row r="1" spans="1:19" ht="29.25" customHeight="1">
      <c r="I1" s="90"/>
    </row>
    <row r="2" spans="1:19" ht="112.5" customHeight="1">
      <c r="B2" s="89"/>
      <c r="C2" s="114" t="s">
        <v>41</v>
      </c>
      <c r="D2" s="114"/>
      <c r="E2" s="115"/>
      <c r="F2" s="114"/>
      <c r="G2" s="114"/>
      <c r="H2" s="114"/>
      <c r="I2" s="114"/>
      <c r="J2" s="114"/>
      <c r="K2" s="114"/>
      <c r="L2" s="89"/>
      <c r="M2" s="89"/>
      <c r="N2" s="89"/>
      <c r="O2" s="89"/>
      <c r="P2" s="89"/>
      <c r="Q2" s="89"/>
      <c r="R2" s="89"/>
      <c r="S2" s="89"/>
    </row>
    <row r="3" spans="1:19">
      <c r="A3" s="3"/>
      <c r="B3" s="4"/>
      <c r="C3" s="3"/>
      <c r="D3" s="3"/>
      <c r="E3" s="3"/>
      <c r="F3" s="3"/>
      <c r="G3" s="3"/>
      <c r="H3" s="2"/>
      <c r="I3" s="5"/>
      <c r="J3" s="3"/>
      <c r="K3" s="5"/>
      <c r="L3" s="3"/>
      <c r="M3" s="3"/>
      <c r="N3" s="3"/>
      <c r="O3" s="3"/>
      <c r="P3" s="3"/>
      <c r="Q3" s="3"/>
      <c r="R3" s="2"/>
      <c r="S3" s="2"/>
    </row>
    <row r="4" spans="1:19" s="70" customFormat="1" ht="115.5" customHeight="1">
      <c r="A4" s="95" t="s">
        <v>8</v>
      </c>
      <c r="B4" s="97" t="s">
        <v>9</v>
      </c>
      <c r="C4" s="108"/>
      <c r="D4" s="108"/>
      <c r="E4" s="108"/>
      <c r="F4" s="108"/>
      <c r="G4" s="109"/>
      <c r="H4" s="99" t="s">
        <v>58</v>
      </c>
      <c r="I4" s="100"/>
      <c r="J4" s="99" t="s">
        <v>59</v>
      </c>
      <c r="K4" s="100"/>
      <c r="L4" s="101" t="s">
        <v>20</v>
      </c>
      <c r="M4" s="102"/>
      <c r="N4" s="102"/>
      <c r="O4" s="102"/>
      <c r="P4" s="103"/>
      <c r="Q4" s="107" t="s">
        <v>62</v>
      </c>
      <c r="R4" s="110" t="s">
        <v>66</v>
      </c>
      <c r="S4" s="95" t="s">
        <v>61</v>
      </c>
    </row>
    <row r="5" spans="1:19" s="70" customFormat="1" ht="46.5" customHeight="1">
      <c r="A5" s="95"/>
      <c r="B5" s="98"/>
      <c r="C5" s="71" t="s">
        <v>36</v>
      </c>
      <c r="D5" s="71" t="s">
        <v>37</v>
      </c>
      <c r="E5" s="71" t="s">
        <v>38</v>
      </c>
      <c r="F5" s="71" t="s">
        <v>39</v>
      </c>
      <c r="G5" s="71" t="s">
        <v>19</v>
      </c>
      <c r="H5" s="72" t="s">
        <v>4</v>
      </c>
      <c r="I5" s="72" t="s">
        <v>5</v>
      </c>
      <c r="J5" s="72" t="s">
        <v>12</v>
      </c>
      <c r="K5" s="72" t="s">
        <v>5</v>
      </c>
      <c r="L5" s="71" t="s">
        <v>0</v>
      </c>
      <c r="M5" s="71" t="s">
        <v>1</v>
      </c>
      <c r="N5" s="71" t="s">
        <v>2</v>
      </c>
      <c r="O5" s="71" t="s">
        <v>3</v>
      </c>
      <c r="P5" s="71" t="s">
        <v>19</v>
      </c>
      <c r="Q5" s="107"/>
      <c r="R5" s="111"/>
      <c r="S5" s="95"/>
    </row>
    <row r="6" spans="1:19" ht="30" customHeight="1">
      <c r="A6" s="106" t="s">
        <v>57</v>
      </c>
      <c r="B6" s="60" t="s">
        <v>24</v>
      </c>
      <c r="C6" s="55">
        <v>2839327</v>
      </c>
      <c r="D6" s="56">
        <v>2775758</v>
      </c>
      <c r="E6" s="56">
        <v>2849270</v>
      </c>
      <c r="F6" s="56">
        <v>2981277</v>
      </c>
      <c r="G6" s="56">
        <f t="shared" ref="G6:G15" si="0">C6+D6+E6+F6</f>
        <v>11445632</v>
      </c>
      <c r="H6" s="8">
        <f>ROUND('2021'!H7*1.03981,2)</f>
        <v>43.26</v>
      </c>
      <c r="I6" s="8">
        <f>ROUND('2021'!I7*1.03981,2)</f>
        <v>43.26</v>
      </c>
      <c r="J6" s="8">
        <f>'2021'!K7</f>
        <v>3.08</v>
      </c>
      <c r="K6" s="8">
        <f>ROUND(J6*1.03981,2)</f>
        <v>3.2</v>
      </c>
      <c r="L6" s="8">
        <f>(H6-J6)*C6</f>
        <v>114084158.86</v>
      </c>
      <c r="M6" s="8">
        <f>(H6-J6)*D6</f>
        <v>111529956.44</v>
      </c>
      <c r="N6" s="8">
        <f>E6*(I6-K6)</f>
        <v>114141756.19999999</v>
      </c>
      <c r="O6" s="8">
        <f>F6*(I6-K6)</f>
        <v>119429956.61999999</v>
      </c>
      <c r="P6" s="8">
        <f>SUM(L6:O6)</f>
        <v>459185828.12</v>
      </c>
      <c r="Q6" s="8" t="s">
        <v>10</v>
      </c>
      <c r="R6" s="8"/>
      <c r="S6" s="8"/>
    </row>
    <row r="7" spans="1:19" ht="30" customHeight="1">
      <c r="A7" s="104"/>
      <c r="B7" s="60" t="s">
        <v>26</v>
      </c>
      <c r="C7" s="57">
        <v>1737300</v>
      </c>
      <c r="D7" s="57">
        <v>1361044</v>
      </c>
      <c r="E7" s="57">
        <v>1174087</v>
      </c>
      <c r="F7" s="57">
        <v>1471463</v>
      </c>
      <c r="G7" s="56">
        <f t="shared" si="0"/>
        <v>5743894</v>
      </c>
      <c r="H7" s="8">
        <f>ROUND('2021'!H8*1.03981,2)</f>
        <v>43.26</v>
      </c>
      <c r="I7" s="8">
        <f>ROUND('2021'!I8*1.03981,2)</f>
        <v>43.26</v>
      </c>
      <c r="J7" s="8">
        <f>'2021'!K8</f>
        <v>3.55</v>
      </c>
      <c r="K7" s="8">
        <f>ROUND(J7*1.03981,2)</f>
        <v>3.69</v>
      </c>
      <c r="L7" s="8">
        <f t="shared" ref="L7:L43" si="1">(H7-J7)*C7</f>
        <v>68988183</v>
      </c>
      <c r="M7" s="8">
        <f t="shared" ref="M7:M43" si="2">(H7-J7)*D7</f>
        <v>54047057.240000002</v>
      </c>
      <c r="N7" s="8">
        <f t="shared" ref="N7:N43" si="3">E7*(I7-K7)</f>
        <v>46458622.590000004</v>
      </c>
      <c r="O7" s="8">
        <f t="shared" ref="O7:O43" si="4">F7*(I7-K7)</f>
        <v>58225790.910000004</v>
      </c>
      <c r="P7" s="8">
        <f t="shared" ref="P7:P43" si="5">SUM(L7:O7)</f>
        <v>227719653.74000001</v>
      </c>
      <c r="Q7" s="8" t="s">
        <v>10</v>
      </c>
      <c r="R7" s="8"/>
      <c r="S7" s="8"/>
    </row>
    <row r="8" spans="1:19" ht="30" customHeight="1">
      <c r="A8" s="104"/>
      <c r="B8" s="61" t="s">
        <v>25</v>
      </c>
      <c r="C8" s="57">
        <v>808759</v>
      </c>
      <c r="D8" s="57">
        <v>608718</v>
      </c>
      <c r="E8" s="57">
        <v>461272</v>
      </c>
      <c r="F8" s="57">
        <v>665647</v>
      </c>
      <c r="G8" s="56">
        <f t="shared" si="0"/>
        <v>2544396</v>
      </c>
      <c r="H8" s="8">
        <f>ROUND('2021'!H9*1.03981,2)</f>
        <v>43.26</v>
      </c>
      <c r="I8" s="8">
        <f>ROUND('2021'!I9*1.03981,2)</f>
        <v>43.26</v>
      </c>
      <c r="J8" s="8">
        <f>'2021'!K9</f>
        <v>1.23</v>
      </c>
      <c r="K8" s="8">
        <f>ROUND(J8*1.15924,2)</f>
        <v>1.43</v>
      </c>
      <c r="L8" s="8">
        <f t="shared" si="1"/>
        <v>33992140.770000003</v>
      </c>
      <c r="M8" s="8">
        <f t="shared" si="2"/>
        <v>25584417.539999999</v>
      </c>
      <c r="N8" s="8">
        <f t="shared" si="3"/>
        <v>19295007.759999998</v>
      </c>
      <c r="O8" s="8">
        <f t="shared" si="4"/>
        <v>27844014.009999998</v>
      </c>
      <c r="P8" s="8">
        <f t="shared" si="5"/>
        <v>106715580.07999998</v>
      </c>
      <c r="Q8" s="8" t="s">
        <v>10</v>
      </c>
      <c r="R8" s="8"/>
      <c r="S8" s="8"/>
    </row>
    <row r="9" spans="1:19" ht="51" customHeight="1">
      <c r="A9" s="104"/>
      <c r="B9" s="61" t="s">
        <v>14</v>
      </c>
      <c r="C9" s="57">
        <v>23970</v>
      </c>
      <c r="D9" s="57">
        <v>23548</v>
      </c>
      <c r="E9" s="57">
        <v>9457</v>
      </c>
      <c r="F9" s="57">
        <v>20749</v>
      </c>
      <c r="G9" s="56">
        <f t="shared" si="0"/>
        <v>77724</v>
      </c>
      <c r="H9" s="8">
        <f>ROUND('2021'!H10*1.03981,2)</f>
        <v>43.26</v>
      </c>
      <c r="I9" s="8">
        <f>ROUND('2021'!I10*1.03981,2)</f>
        <v>43.26</v>
      </c>
      <c r="J9" s="8">
        <f>'2021'!K10</f>
        <v>4.41</v>
      </c>
      <c r="K9" s="8">
        <f>ROUND(J9*1.03981,2)</f>
        <v>4.59</v>
      </c>
      <c r="L9" s="8">
        <f t="shared" si="1"/>
        <v>931234.49999999988</v>
      </c>
      <c r="M9" s="8">
        <f t="shared" si="2"/>
        <v>914839.79999999981</v>
      </c>
      <c r="N9" s="8">
        <f t="shared" si="3"/>
        <v>365702.19</v>
      </c>
      <c r="O9" s="8">
        <f t="shared" si="4"/>
        <v>802363.83000000007</v>
      </c>
      <c r="P9" s="8">
        <f t="shared" si="5"/>
        <v>3014140.32</v>
      </c>
      <c r="Q9" s="8" t="s">
        <v>10</v>
      </c>
      <c r="R9" s="8"/>
      <c r="S9" s="8"/>
    </row>
    <row r="10" spans="1:19" ht="54.75" customHeight="1">
      <c r="A10" s="104"/>
      <c r="B10" s="61" t="s">
        <v>55</v>
      </c>
      <c r="C10" s="57">
        <v>7946</v>
      </c>
      <c r="D10" s="57">
        <v>3744</v>
      </c>
      <c r="E10" s="57">
        <v>900</v>
      </c>
      <c r="F10" s="57">
        <v>4351</v>
      </c>
      <c r="G10" s="56">
        <f t="shared" si="0"/>
        <v>16941</v>
      </c>
      <c r="H10" s="8">
        <f>ROUND('2021'!H11*1.03981,2)</f>
        <v>43.26</v>
      </c>
      <c r="I10" s="8">
        <f>ROUND('2021'!I11*1.03981,2)</f>
        <v>43.26</v>
      </c>
      <c r="J10" s="8">
        <f>'2021'!K11</f>
        <v>5.07</v>
      </c>
      <c r="K10" s="8">
        <f>ROUND(J10*1.03981,2)</f>
        <v>5.27</v>
      </c>
      <c r="L10" s="8">
        <f t="shared" si="1"/>
        <v>303457.74</v>
      </c>
      <c r="M10" s="8">
        <f t="shared" si="2"/>
        <v>142983.35999999999</v>
      </c>
      <c r="N10" s="8">
        <f t="shared" si="3"/>
        <v>34190.999999999993</v>
      </c>
      <c r="O10" s="8">
        <f t="shared" si="4"/>
        <v>165294.49</v>
      </c>
      <c r="P10" s="8">
        <f t="shared" si="5"/>
        <v>645926.59</v>
      </c>
      <c r="Q10" s="8"/>
      <c r="R10" s="8"/>
      <c r="S10" s="8"/>
    </row>
    <row r="11" spans="1:19" ht="51" customHeight="1">
      <c r="A11" s="104"/>
      <c r="B11" s="61" t="s">
        <v>56</v>
      </c>
      <c r="C11" s="57">
        <v>4694</v>
      </c>
      <c r="D11" s="57">
        <v>1620</v>
      </c>
      <c r="E11" s="57">
        <v>450</v>
      </c>
      <c r="F11" s="57">
        <v>2271</v>
      </c>
      <c r="G11" s="56">
        <f t="shared" si="0"/>
        <v>9035</v>
      </c>
      <c r="H11" s="8">
        <f>ROUND('2021'!H12*1.03981,2)</f>
        <v>43.26</v>
      </c>
      <c r="I11" s="8">
        <f>ROUND('2021'!I12*1.03981,2)</f>
        <v>43.26</v>
      </c>
      <c r="J11" s="8">
        <f>'2021'!K12</f>
        <v>1.77</v>
      </c>
      <c r="K11" s="8">
        <f>ROUND(J11*1.15924,2)</f>
        <v>2.0499999999999998</v>
      </c>
      <c r="L11" s="8">
        <f t="shared" si="1"/>
        <v>194754.05999999997</v>
      </c>
      <c r="M11" s="8">
        <f t="shared" si="2"/>
        <v>67213.799999999988</v>
      </c>
      <c r="N11" s="8">
        <f t="shared" si="3"/>
        <v>18544.5</v>
      </c>
      <c r="O11" s="8">
        <f t="shared" si="4"/>
        <v>93587.91</v>
      </c>
      <c r="P11" s="8">
        <f t="shared" si="5"/>
        <v>374100.27</v>
      </c>
      <c r="Q11" s="8"/>
      <c r="R11" s="8"/>
      <c r="S11" s="8"/>
    </row>
    <row r="12" spans="1:19" ht="51" customHeight="1">
      <c r="A12" s="104"/>
      <c r="B12" s="61" t="s">
        <v>15</v>
      </c>
      <c r="C12" s="57">
        <v>99483</v>
      </c>
      <c r="D12" s="57">
        <v>77587</v>
      </c>
      <c r="E12" s="57">
        <v>149653</v>
      </c>
      <c r="F12" s="57">
        <v>88241</v>
      </c>
      <c r="G12" s="56">
        <f t="shared" si="0"/>
        <v>414964</v>
      </c>
      <c r="H12" s="8">
        <f>ROUND('2021'!H13*1.03981,2)</f>
        <v>43.26</v>
      </c>
      <c r="I12" s="8">
        <f>ROUND('2021'!I13*1.03981,2)</f>
        <v>43.26</v>
      </c>
      <c r="J12" s="8">
        <f>'2021'!K13</f>
        <v>3.31</v>
      </c>
      <c r="K12" s="8">
        <f>ROUND(J12*1.03981,2)</f>
        <v>3.44</v>
      </c>
      <c r="L12" s="8">
        <f t="shared" si="1"/>
        <v>3974345.8499999996</v>
      </c>
      <c r="M12" s="8">
        <f t="shared" si="2"/>
        <v>3099600.6499999994</v>
      </c>
      <c r="N12" s="8">
        <f t="shared" si="3"/>
        <v>5959182.46</v>
      </c>
      <c r="O12" s="8">
        <f t="shared" si="4"/>
        <v>3513756.62</v>
      </c>
      <c r="P12" s="8">
        <f t="shared" si="5"/>
        <v>16546885.579999998</v>
      </c>
      <c r="Q12" s="8"/>
      <c r="R12" s="8"/>
      <c r="S12" s="8"/>
    </row>
    <row r="13" spans="1:19" ht="51" customHeight="1">
      <c r="A13" s="104"/>
      <c r="B13" s="61" t="s">
        <v>16</v>
      </c>
      <c r="C13" s="57">
        <v>201140</v>
      </c>
      <c r="D13" s="57">
        <v>145523</v>
      </c>
      <c r="E13" s="57">
        <v>167540</v>
      </c>
      <c r="F13" s="57">
        <v>154610</v>
      </c>
      <c r="G13" s="56">
        <f t="shared" si="0"/>
        <v>668813</v>
      </c>
      <c r="H13" s="8">
        <f>ROUND('2021'!H14*1.03981,2)</f>
        <v>43.26</v>
      </c>
      <c r="I13" s="8">
        <f>ROUND('2021'!I14*1.03981,2)</f>
        <v>43.26</v>
      </c>
      <c r="J13" s="8">
        <f>'2021'!K14</f>
        <v>3.81</v>
      </c>
      <c r="K13" s="8">
        <f>ROUND(J13*1.03981,2)</f>
        <v>3.96</v>
      </c>
      <c r="L13" s="8">
        <f t="shared" si="1"/>
        <v>7934972.9999999991</v>
      </c>
      <c r="M13" s="8">
        <f t="shared" si="2"/>
        <v>5740882.3499999996</v>
      </c>
      <c r="N13" s="8">
        <f t="shared" si="3"/>
        <v>6584321.9999999991</v>
      </c>
      <c r="O13" s="8">
        <f t="shared" si="4"/>
        <v>6076173</v>
      </c>
      <c r="P13" s="8">
        <f t="shared" si="5"/>
        <v>26336350.349999998</v>
      </c>
      <c r="Q13" s="8"/>
      <c r="R13" s="8"/>
      <c r="S13" s="8"/>
    </row>
    <row r="14" spans="1:19" ht="51" customHeight="1">
      <c r="A14" s="104"/>
      <c r="B14" s="61" t="s">
        <v>17</v>
      </c>
      <c r="C14" s="57">
        <v>88747</v>
      </c>
      <c r="D14" s="57">
        <v>64748</v>
      </c>
      <c r="E14" s="57">
        <v>44965</v>
      </c>
      <c r="F14" s="57">
        <v>60979</v>
      </c>
      <c r="G14" s="56">
        <f t="shared" si="0"/>
        <v>259439</v>
      </c>
      <c r="H14" s="8">
        <f>ROUND('2021'!H15*1.03981,2)</f>
        <v>43.26</v>
      </c>
      <c r="I14" s="8">
        <f>ROUND('2021'!I15*1.03981,2)</f>
        <v>43.26</v>
      </c>
      <c r="J14" s="8">
        <f>'2021'!K15</f>
        <v>1.32</v>
      </c>
      <c r="K14" s="8">
        <f>ROUND(J14*1.15924,2)</f>
        <v>1.53</v>
      </c>
      <c r="L14" s="8">
        <f t="shared" si="1"/>
        <v>3722049.1799999997</v>
      </c>
      <c r="M14" s="8">
        <f t="shared" si="2"/>
        <v>2715531.1199999996</v>
      </c>
      <c r="N14" s="8">
        <f t="shared" si="3"/>
        <v>1876389.45</v>
      </c>
      <c r="O14" s="8">
        <f t="shared" si="4"/>
        <v>2544653.67</v>
      </c>
      <c r="P14" s="8">
        <f t="shared" si="5"/>
        <v>10858623.419999998</v>
      </c>
      <c r="Q14" s="8"/>
      <c r="R14" s="8"/>
      <c r="S14" s="8"/>
    </row>
    <row r="15" spans="1:19" ht="50.25" customHeight="1">
      <c r="A15" s="104"/>
      <c r="B15" s="61" t="s">
        <v>18</v>
      </c>
      <c r="C15" s="57">
        <v>4346050</v>
      </c>
      <c r="D15" s="57">
        <v>2618375</v>
      </c>
      <c r="E15" s="57">
        <v>2204836</v>
      </c>
      <c r="F15" s="57">
        <v>3711029</v>
      </c>
      <c r="G15" s="56">
        <f t="shared" si="0"/>
        <v>12880290</v>
      </c>
      <c r="H15" s="8">
        <f>ROUND('2021'!H16*1.03981,2)</f>
        <v>43.26</v>
      </c>
      <c r="I15" s="8">
        <f>ROUND('2021'!I16*1.03981,2)</f>
        <v>43.26</v>
      </c>
      <c r="J15" s="8">
        <f>'2021'!K16</f>
        <v>7.95</v>
      </c>
      <c r="K15" s="8">
        <v>7.95</v>
      </c>
      <c r="L15" s="8">
        <f t="shared" si="1"/>
        <v>153459025.49999997</v>
      </c>
      <c r="M15" s="8">
        <f t="shared" si="2"/>
        <v>92454821.249999985</v>
      </c>
      <c r="N15" s="8">
        <f t="shared" si="3"/>
        <v>77852759.159999996</v>
      </c>
      <c r="O15" s="8">
        <f t="shared" si="4"/>
        <v>131036433.98999998</v>
      </c>
      <c r="P15" s="8">
        <f t="shared" si="5"/>
        <v>454803039.89999998</v>
      </c>
      <c r="Q15" s="8" t="s">
        <v>10</v>
      </c>
      <c r="R15" s="8"/>
      <c r="S15" s="8"/>
    </row>
    <row r="16" spans="1:19" s="21" customFormat="1" ht="30" customHeight="1">
      <c r="A16" s="105"/>
      <c r="B16" s="62" t="s">
        <v>6</v>
      </c>
      <c r="C16" s="58">
        <f>SUM(C6:C15)</f>
        <v>10157416</v>
      </c>
      <c r="D16" s="58">
        <f t="shared" ref="D16:P16" si="6">SUM(D6:D15)</f>
        <v>7680665</v>
      </c>
      <c r="E16" s="58">
        <f t="shared" si="6"/>
        <v>7062430</v>
      </c>
      <c r="F16" s="58">
        <f t="shared" si="6"/>
        <v>9160617</v>
      </c>
      <c r="G16" s="58">
        <f t="shared" si="6"/>
        <v>34061128</v>
      </c>
      <c r="H16" s="58"/>
      <c r="I16" s="58"/>
      <c r="J16" s="58"/>
      <c r="K16" s="58"/>
      <c r="L16" s="58">
        <f t="shared" si="6"/>
        <v>387584322.46000004</v>
      </c>
      <c r="M16" s="58">
        <f t="shared" si="6"/>
        <v>296297303.55000001</v>
      </c>
      <c r="N16" s="58">
        <f t="shared" si="6"/>
        <v>272586477.30999994</v>
      </c>
      <c r="O16" s="58">
        <f t="shared" si="6"/>
        <v>349732025.04999995</v>
      </c>
      <c r="P16" s="58">
        <f t="shared" si="6"/>
        <v>1306200128.3700001</v>
      </c>
      <c r="Q16" s="45">
        <f>'2021'!R17</f>
        <v>111758332.53666668</v>
      </c>
      <c r="R16" s="46">
        <f>O16/3</f>
        <v>116577341.68333332</v>
      </c>
      <c r="S16" s="34">
        <f>P16+Q16-R16</f>
        <v>1301381119.2233334</v>
      </c>
    </row>
    <row r="17" spans="1:197" s="2" customFormat="1" ht="41.25" customHeight="1">
      <c r="A17" s="106" t="s">
        <v>34</v>
      </c>
      <c r="B17" s="63" t="s">
        <v>42</v>
      </c>
      <c r="C17" s="56">
        <v>5564672</v>
      </c>
      <c r="D17" s="56">
        <v>5059149</v>
      </c>
      <c r="E17" s="56">
        <v>4983637</v>
      </c>
      <c r="F17" s="56">
        <v>5295888</v>
      </c>
      <c r="G17" s="56">
        <f t="shared" ref="G17:G26" si="7">C17+D17+E17+F17</f>
        <v>20903346</v>
      </c>
      <c r="H17" s="8">
        <f>'2021'!I18</f>
        <v>4.41</v>
      </c>
      <c r="I17" s="8">
        <f>ROUND(H17*1.03981,2)</f>
        <v>4.59</v>
      </c>
      <c r="J17" s="8">
        <f>'2021'!K18</f>
        <v>3.74</v>
      </c>
      <c r="K17" s="8">
        <f>ROUND(J17*1.07962,2)</f>
        <v>4.04</v>
      </c>
      <c r="L17" s="8">
        <f t="shared" si="1"/>
        <v>3728330.2399999998</v>
      </c>
      <c r="M17" s="8">
        <f t="shared" si="2"/>
        <v>3389629.8299999996</v>
      </c>
      <c r="N17" s="8">
        <f t="shared" si="3"/>
        <v>2741000.3499999992</v>
      </c>
      <c r="O17" s="8">
        <f t="shared" si="4"/>
        <v>2912738.399999999</v>
      </c>
      <c r="P17" s="8">
        <f t="shared" si="5"/>
        <v>12771698.819999997</v>
      </c>
      <c r="Q17" s="8" t="s">
        <v>10</v>
      </c>
      <c r="R17" s="46"/>
      <c r="S17" s="34"/>
      <c r="T17" s="19"/>
      <c r="U17" s="20">
        <f t="shared" ref="U17:U22" si="8">SUM(C17:C17)</f>
        <v>5564672</v>
      </c>
      <c r="V17" s="20">
        <f t="shared" ref="V17:V25" si="9">SUM(E17:E17)</f>
        <v>4983637</v>
      </c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</row>
    <row r="18" spans="1:197" s="2" customFormat="1" ht="46.5" customHeight="1">
      <c r="A18" s="104"/>
      <c r="B18" s="63" t="s">
        <v>27</v>
      </c>
      <c r="C18" s="56">
        <v>99881</v>
      </c>
      <c r="D18" s="56">
        <v>94572</v>
      </c>
      <c r="E18" s="56">
        <v>64483</v>
      </c>
      <c r="F18" s="56">
        <v>84028</v>
      </c>
      <c r="G18" s="56">
        <f t="shared" si="7"/>
        <v>342964</v>
      </c>
      <c r="H18" s="8">
        <f>'2021'!I19</f>
        <v>5.07</v>
      </c>
      <c r="I18" s="8">
        <f>ROUND(H18*1.03981,2)</f>
        <v>5.27</v>
      </c>
      <c r="J18" s="8">
        <f>'2021'!K19</f>
        <v>4.3</v>
      </c>
      <c r="K18" s="8">
        <f>ROUND(J18*1.07962,2)</f>
        <v>4.6399999999999997</v>
      </c>
      <c r="L18" s="8">
        <f t="shared" si="1"/>
        <v>76908.370000000039</v>
      </c>
      <c r="M18" s="8">
        <f t="shared" si="2"/>
        <v>72820.440000000046</v>
      </c>
      <c r="N18" s="8">
        <f t="shared" si="3"/>
        <v>40624.289999999994</v>
      </c>
      <c r="O18" s="8">
        <f t="shared" si="4"/>
        <v>52937.639999999992</v>
      </c>
      <c r="P18" s="8">
        <f t="shared" si="5"/>
        <v>243290.74000000008</v>
      </c>
      <c r="Q18" s="8" t="s">
        <v>10</v>
      </c>
      <c r="R18" s="46"/>
      <c r="S18" s="34"/>
      <c r="T18" s="19"/>
      <c r="U18" s="20">
        <f t="shared" si="8"/>
        <v>99881</v>
      </c>
      <c r="V18" s="20">
        <f t="shared" si="9"/>
        <v>64483</v>
      </c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</row>
    <row r="19" spans="1:197" s="2" customFormat="1" ht="51" customHeight="1">
      <c r="A19" s="104"/>
      <c r="B19" s="63" t="s">
        <v>28</v>
      </c>
      <c r="C19" s="56">
        <v>39319</v>
      </c>
      <c r="D19" s="56">
        <v>37705</v>
      </c>
      <c r="E19" s="56">
        <v>26139</v>
      </c>
      <c r="F19" s="56">
        <v>32683</v>
      </c>
      <c r="G19" s="56">
        <f t="shared" si="7"/>
        <v>135846</v>
      </c>
      <c r="H19" s="8">
        <f>'2021'!I20</f>
        <v>1.77</v>
      </c>
      <c r="I19" s="8">
        <f>ROUND(H19*1.15924,2)</f>
        <v>2.0499999999999998</v>
      </c>
      <c r="J19" s="8">
        <f>'2021'!K20</f>
        <v>1.59</v>
      </c>
      <c r="K19" s="8">
        <f>ROUND(J19*1.15924,2)</f>
        <v>1.84</v>
      </c>
      <c r="L19" s="8">
        <f t="shared" si="1"/>
        <v>7077.4199999999973</v>
      </c>
      <c r="M19" s="8">
        <f t="shared" si="2"/>
        <v>6786.8999999999978</v>
      </c>
      <c r="N19" s="8">
        <f t="shared" si="3"/>
        <v>5489.1899999999932</v>
      </c>
      <c r="O19" s="8">
        <f t="shared" si="4"/>
        <v>6863.4299999999912</v>
      </c>
      <c r="P19" s="8">
        <f t="shared" si="5"/>
        <v>26216.939999999981</v>
      </c>
      <c r="Q19" s="8" t="s">
        <v>10</v>
      </c>
      <c r="R19" s="46"/>
      <c r="S19" s="34"/>
      <c r="T19" s="19"/>
      <c r="U19" s="20">
        <f t="shared" si="8"/>
        <v>39319</v>
      </c>
      <c r="V19" s="20">
        <f t="shared" si="9"/>
        <v>26139</v>
      </c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</row>
    <row r="20" spans="1:197" s="2" customFormat="1" ht="41.25" customHeight="1">
      <c r="A20" s="104"/>
      <c r="B20" s="63" t="s">
        <v>29</v>
      </c>
      <c r="C20" s="56">
        <v>1215515</v>
      </c>
      <c r="D20" s="56">
        <v>1185116</v>
      </c>
      <c r="E20" s="56">
        <v>1143355</v>
      </c>
      <c r="F20" s="56">
        <v>1174535</v>
      </c>
      <c r="G20" s="56">
        <f t="shared" si="7"/>
        <v>4718521</v>
      </c>
      <c r="H20" s="8">
        <f>'2021'!I21</f>
        <v>3.31</v>
      </c>
      <c r="I20" s="8">
        <f>ROUND(H20*1.03981,2)</f>
        <v>3.44</v>
      </c>
      <c r="J20" s="8">
        <f>'2021'!K21</f>
        <v>2.81</v>
      </c>
      <c r="K20" s="8">
        <f>ROUND(J20*1.07962,2)</f>
        <v>3.03</v>
      </c>
      <c r="L20" s="8">
        <f t="shared" si="1"/>
        <v>607757.5</v>
      </c>
      <c r="M20" s="8">
        <f t="shared" si="2"/>
        <v>592558</v>
      </c>
      <c r="N20" s="8">
        <f t="shared" si="3"/>
        <v>468775.55000000016</v>
      </c>
      <c r="O20" s="8">
        <f t="shared" si="4"/>
        <v>481559.35000000015</v>
      </c>
      <c r="P20" s="8">
        <f t="shared" si="5"/>
        <v>2150650.4000000004</v>
      </c>
      <c r="Q20" s="8" t="s">
        <v>10</v>
      </c>
      <c r="R20" s="46"/>
      <c r="S20" s="34"/>
      <c r="T20" s="19"/>
      <c r="U20" s="20">
        <f t="shared" si="8"/>
        <v>1215515</v>
      </c>
      <c r="V20" s="20">
        <f t="shared" si="9"/>
        <v>1143355</v>
      </c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</row>
    <row r="21" spans="1:197" s="2" customFormat="1" ht="46.5" customHeight="1">
      <c r="A21" s="104"/>
      <c r="B21" s="63" t="s">
        <v>30</v>
      </c>
      <c r="C21" s="56">
        <v>13675</v>
      </c>
      <c r="D21" s="56">
        <v>8758</v>
      </c>
      <c r="E21" s="56">
        <v>3933</v>
      </c>
      <c r="F21" s="56">
        <v>11986</v>
      </c>
      <c r="G21" s="56">
        <f t="shared" si="7"/>
        <v>38352</v>
      </c>
      <c r="H21" s="8">
        <f>'2021'!I22</f>
        <v>3.81</v>
      </c>
      <c r="I21" s="8">
        <f>ROUND(H21*1.03981,2)</f>
        <v>3.96</v>
      </c>
      <c r="J21" s="8">
        <f>'2021'!K22</f>
        <v>3.23</v>
      </c>
      <c r="K21" s="8">
        <f>ROUND(J21*1.07962,2)</f>
        <v>3.49</v>
      </c>
      <c r="L21" s="8">
        <f t="shared" si="1"/>
        <v>7931.5000000000009</v>
      </c>
      <c r="M21" s="8">
        <f t="shared" si="2"/>
        <v>5079.6400000000003</v>
      </c>
      <c r="N21" s="8">
        <f t="shared" si="3"/>
        <v>1848.5099999999991</v>
      </c>
      <c r="O21" s="8">
        <f t="shared" si="4"/>
        <v>5633.4199999999973</v>
      </c>
      <c r="P21" s="8">
        <f t="shared" si="5"/>
        <v>20493.069999999996</v>
      </c>
      <c r="Q21" s="8" t="s">
        <v>10</v>
      </c>
      <c r="R21" s="46"/>
      <c r="S21" s="34"/>
      <c r="T21" s="19"/>
      <c r="U21" s="20">
        <f t="shared" si="8"/>
        <v>13675</v>
      </c>
      <c r="V21" s="20">
        <f t="shared" si="9"/>
        <v>3933</v>
      </c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</row>
    <row r="22" spans="1:197" s="2" customFormat="1" ht="49.5" customHeight="1">
      <c r="A22" s="104"/>
      <c r="B22" s="63" t="s">
        <v>31</v>
      </c>
      <c r="C22" s="56">
        <v>8115</v>
      </c>
      <c r="D22" s="56">
        <v>4520</v>
      </c>
      <c r="E22" s="56">
        <v>1737</v>
      </c>
      <c r="F22" s="56">
        <v>7124</v>
      </c>
      <c r="G22" s="56">
        <f t="shared" si="7"/>
        <v>21496</v>
      </c>
      <c r="H22" s="8">
        <f>'2021'!I23</f>
        <v>1.32</v>
      </c>
      <c r="I22" s="8">
        <f>ROUND(H22*1.15924,2)</f>
        <v>1.53</v>
      </c>
      <c r="J22" s="8">
        <f>'2021'!K23</f>
        <v>1.2</v>
      </c>
      <c r="K22" s="8">
        <f>ROUND(J22*1.15924,2)</f>
        <v>1.39</v>
      </c>
      <c r="L22" s="8">
        <f t="shared" si="1"/>
        <v>973.80000000000086</v>
      </c>
      <c r="M22" s="8">
        <f t="shared" si="2"/>
        <v>542.40000000000043</v>
      </c>
      <c r="N22" s="8">
        <f t="shared" si="3"/>
        <v>243.18000000000021</v>
      </c>
      <c r="O22" s="8">
        <f t="shared" si="4"/>
        <v>997.36000000000092</v>
      </c>
      <c r="P22" s="8">
        <f t="shared" si="5"/>
        <v>2756.7400000000025</v>
      </c>
      <c r="Q22" s="8" t="s">
        <v>10</v>
      </c>
      <c r="R22" s="46"/>
      <c r="S22" s="34"/>
      <c r="T22" s="19"/>
      <c r="U22" s="20">
        <f t="shared" si="8"/>
        <v>8115</v>
      </c>
      <c r="V22" s="20">
        <f t="shared" si="9"/>
        <v>1737</v>
      </c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</row>
    <row r="23" spans="1:197" ht="51" customHeight="1">
      <c r="A23" s="104"/>
      <c r="B23" s="61" t="s">
        <v>33</v>
      </c>
      <c r="C23" s="57">
        <v>75793</v>
      </c>
      <c r="D23" s="57">
        <v>197993</v>
      </c>
      <c r="E23" s="57">
        <v>183216</v>
      </c>
      <c r="F23" s="57">
        <v>79722</v>
      </c>
      <c r="G23" s="56">
        <f t="shared" si="7"/>
        <v>536724</v>
      </c>
      <c r="H23" s="8">
        <f>'2021'!I24</f>
        <v>3.13</v>
      </c>
      <c r="I23" s="8">
        <f>ROUND(H23*1.03981,2)</f>
        <v>3.25</v>
      </c>
      <c r="J23" s="8">
        <f>'2021'!K24</f>
        <v>2.66</v>
      </c>
      <c r="K23" s="8">
        <f>ROUND(J23*1.07962,2)</f>
        <v>2.87</v>
      </c>
      <c r="L23" s="8">
        <f t="shared" si="1"/>
        <v>35622.709999999985</v>
      </c>
      <c r="M23" s="8">
        <f t="shared" si="2"/>
        <v>93056.709999999948</v>
      </c>
      <c r="N23" s="8">
        <f t="shared" si="3"/>
        <v>69622.079999999987</v>
      </c>
      <c r="O23" s="8">
        <f t="shared" si="4"/>
        <v>30294.359999999993</v>
      </c>
      <c r="P23" s="8">
        <f t="shared" si="5"/>
        <v>228595.8599999999</v>
      </c>
      <c r="Q23" s="8"/>
      <c r="R23" s="46"/>
      <c r="S23" s="34"/>
      <c r="V23" s="20">
        <f t="shared" si="9"/>
        <v>183216</v>
      </c>
    </row>
    <row r="24" spans="1:197" ht="51" customHeight="1">
      <c r="A24" s="104"/>
      <c r="B24" s="61" t="s">
        <v>32</v>
      </c>
      <c r="C24" s="57">
        <v>112100</v>
      </c>
      <c r="D24" s="57">
        <v>121000</v>
      </c>
      <c r="E24" s="57">
        <v>108500</v>
      </c>
      <c r="F24" s="57">
        <v>137300</v>
      </c>
      <c r="G24" s="56">
        <f t="shared" si="7"/>
        <v>478900</v>
      </c>
      <c r="H24" s="8">
        <f>'2021'!I25</f>
        <v>4.41</v>
      </c>
      <c r="I24" s="8">
        <f>ROUND(H24*1.03981,2)</f>
        <v>4.59</v>
      </c>
      <c r="J24" s="8">
        <f>'2021'!K25</f>
        <v>3.74</v>
      </c>
      <c r="K24" s="8">
        <f>ROUND(J24*1.07962,2)</f>
        <v>4.04</v>
      </c>
      <c r="L24" s="8">
        <f t="shared" si="1"/>
        <v>75106.999999999985</v>
      </c>
      <c r="M24" s="8">
        <f t="shared" si="2"/>
        <v>81069.999999999985</v>
      </c>
      <c r="N24" s="8">
        <f t="shared" si="3"/>
        <v>59674.999999999978</v>
      </c>
      <c r="O24" s="8">
        <f t="shared" si="4"/>
        <v>75514.999999999971</v>
      </c>
      <c r="P24" s="8">
        <f t="shared" si="5"/>
        <v>291366.99999999988</v>
      </c>
      <c r="Q24" s="8"/>
      <c r="R24" s="46"/>
      <c r="S24" s="34"/>
      <c r="V24" s="20">
        <f t="shared" si="9"/>
        <v>108500</v>
      </c>
    </row>
    <row r="25" spans="1:197" ht="51" customHeight="1">
      <c r="A25" s="104"/>
      <c r="B25" s="61" t="s">
        <v>15</v>
      </c>
      <c r="C25" s="57">
        <v>8752</v>
      </c>
      <c r="D25" s="57">
        <v>7376</v>
      </c>
      <c r="E25" s="57">
        <v>10119</v>
      </c>
      <c r="F25" s="57">
        <v>12939</v>
      </c>
      <c r="G25" s="56">
        <f t="shared" si="7"/>
        <v>39186</v>
      </c>
      <c r="H25" s="8">
        <f>'2021'!I26</f>
        <v>3.31</v>
      </c>
      <c r="I25" s="8">
        <f>ROUND(H25*1.03981,2)</f>
        <v>3.44</v>
      </c>
      <c r="J25" s="8">
        <f>'2021'!K26</f>
        <v>2.81</v>
      </c>
      <c r="K25" s="8">
        <f>ROUND(J25*1.07962,2)</f>
        <v>3.03</v>
      </c>
      <c r="L25" s="8">
        <f t="shared" si="1"/>
        <v>4376</v>
      </c>
      <c r="M25" s="8">
        <f t="shared" si="2"/>
        <v>3688</v>
      </c>
      <c r="N25" s="8">
        <f t="shared" si="3"/>
        <v>4148.7900000000018</v>
      </c>
      <c r="O25" s="8">
        <f t="shared" si="4"/>
        <v>5304.9900000000016</v>
      </c>
      <c r="P25" s="8">
        <f t="shared" si="5"/>
        <v>17517.780000000002</v>
      </c>
      <c r="Q25" s="8"/>
      <c r="R25" s="46"/>
      <c r="S25" s="34"/>
      <c r="V25" s="20">
        <f t="shared" si="9"/>
        <v>10119</v>
      </c>
    </row>
    <row r="26" spans="1:197" ht="51" customHeight="1">
      <c r="A26" s="104"/>
      <c r="B26" s="61" t="s">
        <v>14</v>
      </c>
      <c r="C26" s="57">
        <v>136003</v>
      </c>
      <c r="D26" s="57">
        <v>124317</v>
      </c>
      <c r="E26" s="57">
        <v>120688</v>
      </c>
      <c r="F26" s="57">
        <v>156752</v>
      </c>
      <c r="G26" s="56">
        <f t="shared" si="7"/>
        <v>537760</v>
      </c>
      <c r="H26" s="8">
        <f>'2021'!I27</f>
        <v>4.41</v>
      </c>
      <c r="I26" s="8">
        <f>ROUND(H26*1.03981,2)</f>
        <v>4.59</v>
      </c>
      <c r="J26" s="8">
        <f>'2021'!K27</f>
        <v>3.74</v>
      </c>
      <c r="K26" s="8">
        <f>ROUND(J26*1.07962,2)</f>
        <v>4.04</v>
      </c>
      <c r="L26" s="8">
        <f t="shared" si="1"/>
        <v>91122.01</v>
      </c>
      <c r="M26" s="8">
        <f t="shared" si="2"/>
        <v>83292.389999999985</v>
      </c>
      <c r="N26" s="8">
        <f t="shared" si="3"/>
        <v>66378.39999999998</v>
      </c>
      <c r="O26" s="8">
        <f t="shared" si="4"/>
        <v>86213.599999999977</v>
      </c>
      <c r="P26" s="8">
        <f t="shared" si="5"/>
        <v>327006.39999999991</v>
      </c>
      <c r="Q26" s="8" t="s">
        <v>10</v>
      </c>
      <c r="R26" s="46"/>
      <c r="S26" s="34"/>
    </row>
    <row r="27" spans="1:197" s="48" customFormat="1" ht="26.25" customHeight="1">
      <c r="A27" s="105"/>
      <c r="B27" s="64" t="s">
        <v>6</v>
      </c>
      <c r="C27" s="59">
        <f>SUM(C17:C26)</f>
        <v>7273825</v>
      </c>
      <c r="D27" s="59">
        <f t="shared" ref="D27:P27" si="10">SUM(D17:D26)</f>
        <v>6840506</v>
      </c>
      <c r="E27" s="59">
        <f t="shared" si="10"/>
        <v>6645807</v>
      </c>
      <c r="F27" s="59">
        <f t="shared" si="10"/>
        <v>6992957</v>
      </c>
      <c r="G27" s="59">
        <f t="shared" si="10"/>
        <v>27753095</v>
      </c>
      <c r="H27" s="59"/>
      <c r="I27" s="59"/>
      <c r="J27" s="59"/>
      <c r="K27" s="59"/>
      <c r="L27" s="59">
        <f t="shared" si="10"/>
        <v>4635206.5499999989</v>
      </c>
      <c r="M27" s="59">
        <f t="shared" si="10"/>
        <v>4328524.3099999987</v>
      </c>
      <c r="N27" s="59">
        <f t="shared" si="10"/>
        <v>3457805.3399999994</v>
      </c>
      <c r="O27" s="59">
        <f t="shared" si="10"/>
        <v>3658057.5499999993</v>
      </c>
      <c r="P27" s="59">
        <f t="shared" si="10"/>
        <v>16079593.749999996</v>
      </c>
      <c r="Q27" s="34">
        <f>'2021'!R28</f>
        <v>1484952.4666666661</v>
      </c>
      <c r="R27" s="46">
        <f t="shared" ref="R27:R44" si="11">O27/3</f>
        <v>1219352.5166666664</v>
      </c>
      <c r="S27" s="34">
        <f>P27+Q27-R27</f>
        <v>16345193.699999996</v>
      </c>
      <c r="T27" s="47"/>
      <c r="U27" s="47">
        <f>ROUND(SUMPRODUCT(J17:J22,U17:U22)/SUM(U17:U22),2)</f>
        <v>3.57</v>
      </c>
      <c r="V27" s="47">
        <f>ROUND(SUMPRODUCT(K17:K22,V17:V22)/SUM(V17:V22),2)</f>
        <v>3.85</v>
      </c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</row>
    <row r="28" spans="1:197" ht="48" customHeight="1">
      <c r="A28" s="104" t="s">
        <v>43</v>
      </c>
      <c r="B28" s="65" t="s">
        <v>44</v>
      </c>
      <c r="C28" s="57">
        <v>3651</v>
      </c>
      <c r="D28" s="57">
        <v>120</v>
      </c>
      <c r="E28" s="57">
        <v>135</v>
      </c>
      <c r="F28" s="57">
        <v>2807</v>
      </c>
      <c r="G28" s="56">
        <f t="shared" ref="G28:G38" si="12">C28+D28+E28+F28</f>
        <v>6713</v>
      </c>
      <c r="H28" s="8">
        <f>'2021'!I29</f>
        <v>45.348559999999999</v>
      </c>
      <c r="I28" s="8">
        <f t="shared" ref="I28:I38" si="13">ROUND(H28*1.03981,5)</f>
        <v>47.153889999999997</v>
      </c>
      <c r="J28" s="8">
        <f>'2021'!K29</f>
        <v>5.3454600000000001</v>
      </c>
      <c r="K28" s="8">
        <f t="shared" ref="K28:K38" si="14">ROUND(J28*1.03981,5)</f>
        <v>5.5582599999999998</v>
      </c>
      <c r="L28" s="8">
        <f t="shared" si="1"/>
        <v>146051.31809999997</v>
      </c>
      <c r="M28" s="8">
        <f t="shared" si="2"/>
        <v>4800.3719999999994</v>
      </c>
      <c r="N28" s="8">
        <f t="shared" si="3"/>
        <v>5615.4100500000004</v>
      </c>
      <c r="O28" s="8">
        <f t="shared" si="4"/>
        <v>116758.93341</v>
      </c>
      <c r="P28" s="8">
        <f t="shared" si="5"/>
        <v>273226.03356000001</v>
      </c>
      <c r="Q28" s="8"/>
      <c r="R28" s="46"/>
      <c r="S28" s="34"/>
    </row>
    <row r="29" spans="1:197" ht="48" customHeight="1">
      <c r="A29" s="104"/>
      <c r="B29" s="65" t="s">
        <v>45</v>
      </c>
      <c r="C29" s="57">
        <v>690775</v>
      </c>
      <c r="D29" s="57">
        <v>461736</v>
      </c>
      <c r="E29" s="57">
        <v>190330</v>
      </c>
      <c r="F29" s="57">
        <v>523820</v>
      </c>
      <c r="G29" s="56">
        <f t="shared" si="12"/>
        <v>1866661</v>
      </c>
      <c r="H29" s="8">
        <f>'2021'!I30</f>
        <v>46.420999999999999</v>
      </c>
      <c r="I29" s="8">
        <f t="shared" si="13"/>
        <v>48.269019999999998</v>
      </c>
      <c r="J29" s="8">
        <f>'2021'!K30</f>
        <v>6.0968400000000003</v>
      </c>
      <c r="K29" s="8">
        <f t="shared" si="14"/>
        <v>6.3395599999999996</v>
      </c>
      <c r="L29" s="8">
        <f t="shared" si="1"/>
        <v>27854921.623999998</v>
      </c>
      <c r="M29" s="8">
        <f t="shared" si="2"/>
        <v>18619116.341759998</v>
      </c>
      <c r="N29" s="8">
        <f t="shared" si="3"/>
        <v>7980434.1217999998</v>
      </c>
      <c r="O29" s="8">
        <f t="shared" si="4"/>
        <v>21963489.737199999</v>
      </c>
      <c r="P29" s="8">
        <f t="shared" si="5"/>
        <v>76417961.82475999</v>
      </c>
      <c r="Q29" s="8"/>
      <c r="R29" s="46"/>
      <c r="S29" s="34"/>
    </row>
    <row r="30" spans="1:197" ht="48" customHeight="1">
      <c r="A30" s="104"/>
      <c r="B30" s="65" t="s">
        <v>46</v>
      </c>
      <c r="C30" s="57">
        <v>994080</v>
      </c>
      <c r="D30" s="57">
        <v>643494</v>
      </c>
      <c r="E30" s="57">
        <v>398376</v>
      </c>
      <c r="F30" s="57">
        <v>602742</v>
      </c>
      <c r="G30" s="56">
        <f t="shared" si="12"/>
        <v>2638692</v>
      </c>
      <c r="H30" s="8">
        <f>'2021'!I31</f>
        <v>47.553260000000002</v>
      </c>
      <c r="I30" s="8">
        <f t="shared" si="13"/>
        <v>49.446359999999999</v>
      </c>
      <c r="J30" s="8">
        <f>'2021'!K31</f>
        <v>7.55016</v>
      </c>
      <c r="K30" s="8">
        <f t="shared" si="14"/>
        <v>7.8507300000000004</v>
      </c>
      <c r="L30" s="8">
        <f t="shared" si="1"/>
        <v>39766281.648000002</v>
      </c>
      <c r="M30" s="8">
        <f t="shared" si="2"/>
        <v>25741754.831400003</v>
      </c>
      <c r="N30" s="8">
        <f t="shared" si="3"/>
        <v>16570700.69688</v>
      </c>
      <c r="O30" s="8">
        <f t="shared" si="4"/>
        <v>25071433.217459999</v>
      </c>
      <c r="P30" s="8">
        <f t="shared" si="5"/>
        <v>107150170.39374</v>
      </c>
      <c r="Q30" s="8"/>
      <c r="R30" s="46"/>
      <c r="S30" s="34"/>
    </row>
    <row r="31" spans="1:197" ht="48" customHeight="1">
      <c r="A31" s="104"/>
      <c r="B31" s="65" t="s">
        <v>47</v>
      </c>
      <c r="C31" s="57">
        <v>1459</v>
      </c>
      <c r="D31" s="57">
        <v>1204</v>
      </c>
      <c r="E31" s="57">
        <v>879</v>
      </c>
      <c r="F31" s="57">
        <v>2228</v>
      </c>
      <c r="G31" s="56">
        <f t="shared" si="12"/>
        <v>5770</v>
      </c>
      <c r="H31" s="8">
        <f>'2021'!I32</f>
        <v>46.420999999999999</v>
      </c>
      <c r="I31" s="8">
        <f t="shared" si="13"/>
        <v>48.269019999999998</v>
      </c>
      <c r="J31" s="8">
        <f>'2021'!K32</f>
        <v>6.0968400000000003</v>
      </c>
      <c r="K31" s="8">
        <f t="shared" si="14"/>
        <v>6.3395599999999996</v>
      </c>
      <c r="L31" s="8">
        <f t="shared" si="1"/>
        <v>58832.949439999997</v>
      </c>
      <c r="M31" s="8">
        <f t="shared" si="2"/>
        <v>48550.288639999999</v>
      </c>
      <c r="N31" s="8">
        <f t="shared" si="3"/>
        <v>36855.995340000001</v>
      </c>
      <c r="O31" s="8">
        <f t="shared" si="4"/>
        <v>93418.836880000003</v>
      </c>
      <c r="P31" s="8">
        <f t="shared" si="5"/>
        <v>237658.07030000002</v>
      </c>
      <c r="Q31" s="8"/>
      <c r="R31" s="46"/>
      <c r="S31" s="34"/>
    </row>
    <row r="32" spans="1:197" ht="48" customHeight="1">
      <c r="A32" s="104"/>
      <c r="B32" s="65" t="s">
        <v>48</v>
      </c>
      <c r="C32" s="57">
        <v>707</v>
      </c>
      <c r="D32" s="57">
        <v>596</v>
      </c>
      <c r="E32" s="57">
        <v>405</v>
      </c>
      <c r="F32" s="57">
        <v>1121</v>
      </c>
      <c r="G32" s="56">
        <f t="shared" si="12"/>
        <v>2829</v>
      </c>
      <c r="H32" s="8">
        <f>'2021'!I33</f>
        <v>46.420999999999999</v>
      </c>
      <c r="I32" s="8">
        <f t="shared" si="13"/>
        <v>48.269019999999998</v>
      </c>
      <c r="J32" s="8">
        <f>'2021'!K33</f>
        <v>6.0968400000000003</v>
      </c>
      <c r="K32" s="8">
        <f t="shared" si="14"/>
        <v>6.3395599999999996</v>
      </c>
      <c r="L32" s="8">
        <f t="shared" si="1"/>
        <v>28509.181120000001</v>
      </c>
      <c r="M32" s="8">
        <f t="shared" si="2"/>
        <v>24033.199359999999</v>
      </c>
      <c r="N32" s="8">
        <f t="shared" si="3"/>
        <v>16981.4313</v>
      </c>
      <c r="O32" s="8">
        <f t="shared" si="4"/>
        <v>47002.924659999997</v>
      </c>
      <c r="P32" s="8">
        <f t="shared" si="5"/>
        <v>116526.73644000001</v>
      </c>
      <c r="Q32" s="8"/>
      <c r="R32" s="46"/>
      <c r="S32" s="34"/>
    </row>
    <row r="33" spans="1:197" ht="48" customHeight="1">
      <c r="A33" s="104"/>
      <c r="B33" s="65" t="s">
        <v>49</v>
      </c>
      <c r="C33" s="57">
        <v>1625</v>
      </c>
      <c r="D33" s="57">
        <v>1232</v>
      </c>
      <c r="E33" s="57">
        <v>90</v>
      </c>
      <c r="F33" s="57">
        <v>120</v>
      </c>
      <c r="G33" s="56">
        <f t="shared" si="12"/>
        <v>3067</v>
      </c>
      <c r="H33" s="8">
        <f>'2021'!I34</f>
        <v>47.553260000000002</v>
      </c>
      <c r="I33" s="8">
        <f t="shared" si="13"/>
        <v>49.446359999999999</v>
      </c>
      <c r="J33" s="8">
        <f>'2021'!K34</f>
        <v>7.55016</v>
      </c>
      <c r="K33" s="8">
        <f t="shared" si="14"/>
        <v>7.8507300000000004</v>
      </c>
      <c r="L33" s="8">
        <f t="shared" si="1"/>
        <v>65005.037500000006</v>
      </c>
      <c r="M33" s="8">
        <f t="shared" si="2"/>
        <v>49283.819200000005</v>
      </c>
      <c r="N33" s="8">
        <f t="shared" si="3"/>
        <v>3743.6066999999998</v>
      </c>
      <c r="O33" s="8">
        <f t="shared" si="4"/>
        <v>4991.4755999999998</v>
      </c>
      <c r="P33" s="8">
        <f t="shared" si="5"/>
        <v>123023.93900000001</v>
      </c>
      <c r="Q33" s="8"/>
      <c r="R33" s="46"/>
      <c r="S33" s="34"/>
    </row>
    <row r="34" spans="1:197" ht="48" customHeight="1">
      <c r="A34" s="104"/>
      <c r="B34" s="65" t="s">
        <v>50</v>
      </c>
      <c r="C34" s="57">
        <v>518</v>
      </c>
      <c r="D34" s="57">
        <v>200</v>
      </c>
      <c r="E34" s="57">
        <v>90</v>
      </c>
      <c r="F34" s="57">
        <v>100</v>
      </c>
      <c r="G34" s="56">
        <f t="shared" si="12"/>
        <v>908</v>
      </c>
      <c r="H34" s="8">
        <f>'2021'!I35</f>
        <v>47.553260000000002</v>
      </c>
      <c r="I34" s="8">
        <f t="shared" si="13"/>
        <v>49.446359999999999</v>
      </c>
      <c r="J34" s="8">
        <f>'2021'!K35</f>
        <v>7.55016</v>
      </c>
      <c r="K34" s="8">
        <f t="shared" si="14"/>
        <v>7.8507300000000004</v>
      </c>
      <c r="L34" s="8">
        <f t="shared" si="1"/>
        <v>20721.605800000001</v>
      </c>
      <c r="M34" s="8">
        <f t="shared" si="2"/>
        <v>8000.6200000000008</v>
      </c>
      <c r="N34" s="8">
        <f t="shared" si="3"/>
        <v>3743.6066999999998</v>
      </c>
      <c r="O34" s="8">
        <f t="shared" si="4"/>
        <v>4159.5630000000001</v>
      </c>
      <c r="P34" s="8">
        <f t="shared" si="5"/>
        <v>36625.395499999999</v>
      </c>
      <c r="Q34" s="8"/>
      <c r="R34" s="46"/>
      <c r="S34" s="34"/>
    </row>
    <row r="35" spans="1:197" ht="48" customHeight="1">
      <c r="A35" s="104"/>
      <c r="B35" s="65" t="s">
        <v>51</v>
      </c>
      <c r="C35" s="57">
        <v>3732</v>
      </c>
      <c r="D35" s="57">
        <v>511</v>
      </c>
      <c r="E35" s="57">
        <v>209</v>
      </c>
      <c r="F35" s="57">
        <v>4631</v>
      </c>
      <c r="G35" s="56">
        <f t="shared" si="12"/>
        <v>9083</v>
      </c>
      <c r="H35" s="8">
        <f>'2021'!I36</f>
        <v>42.770910000000001</v>
      </c>
      <c r="I35" s="8">
        <f t="shared" si="13"/>
        <v>44.473619999999997</v>
      </c>
      <c r="J35" s="8">
        <f>'2021'!K36</f>
        <v>2.7678099999999999</v>
      </c>
      <c r="K35" s="8">
        <f t="shared" si="14"/>
        <v>2.8780000000000001</v>
      </c>
      <c r="L35" s="8">
        <f t="shared" si="1"/>
        <v>149291.56920000003</v>
      </c>
      <c r="M35" s="8">
        <f t="shared" si="2"/>
        <v>20441.5841</v>
      </c>
      <c r="N35" s="8">
        <f t="shared" si="3"/>
        <v>8693.4845799999985</v>
      </c>
      <c r="O35" s="8">
        <f t="shared" si="4"/>
        <v>192629.31621999998</v>
      </c>
      <c r="P35" s="8">
        <f t="shared" si="5"/>
        <v>371055.95409999997</v>
      </c>
      <c r="Q35" s="8"/>
      <c r="R35" s="46"/>
      <c r="S35" s="34"/>
    </row>
    <row r="36" spans="1:197" ht="48" customHeight="1">
      <c r="A36" s="104"/>
      <c r="B36" s="65" t="s">
        <v>52</v>
      </c>
      <c r="C36" s="57">
        <v>269245</v>
      </c>
      <c r="D36" s="57">
        <v>164042</v>
      </c>
      <c r="E36" s="57">
        <v>199743</v>
      </c>
      <c r="F36" s="57">
        <v>304918</v>
      </c>
      <c r="G36" s="56">
        <f t="shared" si="12"/>
        <v>937948</v>
      </c>
      <c r="H36" s="8">
        <f>'2021'!I37</f>
        <v>42.770910000000001</v>
      </c>
      <c r="I36" s="8">
        <f t="shared" si="13"/>
        <v>44.473619999999997</v>
      </c>
      <c r="J36" s="8">
        <f>'2021'!K37</f>
        <v>2.7678099999999999</v>
      </c>
      <c r="K36" s="8">
        <f t="shared" si="14"/>
        <v>2.8780000000000001</v>
      </c>
      <c r="L36" s="8">
        <f t="shared" si="1"/>
        <v>10770634.659500001</v>
      </c>
      <c r="M36" s="8">
        <f t="shared" si="2"/>
        <v>6562188.5302000009</v>
      </c>
      <c r="N36" s="8">
        <f t="shared" si="3"/>
        <v>8308433.9256599993</v>
      </c>
      <c r="O36" s="8">
        <f>F36*(I36-K36)</f>
        <v>12683253.259159999</v>
      </c>
      <c r="P36" s="8">
        <f t="shared" si="5"/>
        <v>38324510.374519996</v>
      </c>
      <c r="Q36" s="8"/>
      <c r="R36" s="46"/>
      <c r="S36" s="34"/>
    </row>
    <row r="37" spans="1:197" ht="48" customHeight="1">
      <c r="A37" s="104"/>
      <c r="B37" s="65" t="s">
        <v>53</v>
      </c>
      <c r="C37" s="57">
        <v>557225</v>
      </c>
      <c r="D37" s="57">
        <v>211239</v>
      </c>
      <c r="E37" s="57">
        <v>224043</v>
      </c>
      <c r="F37" s="57">
        <v>802413</v>
      </c>
      <c r="G37" s="56">
        <f t="shared" si="12"/>
        <v>1794920</v>
      </c>
      <c r="H37" s="8">
        <f>'2021'!I38</f>
        <v>42.770910000000001</v>
      </c>
      <c r="I37" s="8">
        <f t="shared" si="13"/>
        <v>44.473619999999997</v>
      </c>
      <c r="J37" s="8">
        <f>'2021'!K38</f>
        <v>2.7678099999999999</v>
      </c>
      <c r="K37" s="8">
        <f t="shared" si="14"/>
        <v>2.8780000000000001</v>
      </c>
      <c r="L37" s="8">
        <f t="shared" si="1"/>
        <v>22290727.397500001</v>
      </c>
      <c r="M37" s="8">
        <f t="shared" si="2"/>
        <v>8450214.8409000002</v>
      </c>
      <c r="N37" s="8">
        <f t="shared" si="3"/>
        <v>9319207.4916599989</v>
      </c>
      <c r="O37" s="8">
        <f t="shared" si="4"/>
        <v>33376866.231059998</v>
      </c>
      <c r="P37" s="8">
        <f t="shared" si="5"/>
        <v>73437015.961119995</v>
      </c>
      <c r="Q37" s="8"/>
      <c r="R37" s="46"/>
      <c r="S37" s="34"/>
    </row>
    <row r="38" spans="1:197" ht="48" customHeight="1">
      <c r="A38" s="104"/>
      <c r="B38" s="65" t="s">
        <v>54</v>
      </c>
      <c r="C38" s="57">
        <v>853183</v>
      </c>
      <c r="D38" s="57">
        <v>346421</v>
      </c>
      <c r="E38" s="57">
        <v>521510</v>
      </c>
      <c r="F38" s="57">
        <v>1274910</v>
      </c>
      <c r="G38" s="56">
        <f t="shared" si="12"/>
        <v>2996024</v>
      </c>
      <c r="H38" s="8">
        <f>'2021'!I39</f>
        <v>42.770910000000001</v>
      </c>
      <c r="I38" s="8">
        <f t="shared" si="13"/>
        <v>44.473619999999997</v>
      </c>
      <c r="J38" s="8">
        <f>'2021'!K39</f>
        <v>2.7678099999999999</v>
      </c>
      <c r="K38" s="8">
        <f t="shared" si="14"/>
        <v>2.8780000000000001</v>
      </c>
      <c r="L38" s="8">
        <f t="shared" si="1"/>
        <v>34129964.867300004</v>
      </c>
      <c r="M38" s="8">
        <f t="shared" si="2"/>
        <v>13857913.905100001</v>
      </c>
      <c r="N38" s="8">
        <f t="shared" si="3"/>
        <v>21692531.786199998</v>
      </c>
      <c r="O38" s="8">
        <f t="shared" si="4"/>
        <v>53030671.894199997</v>
      </c>
      <c r="P38" s="8">
        <f t="shared" si="5"/>
        <v>122711082.45280001</v>
      </c>
      <c r="Q38" s="8"/>
      <c r="R38" s="46"/>
      <c r="S38" s="34"/>
    </row>
    <row r="39" spans="1:197" s="48" customFormat="1" ht="26.25" customHeight="1">
      <c r="A39" s="105"/>
      <c r="B39" s="64" t="s">
        <v>6</v>
      </c>
      <c r="C39" s="59">
        <f>SUM(C28:C38)</f>
        <v>3376200</v>
      </c>
      <c r="D39" s="59">
        <f t="shared" ref="D39:P39" si="15">SUM(D28:D38)</f>
        <v>1830795</v>
      </c>
      <c r="E39" s="59">
        <f t="shared" si="15"/>
        <v>1535810</v>
      </c>
      <c r="F39" s="59">
        <f t="shared" si="15"/>
        <v>3519810</v>
      </c>
      <c r="G39" s="59">
        <f t="shared" si="15"/>
        <v>10262615</v>
      </c>
      <c r="H39" s="59"/>
      <c r="I39" s="59"/>
      <c r="J39" s="59"/>
      <c r="K39" s="59"/>
      <c r="L39" s="59">
        <f t="shared" si="15"/>
        <v>135280941.85745999</v>
      </c>
      <c r="M39" s="59">
        <f t="shared" si="15"/>
        <v>73386298.332660004</v>
      </c>
      <c r="N39" s="59">
        <f t="shared" si="15"/>
        <v>63946941.556869999</v>
      </c>
      <c r="O39" s="59">
        <f t="shared" si="15"/>
        <v>146584675.38884997</v>
      </c>
      <c r="P39" s="59">
        <f t="shared" si="15"/>
        <v>419198857.13584006</v>
      </c>
      <c r="Q39" s="34">
        <f>'2021'!R40</f>
        <v>46990854.763380013</v>
      </c>
      <c r="R39" s="46">
        <f t="shared" si="11"/>
        <v>48861558.462949991</v>
      </c>
      <c r="S39" s="34">
        <f>P39+Q39-R39</f>
        <v>417328153.43627006</v>
      </c>
      <c r="T39" s="47"/>
      <c r="U39" s="47" t="e">
        <f>ROUND(SUMPRODUCT(#REF!,#REF!)/SUM(#REF!),2)</f>
        <v>#REF!</v>
      </c>
      <c r="V39" s="47" t="e">
        <f>ROUND(SUMPRODUCT(#REF!,#REF!)/SUM(#REF!),2)</f>
        <v>#REF!</v>
      </c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</row>
    <row r="40" spans="1:197" ht="30" customHeight="1" outlineLevel="1">
      <c r="A40" s="96" t="s">
        <v>11</v>
      </c>
      <c r="B40" s="63" t="s">
        <v>24</v>
      </c>
      <c r="C40" s="56">
        <v>46171</v>
      </c>
      <c r="D40" s="56">
        <v>42628</v>
      </c>
      <c r="E40" s="56">
        <v>47932</v>
      </c>
      <c r="F40" s="56">
        <v>45132</v>
      </c>
      <c r="G40" s="56">
        <f>C40+D40+E40+F40</f>
        <v>181863</v>
      </c>
      <c r="H40" s="8">
        <f>ROUND('2021'!H41*1.03981,2)</f>
        <v>78.430000000000007</v>
      </c>
      <c r="I40" s="8">
        <f>ROUND('2021'!I41*1.03981,2)</f>
        <v>78.430000000000007</v>
      </c>
      <c r="J40" s="8">
        <f>'2021'!K41</f>
        <v>3.08</v>
      </c>
      <c r="K40" s="8">
        <f>ROUND(J40*1.03981,2)</f>
        <v>3.2</v>
      </c>
      <c r="L40" s="8">
        <f t="shared" si="1"/>
        <v>3478984.8500000006</v>
      </c>
      <c r="M40" s="8">
        <f t="shared" si="2"/>
        <v>3212019.8000000003</v>
      </c>
      <c r="N40" s="8">
        <f t="shared" si="3"/>
        <v>3605924.3600000003</v>
      </c>
      <c r="O40" s="8">
        <f t="shared" si="4"/>
        <v>3395280.3600000003</v>
      </c>
      <c r="P40" s="8">
        <f t="shared" si="5"/>
        <v>13692209.370000001</v>
      </c>
      <c r="Q40" s="8"/>
      <c r="R40" s="46"/>
      <c r="S40" s="34"/>
    </row>
    <row r="41" spans="1:197" ht="30" customHeight="1" outlineLevel="1">
      <c r="A41" s="96"/>
      <c r="B41" s="63" t="s">
        <v>26</v>
      </c>
      <c r="C41" s="56">
        <v>1916</v>
      </c>
      <c r="D41" s="56">
        <v>2237</v>
      </c>
      <c r="E41" s="56">
        <v>2209</v>
      </c>
      <c r="F41" s="56">
        <v>2174</v>
      </c>
      <c r="G41" s="56">
        <f>C41+D41+E41+F41</f>
        <v>8536</v>
      </c>
      <c r="H41" s="8">
        <f>ROUND('2021'!H42*1.03981,2)</f>
        <v>78.430000000000007</v>
      </c>
      <c r="I41" s="8">
        <f>ROUND('2021'!I42*1.03981,2)</f>
        <v>78.430000000000007</v>
      </c>
      <c r="J41" s="8">
        <f>'2021'!K42</f>
        <v>3.55</v>
      </c>
      <c r="K41" s="8">
        <f>ROUND(J41*1.03981,2)</f>
        <v>3.69</v>
      </c>
      <c r="L41" s="8">
        <f>(H41-J41)*C41</f>
        <v>143470.08000000002</v>
      </c>
      <c r="M41" s="8">
        <f t="shared" si="2"/>
        <v>167506.56000000003</v>
      </c>
      <c r="N41" s="8">
        <f t="shared" si="3"/>
        <v>165100.66000000003</v>
      </c>
      <c r="O41" s="8">
        <f t="shared" si="4"/>
        <v>162484.76</v>
      </c>
      <c r="P41" s="8">
        <f t="shared" si="5"/>
        <v>638562.06000000006</v>
      </c>
      <c r="Q41" s="8" t="s">
        <v>10</v>
      </c>
      <c r="R41" s="46"/>
      <c r="S41" s="34"/>
    </row>
    <row r="42" spans="1:197" ht="30" customHeight="1" outlineLevel="1">
      <c r="A42" s="96"/>
      <c r="B42" s="66" t="s">
        <v>13</v>
      </c>
      <c r="C42" s="56">
        <v>463</v>
      </c>
      <c r="D42" s="56">
        <v>574</v>
      </c>
      <c r="E42" s="56">
        <v>600</v>
      </c>
      <c r="F42" s="56">
        <v>663</v>
      </c>
      <c r="G42" s="56">
        <f>C42+D42+E42+F42</f>
        <v>2300</v>
      </c>
      <c r="H42" s="8">
        <f>ROUND('2021'!H43*1.03981,2)</f>
        <v>78.430000000000007</v>
      </c>
      <c r="I42" s="8">
        <f>ROUND('2021'!I43*1.03981,2)</f>
        <v>78.430000000000007</v>
      </c>
      <c r="J42" s="8">
        <f>'2021'!K43</f>
        <v>1.23</v>
      </c>
      <c r="K42" s="8">
        <f>ROUND(J42*1.15924,2)</f>
        <v>1.43</v>
      </c>
      <c r="L42" s="8">
        <f t="shared" si="1"/>
        <v>35743.599999999999</v>
      </c>
      <c r="M42" s="8">
        <f t="shared" si="2"/>
        <v>44312.800000000003</v>
      </c>
      <c r="N42" s="8">
        <f>E42*(I42-K42)</f>
        <v>46200</v>
      </c>
      <c r="O42" s="8">
        <f t="shared" si="4"/>
        <v>51051</v>
      </c>
      <c r="P42" s="8">
        <f t="shared" si="5"/>
        <v>177307.4</v>
      </c>
      <c r="Q42" s="8"/>
      <c r="R42" s="46"/>
      <c r="S42" s="34"/>
    </row>
    <row r="43" spans="1:197" ht="38.25" customHeight="1" outlineLevel="1">
      <c r="A43" s="96"/>
      <c r="B43" s="63" t="s">
        <v>18</v>
      </c>
      <c r="C43" s="56">
        <v>59536</v>
      </c>
      <c r="D43" s="56">
        <v>33445.67</v>
      </c>
      <c r="E43" s="56">
        <v>25994</v>
      </c>
      <c r="F43" s="56">
        <v>44068.33</v>
      </c>
      <c r="G43" s="56">
        <f>C43+D43+E43+F43</f>
        <v>163044</v>
      </c>
      <c r="H43" s="8">
        <f>ROUND('2021'!H44*1.03981,2)</f>
        <v>78.430000000000007</v>
      </c>
      <c r="I43" s="8">
        <f>ROUND('2021'!I44*1.03981,2)</f>
        <v>78.430000000000007</v>
      </c>
      <c r="J43" s="8">
        <f>'2021'!K44</f>
        <v>7.95</v>
      </c>
      <c r="K43" s="8">
        <v>7.95</v>
      </c>
      <c r="L43" s="8">
        <f t="shared" si="1"/>
        <v>4196097.28</v>
      </c>
      <c r="M43" s="8">
        <f t="shared" si="2"/>
        <v>2357250.8215999999</v>
      </c>
      <c r="N43" s="8">
        <f t="shared" si="3"/>
        <v>1832057.12</v>
      </c>
      <c r="O43" s="8">
        <f t="shared" si="4"/>
        <v>3105935.8984000003</v>
      </c>
      <c r="P43" s="8">
        <f t="shared" si="5"/>
        <v>11491341.120000001</v>
      </c>
      <c r="Q43" s="8" t="s">
        <v>10</v>
      </c>
      <c r="R43" s="46"/>
      <c r="S43" s="34"/>
    </row>
    <row r="44" spans="1:197" s="21" customFormat="1" ht="30" customHeight="1" outlineLevel="1">
      <c r="A44" s="96"/>
      <c r="B44" s="67" t="s">
        <v>6</v>
      </c>
      <c r="C44" s="59">
        <f>SUM(C40:C43)</f>
        <v>108086</v>
      </c>
      <c r="D44" s="59">
        <f t="shared" ref="D44:P44" si="16">SUM(D40:D43)</f>
        <v>78884.67</v>
      </c>
      <c r="E44" s="59">
        <f t="shared" si="16"/>
        <v>76735</v>
      </c>
      <c r="F44" s="59">
        <f t="shared" si="16"/>
        <v>92037.33</v>
      </c>
      <c r="G44" s="59">
        <f t="shared" si="16"/>
        <v>355743</v>
      </c>
      <c r="H44" s="59"/>
      <c r="I44" s="59"/>
      <c r="J44" s="59"/>
      <c r="K44" s="59"/>
      <c r="L44" s="59">
        <f t="shared" si="16"/>
        <v>7854295.8100000005</v>
      </c>
      <c r="M44" s="59">
        <f t="shared" si="16"/>
        <v>5781089.9815999996</v>
      </c>
      <c r="N44" s="59">
        <f t="shared" si="16"/>
        <v>5649282.1400000006</v>
      </c>
      <c r="O44" s="59">
        <f t="shared" si="16"/>
        <v>6714752.0184000004</v>
      </c>
      <c r="P44" s="59">
        <f t="shared" si="16"/>
        <v>25999419.950000003</v>
      </c>
      <c r="Q44" s="34">
        <f>'2021'!R45</f>
        <v>2148164.2761333338</v>
      </c>
      <c r="R44" s="46">
        <f t="shared" si="11"/>
        <v>2238250.6728000003</v>
      </c>
      <c r="S44" s="34">
        <f>P44+Q44-R44</f>
        <v>25909333.553333335</v>
      </c>
    </row>
    <row r="45" spans="1:197" s="79" customFormat="1" ht="39" customHeight="1" outlineLevel="1">
      <c r="A45" s="73"/>
      <c r="B45" s="74" t="s">
        <v>7</v>
      </c>
      <c r="C45" s="75">
        <f>C16+C44+C27+C39</f>
        <v>20915527</v>
      </c>
      <c r="D45" s="75">
        <f>D16+D44+D27+D39</f>
        <v>16430850.67</v>
      </c>
      <c r="E45" s="75">
        <f>E16+E44+E27+E39</f>
        <v>15320782</v>
      </c>
      <c r="F45" s="75">
        <f>F16+F44+F27+F39</f>
        <v>19765421.329999998</v>
      </c>
      <c r="G45" s="75">
        <f>G16+G44+G27+G39</f>
        <v>72432581</v>
      </c>
      <c r="H45" s="75"/>
      <c r="I45" s="75"/>
      <c r="J45" s="75"/>
      <c r="K45" s="75"/>
      <c r="L45" s="75">
        <f t="shared" ref="L45:P45" si="17">L16+L44+L27+L39</f>
        <v>535354766.67746007</v>
      </c>
      <c r="M45" s="75">
        <f t="shared" si="17"/>
        <v>379793216.17426002</v>
      </c>
      <c r="N45" s="75">
        <f t="shared" si="17"/>
        <v>345640506.34686989</v>
      </c>
      <c r="O45" s="75">
        <f t="shared" si="17"/>
        <v>506689510.00724995</v>
      </c>
      <c r="P45" s="75">
        <f t="shared" si="17"/>
        <v>1767477999.2058401</v>
      </c>
      <c r="Q45" s="76">
        <f>Q16+Q44+Q27+Q39</f>
        <v>162382304.04284668</v>
      </c>
      <c r="R45" s="77">
        <f>R44+R16+R27+R39</f>
        <v>168896503.33574998</v>
      </c>
      <c r="S45" s="78">
        <f>S44+S16+S27+S39</f>
        <v>1760963799.9129367</v>
      </c>
    </row>
    <row r="46" spans="1:197" s="6" customFormat="1" ht="15" customHeight="1" outlineLevel="1">
      <c r="A46" s="11"/>
      <c r="B46" s="12"/>
      <c r="C46" s="13"/>
      <c r="D46" s="13"/>
      <c r="E46" s="13"/>
      <c r="F46" s="13"/>
      <c r="G46" s="13"/>
      <c r="H46" s="14"/>
      <c r="I46" s="14"/>
      <c r="J46" s="15"/>
      <c r="K46" s="15"/>
      <c r="L46" s="16"/>
      <c r="M46" s="16"/>
      <c r="N46" s="16"/>
      <c r="O46" s="16"/>
      <c r="P46" s="16"/>
      <c r="Q46" s="16"/>
      <c r="R46" s="17"/>
      <c r="S46" s="18"/>
    </row>
    <row r="47" spans="1:197" ht="15" hidden="1" customHeight="1">
      <c r="S47" s="52"/>
    </row>
    <row r="48" spans="1:197" s="23" customFormat="1" ht="21.75" hidden="1" customHeight="1">
      <c r="A48" s="35"/>
      <c r="B48" s="36"/>
      <c r="C48" s="22"/>
      <c r="D48" s="22"/>
      <c r="E48" s="22"/>
      <c r="I48" s="24"/>
      <c r="J48" s="24"/>
      <c r="K48" s="24"/>
      <c r="L48" s="22"/>
      <c r="M48" s="22"/>
      <c r="N48" s="22"/>
      <c r="O48" s="22"/>
      <c r="P48" s="22"/>
      <c r="Q48" s="22"/>
      <c r="R48" s="37"/>
      <c r="S48" s="54"/>
    </row>
    <row r="49" spans="1:19" ht="15" hidden="1" customHeight="1">
      <c r="A49" s="10"/>
      <c r="P49" s="53"/>
    </row>
    <row r="50" spans="1:19" s="23" customFormat="1" ht="15" hidden="1" customHeight="1">
      <c r="A50" s="35"/>
      <c r="B50" s="36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53"/>
      <c r="Q50" s="1"/>
      <c r="R50" s="68"/>
      <c r="S50" s="38"/>
    </row>
    <row r="51" spans="1:19" s="23" customFormat="1" ht="21" hidden="1" customHeight="1">
      <c r="A51" s="35"/>
      <c r="B51" s="36"/>
      <c r="C51" s="22"/>
      <c r="D51" s="22"/>
      <c r="E51" s="22"/>
      <c r="F51" s="80"/>
      <c r="H51" s="112" t="s">
        <v>22</v>
      </c>
      <c r="I51" s="112"/>
      <c r="J51" s="112"/>
      <c r="K51" s="25"/>
      <c r="L51" s="26"/>
      <c r="M51" s="26"/>
      <c r="N51" s="26"/>
      <c r="O51" s="26"/>
      <c r="P51" s="26"/>
      <c r="Q51" s="26"/>
      <c r="R51" s="39"/>
      <c r="S51" s="37"/>
    </row>
    <row r="52" spans="1:19" s="23" customFormat="1" ht="22.5" hidden="1" customHeight="1">
      <c r="F52" s="30"/>
      <c r="G52" s="30"/>
      <c r="H52" s="30"/>
      <c r="I52" s="82"/>
      <c r="J52" s="82"/>
      <c r="L52" s="29"/>
      <c r="M52" s="29"/>
    </row>
    <row r="53" spans="1:19" s="23" customFormat="1" ht="42.75" hidden="1" customHeight="1">
      <c r="A53" s="22"/>
      <c r="B53" s="40"/>
      <c r="H53" s="112" t="s">
        <v>65</v>
      </c>
      <c r="I53" s="112"/>
      <c r="J53" s="112"/>
      <c r="K53" s="27"/>
      <c r="L53" s="81"/>
      <c r="M53" s="28" t="s">
        <v>35</v>
      </c>
      <c r="N53" s="41"/>
      <c r="R53" s="22"/>
      <c r="S53" s="22"/>
    </row>
    <row r="54" spans="1:19" s="23" customFormat="1" ht="60.75" hidden="1" customHeight="1">
      <c r="A54" s="22"/>
      <c r="B54" s="40"/>
      <c r="H54" s="85"/>
      <c r="I54" s="85"/>
      <c r="J54" s="85"/>
      <c r="K54" s="88"/>
      <c r="L54" s="29"/>
      <c r="M54" s="28"/>
      <c r="N54" s="41"/>
      <c r="R54" s="22"/>
      <c r="S54" s="22"/>
    </row>
    <row r="55" spans="1:19" s="23" customFormat="1" ht="26.25" hidden="1" customHeight="1">
      <c r="F55" s="51"/>
      <c r="H55" s="113" t="s">
        <v>23</v>
      </c>
      <c r="I55" s="113"/>
      <c r="J55" s="113"/>
      <c r="K55" s="32"/>
      <c r="L55" s="81"/>
      <c r="M55" s="33" t="s">
        <v>21</v>
      </c>
    </row>
    <row r="56" spans="1:19" s="23" customFormat="1" ht="60" hidden="1" customHeight="1">
      <c r="F56" s="86"/>
      <c r="H56" s="86"/>
      <c r="I56" s="83"/>
      <c r="J56" s="84"/>
      <c r="K56" s="50"/>
      <c r="M56" s="33"/>
    </row>
    <row r="57" spans="1:19" s="30" customFormat="1" ht="15" customHeight="1">
      <c r="A57" s="42"/>
      <c r="B57" s="43"/>
      <c r="I57" s="29"/>
      <c r="J57" s="29"/>
      <c r="K57" s="23"/>
      <c r="L57" s="31"/>
      <c r="M57" s="31"/>
      <c r="N57" s="44"/>
      <c r="R57" s="42"/>
      <c r="S57" s="42"/>
    </row>
    <row r="58" spans="1:19" s="30" customFormat="1" ht="15" customHeight="1">
      <c r="I58" s="29"/>
      <c r="J58" s="29"/>
      <c r="K58" s="23"/>
      <c r="L58" s="31"/>
      <c r="M58" s="31"/>
      <c r="N58" s="44"/>
    </row>
    <row r="59" spans="1:19" ht="15" customHeight="1">
      <c r="C59" s="52"/>
      <c r="D59" s="52"/>
      <c r="E59" s="52"/>
      <c r="F59" s="52"/>
      <c r="G59" s="7"/>
      <c r="H59" s="7"/>
    </row>
    <row r="60" spans="1:19" ht="15" customHeight="1">
      <c r="C60" s="52"/>
      <c r="D60" s="52"/>
      <c r="E60" s="52"/>
      <c r="F60" s="52"/>
      <c r="G60" s="7"/>
      <c r="H60" s="7"/>
    </row>
    <row r="61" spans="1:19" s="23" customFormat="1" ht="15" customHeight="1">
      <c r="B61" s="1"/>
      <c r="C61" s="52"/>
      <c r="D61" s="52"/>
      <c r="E61" s="52"/>
      <c r="F61" s="52"/>
      <c r="G61" s="7"/>
    </row>
    <row r="62" spans="1:19" s="23" customFormat="1" ht="15" customHeight="1">
      <c r="B62" s="1"/>
      <c r="C62" s="52"/>
      <c r="D62" s="52"/>
      <c r="E62" s="52"/>
      <c r="F62" s="52"/>
      <c r="G62" s="7"/>
    </row>
    <row r="63" spans="1:19" ht="15" customHeight="1">
      <c r="A63" s="10"/>
      <c r="C63" s="52"/>
      <c r="D63" s="52"/>
      <c r="E63" s="52"/>
      <c r="F63" s="52"/>
      <c r="G63" s="7"/>
    </row>
    <row r="64" spans="1:19">
      <c r="C64" s="52"/>
      <c r="D64" s="52"/>
      <c r="E64" s="52"/>
      <c r="F64" s="52"/>
      <c r="G64" s="7"/>
    </row>
    <row r="65" spans="3:7">
      <c r="C65" s="52"/>
      <c r="D65" s="52"/>
      <c r="E65" s="52"/>
      <c r="F65" s="52"/>
      <c r="G65" s="7"/>
    </row>
    <row r="66" spans="3:7">
      <c r="C66" s="52"/>
      <c r="D66" s="52"/>
      <c r="E66" s="52"/>
      <c r="F66" s="52"/>
      <c r="G66" s="7"/>
    </row>
    <row r="67" spans="3:7">
      <c r="C67" s="52"/>
      <c r="D67" s="52"/>
      <c r="E67" s="52"/>
      <c r="F67" s="52"/>
      <c r="G67" s="7"/>
    </row>
    <row r="68" spans="3:7">
      <c r="C68" s="52"/>
      <c r="D68" s="52"/>
      <c r="E68" s="52"/>
      <c r="F68" s="52"/>
      <c r="G68" s="7"/>
    </row>
    <row r="69" spans="3:7">
      <c r="C69" s="52"/>
      <c r="D69" s="52"/>
      <c r="E69" s="52"/>
      <c r="F69" s="52"/>
      <c r="G69" s="7"/>
    </row>
    <row r="70" spans="3:7">
      <c r="C70" s="52"/>
      <c r="D70" s="52"/>
      <c r="E70" s="52"/>
      <c r="F70" s="52"/>
      <c r="G70" s="7"/>
    </row>
    <row r="71" spans="3:7">
      <c r="C71" s="52"/>
      <c r="D71" s="52"/>
      <c r="E71" s="52"/>
    </row>
    <row r="72" spans="3:7">
      <c r="C72" s="52"/>
      <c r="D72" s="52"/>
      <c r="E72" s="52"/>
    </row>
    <row r="73" spans="3:7">
      <c r="C73" s="52"/>
      <c r="D73" s="52"/>
      <c r="E73" s="52"/>
    </row>
    <row r="74" spans="3:7">
      <c r="C74" s="52"/>
      <c r="D74" s="52"/>
      <c r="E74" s="52"/>
    </row>
    <row r="75" spans="3:7">
      <c r="C75" s="52"/>
      <c r="D75" s="52"/>
      <c r="E75" s="52"/>
    </row>
    <row r="76" spans="3:7">
      <c r="C76" s="52"/>
      <c r="D76" s="52"/>
      <c r="E76" s="52"/>
    </row>
    <row r="86" spans="2:2" ht="15.75">
      <c r="B86" s="9"/>
    </row>
    <row r="87" spans="2:2" ht="15.75">
      <c r="B87" s="9"/>
    </row>
  </sheetData>
  <mergeCells count="17">
    <mergeCell ref="R4:R5"/>
    <mergeCell ref="S4:S5"/>
    <mergeCell ref="A4:A5"/>
    <mergeCell ref="B4:B5"/>
    <mergeCell ref="C2:K2"/>
    <mergeCell ref="C4:G4"/>
    <mergeCell ref="H4:I4"/>
    <mergeCell ref="J4:K4"/>
    <mergeCell ref="L4:P4"/>
    <mergeCell ref="Q4:Q5"/>
    <mergeCell ref="A6:A16"/>
    <mergeCell ref="A17:A27"/>
    <mergeCell ref="H53:J53"/>
    <mergeCell ref="H55:J55"/>
    <mergeCell ref="A28:A39"/>
    <mergeCell ref="A40:A44"/>
    <mergeCell ref="H51:J51"/>
  </mergeCells>
  <pageMargins left="0.11811023622047245" right="0.11811023622047245" top="0.55118110236220474" bottom="0.35433070866141736" header="0.31496062992125984" footer="0.31496062992125984"/>
  <pageSetup paperSize="9" scale="52" fitToHeight="0" orientation="landscape" r:id="rId1"/>
  <headerFooter>
    <oddFooter>&amp;C&amp;P</oddFooter>
  </headerFooter>
  <rowBreaks count="2" manualBreakCount="2">
    <brk id="21" max="18" man="1"/>
    <brk id="46" max="18" man="1"/>
  </rowBreaks>
  <colBreaks count="1" manualBreakCount="1">
    <brk id="11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O173"/>
  <sheetViews>
    <sheetView view="pageBreakPreview" zoomScale="60" zoomScaleNormal="70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C3" sqref="C3:K3"/>
    </sheetView>
  </sheetViews>
  <sheetFormatPr defaultRowHeight="15" outlineLevelRow="1" outlineLevelCol="1"/>
  <cols>
    <col min="1" max="1" width="38.7109375" style="1" customWidth="1"/>
    <col min="2" max="2" width="48.85546875" style="1" customWidth="1"/>
    <col min="3" max="3" width="20.85546875" style="1" customWidth="1"/>
    <col min="4" max="4" width="22" style="1" customWidth="1"/>
    <col min="5" max="6" width="20.140625" style="1" customWidth="1"/>
    <col min="7" max="7" width="23.5703125" style="1" customWidth="1"/>
    <col min="8" max="11" width="16.42578125" style="1" customWidth="1"/>
    <col min="12" max="15" width="21.5703125" style="1" customWidth="1"/>
    <col min="16" max="16" width="24.5703125" style="1" customWidth="1"/>
    <col min="17" max="17" width="24.28515625" style="1" customWidth="1"/>
    <col min="18" max="18" width="25.5703125" style="1" customWidth="1"/>
    <col min="19" max="19" width="27.140625" style="1" customWidth="1"/>
    <col min="20" max="20" width="9.140625" style="1"/>
    <col min="21" max="22" width="9.140625" style="1" customWidth="1" outlineLevel="1"/>
    <col min="23" max="16384" width="9.140625" style="1"/>
  </cols>
  <sheetData>
    <row r="1" spans="1:19" ht="33" customHeight="1">
      <c r="I1" s="90"/>
    </row>
    <row r="2" spans="1:19" ht="21" customHeight="1">
      <c r="I2" s="90"/>
    </row>
    <row r="3" spans="1:19" ht="88.5" customHeight="1">
      <c r="A3" s="89"/>
      <c r="B3" s="89"/>
      <c r="C3" s="114" t="s">
        <v>63</v>
      </c>
      <c r="D3" s="114"/>
      <c r="E3" s="115"/>
      <c r="F3" s="114"/>
      <c r="G3" s="114"/>
      <c r="H3" s="114"/>
      <c r="I3" s="114"/>
      <c r="J3" s="114"/>
      <c r="K3" s="114"/>
      <c r="L3" s="89"/>
      <c r="M3" s="89"/>
      <c r="N3" s="89"/>
      <c r="O3" s="89"/>
      <c r="P3" s="89"/>
      <c r="Q3" s="89"/>
      <c r="R3" s="89"/>
      <c r="S3" s="89"/>
    </row>
    <row r="4" spans="1:19">
      <c r="A4" s="3"/>
      <c r="B4" s="4"/>
      <c r="C4" s="3"/>
      <c r="D4" s="3"/>
      <c r="E4" s="3"/>
      <c r="F4" s="3"/>
      <c r="G4" s="3"/>
      <c r="H4" s="2"/>
      <c r="I4" s="5"/>
      <c r="J4" s="3"/>
      <c r="K4" s="5"/>
      <c r="L4" s="3"/>
      <c r="M4" s="3"/>
      <c r="N4" s="3"/>
      <c r="O4" s="3"/>
      <c r="P4" s="3"/>
      <c r="Q4" s="3"/>
      <c r="R4" s="2"/>
      <c r="S4" s="2"/>
    </row>
    <row r="5" spans="1:19" s="70" customFormat="1" ht="112.5" customHeight="1">
      <c r="A5" s="95" t="s">
        <v>8</v>
      </c>
      <c r="B5" s="97" t="s">
        <v>9</v>
      </c>
      <c r="C5" s="108"/>
      <c r="D5" s="108"/>
      <c r="E5" s="108"/>
      <c r="F5" s="108"/>
      <c r="G5" s="109"/>
      <c r="H5" s="99" t="s">
        <v>58</v>
      </c>
      <c r="I5" s="100"/>
      <c r="J5" s="99" t="s">
        <v>59</v>
      </c>
      <c r="K5" s="100"/>
      <c r="L5" s="101" t="s">
        <v>20</v>
      </c>
      <c r="M5" s="102"/>
      <c r="N5" s="102"/>
      <c r="O5" s="102"/>
      <c r="P5" s="103"/>
      <c r="Q5" s="107" t="s">
        <v>64</v>
      </c>
      <c r="R5" s="110" t="s">
        <v>68</v>
      </c>
      <c r="S5" s="95" t="s">
        <v>61</v>
      </c>
    </row>
    <row r="6" spans="1:19" s="70" customFormat="1" ht="38.25" customHeight="1">
      <c r="A6" s="95"/>
      <c r="B6" s="98"/>
      <c r="C6" s="71" t="s">
        <v>36</v>
      </c>
      <c r="D6" s="71" t="s">
        <v>37</v>
      </c>
      <c r="E6" s="71" t="s">
        <v>38</v>
      </c>
      <c r="F6" s="71" t="s">
        <v>39</v>
      </c>
      <c r="G6" s="71" t="s">
        <v>19</v>
      </c>
      <c r="H6" s="72" t="s">
        <v>4</v>
      </c>
      <c r="I6" s="72" t="s">
        <v>5</v>
      </c>
      <c r="J6" s="72" t="s">
        <v>12</v>
      </c>
      <c r="K6" s="72" t="s">
        <v>5</v>
      </c>
      <c r="L6" s="71" t="s">
        <v>0</v>
      </c>
      <c r="M6" s="71" t="s">
        <v>1</v>
      </c>
      <c r="N6" s="71" t="s">
        <v>2</v>
      </c>
      <c r="O6" s="71" t="s">
        <v>3</v>
      </c>
      <c r="P6" s="71" t="s">
        <v>19</v>
      </c>
      <c r="Q6" s="107"/>
      <c r="R6" s="111"/>
      <c r="S6" s="95"/>
    </row>
    <row r="7" spans="1:19" ht="30" customHeight="1">
      <c r="A7" s="106" t="s">
        <v>57</v>
      </c>
      <c r="B7" s="60" t="s">
        <v>24</v>
      </c>
      <c r="C7" s="55">
        <v>2839327</v>
      </c>
      <c r="D7" s="56">
        <v>2775758</v>
      </c>
      <c r="E7" s="56">
        <v>2849270</v>
      </c>
      <c r="F7" s="56">
        <v>2981277</v>
      </c>
      <c r="G7" s="56">
        <f t="shared" ref="G7:G16" si="0">C7+D7+E7+F7</f>
        <v>11445632</v>
      </c>
      <c r="H7" s="8">
        <f>ROUND('2022'!H6*1.03951,2)</f>
        <v>44.97</v>
      </c>
      <c r="I7" s="8">
        <f>ROUND('2022'!I6*1.03951,2)</f>
        <v>44.97</v>
      </c>
      <c r="J7" s="8">
        <f>'2022'!K6</f>
        <v>3.2</v>
      </c>
      <c r="K7" s="8">
        <f>ROUND(J7*1.03951,2)</f>
        <v>3.33</v>
      </c>
      <c r="L7" s="8">
        <f>(H7-J7)*C7</f>
        <v>118598688.78999999</v>
      </c>
      <c r="M7" s="8">
        <f>(H7-J7)*D7</f>
        <v>115943411.65999998</v>
      </c>
      <c r="N7" s="8">
        <f>E7*(I7-K7)</f>
        <v>118643602.8</v>
      </c>
      <c r="O7" s="8">
        <f>F7*(I7-K7)</f>
        <v>124140374.28</v>
      </c>
      <c r="P7" s="8">
        <f>SUM(L7:O7)</f>
        <v>477326077.52999997</v>
      </c>
      <c r="Q7" s="8" t="s">
        <v>10</v>
      </c>
      <c r="R7" s="8"/>
      <c r="S7" s="8"/>
    </row>
    <row r="8" spans="1:19" ht="30" customHeight="1">
      <c r="A8" s="104"/>
      <c r="B8" s="60" t="s">
        <v>26</v>
      </c>
      <c r="C8" s="57">
        <v>1737300</v>
      </c>
      <c r="D8" s="57">
        <v>1361044</v>
      </c>
      <c r="E8" s="57">
        <v>1174087</v>
      </c>
      <c r="F8" s="57">
        <v>1471463</v>
      </c>
      <c r="G8" s="56">
        <f t="shared" si="0"/>
        <v>5743894</v>
      </c>
      <c r="H8" s="8">
        <f>ROUND('2022'!H7*1.03951,2)</f>
        <v>44.97</v>
      </c>
      <c r="I8" s="8">
        <f>ROUND('2022'!I7*1.03951,2)</f>
        <v>44.97</v>
      </c>
      <c r="J8" s="8">
        <f>'2022'!K7</f>
        <v>3.69</v>
      </c>
      <c r="K8" s="8">
        <f>ROUND(J8*1.03951,2)</f>
        <v>3.84</v>
      </c>
      <c r="L8" s="8">
        <f t="shared" ref="L8:L44" si="1">(H8-J8)*C8</f>
        <v>71715744</v>
      </c>
      <c r="M8" s="8">
        <f t="shared" ref="M8:M44" si="2">(H8-J8)*D8</f>
        <v>56183896.32</v>
      </c>
      <c r="N8" s="8">
        <f t="shared" ref="N8:N44" si="3">E8*(I8-K8)</f>
        <v>48290198.309999995</v>
      </c>
      <c r="O8" s="8">
        <f t="shared" ref="O8:O44" si="4">F8*(I8-K8)</f>
        <v>60521273.18999999</v>
      </c>
      <c r="P8" s="8">
        <f t="shared" ref="P8:P44" si="5">SUM(L8:O8)</f>
        <v>236711111.81999999</v>
      </c>
      <c r="Q8" s="8" t="s">
        <v>10</v>
      </c>
      <c r="R8" s="8"/>
      <c r="S8" s="8"/>
    </row>
    <row r="9" spans="1:19" ht="30" customHeight="1">
      <c r="A9" s="104"/>
      <c r="B9" s="61" t="s">
        <v>25</v>
      </c>
      <c r="C9" s="57">
        <v>808759</v>
      </c>
      <c r="D9" s="57">
        <v>608718</v>
      </c>
      <c r="E9" s="57">
        <v>461272</v>
      </c>
      <c r="F9" s="57">
        <v>665647</v>
      </c>
      <c r="G9" s="56">
        <f t="shared" si="0"/>
        <v>2544396</v>
      </c>
      <c r="H9" s="8">
        <f>ROUND('2022'!H8*1.03951,2)</f>
        <v>44.97</v>
      </c>
      <c r="I9" s="8">
        <f>ROUND('2022'!I8*1.03951,2)</f>
        <v>44.97</v>
      </c>
      <c r="J9" s="8">
        <f>'2022'!K8</f>
        <v>1.43</v>
      </c>
      <c r="K9" s="8">
        <f>ROUND(J9*1.15804,2)</f>
        <v>1.66</v>
      </c>
      <c r="L9" s="8">
        <f t="shared" si="1"/>
        <v>35213366.859999999</v>
      </c>
      <c r="M9" s="8">
        <f t="shared" si="2"/>
        <v>26503581.719999999</v>
      </c>
      <c r="N9" s="8">
        <f t="shared" si="3"/>
        <v>19977690.32</v>
      </c>
      <c r="O9" s="8">
        <f t="shared" si="4"/>
        <v>28829171.57</v>
      </c>
      <c r="P9" s="8">
        <f t="shared" si="5"/>
        <v>110523810.47</v>
      </c>
      <c r="Q9" s="8" t="s">
        <v>10</v>
      </c>
      <c r="R9" s="8"/>
      <c r="S9" s="8"/>
    </row>
    <row r="10" spans="1:19" ht="51" customHeight="1">
      <c r="A10" s="104"/>
      <c r="B10" s="61" t="s">
        <v>14</v>
      </c>
      <c r="C10" s="57">
        <v>23970</v>
      </c>
      <c r="D10" s="57">
        <v>23548</v>
      </c>
      <c r="E10" s="57">
        <v>9457</v>
      </c>
      <c r="F10" s="57">
        <v>20749</v>
      </c>
      <c r="G10" s="56">
        <f t="shared" si="0"/>
        <v>77724</v>
      </c>
      <c r="H10" s="8">
        <f>ROUND('2022'!H9*1.03951,2)</f>
        <v>44.97</v>
      </c>
      <c r="I10" s="8">
        <f>ROUND('2022'!I9*1.03951,2)</f>
        <v>44.97</v>
      </c>
      <c r="J10" s="8">
        <f>'2022'!K9</f>
        <v>4.59</v>
      </c>
      <c r="K10" s="8">
        <f>ROUND(J10*1.03951,2)</f>
        <v>4.7699999999999996</v>
      </c>
      <c r="L10" s="8">
        <f t="shared" si="1"/>
        <v>967908.59999999986</v>
      </c>
      <c r="M10" s="8">
        <f t="shared" si="2"/>
        <v>950868.23999999987</v>
      </c>
      <c r="N10" s="8">
        <f t="shared" si="3"/>
        <v>380171.4</v>
      </c>
      <c r="O10" s="8">
        <f t="shared" si="4"/>
        <v>834109.8</v>
      </c>
      <c r="P10" s="8">
        <f t="shared" si="5"/>
        <v>3133058.04</v>
      </c>
      <c r="Q10" s="8" t="s">
        <v>10</v>
      </c>
      <c r="R10" s="8"/>
      <c r="S10" s="8"/>
    </row>
    <row r="11" spans="1:19" ht="42.75" customHeight="1">
      <c r="A11" s="104"/>
      <c r="B11" s="61" t="s">
        <v>55</v>
      </c>
      <c r="C11" s="57">
        <v>7946</v>
      </c>
      <c r="D11" s="57">
        <v>3744</v>
      </c>
      <c r="E11" s="57">
        <v>900</v>
      </c>
      <c r="F11" s="57">
        <v>4351</v>
      </c>
      <c r="G11" s="56">
        <f t="shared" si="0"/>
        <v>16941</v>
      </c>
      <c r="H11" s="8">
        <f>ROUND('2022'!H10*1.03951,2)</f>
        <v>44.97</v>
      </c>
      <c r="I11" s="8">
        <f>ROUND('2022'!I10*1.03951,2)</f>
        <v>44.97</v>
      </c>
      <c r="J11" s="8">
        <f>'2022'!K10</f>
        <v>5.27</v>
      </c>
      <c r="K11" s="8">
        <f>ROUND(J11*1.03951,2)</f>
        <v>5.48</v>
      </c>
      <c r="L11" s="8">
        <f t="shared" si="1"/>
        <v>315456.2</v>
      </c>
      <c r="M11" s="8">
        <f t="shared" si="2"/>
        <v>148636.80000000002</v>
      </c>
      <c r="N11" s="8">
        <f t="shared" si="3"/>
        <v>35540.999999999993</v>
      </c>
      <c r="O11" s="8">
        <f t="shared" si="4"/>
        <v>171820.99</v>
      </c>
      <c r="P11" s="8">
        <f t="shared" si="5"/>
        <v>671454.99</v>
      </c>
      <c r="Q11" s="8"/>
      <c r="R11" s="8"/>
      <c r="S11" s="8"/>
    </row>
    <row r="12" spans="1:19" ht="51" customHeight="1">
      <c r="A12" s="104"/>
      <c r="B12" s="61" t="s">
        <v>56</v>
      </c>
      <c r="C12" s="57">
        <v>4694</v>
      </c>
      <c r="D12" s="57">
        <v>1620</v>
      </c>
      <c r="E12" s="57">
        <v>450</v>
      </c>
      <c r="F12" s="57">
        <v>2271</v>
      </c>
      <c r="G12" s="56">
        <f t="shared" si="0"/>
        <v>9035</v>
      </c>
      <c r="H12" s="8">
        <f>ROUND('2022'!H11*1.03951,2)</f>
        <v>44.97</v>
      </c>
      <c r="I12" s="8">
        <f>ROUND('2022'!I11*1.03951,2)</f>
        <v>44.97</v>
      </c>
      <c r="J12" s="8">
        <f>'2022'!K11</f>
        <v>2.0499999999999998</v>
      </c>
      <c r="K12" s="8">
        <f>ROUND(J12*1.15804,2)</f>
        <v>2.37</v>
      </c>
      <c r="L12" s="8">
        <f t="shared" si="1"/>
        <v>201466.48</v>
      </c>
      <c r="M12" s="8">
        <f t="shared" si="2"/>
        <v>69530.400000000009</v>
      </c>
      <c r="N12" s="8">
        <f t="shared" si="3"/>
        <v>19170</v>
      </c>
      <c r="O12" s="8">
        <f t="shared" si="4"/>
        <v>96744.6</v>
      </c>
      <c r="P12" s="8">
        <f t="shared" si="5"/>
        <v>386911.48</v>
      </c>
      <c r="Q12" s="8"/>
      <c r="R12" s="8"/>
      <c r="S12" s="8"/>
    </row>
    <row r="13" spans="1:19" ht="51" customHeight="1">
      <c r="A13" s="104"/>
      <c r="B13" s="61" t="s">
        <v>15</v>
      </c>
      <c r="C13" s="57">
        <v>99483</v>
      </c>
      <c r="D13" s="57">
        <v>77587</v>
      </c>
      <c r="E13" s="57">
        <v>149653</v>
      </c>
      <c r="F13" s="57">
        <v>88241</v>
      </c>
      <c r="G13" s="56">
        <f t="shared" si="0"/>
        <v>414964</v>
      </c>
      <c r="H13" s="8">
        <f>ROUND('2022'!H12*1.03951,2)</f>
        <v>44.97</v>
      </c>
      <c r="I13" s="8">
        <f>ROUND('2022'!I12*1.03951,2)</f>
        <v>44.97</v>
      </c>
      <c r="J13" s="8">
        <f>'2022'!K12</f>
        <v>3.44</v>
      </c>
      <c r="K13" s="8">
        <f>ROUND(J13*1.03951,2)</f>
        <v>3.58</v>
      </c>
      <c r="L13" s="8">
        <f t="shared" si="1"/>
        <v>4131528.99</v>
      </c>
      <c r="M13" s="8">
        <f t="shared" si="2"/>
        <v>3222188.11</v>
      </c>
      <c r="N13" s="8">
        <f t="shared" si="3"/>
        <v>6194137.6699999999</v>
      </c>
      <c r="O13" s="8">
        <f t="shared" si="4"/>
        <v>3652294.99</v>
      </c>
      <c r="P13" s="8">
        <f t="shared" si="5"/>
        <v>17200149.759999998</v>
      </c>
      <c r="Q13" s="8"/>
      <c r="R13" s="8"/>
      <c r="S13" s="8"/>
    </row>
    <row r="14" spans="1:19" ht="51" customHeight="1">
      <c r="A14" s="104"/>
      <c r="B14" s="61" t="s">
        <v>16</v>
      </c>
      <c r="C14" s="57">
        <v>201140</v>
      </c>
      <c r="D14" s="57">
        <v>145523</v>
      </c>
      <c r="E14" s="57">
        <v>167540</v>
      </c>
      <c r="F14" s="57">
        <v>154610</v>
      </c>
      <c r="G14" s="56">
        <f t="shared" si="0"/>
        <v>668813</v>
      </c>
      <c r="H14" s="8">
        <f>ROUND('2022'!H13*1.03951,2)</f>
        <v>44.97</v>
      </c>
      <c r="I14" s="8">
        <f>ROUND('2022'!I13*1.03951,2)</f>
        <v>44.97</v>
      </c>
      <c r="J14" s="8">
        <f>'2022'!K13</f>
        <v>3.96</v>
      </c>
      <c r="K14" s="8">
        <f>ROUND(J14*1.03951,2)</f>
        <v>4.12</v>
      </c>
      <c r="L14" s="8">
        <f t="shared" si="1"/>
        <v>8248751.3999999994</v>
      </c>
      <c r="M14" s="8">
        <f t="shared" si="2"/>
        <v>5967898.2299999995</v>
      </c>
      <c r="N14" s="8">
        <f t="shared" si="3"/>
        <v>6844009</v>
      </c>
      <c r="O14" s="8">
        <f t="shared" si="4"/>
        <v>6315818.5</v>
      </c>
      <c r="P14" s="8">
        <f t="shared" si="5"/>
        <v>27376477.129999999</v>
      </c>
      <c r="Q14" s="8"/>
      <c r="R14" s="8"/>
      <c r="S14" s="8"/>
    </row>
    <row r="15" spans="1:19" ht="51" customHeight="1">
      <c r="A15" s="104"/>
      <c r="B15" s="61" t="s">
        <v>17</v>
      </c>
      <c r="C15" s="57">
        <v>88747</v>
      </c>
      <c r="D15" s="57">
        <v>64748</v>
      </c>
      <c r="E15" s="57">
        <v>44965</v>
      </c>
      <c r="F15" s="57">
        <v>60979</v>
      </c>
      <c r="G15" s="56">
        <f t="shared" si="0"/>
        <v>259439</v>
      </c>
      <c r="H15" s="8">
        <f>ROUND('2022'!H14*1.03951,2)</f>
        <v>44.97</v>
      </c>
      <c r="I15" s="8">
        <f>ROUND('2022'!I14*1.03951,2)</f>
        <v>44.97</v>
      </c>
      <c r="J15" s="8">
        <f>'2022'!K14</f>
        <v>1.53</v>
      </c>
      <c r="K15" s="8">
        <f>ROUND(J15*1.15804,2)</f>
        <v>1.77</v>
      </c>
      <c r="L15" s="8">
        <f t="shared" si="1"/>
        <v>3855169.6799999997</v>
      </c>
      <c r="M15" s="8">
        <f t="shared" si="2"/>
        <v>2812653.1199999996</v>
      </c>
      <c r="N15" s="8">
        <f t="shared" si="3"/>
        <v>1942487.9999999998</v>
      </c>
      <c r="O15" s="8">
        <f t="shared" si="4"/>
        <v>2634292.7999999998</v>
      </c>
      <c r="P15" s="8">
        <f t="shared" si="5"/>
        <v>11244603.599999998</v>
      </c>
      <c r="Q15" s="8"/>
      <c r="R15" s="8"/>
      <c r="S15" s="8"/>
    </row>
    <row r="16" spans="1:19" ht="50.25" customHeight="1">
      <c r="A16" s="104"/>
      <c r="B16" s="61" t="s">
        <v>18</v>
      </c>
      <c r="C16" s="57">
        <v>4346050</v>
      </c>
      <c r="D16" s="57">
        <v>2618375</v>
      </c>
      <c r="E16" s="57">
        <v>2204836</v>
      </c>
      <c r="F16" s="57">
        <v>3711029</v>
      </c>
      <c r="G16" s="56">
        <f t="shared" si="0"/>
        <v>12880290</v>
      </c>
      <c r="H16" s="8">
        <f>ROUND('2022'!H15*1.03951,2)</f>
        <v>44.97</v>
      </c>
      <c r="I16" s="8">
        <f>ROUND('2022'!I15*1.03951,2)</f>
        <v>44.97</v>
      </c>
      <c r="J16" s="8">
        <f>'2022'!K15</f>
        <v>7.95</v>
      </c>
      <c r="K16" s="87">
        <v>7.95</v>
      </c>
      <c r="L16" s="8">
        <f t="shared" si="1"/>
        <v>160890770.99999997</v>
      </c>
      <c r="M16" s="8">
        <f t="shared" si="2"/>
        <v>96932242.499999985</v>
      </c>
      <c r="N16" s="8">
        <f t="shared" si="3"/>
        <v>81623028.719999984</v>
      </c>
      <c r="O16" s="8">
        <f t="shared" si="4"/>
        <v>137382293.57999998</v>
      </c>
      <c r="P16" s="8">
        <f t="shared" si="5"/>
        <v>476828335.79999989</v>
      </c>
      <c r="Q16" s="8" t="s">
        <v>10</v>
      </c>
      <c r="R16" s="8"/>
      <c r="S16" s="8"/>
    </row>
    <row r="17" spans="1:197" s="21" customFormat="1" ht="30" customHeight="1">
      <c r="A17" s="105"/>
      <c r="B17" s="62" t="s">
        <v>6</v>
      </c>
      <c r="C17" s="58">
        <f>SUM(C7:C16)</f>
        <v>10157416</v>
      </c>
      <c r="D17" s="58">
        <f t="shared" ref="D17:P17" si="6">SUM(D7:D16)</f>
        <v>7680665</v>
      </c>
      <c r="E17" s="58">
        <f t="shared" si="6"/>
        <v>7062430</v>
      </c>
      <c r="F17" s="58">
        <f t="shared" si="6"/>
        <v>9160617</v>
      </c>
      <c r="G17" s="58">
        <f t="shared" si="6"/>
        <v>34061128</v>
      </c>
      <c r="H17" s="58"/>
      <c r="I17" s="58"/>
      <c r="J17" s="58"/>
      <c r="K17" s="58"/>
      <c r="L17" s="58">
        <f t="shared" si="6"/>
        <v>404138851.99999994</v>
      </c>
      <c r="M17" s="58">
        <f t="shared" si="6"/>
        <v>308734907.10000002</v>
      </c>
      <c r="N17" s="58">
        <f t="shared" si="6"/>
        <v>283950037.21999997</v>
      </c>
      <c r="O17" s="58">
        <f t="shared" si="6"/>
        <v>364578194.30000001</v>
      </c>
      <c r="P17" s="58">
        <f t="shared" si="6"/>
        <v>1361401990.6199999</v>
      </c>
      <c r="Q17" s="45">
        <f>'2022'!R16</f>
        <v>116577341.68333332</v>
      </c>
      <c r="R17" s="46">
        <f>O17/3</f>
        <v>121526064.76666667</v>
      </c>
      <c r="S17" s="34">
        <f>P17+Q17-R17</f>
        <v>1356453267.5366666</v>
      </c>
    </row>
    <row r="18" spans="1:197" s="2" customFormat="1" ht="41.25" customHeight="1">
      <c r="A18" s="106" t="s">
        <v>34</v>
      </c>
      <c r="B18" s="63" t="s">
        <v>42</v>
      </c>
      <c r="C18" s="56">
        <v>5564672</v>
      </c>
      <c r="D18" s="56">
        <v>5059149</v>
      </c>
      <c r="E18" s="56">
        <v>4983637</v>
      </c>
      <c r="F18" s="56">
        <v>5295888</v>
      </c>
      <c r="G18" s="56">
        <f t="shared" ref="G18:G27" si="7">C18+D18+E18+F18</f>
        <v>20903346</v>
      </c>
      <c r="H18" s="8">
        <f>'2022'!I17</f>
        <v>4.59</v>
      </c>
      <c r="I18" s="8">
        <f>ROUND(H18*1.03951,2)</f>
        <v>4.7699999999999996</v>
      </c>
      <c r="J18" s="8">
        <f>'2022'!K17</f>
        <v>4.04</v>
      </c>
      <c r="K18" s="8">
        <f>ROUND(J18*1.07902,2)</f>
        <v>4.3600000000000003</v>
      </c>
      <c r="L18" s="8">
        <f t="shared" si="1"/>
        <v>3060569.5999999992</v>
      </c>
      <c r="M18" s="8">
        <f t="shared" si="2"/>
        <v>2782531.9499999993</v>
      </c>
      <c r="N18" s="8">
        <f t="shared" si="3"/>
        <v>2043291.1699999962</v>
      </c>
      <c r="O18" s="8">
        <f t="shared" si="4"/>
        <v>2171314.0799999959</v>
      </c>
      <c r="P18" s="8">
        <f t="shared" si="5"/>
        <v>10057706.799999991</v>
      </c>
      <c r="Q18" s="8" t="s">
        <v>10</v>
      </c>
      <c r="R18" s="46"/>
      <c r="S18" s="34"/>
      <c r="T18" s="19"/>
      <c r="U18" s="20">
        <f t="shared" ref="U18:U23" si="8">SUM(C18:C18)</f>
        <v>5564672</v>
      </c>
      <c r="V18" s="20">
        <f t="shared" ref="V18:V26" si="9">SUM(E18:E18)</f>
        <v>4983637</v>
      </c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</row>
    <row r="19" spans="1:197" s="2" customFormat="1" ht="46.5" customHeight="1">
      <c r="A19" s="104"/>
      <c r="B19" s="63" t="s">
        <v>27</v>
      </c>
      <c r="C19" s="56">
        <v>99881</v>
      </c>
      <c r="D19" s="56">
        <v>94572</v>
      </c>
      <c r="E19" s="56">
        <v>64483</v>
      </c>
      <c r="F19" s="56">
        <v>84028</v>
      </c>
      <c r="G19" s="56">
        <f t="shared" si="7"/>
        <v>342964</v>
      </c>
      <c r="H19" s="8">
        <f>'2022'!I18</f>
        <v>5.27</v>
      </c>
      <c r="I19" s="8">
        <f>ROUND(H19*1.03951,2)</f>
        <v>5.48</v>
      </c>
      <c r="J19" s="8">
        <f>'2022'!K18</f>
        <v>4.6399999999999997</v>
      </c>
      <c r="K19" s="8">
        <f>ROUND(J19*1.07902,2)</f>
        <v>5.01</v>
      </c>
      <c r="L19" s="8">
        <f t="shared" si="1"/>
        <v>62925.029999999992</v>
      </c>
      <c r="M19" s="8">
        <f t="shared" si="2"/>
        <v>59580.359999999993</v>
      </c>
      <c r="N19" s="8">
        <f t="shared" si="3"/>
        <v>30307.010000000042</v>
      </c>
      <c r="O19" s="8">
        <f t="shared" si="4"/>
        <v>39493.160000000054</v>
      </c>
      <c r="P19" s="8">
        <f t="shared" si="5"/>
        <v>192305.56000000008</v>
      </c>
      <c r="Q19" s="8" t="s">
        <v>10</v>
      </c>
      <c r="R19" s="46"/>
      <c r="S19" s="34"/>
      <c r="T19" s="19"/>
      <c r="U19" s="20">
        <f t="shared" si="8"/>
        <v>99881</v>
      </c>
      <c r="V19" s="20">
        <f t="shared" si="9"/>
        <v>64483</v>
      </c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</row>
    <row r="20" spans="1:197" s="2" customFormat="1" ht="51" customHeight="1">
      <c r="A20" s="104"/>
      <c r="B20" s="63" t="s">
        <v>28</v>
      </c>
      <c r="C20" s="56">
        <v>39319</v>
      </c>
      <c r="D20" s="56">
        <v>37705</v>
      </c>
      <c r="E20" s="56">
        <v>26139</v>
      </c>
      <c r="F20" s="56">
        <v>32683</v>
      </c>
      <c r="G20" s="56">
        <f t="shared" si="7"/>
        <v>135846</v>
      </c>
      <c r="H20" s="8">
        <f>'2022'!I19</f>
        <v>2.0499999999999998</v>
      </c>
      <c r="I20" s="8">
        <f>ROUND(H20*1.15804,2)</f>
        <v>2.37</v>
      </c>
      <c r="J20" s="8">
        <f>'2022'!K19</f>
        <v>1.84</v>
      </c>
      <c r="K20" s="8">
        <f>ROUND(J20*1.15804,2)</f>
        <v>2.13</v>
      </c>
      <c r="L20" s="8">
        <f t="shared" si="1"/>
        <v>8256.9899999999907</v>
      </c>
      <c r="M20" s="8">
        <f t="shared" si="2"/>
        <v>7918.0499999999902</v>
      </c>
      <c r="N20" s="8">
        <f t="shared" si="3"/>
        <v>6273.3600000000051</v>
      </c>
      <c r="O20" s="8">
        <f t="shared" si="4"/>
        <v>7843.9200000000073</v>
      </c>
      <c r="P20" s="8">
        <f t="shared" si="5"/>
        <v>30292.319999999992</v>
      </c>
      <c r="Q20" s="8" t="s">
        <v>10</v>
      </c>
      <c r="R20" s="46"/>
      <c r="S20" s="34"/>
      <c r="T20" s="19"/>
      <c r="U20" s="20">
        <f t="shared" si="8"/>
        <v>39319</v>
      </c>
      <c r="V20" s="20">
        <f t="shared" si="9"/>
        <v>26139</v>
      </c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</row>
    <row r="21" spans="1:197" s="2" customFormat="1" ht="41.25" customHeight="1">
      <c r="A21" s="104"/>
      <c r="B21" s="63" t="s">
        <v>29</v>
      </c>
      <c r="C21" s="56">
        <v>1215515</v>
      </c>
      <c r="D21" s="56">
        <v>1185116</v>
      </c>
      <c r="E21" s="56">
        <v>1143355</v>
      </c>
      <c r="F21" s="56">
        <v>1174535</v>
      </c>
      <c r="G21" s="56">
        <f t="shared" si="7"/>
        <v>4718521</v>
      </c>
      <c r="H21" s="8">
        <f>'2022'!I20</f>
        <v>3.44</v>
      </c>
      <c r="I21" s="8">
        <f>ROUND(H21*1.03951,2)</f>
        <v>3.58</v>
      </c>
      <c r="J21" s="8">
        <f>'2022'!K20</f>
        <v>3.03</v>
      </c>
      <c r="K21" s="8">
        <f>ROUND(J21*1.07902,2)</f>
        <v>3.27</v>
      </c>
      <c r="L21" s="8">
        <f t="shared" si="1"/>
        <v>498361.1500000002</v>
      </c>
      <c r="M21" s="8">
        <f t="shared" si="2"/>
        <v>485897.56000000017</v>
      </c>
      <c r="N21" s="8">
        <f t="shared" si="3"/>
        <v>354440.05000000005</v>
      </c>
      <c r="O21" s="8">
        <f t="shared" si="4"/>
        <v>364105.85000000003</v>
      </c>
      <c r="P21" s="8">
        <f t="shared" si="5"/>
        <v>1702804.6100000006</v>
      </c>
      <c r="Q21" s="8" t="s">
        <v>10</v>
      </c>
      <c r="R21" s="46"/>
      <c r="S21" s="34"/>
      <c r="T21" s="19"/>
      <c r="U21" s="20">
        <f t="shared" si="8"/>
        <v>1215515</v>
      </c>
      <c r="V21" s="20">
        <f t="shared" si="9"/>
        <v>1143355</v>
      </c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</row>
    <row r="22" spans="1:197" s="2" customFormat="1" ht="46.5" customHeight="1">
      <c r="A22" s="104"/>
      <c r="B22" s="63" t="s">
        <v>30</v>
      </c>
      <c r="C22" s="56">
        <v>13675</v>
      </c>
      <c r="D22" s="56">
        <v>8758</v>
      </c>
      <c r="E22" s="56">
        <v>3933</v>
      </c>
      <c r="F22" s="56">
        <v>11986</v>
      </c>
      <c r="G22" s="56">
        <f t="shared" si="7"/>
        <v>38352</v>
      </c>
      <c r="H22" s="8">
        <f>'2022'!I21</f>
        <v>3.96</v>
      </c>
      <c r="I22" s="8">
        <f>ROUND(H22*1.03951,2)</f>
        <v>4.12</v>
      </c>
      <c r="J22" s="8">
        <f>'2022'!K21</f>
        <v>3.49</v>
      </c>
      <c r="K22" s="8">
        <f>ROUND(J22*1.07902,2)</f>
        <v>3.77</v>
      </c>
      <c r="L22" s="8">
        <f t="shared" si="1"/>
        <v>6427.2499999999964</v>
      </c>
      <c r="M22" s="8">
        <f t="shared" si="2"/>
        <v>4116.2599999999975</v>
      </c>
      <c r="N22" s="8">
        <f t="shared" si="3"/>
        <v>1376.5500000000004</v>
      </c>
      <c r="O22" s="8">
        <f t="shared" si="4"/>
        <v>4195.1000000000013</v>
      </c>
      <c r="P22" s="8">
        <f t="shared" si="5"/>
        <v>16115.159999999996</v>
      </c>
      <c r="Q22" s="8" t="s">
        <v>10</v>
      </c>
      <c r="R22" s="46"/>
      <c r="S22" s="34"/>
      <c r="T22" s="19"/>
      <c r="U22" s="20">
        <f t="shared" si="8"/>
        <v>13675</v>
      </c>
      <c r="V22" s="20">
        <f t="shared" si="9"/>
        <v>3933</v>
      </c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</row>
    <row r="23" spans="1:197" s="2" customFormat="1" ht="49.5" customHeight="1">
      <c r="A23" s="104"/>
      <c r="B23" s="63" t="s">
        <v>31</v>
      </c>
      <c r="C23" s="56">
        <v>8115</v>
      </c>
      <c r="D23" s="56">
        <v>4520</v>
      </c>
      <c r="E23" s="56">
        <v>1737</v>
      </c>
      <c r="F23" s="56">
        <v>7124</v>
      </c>
      <c r="G23" s="56">
        <f t="shared" si="7"/>
        <v>21496</v>
      </c>
      <c r="H23" s="8">
        <f>'2022'!I22</f>
        <v>1.53</v>
      </c>
      <c r="I23" s="8">
        <f>ROUND(H23*1.15804,2)</f>
        <v>1.77</v>
      </c>
      <c r="J23" s="8">
        <f>'2022'!K22</f>
        <v>1.39</v>
      </c>
      <c r="K23" s="8">
        <f>ROUND(J23*1.15804,2)</f>
        <v>1.61</v>
      </c>
      <c r="L23" s="8">
        <f t="shared" si="1"/>
        <v>1136.100000000001</v>
      </c>
      <c r="M23" s="8">
        <f t="shared" si="2"/>
        <v>632.80000000000052</v>
      </c>
      <c r="N23" s="8">
        <f t="shared" si="3"/>
        <v>277.91999999999985</v>
      </c>
      <c r="O23" s="8">
        <f t="shared" si="4"/>
        <v>1139.8399999999995</v>
      </c>
      <c r="P23" s="8">
        <f t="shared" si="5"/>
        <v>3186.6600000000008</v>
      </c>
      <c r="Q23" s="8" t="s">
        <v>10</v>
      </c>
      <c r="R23" s="46"/>
      <c r="S23" s="34"/>
      <c r="T23" s="19"/>
      <c r="U23" s="20">
        <f t="shared" si="8"/>
        <v>8115</v>
      </c>
      <c r="V23" s="20">
        <f t="shared" si="9"/>
        <v>1737</v>
      </c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</row>
    <row r="24" spans="1:197" ht="51" customHeight="1">
      <c r="A24" s="104"/>
      <c r="B24" s="61" t="s">
        <v>33</v>
      </c>
      <c r="C24" s="57">
        <v>75793</v>
      </c>
      <c r="D24" s="57">
        <v>197993</v>
      </c>
      <c r="E24" s="57">
        <v>183216</v>
      </c>
      <c r="F24" s="57">
        <v>79722</v>
      </c>
      <c r="G24" s="56">
        <f t="shared" si="7"/>
        <v>536724</v>
      </c>
      <c r="H24" s="8">
        <f>'2022'!I23</f>
        <v>3.25</v>
      </c>
      <c r="I24" s="8">
        <f>ROUND(H24*1.03951,2)</f>
        <v>3.38</v>
      </c>
      <c r="J24" s="8">
        <f>'2022'!K23</f>
        <v>2.87</v>
      </c>
      <c r="K24" s="8">
        <f>ROUND(J24*1.07902,2)</f>
        <v>3.1</v>
      </c>
      <c r="L24" s="8">
        <f t="shared" si="1"/>
        <v>28801.339999999993</v>
      </c>
      <c r="M24" s="8">
        <f t="shared" si="2"/>
        <v>75237.339999999982</v>
      </c>
      <c r="N24" s="8">
        <f t="shared" si="3"/>
        <v>51300.479999999967</v>
      </c>
      <c r="O24" s="8">
        <f t="shared" si="4"/>
        <v>22322.159999999985</v>
      </c>
      <c r="P24" s="8">
        <f t="shared" si="5"/>
        <v>177661.31999999992</v>
      </c>
      <c r="Q24" s="8"/>
      <c r="R24" s="46"/>
      <c r="S24" s="34"/>
      <c r="V24" s="20">
        <f t="shared" si="9"/>
        <v>183216</v>
      </c>
    </row>
    <row r="25" spans="1:197" ht="51" customHeight="1">
      <c r="A25" s="104"/>
      <c r="B25" s="61" t="s">
        <v>32</v>
      </c>
      <c r="C25" s="57">
        <v>112100</v>
      </c>
      <c r="D25" s="57">
        <v>121000</v>
      </c>
      <c r="E25" s="57">
        <v>108500</v>
      </c>
      <c r="F25" s="57">
        <v>137300</v>
      </c>
      <c r="G25" s="56">
        <f t="shared" si="7"/>
        <v>478900</v>
      </c>
      <c r="H25" s="8">
        <f>'2022'!I24</f>
        <v>4.59</v>
      </c>
      <c r="I25" s="8">
        <f>ROUND(H25*1.03951,2)</f>
        <v>4.7699999999999996</v>
      </c>
      <c r="J25" s="8">
        <f>'2022'!K24</f>
        <v>4.04</v>
      </c>
      <c r="K25" s="8">
        <f>ROUND(J25*1.07902,2)</f>
        <v>4.3600000000000003</v>
      </c>
      <c r="L25" s="8">
        <f t="shared" si="1"/>
        <v>61654.999999999978</v>
      </c>
      <c r="M25" s="8">
        <f t="shared" si="2"/>
        <v>66549.999999999985</v>
      </c>
      <c r="N25" s="8">
        <f t="shared" si="3"/>
        <v>44484.99999999992</v>
      </c>
      <c r="O25" s="8">
        <f t="shared" si="4"/>
        <v>56292.999999999898</v>
      </c>
      <c r="P25" s="8">
        <f t="shared" si="5"/>
        <v>228982.99999999977</v>
      </c>
      <c r="Q25" s="8"/>
      <c r="R25" s="46"/>
      <c r="S25" s="34"/>
      <c r="V25" s="20">
        <f t="shared" si="9"/>
        <v>108500</v>
      </c>
    </row>
    <row r="26" spans="1:197" ht="51" customHeight="1">
      <c r="A26" s="104"/>
      <c r="B26" s="61" t="s">
        <v>15</v>
      </c>
      <c r="C26" s="57">
        <v>8752</v>
      </c>
      <c r="D26" s="57">
        <v>7376</v>
      </c>
      <c r="E26" s="57">
        <v>10119</v>
      </c>
      <c r="F26" s="57">
        <v>12939</v>
      </c>
      <c r="G26" s="56">
        <f t="shared" si="7"/>
        <v>39186</v>
      </c>
      <c r="H26" s="8">
        <f>'2022'!I25</f>
        <v>3.44</v>
      </c>
      <c r="I26" s="8">
        <f>ROUND(H26*1.03951,2)</f>
        <v>3.58</v>
      </c>
      <c r="J26" s="8">
        <f>'2022'!K25</f>
        <v>3.03</v>
      </c>
      <c r="K26" s="8">
        <f>ROUND(J26*1.07902,2)</f>
        <v>3.27</v>
      </c>
      <c r="L26" s="8">
        <f t="shared" si="1"/>
        <v>3588.3200000000011</v>
      </c>
      <c r="M26" s="8">
        <f t="shared" si="2"/>
        <v>3024.1600000000012</v>
      </c>
      <c r="N26" s="8">
        <f t="shared" si="3"/>
        <v>3136.8900000000003</v>
      </c>
      <c r="O26" s="8">
        <f t="shared" si="4"/>
        <v>4011.0900000000006</v>
      </c>
      <c r="P26" s="8">
        <f t="shared" si="5"/>
        <v>13760.460000000003</v>
      </c>
      <c r="Q26" s="8"/>
      <c r="R26" s="46"/>
      <c r="S26" s="34"/>
      <c r="V26" s="20">
        <f t="shared" si="9"/>
        <v>10119</v>
      </c>
    </row>
    <row r="27" spans="1:197" ht="51" customHeight="1">
      <c r="A27" s="104"/>
      <c r="B27" s="61" t="s">
        <v>14</v>
      </c>
      <c r="C27" s="57">
        <v>136003</v>
      </c>
      <c r="D27" s="57">
        <v>124317</v>
      </c>
      <c r="E27" s="57">
        <v>120688</v>
      </c>
      <c r="F27" s="57">
        <v>156752</v>
      </c>
      <c r="G27" s="56">
        <f t="shared" si="7"/>
        <v>537760</v>
      </c>
      <c r="H27" s="8">
        <f>'2022'!I26</f>
        <v>4.59</v>
      </c>
      <c r="I27" s="8">
        <f>ROUND(H27*1.03951,2)</f>
        <v>4.7699999999999996</v>
      </c>
      <c r="J27" s="8">
        <f>'2022'!K26</f>
        <v>4.04</v>
      </c>
      <c r="K27" s="8">
        <f>ROUND(J27*1.07902,2)</f>
        <v>4.3600000000000003</v>
      </c>
      <c r="L27" s="8">
        <f t="shared" si="1"/>
        <v>74801.64999999998</v>
      </c>
      <c r="M27" s="8">
        <f t="shared" si="2"/>
        <v>68374.349999999977</v>
      </c>
      <c r="N27" s="8">
        <f t="shared" si="3"/>
        <v>49482.079999999907</v>
      </c>
      <c r="O27" s="8">
        <f t="shared" si="4"/>
        <v>64268.319999999883</v>
      </c>
      <c r="P27" s="8">
        <f t="shared" si="5"/>
        <v>256926.39999999973</v>
      </c>
      <c r="Q27" s="8" t="s">
        <v>10</v>
      </c>
      <c r="R27" s="46"/>
      <c r="S27" s="34"/>
    </row>
    <row r="28" spans="1:197" s="48" customFormat="1" ht="26.25" customHeight="1">
      <c r="A28" s="105"/>
      <c r="B28" s="64" t="s">
        <v>6</v>
      </c>
      <c r="C28" s="59">
        <f>SUM(C18:C27)</f>
        <v>7273825</v>
      </c>
      <c r="D28" s="59">
        <f t="shared" ref="D28:P28" si="10">SUM(D18:D27)</f>
        <v>6840506</v>
      </c>
      <c r="E28" s="59">
        <f t="shared" si="10"/>
        <v>6645807</v>
      </c>
      <c r="F28" s="59">
        <f t="shared" si="10"/>
        <v>6992957</v>
      </c>
      <c r="G28" s="59">
        <f t="shared" si="10"/>
        <v>27753095</v>
      </c>
      <c r="H28" s="59"/>
      <c r="I28" s="59"/>
      <c r="J28" s="59"/>
      <c r="K28" s="59"/>
      <c r="L28" s="59">
        <f t="shared" si="10"/>
        <v>3806522.4299999992</v>
      </c>
      <c r="M28" s="59">
        <f t="shared" si="10"/>
        <v>3553862.8299999987</v>
      </c>
      <c r="N28" s="59">
        <f t="shared" si="10"/>
        <v>2584370.5099999961</v>
      </c>
      <c r="O28" s="59">
        <f t="shared" si="10"/>
        <v>2734986.5199999958</v>
      </c>
      <c r="P28" s="59">
        <f t="shared" si="10"/>
        <v>12679742.289999995</v>
      </c>
      <c r="Q28" s="34">
        <f>'2022'!R27</f>
        <v>1219352.5166666664</v>
      </c>
      <c r="R28" s="46">
        <f>O28/3</f>
        <v>911662.17333333194</v>
      </c>
      <c r="S28" s="34">
        <f>P28+Q28-R28</f>
        <v>12987432.633333329</v>
      </c>
      <c r="T28" s="47"/>
      <c r="U28" s="47">
        <f>ROUND(SUMPRODUCT(J18:J23,U18:U23)/SUM(U18:U23),2)</f>
        <v>3.86</v>
      </c>
      <c r="V28" s="47">
        <f>ROUND(SUMPRODUCT(K18:K23,V18:V23)/SUM(V18:V23),2)</f>
        <v>4.16</v>
      </c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</row>
    <row r="29" spans="1:197" ht="48" customHeight="1">
      <c r="A29" s="104" t="s">
        <v>43</v>
      </c>
      <c r="B29" s="65" t="s">
        <v>44</v>
      </c>
      <c r="C29" s="57">
        <v>3651</v>
      </c>
      <c r="D29" s="57">
        <v>120</v>
      </c>
      <c r="E29" s="57">
        <v>135</v>
      </c>
      <c r="F29" s="57">
        <v>2807</v>
      </c>
      <c r="G29" s="56">
        <f t="shared" ref="G29:G39" si="11">C29+D29+E29+F29</f>
        <v>6713</v>
      </c>
      <c r="H29" s="8">
        <f>'2022'!I28</f>
        <v>47.153889999999997</v>
      </c>
      <c r="I29" s="8">
        <f t="shared" ref="I29:I39" si="12">ROUND(H29*1.03951,5)</f>
        <v>49.016939999999998</v>
      </c>
      <c r="J29" s="8">
        <f>'2022'!K28</f>
        <v>5.5582599999999998</v>
      </c>
      <c r="K29" s="8">
        <f t="shared" ref="K29:K39" si="13">ROUND(J29*1.03951,5)</f>
        <v>5.7778700000000001</v>
      </c>
      <c r="L29" s="8">
        <f t="shared" si="1"/>
        <v>151865.64512999999</v>
      </c>
      <c r="M29" s="8">
        <f t="shared" si="2"/>
        <v>4991.4755999999998</v>
      </c>
      <c r="N29" s="8">
        <f t="shared" si="3"/>
        <v>5837.2744499999999</v>
      </c>
      <c r="O29" s="8">
        <f t="shared" si="4"/>
        <v>121372.06948999999</v>
      </c>
      <c r="P29" s="8">
        <f t="shared" si="5"/>
        <v>284066.46467000002</v>
      </c>
      <c r="Q29" s="8"/>
      <c r="R29" s="46"/>
      <c r="S29" s="34"/>
    </row>
    <row r="30" spans="1:197" ht="48" customHeight="1">
      <c r="A30" s="104"/>
      <c r="B30" s="65" t="s">
        <v>45</v>
      </c>
      <c r="C30" s="57">
        <v>690775</v>
      </c>
      <c r="D30" s="57">
        <v>461736</v>
      </c>
      <c r="E30" s="57">
        <v>190330</v>
      </c>
      <c r="F30" s="57">
        <v>523820</v>
      </c>
      <c r="G30" s="56">
        <f t="shared" si="11"/>
        <v>1866661</v>
      </c>
      <c r="H30" s="8">
        <f>'2022'!I29</f>
        <v>48.269019999999998</v>
      </c>
      <c r="I30" s="8">
        <f t="shared" si="12"/>
        <v>50.176130000000001</v>
      </c>
      <c r="J30" s="8">
        <f>'2022'!K29</f>
        <v>6.3395599999999996</v>
      </c>
      <c r="K30" s="8">
        <f t="shared" si="13"/>
        <v>6.5900400000000001</v>
      </c>
      <c r="L30" s="8">
        <f t="shared" si="1"/>
        <v>28963822.7315</v>
      </c>
      <c r="M30" s="8">
        <f t="shared" si="2"/>
        <v>19360341.142559998</v>
      </c>
      <c r="N30" s="8">
        <f t="shared" si="3"/>
        <v>8295740.5096999994</v>
      </c>
      <c r="O30" s="8">
        <f t="shared" si="4"/>
        <v>22831265.663800001</v>
      </c>
      <c r="P30" s="8">
        <f t="shared" si="5"/>
        <v>79451170.047560006</v>
      </c>
      <c r="Q30" s="8"/>
      <c r="R30" s="46"/>
      <c r="S30" s="34"/>
    </row>
    <row r="31" spans="1:197" ht="48" customHeight="1">
      <c r="A31" s="104"/>
      <c r="B31" s="65" t="s">
        <v>46</v>
      </c>
      <c r="C31" s="57">
        <v>994080</v>
      </c>
      <c r="D31" s="57">
        <v>643494</v>
      </c>
      <c r="E31" s="57">
        <v>398376</v>
      </c>
      <c r="F31" s="57">
        <v>602742</v>
      </c>
      <c r="G31" s="56">
        <f t="shared" si="11"/>
        <v>2638692</v>
      </c>
      <c r="H31" s="8">
        <f>'2022'!I30</f>
        <v>49.446359999999999</v>
      </c>
      <c r="I31" s="8">
        <f t="shared" si="12"/>
        <v>51.399990000000003</v>
      </c>
      <c r="J31" s="8">
        <f>'2022'!K30</f>
        <v>7.8507300000000004</v>
      </c>
      <c r="K31" s="8">
        <f t="shared" si="13"/>
        <v>8.1609099999999994</v>
      </c>
      <c r="L31" s="8">
        <f t="shared" si="1"/>
        <v>41349383.870399997</v>
      </c>
      <c r="M31" s="8">
        <f t="shared" si="2"/>
        <v>26766538.331220001</v>
      </c>
      <c r="N31" s="8">
        <f t="shared" si="3"/>
        <v>17225411.734080002</v>
      </c>
      <c r="O31" s="8">
        <f t="shared" si="4"/>
        <v>26062009.557360001</v>
      </c>
      <c r="P31" s="8">
        <f t="shared" si="5"/>
        <v>111403343.49305999</v>
      </c>
      <c r="Q31" s="8"/>
      <c r="R31" s="46"/>
      <c r="S31" s="34"/>
    </row>
    <row r="32" spans="1:197" ht="42.75" customHeight="1">
      <c r="A32" s="104"/>
      <c r="B32" s="65" t="s">
        <v>47</v>
      </c>
      <c r="C32" s="57">
        <v>1459</v>
      </c>
      <c r="D32" s="57">
        <v>1204</v>
      </c>
      <c r="E32" s="57">
        <v>879</v>
      </c>
      <c r="F32" s="57">
        <v>2228</v>
      </c>
      <c r="G32" s="56">
        <f t="shared" si="11"/>
        <v>5770</v>
      </c>
      <c r="H32" s="8">
        <f>'2022'!I31</f>
        <v>48.269019999999998</v>
      </c>
      <c r="I32" s="8">
        <f t="shared" si="12"/>
        <v>50.176130000000001</v>
      </c>
      <c r="J32" s="8">
        <f>'2022'!K31</f>
        <v>6.3395599999999996</v>
      </c>
      <c r="K32" s="8">
        <f t="shared" si="13"/>
        <v>6.5900400000000001</v>
      </c>
      <c r="L32" s="8">
        <f t="shared" si="1"/>
        <v>61175.082139999999</v>
      </c>
      <c r="M32" s="8">
        <f t="shared" si="2"/>
        <v>50483.069839999996</v>
      </c>
      <c r="N32" s="8">
        <f t="shared" si="3"/>
        <v>38312.173109999996</v>
      </c>
      <c r="O32" s="8">
        <f t="shared" si="4"/>
        <v>97109.808519999991</v>
      </c>
      <c r="P32" s="8">
        <f t="shared" si="5"/>
        <v>247080.13360999999</v>
      </c>
      <c r="Q32" s="8"/>
      <c r="R32" s="46"/>
      <c r="S32" s="34"/>
    </row>
    <row r="33" spans="1:197" ht="42.75" customHeight="1">
      <c r="A33" s="104"/>
      <c r="B33" s="65" t="s">
        <v>48</v>
      </c>
      <c r="C33" s="57">
        <v>707</v>
      </c>
      <c r="D33" s="57">
        <v>596</v>
      </c>
      <c r="E33" s="57">
        <v>405</v>
      </c>
      <c r="F33" s="57">
        <v>1121</v>
      </c>
      <c r="G33" s="56">
        <f t="shared" si="11"/>
        <v>2829</v>
      </c>
      <c r="H33" s="8">
        <f>'2022'!I32</f>
        <v>48.269019999999998</v>
      </c>
      <c r="I33" s="8">
        <f t="shared" si="12"/>
        <v>50.176130000000001</v>
      </c>
      <c r="J33" s="8">
        <f>'2022'!K32</f>
        <v>6.3395599999999996</v>
      </c>
      <c r="K33" s="8">
        <f t="shared" si="13"/>
        <v>6.5900400000000001</v>
      </c>
      <c r="L33" s="8">
        <f t="shared" si="1"/>
        <v>29644.128219999999</v>
      </c>
      <c r="M33" s="8">
        <f t="shared" si="2"/>
        <v>24989.958159999998</v>
      </c>
      <c r="N33" s="8">
        <f t="shared" si="3"/>
        <v>17652.366449999998</v>
      </c>
      <c r="O33" s="8">
        <f t="shared" si="4"/>
        <v>48860.006889999997</v>
      </c>
      <c r="P33" s="8">
        <f t="shared" si="5"/>
        <v>121146.45971999998</v>
      </c>
      <c r="Q33" s="8"/>
      <c r="R33" s="46"/>
      <c r="S33" s="34"/>
    </row>
    <row r="34" spans="1:197" ht="42.75" customHeight="1">
      <c r="A34" s="104"/>
      <c r="B34" s="65" t="s">
        <v>49</v>
      </c>
      <c r="C34" s="57">
        <v>1625</v>
      </c>
      <c r="D34" s="57">
        <v>1232</v>
      </c>
      <c r="E34" s="57">
        <v>90</v>
      </c>
      <c r="F34" s="57">
        <v>120</v>
      </c>
      <c r="G34" s="56">
        <f t="shared" si="11"/>
        <v>3067</v>
      </c>
      <c r="H34" s="8">
        <f>'2022'!I33</f>
        <v>49.446359999999999</v>
      </c>
      <c r="I34" s="8">
        <f t="shared" si="12"/>
        <v>51.399990000000003</v>
      </c>
      <c r="J34" s="8">
        <f>'2022'!K33</f>
        <v>7.8507300000000004</v>
      </c>
      <c r="K34" s="8">
        <f t="shared" si="13"/>
        <v>8.1609099999999994</v>
      </c>
      <c r="L34" s="8">
        <f t="shared" si="1"/>
        <v>67592.898749999993</v>
      </c>
      <c r="M34" s="8">
        <f t="shared" si="2"/>
        <v>51245.816160000002</v>
      </c>
      <c r="N34" s="8">
        <f t="shared" si="3"/>
        <v>3891.5172000000002</v>
      </c>
      <c r="O34" s="8">
        <f t="shared" si="4"/>
        <v>5188.6895999999997</v>
      </c>
      <c r="P34" s="8">
        <f t="shared" si="5"/>
        <v>127918.92171</v>
      </c>
      <c r="Q34" s="8"/>
      <c r="R34" s="46"/>
      <c r="S34" s="34"/>
    </row>
    <row r="35" spans="1:197" ht="42.75" customHeight="1">
      <c r="A35" s="104"/>
      <c r="B35" s="65" t="s">
        <v>50</v>
      </c>
      <c r="C35" s="57">
        <v>518</v>
      </c>
      <c r="D35" s="57">
        <v>200</v>
      </c>
      <c r="E35" s="57">
        <v>90</v>
      </c>
      <c r="F35" s="57">
        <v>100</v>
      </c>
      <c r="G35" s="56">
        <f t="shared" si="11"/>
        <v>908</v>
      </c>
      <c r="H35" s="8">
        <f>'2022'!I34</f>
        <v>49.446359999999999</v>
      </c>
      <c r="I35" s="8">
        <f t="shared" si="12"/>
        <v>51.399990000000003</v>
      </c>
      <c r="J35" s="8">
        <f>'2022'!K34</f>
        <v>7.8507300000000004</v>
      </c>
      <c r="K35" s="8">
        <f t="shared" si="13"/>
        <v>8.1609099999999994</v>
      </c>
      <c r="L35" s="8">
        <f t="shared" si="1"/>
        <v>21546.536339999999</v>
      </c>
      <c r="M35" s="8">
        <f t="shared" si="2"/>
        <v>8319.1260000000002</v>
      </c>
      <c r="N35" s="8">
        <f t="shared" si="3"/>
        <v>3891.5172000000002</v>
      </c>
      <c r="O35" s="8">
        <f t="shared" si="4"/>
        <v>4323.9080000000004</v>
      </c>
      <c r="P35" s="8">
        <f t="shared" si="5"/>
        <v>38081.08754</v>
      </c>
      <c r="Q35" s="8"/>
      <c r="R35" s="46"/>
      <c r="S35" s="34"/>
    </row>
    <row r="36" spans="1:197" ht="42.75" customHeight="1">
      <c r="A36" s="104"/>
      <c r="B36" s="65" t="s">
        <v>51</v>
      </c>
      <c r="C36" s="57">
        <v>3732</v>
      </c>
      <c r="D36" s="57">
        <v>511</v>
      </c>
      <c r="E36" s="57">
        <v>209</v>
      </c>
      <c r="F36" s="57">
        <v>4631</v>
      </c>
      <c r="G36" s="56">
        <f t="shared" si="11"/>
        <v>9083</v>
      </c>
      <c r="H36" s="8">
        <f>'2022'!I35</f>
        <v>44.473619999999997</v>
      </c>
      <c r="I36" s="8">
        <f t="shared" si="12"/>
        <v>46.23077</v>
      </c>
      <c r="J36" s="8">
        <f>'2022'!K35</f>
        <v>2.8780000000000001</v>
      </c>
      <c r="K36" s="8">
        <f t="shared" si="13"/>
        <v>2.9917099999999999</v>
      </c>
      <c r="L36" s="8">
        <f t="shared" si="1"/>
        <v>155234.85384</v>
      </c>
      <c r="M36" s="8">
        <f t="shared" si="2"/>
        <v>21255.361819999998</v>
      </c>
      <c r="N36" s="8">
        <f t="shared" si="3"/>
        <v>9036.9635400000006</v>
      </c>
      <c r="O36" s="8">
        <f t="shared" si="4"/>
        <v>200240.08686000001</v>
      </c>
      <c r="P36" s="8">
        <f t="shared" si="5"/>
        <v>385767.26605999999</v>
      </c>
      <c r="Q36" s="8"/>
      <c r="R36" s="46"/>
      <c r="S36" s="34"/>
    </row>
    <row r="37" spans="1:197" ht="42.75" customHeight="1">
      <c r="A37" s="104"/>
      <c r="B37" s="65" t="s">
        <v>52</v>
      </c>
      <c r="C37" s="57">
        <v>269245</v>
      </c>
      <c r="D37" s="57">
        <v>164042</v>
      </c>
      <c r="E37" s="57">
        <v>199743</v>
      </c>
      <c r="F37" s="57">
        <v>304918</v>
      </c>
      <c r="G37" s="56">
        <f t="shared" si="11"/>
        <v>937948</v>
      </c>
      <c r="H37" s="8">
        <f>'2022'!I36</f>
        <v>44.473619999999997</v>
      </c>
      <c r="I37" s="8">
        <f t="shared" si="12"/>
        <v>46.23077</v>
      </c>
      <c r="J37" s="8">
        <f>'2022'!K36</f>
        <v>2.8780000000000001</v>
      </c>
      <c r="K37" s="8">
        <f t="shared" si="13"/>
        <v>2.9917099999999999</v>
      </c>
      <c r="L37" s="8">
        <f t="shared" si="1"/>
        <v>11199412.706899999</v>
      </c>
      <c r="M37" s="8">
        <f t="shared" si="2"/>
        <v>6823428.6960399998</v>
      </c>
      <c r="N37" s="8">
        <f t="shared" si="3"/>
        <v>8636699.5615800004</v>
      </c>
      <c r="O37" s="8">
        <f t="shared" si="4"/>
        <v>13184367.697080001</v>
      </c>
      <c r="P37" s="8">
        <f t="shared" si="5"/>
        <v>39843908.661600001</v>
      </c>
      <c r="Q37" s="8"/>
      <c r="R37" s="46"/>
      <c r="S37" s="34"/>
    </row>
    <row r="38" spans="1:197" ht="42.75" customHeight="1">
      <c r="A38" s="104"/>
      <c r="B38" s="65" t="s">
        <v>53</v>
      </c>
      <c r="C38" s="57">
        <v>557225</v>
      </c>
      <c r="D38" s="57">
        <v>211239</v>
      </c>
      <c r="E38" s="57">
        <v>224043</v>
      </c>
      <c r="F38" s="57">
        <v>802413</v>
      </c>
      <c r="G38" s="56">
        <f t="shared" si="11"/>
        <v>1794920</v>
      </c>
      <c r="H38" s="8">
        <f>'2022'!I37</f>
        <v>44.473619999999997</v>
      </c>
      <c r="I38" s="8">
        <f t="shared" si="12"/>
        <v>46.23077</v>
      </c>
      <c r="J38" s="8">
        <f>'2022'!K37</f>
        <v>2.8780000000000001</v>
      </c>
      <c r="K38" s="8">
        <f t="shared" si="13"/>
        <v>2.9917099999999999</v>
      </c>
      <c r="L38" s="8">
        <f t="shared" si="1"/>
        <v>23178119.354499999</v>
      </c>
      <c r="M38" s="8">
        <f t="shared" si="2"/>
        <v>8786617.173179999</v>
      </c>
      <c r="N38" s="8">
        <f t="shared" si="3"/>
        <v>9687408.7195800003</v>
      </c>
      <c r="O38" s="8">
        <f t="shared" si="4"/>
        <v>34695583.851780005</v>
      </c>
      <c r="P38" s="8">
        <f t="shared" si="5"/>
        <v>76347729.099040002</v>
      </c>
      <c r="Q38" s="8"/>
      <c r="R38" s="46"/>
      <c r="S38" s="34"/>
    </row>
    <row r="39" spans="1:197" ht="48" customHeight="1">
      <c r="A39" s="104"/>
      <c r="B39" s="65" t="s">
        <v>54</v>
      </c>
      <c r="C39" s="57">
        <v>853183</v>
      </c>
      <c r="D39" s="57">
        <v>346421</v>
      </c>
      <c r="E39" s="57">
        <v>521510</v>
      </c>
      <c r="F39" s="57">
        <v>1274910</v>
      </c>
      <c r="G39" s="56">
        <f t="shared" si="11"/>
        <v>2996024</v>
      </c>
      <c r="H39" s="8">
        <f>'2022'!I38</f>
        <v>44.473619999999997</v>
      </c>
      <c r="I39" s="8">
        <f t="shared" si="12"/>
        <v>46.23077</v>
      </c>
      <c r="J39" s="8">
        <f>'2022'!K38</f>
        <v>2.8780000000000001</v>
      </c>
      <c r="K39" s="8">
        <f t="shared" si="13"/>
        <v>2.9917099999999999</v>
      </c>
      <c r="L39" s="8">
        <f t="shared" si="1"/>
        <v>35488675.858459994</v>
      </c>
      <c r="M39" s="8">
        <f t="shared" si="2"/>
        <v>14409596.27602</v>
      </c>
      <c r="N39" s="8">
        <f t="shared" si="3"/>
        <v>22549602.180600002</v>
      </c>
      <c r="O39" s="8">
        <f t="shared" si="4"/>
        <v>55125909.9846</v>
      </c>
      <c r="P39" s="8">
        <f t="shared" si="5"/>
        <v>127573784.29967999</v>
      </c>
      <c r="Q39" s="8"/>
      <c r="R39" s="46"/>
      <c r="S39" s="34"/>
    </row>
    <row r="40" spans="1:197" s="48" customFormat="1" ht="26.25" customHeight="1">
      <c r="A40" s="105"/>
      <c r="B40" s="64" t="s">
        <v>6</v>
      </c>
      <c r="C40" s="59">
        <f>SUM(C29:C39)</f>
        <v>3376200</v>
      </c>
      <c r="D40" s="59">
        <f t="shared" ref="D40:P40" si="14">SUM(D29:D39)</f>
        <v>1830795</v>
      </c>
      <c r="E40" s="59">
        <f t="shared" si="14"/>
        <v>1535810</v>
      </c>
      <c r="F40" s="59">
        <f t="shared" si="14"/>
        <v>3519810</v>
      </c>
      <c r="G40" s="59">
        <f t="shared" si="14"/>
        <v>10262615</v>
      </c>
      <c r="H40" s="59"/>
      <c r="I40" s="59"/>
      <c r="J40" s="59"/>
      <c r="K40" s="59"/>
      <c r="L40" s="59">
        <f t="shared" si="14"/>
        <v>140666473.66617998</v>
      </c>
      <c r="M40" s="59">
        <f t="shared" si="14"/>
        <v>76307806.426599994</v>
      </c>
      <c r="N40" s="59">
        <f t="shared" si="14"/>
        <v>66473484.517490007</v>
      </c>
      <c r="O40" s="59">
        <f t="shared" si="14"/>
        <v>152376231.32398</v>
      </c>
      <c r="P40" s="59">
        <f t="shared" si="14"/>
        <v>435823995.93425</v>
      </c>
      <c r="Q40" s="34">
        <f>'2022'!R39</f>
        <v>48861558.462949991</v>
      </c>
      <c r="R40" s="46">
        <f>O40/3</f>
        <v>50792077.107993335</v>
      </c>
      <c r="S40" s="34">
        <f>P40+Q40-R40</f>
        <v>433893477.28920662</v>
      </c>
      <c r="T40" s="47"/>
      <c r="U40" s="47" t="e">
        <f>ROUND(SUMPRODUCT(#REF!,#REF!)/SUM(#REF!),2)</f>
        <v>#REF!</v>
      </c>
      <c r="V40" s="47" t="e">
        <f>ROUND(SUMPRODUCT(#REF!,#REF!)/SUM(#REF!),2)</f>
        <v>#REF!</v>
      </c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</row>
    <row r="41" spans="1:197" ht="30" customHeight="1" outlineLevel="1">
      <c r="A41" s="96" t="s">
        <v>11</v>
      </c>
      <c r="B41" s="63" t="s">
        <v>24</v>
      </c>
      <c r="C41" s="56">
        <v>46171</v>
      </c>
      <c r="D41" s="56">
        <v>42628</v>
      </c>
      <c r="E41" s="56">
        <v>47932</v>
      </c>
      <c r="F41" s="56">
        <v>45132</v>
      </c>
      <c r="G41" s="56">
        <f>C41+D41+E41+F41</f>
        <v>181863</v>
      </c>
      <c r="H41" s="8">
        <f>ROUND('2022'!H40*1.03951,2)</f>
        <v>81.53</v>
      </c>
      <c r="I41" s="8">
        <f>ROUND('2022'!I40*1.03951,2)</f>
        <v>81.53</v>
      </c>
      <c r="J41" s="8">
        <f>'2022'!K40</f>
        <v>3.2</v>
      </c>
      <c r="K41" s="8">
        <f>ROUND(J41*1.03951,2)</f>
        <v>3.33</v>
      </c>
      <c r="L41" s="8">
        <f t="shared" si="1"/>
        <v>3616574.4299999997</v>
      </c>
      <c r="M41" s="8">
        <f t="shared" si="2"/>
        <v>3339051.2399999998</v>
      </c>
      <c r="N41" s="8">
        <f t="shared" si="3"/>
        <v>3748282.4</v>
      </c>
      <c r="O41" s="8">
        <f t="shared" si="4"/>
        <v>3529322.4</v>
      </c>
      <c r="P41" s="8">
        <f t="shared" si="5"/>
        <v>14233230.470000001</v>
      </c>
      <c r="Q41" s="8"/>
      <c r="R41" s="46"/>
      <c r="S41" s="34"/>
    </row>
    <row r="42" spans="1:197" ht="30" customHeight="1" outlineLevel="1">
      <c r="A42" s="96"/>
      <c r="B42" s="63" t="s">
        <v>26</v>
      </c>
      <c r="C42" s="56">
        <v>1916</v>
      </c>
      <c r="D42" s="56">
        <v>2237</v>
      </c>
      <c r="E42" s="56">
        <v>2209</v>
      </c>
      <c r="F42" s="56">
        <v>2174</v>
      </c>
      <c r="G42" s="56">
        <f>C42+D42+E42+F42</f>
        <v>8536</v>
      </c>
      <c r="H42" s="8">
        <f>ROUND('2022'!H41*1.03951,2)</f>
        <v>81.53</v>
      </c>
      <c r="I42" s="8">
        <f>ROUND('2022'!I41*1.03951,2)</f>
        <v>81.53</v>
      </c>
      <c r="J42" s="8">
        <f>'2022'!K41</f>
        <v>3.69</v>
      </c>
      <c r="K42" s="8">
        <f>ROUND(J42*1.03951,2)</f>
        <v>3.84</v>
      </c>
      <c r="L42" s="8">
        <f t="shared" si="1"/>
        <v>149141.44</v>
      </c>
      <c r="M42" s="8">
        <f t="shared" si="2"/>
        <v>174128.08000000002</v>
      </c>
      <c r="N42" s="8">
        <f t="shared" si="3"/>
        <v>171617.21</v>
      </c>
      <c r="O42" s="8">
        <f t="shared" si="4"/>
        <v>168898.06</v>
      </c>
      <c r="P42" s="8">
        <f t="shared" si="5"/>
        <v>663784.79</v>
      </c>
      <c r="Q42" s="8" t="s">
        <v>10</v>
      </c>
      <c r="R42" s="46"/>
      <c r="S42" s="34"/>
    </row>
    <row r="43" spans="1:197" ht="30" customHeight="1" outlineLevel="1">
      <c r="A43" s="96"/>
      <c r="B43" s="66" t="s">
        <v>13</v>
      </c>
      <c r="C43" s="56">
        <v>463</v>
      </c>
      <c r="D43" s="56">
        <v>574</v>
      </c>
      <c r="E43" s="56">
        <v>600</v>
      </c>
      <c r="F43" s="56">
        <v>663</v>
      </c>
      <c r="G43" s="56">
        <f>C43+D43+E43+F43</f>
        <v>2300</v>
      </c>
      <c r="H43" s="8">
        <f>ROUND('2022'!H42*1.03951,2)</f>
        <v>81.53</v>
      </c>
      <c r="I43" s="8">
        <f>ROUND('2022'!I42*1.03951,2)</f>
        <v>81.53</v>
      </c>
      <c r="J43" s="8">
        <f>'2022'!K42</f>
        <v>1.43</v>
      </c>
      <c r="K43" s="8">
        <f>ROUND(J43*1.15804,2)</f>
        <v>1.66</v>
      </c>
      <c r="L43" s="8">
        <f t="shared" si="1"/>
        <v>37086.299999999996</v>
      </c>
      <c r="M43" s="8">
        <f t="shared" si="2"/>
        <v>45977.399999999994</v>
      </c>
      <c r="N43" s="8">
        <f t="shared" si="3"/>
        <v>47922</v>
      </c>
      <c r="O43" s="8">
        <f t="shared" si="4"/>
        <v>52953.810000000005</v>
      </c>
      <c r="P43" s="8">
        <f t="shared" si="5"/>
        <v>183939.50999999998</v>
      </c>
      <c r="Q43" s="8"/>
      <c r="R43" s="46"/>
      <c r="S43" s="34"/>
    </row>
    <row r="44" spans="1:197" ht="38.25" customHeight="1" outlineLevel="1">
      <c r="A44" s="96"/>
      <c r="B44" s="63" t="s">
        <v>18</v>
      </c>
      <c r="C44" s="56">
        <v>59536</v>
      </c>
      <c r="D44" s="56">
        <v>33445.67</v>
      </c>
      <c r="E44" s="56">
        <v>25994</v>
      </c>
      <c r="F44" s="56">
        <v>44068.33</v>
      </c>
      <c r="G44" s="56">
        <f>C44+D44+E44+F44</f>
        <v>163044</v>
      </c>
      <c r="H44" s="8">
        <f>ROUND('2022'!H43*1.03951,2)</f>
        <v>81.53</v>
      </c>
      <c r="I44" s="8">
        <f>ROUND('2022'!I43*1.03951,2)</f>
        <v>81.53</v>
      </c>
      <c r="J44" s="8">
        <f>'2022'!K43</f>
        <v>7.95</v>
      </c>
      <c r="K44" s="8">
        <v>7.95</v>
      </c>
      <c r="L44" s="8">
        <f t="shared" si="1"/>
        <v>4380658.88</v>
      </c>
      <c r="M44" s="8">
        <f t="shared" si="2"/>
        <v>2460932.3986</v>
      </c>
      <c r="N44" s="8">
        <f t="shared" si="3"/>
        <v>1912638.52</v>
      </c>
      <c r="O44" s="8">
        <f t="shared" si="4"/>
        <v>3242547.7214000002</v>
      </c>
      <c r="P44" s="8">
        <f t="shared" si="5"/>
        <v>11996777.52</v>
      </c>
      <c r="Q44" s="8" t="s">
        <v>10</v>
      </c>
      <c r="R44" s="46"/>
      <c r="S44" s="34"/>
    </row>
    <row r="45" spans="1:197" s="21" customFormat="1" ht="30" customHeight="1" outlineLevel="1">
      <c r="A45" s="96"/>
      <c r="B45" s="67" t="s">
        <v>6</v>
      </c>
      <c r="C45" s="59">
        <f>SUM(C41:C44)</f>
        <v>108086</v>
      </c>
      <c r="D45" s="59">
        <f t="shared" ref="D45:P45" si="15">SUM(D41:D44)</f>
        <v>78884.67</v>
      </c>
      <c r="E45" s="59">
        <f t="shared" si="15"/>
        <v>76735</v>
      </c>
      <c r="F45" s="59">
        <f t="shared" si="15"/>
        <v>92037.33</v>
      </c>
      <c r="G45" s="59">
        <f t="shared" si="15"/>
        <v>355743</v>
      </c>
      <c r="H45" s="59"/>
      <c r="I45" s="59"/>
      <c r="J45" s="59"/>
      <c r="K45" s="59"/>
      <c r="L45" s="59">
        <f t="shared" si="15"/>
        <v>8183461.0499999989</v>
      </c>
      <c r="M45" s="59">
        <f t="shared" si="15"/>
        <v>6020089.1185999997</v>
      </c>
      <c r="N45" s="59">
        <f t="shared" si="15"/>
        <v>5880460.1299999999</v>
      </c>
      <c r="O45" s="59">
        <f t="shared" si="15"/>
        <v>6993721.9913999997</v>
      </c>
      <c r="P45" s="59">
        <f t="shared" si="15"/>
        <v>27077732.289999999</v>
      </c>
      <c r="Q45" s="34">
        <f>'2022'!R44</f>
        <v>2238250.6728000003</v>
      </c>
      <c r="R45" s="46">
        <f t="shared" ref="R45" si="16">O45/3</f>
        <v>2331240.6637999997</v>
      </c>
      <c r="S45" s="34">
        <f>P45+Q45-R45</f>
        <v>26984742.298999999</v>
      </c>
    </row>
    <row r="46" spans="1:197" s="79" customFormat="1" ht="39" customHeight="1" outlineLevel="1">
      <c r="A46" s="73"/>
      <c r="B46" s="74" t="s">
        <v>7</v>
      </c>
      <c r="C46" s="75">
        <f>C17+C45+C28+C40</f>
        <v>20915527</v>
      </c>
      <c r="D46" s="75">
        <f>D17+D45+D28+D40</f>
        <v>16430850.67</v>
      </c>
      <c r="E46" s="75">
        <f>E17+E45+E28+E40</f>
        <v>15320782</v>
      </c>
      <c r="F46" s="75">
        <f>F17+F45+F28+F40</f>
        <v>19765421.329999998</v>
      </c>
      <c r="G46" s="75">
        <f>G17+G45+G28+G40</f>
        <v>72432581</v>
      </c>
      <c r="H46" s="75"/>
      <c r="I46" s="75"/>
      <c r="J46" s="75"/>
      <c r="K46" s="75"/>
      <c r="L46" s="75">
        <f t="shared" ref="L46:O46" si="17">L17+L45+L28+L40</f>
        <v>556795309.14617991</v>
      </c>
      <c r="M46" s="75">
        <f t="shared" si="17"/>
        <v>394616665.4752</v>
      </c>
      <c r="N46" s="75">
        <f t="shared" si="17"/>
        <v>358888352.37748998</v>
      </c>
      <c r="O46" s="75">
        <f t="shared" si="17"/>
        <v>526683134.13538003</v>
      </c>
      <c r="P46" s="75">
        <f>P17+P45+P28+P40</f>
        <v>1836983461.1342497</v>
      </c>
      <c r="Q46" s="76">
        <f>Q17+Q45+Q28+Q40</f>
        <v>168896503.33574998</v>
      </c>
      <c r="R46" s="77">
        <f>R45+R17+R28+R40</f>
        <v>175561044.71179333</v>
      </c>
      <c r="S46" s="78">
        <f>S45+S17+S28+S40</f>
        <v>1830318919.7582068</v>
      </c>
    </row>
    <row r="47" spans="1:197" s="6" customFormat="1" ht="15" customHeight="1" outlineLevel="1">
      <c r="A47" s="11"/>
      <c r="B47" s="12"/>
      <c r="C47" s="13"/>
      <c r="D47" s="13"/>
      <c r="E47" s="13"/>
      <c r="F47" s="13"/>
      <c r="G47" s="13"/>
      <c r="H47" s="14"/>
      <c r="I47" s="14"/>
      <c r="J47" s="15"/>
      <c r="K47" s="15"/>
      <c r="L47" s="16"/>
      <c r="M47" s="16"/>
      <c r="N47" s="16"/>
      <c r="O47" s="16"/>
      <c r="P47" s="16"/>
      <c r="Q47" s="16"/>
      <c r="R47" s="17"/>
      <c r="S47" s="18"/>
    </row>
    <row r="48" spans="1:197" ht="15" hidden="1" customHeight="1"/>
    <row r="49" spans="1:19" s="23" customFormat="1" ht="21.75" hidden="1" customHeight="1">
      <c r="A49" s="35"/>
      <c r="B49" s="36"/>
      <c r="C49" s="22"/>
      <c r="D49" s="22"/>
      <c r="E49" s="22"/>
      <c r="I49" s="24"/>
      <c r="J49" s="24"/>
      <c r="K49" s="24"/>
      <c r="L49" s="22"/>
      <c r="M49" s="22"/>
      <c r="N49" s="22"/>
      <c r="O49" s="22"/>
      <c r="P49" s="22"/>
      <c r="Q49" s="22"/>
      <c r="R49" s="37"/>
      <c r="S49" s="54"/>
    </row>
    <row r="50" spans="1:19" ht="15" hidden="1" customHeight="1">
      <c r="A50" s="10"/>
      <c r="P50" s="53"/>
      <c r="S50" s="52"/>
    </row>
    <row r="51" spans="1:19" s="23" customFormat="1" ht="15" hidden="1" customHeight="1">
      <c r="A51" s="35"/>
      <c r="B51" s="36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53"/>
      <c r="Q51" s="1"/>
      <c r="R51" s="68"/>
      <c r="S51" s="38"/>
    </row>
    <row r="52" spans="1:19" s="23" customFormat="1" ht="21" hidden="1" customHeight="1">
      <c r="A52" s="35"/>
      <c r="B52" s="36"/>
      <c r="C52" s="22"/>
      <c r="D52" s="22"/>
      <c r="E52" s="22"/>
      <c r="F52" s="80"/>
      <c r="H52" s="112" t="s">
        <v>22</v>
      </c>
      <c r="I52" s="112"/>
      <c r="J52" s="112"/>
      <c r="K52" s="25"/>
      <c r="L52" s="26"/>
      <c r="M52" s="26"/>
      <c r="N52" s="26"/>
      <c r="O52" s="26"/>
      <c r="P52" s="26"/>
      <c r="Q52" s="26"/>
      <c r="R52" s="39"/>
      <c r="S52" s="37"/>
    </row>
    <row r="53" spans="1:19" s="23" customFormat="1" ht="22.5" hidden="1" customHeight="1">
      <c r="F53" s="30"/>
      <c r="G53" s="30"/>
      <c r="H53" s="30"/>
      <c r="I53" s="82"/>
      <c r="J53" s="82"/>
      <c r="L53" s="29"/>
      <c r="M53" s="29"/>
    </row>
    <row r="54" spans="1:19" s="23" customFormat="1" ht="42.75" hidden="1" customHeight="1">
      <c r="A54" s="22"/>
      <c r="B54" s="40"/>
      <c r="H54" s="112" t="s">
        <v>65</v>
      </c>
      <c r="I54" s="112"/>
      <c r="J54" s="112"/>
      <c r="K54" s="27"/>
      <c r="L54" s="81"/>
      <c r="M54" s="28" t="s">
        <v>35</v>
      </c>
      <c r="N54" s="41"/>
      <c r="R54" s="22"/>
      <c r="S54" s="22"/>
    </row>
    <row r="55" spans="1:19" s="23" customFormat="1" ht="60.75" hidden="1" customHeight="1">
      <c r="A55" s="22"/>
      <c r="B55" s="40"/>
      <c r="H55" s="85"/>
      <c r="I55" s="85"/>
      <c r="J55" s="85"/>
      <c r="K55" s="88"/>
      <c r="L55" s="29"/>
      <c r="M55" s="28"/>
      <c r="N55" s="41"/>
      <c r="R55" s="22"/>
      <c r="S55" s="22"/>
    </row>
    <row r="56" spans="1:19" s="23" customFormat="1" ht="26.25" hidden="1" customHeight="1">
      <c r="F56" s="51"/>
      <c r="H56" s="113" t="s">
        <v>23</v>
      </c>
      <c r="I56" s="113"/>
      <c r="J56" s="113"/>
      <c r="K56" s="32"/>
      <c r="L56" s="81"/>
      <c r="M56" s="33" t="s">
        <v>21</v>
      </c>
    </row>
    <row r="57" spans="1:19" s="23" customFormat="1" ht="60" hidden="1" customHeight="1">
      <c r="F57" s="86"/>
      <c r="H57" s="86"/>
      <c r="I57" s="83"/>
      <c r="J57" s="84"/>
      <c r="K57" s="50"/>
      <c r="M57" s="33"/>
    </row>
    <row r="58" spans="1:19" s="30" customFormat="1" ht="15" hidden="1" customHeight="1">
      <c r="A58" s="42"/>
      <c r="B58" s="43"/>
      <c r="I58" s="29"/>
      <c r="J58" s="29"/>
      <c r="K58" s="23"/>
      <c r="L58" s="31"/>
      <c r="M58" s="31"/>
      <c r="N58" s="44"/>
      <c r="R58" s="42"/>
      <c r="S58" s="42"/>
    </row>
    <row r="59" spans="1:19" s="30" customFormat="1" ht="15" hidden="1" customHeight="1">
      <c r="I59" s="29"/>
      <c r="J59" s="29"/>
      <c r="K59" s="23"/>
      <c r="L59" s="31"/>
      <c r="M59" s="31"/>
      <c r="N59" s="44"/>
    </row>
    <row r="60" spans="1:19" ht="15" hidden="1" customHeight="1">
      <c r="C60" s="52"/>
      <c r="D60" s="52"/>
      <c r="E60" s="52"/>
      <c r="F60" s="52"/>
      <c r="G60" s="7"/>
      <c r="H60" s="7"/>
    </row>
    <row r="61" spans="1:19" ht="15" hidden="1" customHeight="1">
      <c r="C61" s="52"/>
      <c r="D61" s="52"/>
      <c r="E61" s="52"/>
      <c r="F61" s="52"/>
      <c r="G61" s="7"/>
      <c r="H61" s="7"/>
    </row>
    <row r="62" spans="1:19" s="23" customFormat="1" ht="15" hidden="1" customHeight="1">
      <c r="B62" s="1"/>
      <c r="C62" s="52"/>
      <c r="D62" s="52"/>
      <c r="E62" s="52"/>
      <c r="F62" s="52"/>
      <c r="G62" s="7"/>
    </row>
    <row r="63" spans="1:19" s="23" customFormat="1" ht="15" hidden="1" customHeight="1">
      <c r="B63" s="1"/>
      <c r="C63" s="52"/>
      <c r="D63" s="52"/>
      <c r="E63" s="52"/>
      <c r="F63" s="52"/>
      <c r="G63" s="7"/>
    </row>
    <row r="64" spans="1:19" ht="15" hidden="1" customHeight="1">
      <c r="A64" s="10"/>
      <c r="C64" s="52"/>
      <c r="D64" s="52"/>
      <c r="E64" s="52"/>
      <c r="F64" s="52"/>
      <c r="G64" s="7"/>
    </row>
    <row r="65" spans="3:7" hidden="1">
      <c r="C65" s="52"/>
      <c r="D65" s="52"/>
      <c r="E65" s="52"/>
      <c r="F65" s="52"/>
      <c r="G65" s="7"/>
    </row>
    <row r="66" spans="3:7" hidden="1">
      <c r="C66" s="52"/>
      <c r="D66" s="52"/>
      <c r="E66" s="52"/>
      <c r="F66" s="52"/>
      <c r="G66" s="7"/>
    </row>
    <row r="67" spans="3:7" hidden="1">
      <c r="C67" s="52"/>
      <c r="D67" s="52"/>
      <c r="E67" s="52"/>
      <c r="F67" s="52"/>
      <c r="G67" s="7"/>
    </row>
    <row r="68" spans="3:7" hidden="1">
      <c r="C68" s="52"/>
      <c r="D68" s="52"/>
      <c r="E68" s="52"/>
      <c r="F68" s="52"/>
      <c r="G68" s="7"/>
    </row>
    <row r="69" spans="3:7" hidden="1">
      <c r="C69" s="52"/>
      <c r="D69" s="52"/>
      <c r="E69" s="52"/>
      <c r="F69" s="52"/>
      <c r="G69" s="7"/>
    </row>
    <row r="70" spans="3:7" hidden="1">
      <c r="C70" s="52"/>
      <c r="D70" s="52"/>
      <c r="E70" s="52"/>
      <c r="F70" s="52"/>
      <c r="G70" s="7"/>
    </row>
    <row r="71" spans="3:7" hidden="1">
      <c r="C71" s="52"/>
      <c r="D71" s="52"/>
      <c r="E71" s="52"/>
      <c r="F71" s="52"/>
      <c r="G71" s="7"/>
    </row>
    <row r="72" spans="3:7" hidden="1">
      <c r="C72" s="52"/>
      <c r="D72" s="52"/>
      <c r="E72" s="52"/>
    </row>
    <row r="73" spans="3:7" hidden="1">
      <c r="C73" s="52"/>
      <c r="D73" s="52"/>
      <c r="E73" s="52"/>
    </row>
    <row r="74" spans="3:7" hidden="1">
      <c r="C74" s="52"/>
      <c r="D74" s="52"/>
      <c r="E74" s="52"/>
    </row>
    <row r="75" spans="3:7" hidden="1">
      <c r="C75" s="52"/>
      <c r="D75" s="52"/>
      <c r="E75" s="52"/>
    </row>
    <row r="76" spans="3:7" hidden="1">
      <c r="C76" s="52"/>
      <c r="D76" s="52"/>
      <c r="E76" s="52"/>
    </row>
    <row r="77" spans="3:7" hidden="1">
      <c r="C77" s="52"/>
      <c r="D77" s="52"/>
      <c r="E77" s="52"/>
    </row>
    <row r="78" spans="3:7" hidden="1"/>
    <row r="79" spans="3:7" hidden="1"/>
    <row r="80" spans="3:7" hidden="1"/>
    <row r="81" spans="2:2" hidden="1"/>
    <row r="82" spans="2:2" hidden="1"/>
    <row r="83" spans="2:2" hidden="1"/>
    <row r="84" spans="2:2" hidden="1"/>
    <row r="85" spans="2:2" hidden="1"/>
    <row r="86" spans="2:2" hidden="1"/>
    <row r="87" spans="2:2" ht="15.75" hidden="1">
      <c r="B87" s="9"/>
    </row>
    <row r="88" spans="2:2" ht="15.75" hidden="1">
      <c r="B88" s="9"/>
    </row>
    <row r="89" spans="2:2" hidden="1"/>
    <row r="90" spans="2:2" hidden="1"/>
    <row r="91" spans="2:2" hidden="1"/>
    <row r="92" spans="2:2" hidden="1"/>
    <row r="93" spans="2:2" hidden="1"/>
    <row r="94" spans="2:2" hidden="1"/>
    <row r="95" spans="2:2" hidden="1"/>
    <row r="96" spans="2:2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</sheetData>
  <mergeCells count="17">
    <mergeCell ref="A5:A6"/>
    <mergeCell ref="B5:B6"/>
    <mergeCell ref="A18:A28"/>
    <mergeCell ref="A29:A40"/>
    <mergeCell ref="C5:G5"/>
    <mergeCell ref="A41:A45"/>
    <mergeCell ref="H52:J52"/>
    <mergeCell ref="H54:J54"/>
    <mergeCell ref="H56:J56"/>
    <mergeCell ref="A7:A17"/>
    <mergeCell ref="L5:P5"/>
    <mergeCell ref="Q5:Q6"/>
    <mergeCell ref="R5:R6"/>
    <mergeCell ref="S5:S6"/>
    <mergeCell ref="C3:K3"/>
    <mergeCell ref="H5:I5"/>
    <mergeCell ref="J5:K5"/>
  </mergeCells>
  <pageMargins left="0.11811023622047245" right="0.11811023622047245" top="0.55118110236220474" bottom="0.15748031496062992" header="0.31496062992125984" footer="0.31496062992125984"/>
  <pageSetup paperSize="9" scale="54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2021</vt:lpstr>
      <vt:lpstr>2022</vt:lpstr>
      <vt:lpstr>2023</vt:lpstr>
      <vt:lpstr>'2021'!Заголовки_для_печати</vt:lpstr>
      <vt:lpstr>'2022'!Заголовки_для_печати</vt:lpstr>
      <vt:lpstr>'2023'!Заголовки_для_печати</vt:lpstr>
      <vt:lpstr>'2021'!Область_печати</vt:lpstr>
      <vt:lpstr>'2022'!Область_печати</vt:lpstr>
      <vt:lpstr>'2023'!Область_печати</vt:lpstr>
    </vt:vector>
  </TitlesOfParts>
  <Company>Минестерство энергетики и связи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lubovtsova</dc:creator>
  <cp:lastModifiedBy>minfin user</cp:lastModifiedBy>
  <cp:lastPrinted>2020-10-10T08:51:01Z</cp:lastPrinted>
  <dcterms:created xsi:type="dcterms:W3CDTF">2016-01-14T10:10:37Z</dcterms:created>
  <dcterms:modified xsi:type="dcterms:W3CDTF">2020-10-10T08:51:03Z</dcterms:modified>
</cp:coreProperties>
</file>