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965" windowWidth="11355" windowHeight="6525" tabRatio="599"/>
  </bookViews>
  <sheets>
    <sheet name="2021" sheetId="7" r:id="rId1"/>
    <sheet name="2022" sheetId="10" r:id="rId2"/>
    <sheet name="2023" sheetId="11" r:id="rId3"/>
  </sheets>
  <externalReferences>
    <externalReference r:id="rId4"/>
    <externalReference r:id="rId5"/>
  </externalReferences>
  <definedNames>
    <definedName name="_xlnm.Print_Titles" localSheetId="0">'2021'!$A:$B,'2021'!$5:$6</definedName>
    <definedName name="_xlnm.Print_Titles" localSheetId="1">'2022'!$A:$B,'2022'!$4:$5</definedName>
    <definedName name="_xlnm.Print_Titles" localSheetId="2">'2023'!$A:$B,'2023'!$4:$5</definedName>
    <definedName name="_xlnm.Print_Area" localSheetId="0">'2021'!$A$1:$S$28</definedName>
    <definedName name="_xlnm.Print_Area" localSheetId="1">'2022'!$A$1:$S$27</definedName>
    <definedName name="_xlnm.Print_Area" localSheetId="2">'2023'!$A$1:$S$45</definedName>
  </definedNames>
  <calcPr calcId="125725" fullCalcOnLoad="1"/>
</workbook>
</file>

<file path=xl/calcChain.xml><?xml version="1.0" encoding="utf-8"?>
<calcChain xmlns="http://schemas.openxmlformats.org/spreadsheetml/2006/main">
  <c r="K21" i="7"/>
  <c r="J20" i="10"/>
  <c r="K20" s="1"/>
  <c r="J20" i="11" s="1"/>
  <c r="K20" s="1"/>
  <c r="K11" i="7"/>
  <c r="J25"/>
  <c r="K25"/>
  <c r="J24" i="10"/>
  <c r="K24" s="1"/>
  <c r="J24" i="7"/>
  <c r="K24"/>
  <c r="J23"/>
  <c r="J21"/>
  <c r="J20"/>
  <c r="K20"/>
  <c r="J19" i="10"/>
  <c r="K19" s="1"/>
  <c r="J19" i="11" s="1"/>
  <c r="K19" s="1"/>
  <c r="J19" i="7"/>
  <c r="K19"/>
  <c r="J18" i="10"/>
  <c r="K18" s="1"/>
  <c r="J17" i="7"/>
  <c r="K17"/>
  <c r="J16" i="10"/>
  <c r="K16"/>
  <c r="J16" i="11" s="1"/>
  <c r="J16" i="7"/>
  <c r="J15"/>
  <c r="K15"/>
  <c r="J14" i="10"/>
  <c r="K14" s="1"/>
  <c r="J13" i="7"/>
  <c r="K13"/>
  <c r="J12" i="10"/>
  <c r="K12" s="1"/>
  <c r="J12" i="7"/>
  <c r="K12"/>
  <c r="J11" i="10"/>
  <c r="J11" i="7"/>
  <c r="J9"/>
  <c r="K9"/>
  <c r="J8" i="10"/>
  <c r="K8" s="1"/>
  <c r="J8" i="7"/>
  <c r="K8"/>
  <c r="J7" i="10"/>
  <c r="J7" i="7"/>
  <c r="K7"/>
  <c r="J6" i="10"/>
  <c r="K6" s="1"/>
  <c r="J6" i="11" s="1"/>
  <c r="K6" s="1"/>
  <c r="F25"/>
  <c r="E25"/>
  <c r="G25"/>
  <c r="D25"/>
  <c r="C25"/>
  <c r="G24"/>
  <c r="G23"/>
  <c r="G22"/>
  <c r="D21"/>
  <c r="C21"/>
  <c r="G20"/>
  <c r="G19"/>
  <c r="F18"/>
  <c r="F21"/>
  <c r="E18"/>
  <c r="F17"/>
  <c r="E17"/>
  <c r="D17"/>
  <c r="G17"/>
  <c r="C17"/>
  <c r="G16"/>
  <c r="G15"/>
  <c r="G14"/>
  <c r="D13"/>
  <c r="C13"/>
  <c r="G12"/>
  <c r="G11"/>
  <c r="F10"/>
  <c r="F13"/>
  <c r="E10"/>
  <c r="E9"/>
  <c r="E26" s="1"/>
  <c r="D9"/>
  <c r="C8"/>
  <c r="G7"/>
  <c r="F6"/>
  <c r="E6"/>
  <c r="G6"/>
  <c r="F25" i="10"/>
  <c r="E25"/>
  <c r="G25"/>
  <c r="D25"/>
  <c r="C25"/>
  <c r="G24"/>
  <c r="G23"/>
  <c r="G22"/>
  <c r="D21"/>
  <c r="C21"/>
  <c r="G21"/>
  <c r="G20"/>
  <c r="G19"/>
  <c r="F18"/>
  <c r="F21"/>
  <c r="E18"/>
  <c r="E21"/>
  <c r="F17"/>
  <c r="E17"/>
  <c r="G17"/>
  <c r="D17"/>
  <c r="C17"/>
  <c r="G16"/>
  <c r="G15"/>
  <c r="G14"/>
  <c r="D13"/>
  <c r="C13"/>
  <c r="G12"/>
  <c r="G11"/>
  <c r="F10"/>
  <c r="E10"/>
  <c r="G10"/>
  <c r="D9"/>
  <c r="D26"/>
  <c r="C8"/>
  <c r="C9"/>
  <c r="G7"/>
  <c r="F6"/>
  <c r="E6"/>
  <c r="Q26" i="7"/>
  <c r="Q22"/>
  <c r="Q18"/>
  <c r="Q14"/>
  <c r="Q10"/>
  <c r="F9" i="11"/>
  <c r="F26"/>
  <c r="G18"/>
  <c r="G8" i="10"/>
  <c r="G18"/>
  <c r="G8" i="7"/>
  <c r="G16"/>
  <c r="C9"/>
  <c r="G9"/>
  <c r="F7"/>
  <c r="F10"/>
  <c r="E7"/>
  <c r="G7"/>
  <c r="F18"/>
  <c r="E18"/>
  <c r="D10"/>
  <c r="D27"/>
  <c r="D14"/>
  <c r="D18"/>
  <c r="D22"/>
  <c r="D26"/>
  <c r="F26"/>
  <c r="E26"/>
  <c r="F19"/>
  <c r="G19"/>
  <c r="E19"/>
  <c r="G12"/>
  <c r="G13"/>
  <c r="G15"/>
  <c r="G17"/>
  <c r="G23"/>
  <c r="G24"/>
  <c r="G25"/>
  <c r="F11"/>
  <c r="F14"/>
  <c r="E11"/>
  <c r="E14"/>
  <c r="G14"/>
  <c r="G20"/>
  <c r="G21"/>
  <c r="C18"/>
  <c r="G18"/>
  <c r="C14"/>
  <c r="C26"/>
  <c r="C22"/>
  <c r="C10"/>
  <c r="C27"/>
  <c r="G8" i="11"/>
  <c r="C9"/>
  <c r="G10"/>
  <c r="E13"/>
  <c r="D26"/>
  <c r="G6" i="10"/>
  <c r="E9"/>
  <c r="G13" i="11"/>
  <c r="E13" i="10"/>
  <c r="G13"/>
  <c r="E22" i="7"/>
  <c r="F9" i="10"/>
  <c r="C26"/>
  <c r="G9"/>
  <c r="G26"/>
  <c r="F13"/>
  <c r="E21" i="11"/>
  <c r="G21"/>
  <c r="E26" i="10"/>
  <c r="C26" i="11"/>
  <c r="F26" i="10"/>
  <c r="H23" i="7"/>
  <c r="I23" s="1"/>
  <c r="H7"/>
  <c r="L7" s="1"/>
  <c r="H8"/>
  <c r="M8"/>
  <c r="H11"/>
  <c r="H12" s="1"/>
  <c r="H15"/>
  <c r="I15"/>
  <c r="H19"/>
  <c r="L19" s="1"/>
  <c r="I19"/>
  <c r="N19"/>
  <c r="H20"/>
  <c r="M20" s="1"/>
  <c r="H16"/>
  <c r="L16"/>
  <c r="L15"/>
  <c r="I11"/>
  <c r="O11" s="1"/>
  <c r="L11"/>
  <c r="G11"/>
  <c r="H10" i="10"/>
  <c r="I10" s="1"/>
  <c r="I12" i="7"/>
  <c r="H11" i="10"/>
  <c r="I11"/>
  <c r="G26" i="7"/>
  <c r="I8"/>
  <c r="M7"/>
  <c r="Q27"/>
  <c r="M11"/>
  <c r="M15"/>
  <c r="I7"/>
  <c r="N7" s="1"/>
  <c r="N10" s="1"/>
  <c r="H17"/>
  <c r="L17"/>
  <c r="L8"/>
  <c r="H24"/>
  <c r="L23"/>
  <c r="M16"/>
  <c r="H21"/>
  <c r="J23" i="10"/>
  <c r="K23"/>
  <c r="J23" i="11" s="1"/>
  <c r="K23" s="1"/>
  <c r="H11"/>
  <c r="I11" s="1"/>
  <c r="I16" i="7"/>
  <c r="O15"/>
  <c r="H14" i="10"/>
  <c r="N15" i="7"/>
  <c r="K11" i="10"/>
  <c r="O11" s="1"/>
  <c r="M11"/>
  <c r="K7"/>
  <c r="J7" i="11" s="1"/>
  <c r="L18" i="7"/>
  <c r="O12"/>
  <c r="L11" i="10"/>
  <c r="I13" i="7"/>
  <c r="O7"/>
  <c r="M17"/>
  <c r="M19"/>
  <c r="L24"/>
  <c r="F22"/>
  <c r="G22"/>
  <c r="E10"/>
  <c r="E27"/>
  <c r="J10" i="10"/>
  <c r="K16" i="7"/>
  <c r="J15" i="10"/>
  <c r="K15" s="1"/>
  <c r="N12" i="7"/>
  <c r="G10"/>
  <c r="G27"/>
  <c r="H9"/>
  <c r="H18" i="10"/>
  <c r="O19" i="7"/>
  <c r="L20"/>
  <c r="M23"/>
  <c r="K23"/>
  <c r="O8"/>
  <c r="I20"/>
  <c r="N11"/>
  <c r="H6" i="10"/>
  <c r="M6" s="1"/>
  <c r="I9" i="7"/>
  <c r="H7" i="10"/>
  <c r="N8" i="7"/>
  <c r="M18"/>
  <c r="H25"/>
  <c r="M24"/>
  <c r="M21"/>
  <c r="L21"/>
  <c r="J22" i="10"/>
  <c r="K22" s="1"/>
  <c r="I17" i="7"/>
  <c r="N16"/>
  <c r="P16" s="1"/>
  <c r="P18" s="1"/>
  <c r="S18" s="1"/>
  <c r="O16"/>
  <c r="H15" i="10"/>
  <c r="L9" i="7"/>
  <c r="M9"/>
  <c r="M10"/>
  <c r="M14" i="10"/>
  <c r="L14"/>
  <c r="I14"/>
  <c r="P15" i="7"/>
  <c r="N20"/>
  <c r="O20"/>
  <c r="I21"/>
  <c r="H19" i="10"/>
  <c r="I19" s="1"/>
  <c r="I18"/>
  <c r="H18" i="11" s="1"/>
  <c r="M18" i="10"/>
  <c r="L18"/>
  <c r="M10"/>
  <c r="K10"/>
  <c r="L10"/>
  <c r="O13" i="7"/>
  <c r="H12" i="10"/>
  <c r="N13" i="7"/>
  <c r="N14" s="1"/>
  <c r="F27"/>
  <c r="N11" i="10"/>
  <c r="O9" i="7"/>
  <c r="O10" s="1"/>
  <c r="H8" i="10"/>
  <c r="M8" s="1"/>
  <c r="N9" i="7"/>
  <c r="L7" i="10"/>
  <c r="M7"/>
  <c r="I7"/>
  <c r="N7" s="1"/>
  <c r="L25" i="7"/>
  <c r="L26" s="1"/>
  <c r="M25"/>
  <c r="P8"/>
  <c r="M26"/>
  <c r="H14" i="11"/>
  <c r="N17" i="7"/>
  <c r="P17"/>
  <c r="H16" i="10"/>
  <c r="O17" i="7"/>
  <c r="O18"/>
  <c r="J10" i="11"/>
  <c r="P9" i="7"/>
  <c r="O21"/>
  <c r="O22"/>
  <c r="R22" s="1"/>
  <c r="Q21" i="10" s="1"/>
  <c r="N21" i="7"/>
  <c r="H20" i="10"/>
  <c r="I20" s="1"/>
  <c r="I12"/>
  <c r="O12" s="1"/>
  <c r="M12"/>
  <c r="L12"/>
  <c r="L19"/>
  <c r="M19"/>
  <c r="N18" i="7"/>
  <c r="L15" i="10"/>
  <c r="M15"/>
  <c r="M17" s="1"/>
  <c r="I15"/>
  <c r="H7" i="11"/>
  <c r="I7" s="1"/>
  <c r="O7" i="10"/>
  <c r="L8"/>
  <c r="I8"/>
  <c r="R18" i="7"/>
  <c r="I14" i="11"/>
  <c r="H12"/>
  <c r="M20" i="10"/>
  <c r="M21" s="1"/>
  <c r="L20"/>
  <c r="K10" i="11"/>
  <c r="L16" i="10"/>
  <c r="L17" s="1"/>
  <c r="I16"/>
  <c r="O16" s="1"/>
  <c r="M16"/>
  <c r="H15" i="11"/>
  <c r="I15" s="1"/>
  <c r="P21" i="7"/>
  <c r="N22"/>
  <c r="L13" i="10"/>
  <c r="H8" i="11"/>
  <c r="L21" i="10"/>
  <c r="Q17"/>
  <c r="I12" i="11"/>
  <c r="P11" i="7" l="1"/>
  <c r="O14"/>
  <c r="R14" s="1"/>
  <c r="Q13" i="10" s="1"/>
  <c r="J14" i="11"/>
  <c r="O14" i="10"/>
  <c r="L22" i="7"/>
  <c r="P19"/>
  <c r="R10"/>
  <c r="M12"/>
  <c r="L12"/>
  <c r="H13"/>
  <c r="I24"/>
  <c r="H22" i="10"/>
  <c r="N23" i="7"/>
  <c r="O23"/>
  <c r="J8" i="11"/>
  <c r="K8" s="1"/>
  <c r="N8" i="10"/>
  <c r="O8"/>
  <c r="P7" i="7"/>
  <c r="P10" s="1"/>
  <c r="L10"/>
  <c r="M22"/>
  <c r="P20"/>
  <c r="I8" i="11"/>
  <c r="O8" s="1"/>
  <c r="P8" i="10"/>
  <c r="M14" i="11"/>
  <c r="M13" i="10"/>
  <c r="M9"/>
  <c r="P11"/>
  <c r="H16" i="11"/>
  <c r="I16" s="1"/>
  <c r="N14" i="10"/>
  <c r="I6"/>
  <c r="G9" i="11"/>
  <c r="G26" s="1"/>
  <c r="P7" i="10"/>
  <c r="N20"/>
  <c r="P20" s="1"/>
  <c r="O20"/>
  <c r="H20" i="11"/>
  <c r="N19" i="10"/>
  <c r="P19" s="1"/>
  <c r="H19" i="11"/>
  <c r="O19" i="10"/>
  <c r="J15" i="11"/>
  <c r="N15" i="10"/>
  <c r="O15"/>
  <c r="O17" s="1"/>
  <c r="R17" s="1"/>
  <c r="Q17" i="11" s="1"/>
  <c r="H10"/>
  <c r="N10" i="10"/>
  <c r="O10"/>
  <c r="O13" s="1"/>
  <c r="R13" s="1"/>
  <c r="Q13" i="11" s="1"/>
  <c r="L16"/>
  <c r="K16"/>
  <c r="O16" s="1"/>
  <c r="M16"/>
  <c r="J18"/>
  <c r="K18" s="1"/>
  <c r="N18" i="10"/>
  <c r="O18"/>
  <c r="O21" s="1"/>
  <c r="R21" s="1"/>
  <c r="Q21" i="11" s="1"/>
  <c r="L18"/>
  <c r="I18"/>
  <c r="L7"/>
  <c r="K7"/>
  <c r="O7" s="1"/>
  <c r="M7"/>
  <c r="J12"/>
  <c r="M12" s="1"/>
  <c r="N12" i="10"/>
  <c r="P12" s="1"/>
  <c r="J24" i="11"/>
  <c r="P14" i="10"/>
  <c r="J22" i="11"/>
  <c r="N8"/>
  <c r="J11"/>
  <c r="N16" i="10"/>
  <c r="P16" s="1"/>
  <c r="L6"/>
  <c r="P23" i="7" l="1"/>
  <c r="P12"/>
  <c r="S10"/>
  <c r="M13"/>
  <c r="L13"/>
  <c r="P13" s="1"/>
  <c r="Q9" i="10"/>
  <c r="P15"/>
  <c r="M8" i="11"/>
  <c r="L8"/>
  <c r="P14" i="7"/>
  <c r="S14" s="1"/>
  <c r="O24"/>
  <c r="I25"/>
  <c r="H23" i="10"/>
  <c r="N24" i="7"/>
  <c r="P24" s="1"/>
  <c r="H6" i="11"/>
  <c r="O6" i="10"/>
  <c r="O9" s="1"/>
  <c r="N6"/>
  <c r="N9" s="1"/>
  <c r="M22"/>
  <c r="I22"/>
  <c r="L22"/>
  <c r="K14" i="11"/>
  <c r="L14"/>
  <c r="P22" i="7"/>
  <c r="S22" s="1"/>
  <c r="M14"/>
  <c r="M27" s="1"/>
  <c r="N16" i="11"/>
  <c r="P16" s="1"/>
  <c r="N7"/>
  <c r="P8"/>
  <c r="L11"/>
  <c r="K11"/>
  <c r="M11"/>
  <c r="K22"/>
  <c r="K24"/>
  <c r="P10" i="10"/>
  <c r="P13" s="1"/>
  <c r="S13" s="1"/>
  <c r="N13"/>
  <c r="L15" i="11"/>
  <c r="K15"/>
  <c r="M15"/>
  <c r="M17" s="1"/>
  <c r="L9" i="10"/>
  <c r="K12" i="11"/>
  <c r="L12"/>
  <c r="O18"/>
  <c r="N18"/>
  <c r="P18" i="10"/>
  <c r="P21" s="1"/>
  <c r="S21" s="1"/>
  <c r="N21"/>
  <c r="L19" i="11"/>
  <c r="M19"/>
  <c r="I19"/>
  <c r="M20"/>
  <c r="I20"/>
  <c r="L20"/>
  <c r="M10"/>
  <c r="L10"/>
  <c r="I10"/>
  <c r="N17" i="10"/>
  <c r="P17"/>
  <c r="S17" s="1"/>
  <c r="P7" i="11"/>
  <c r="M18"/>
  <c r="M21" s="1"/>
  <c r="R9" i="10" l="1"/>
  <c r="H22" i="11"/>
  <c r="O22" i="10"/>
  <c r="N22"/>
  <c r="P22" s="1"/>
  <c r="I6" i="11"/>
  <c r="L6"/>
  <c r="M6"/>
  <c r="M9" s="1"/>
  <c r="L14" i="7"/>
  <c r="L27" s="1"/>
  <c r="N25"/>
  <c r="P25" s="1"/>
  <c r="P26" s="1"/>
  <c r="H24" i="10"/>
  <c r="O25" i="7"/>
  <c r="O26" s="1"/>
  <c r="N14" i="11"/>
  <c r="P14" s="1"/>
  <c r="O14"/>
  <c r="I23" i="10"/>
  <c r="M23"/>
  <c r="L23"/>
  <c r="P6"/>
  <c r="P9" s="1"/>
  <c r="S9" s="1"/>
  <c r="M13" i="11"/>
  <c r="N19"/>
  <c r="O19"/>
  <c r="P19" s="1"/>
  <c r="P18"/>
  <c r="N10"/>
  <c r="P10" s="1"/>
  <c r="O10"/>
  <c r="L17"/>
  <c r="N11"/>
  <c r="O11"/>
  <c r="O12"/>
  <c r="N12"/>
  <c r="O15"/>
  <c r="O17" s="1"/>
  <c r="R17" s="1"/>
  <c r="N15"/>
  <c r="N17" s="1"/>
  <c r="L13"/>
  <c r="O20"/>
  <c r="N20"/>
  <c r="N21" s="1"/>
  <c r="L21"/>
  <c r="P27" i="7" l="1"/>
  <c r="R26"/>
  <c r="O27"/>
  <c r="N6" i="11"/>
  <c r="N9" s="1"/>
  <c r="O6"/>
  <c r="O9" s="1"/>
  <c r="R9" s="1"/>
  <c r="Q9"/>
  <c r="O21"/>
  <c r="R21" s="1"/>
  <c r="N26" i="7"/>
  <c r="N27" s="1"/>
  <c r="L9" i="11"/>
  <c r="I22"/>
  <c r="L22"/>
  <c r="M22"/>
  <c r="O23" i="10"/>
  <c r="P23" s="1"/>
  <c r="N23"/>
  <c r="H23" i="11"/>
  <c r="M24" i="10"/>
  <c r="M25" s="1"/>
  <c r="M26" s="1"/>
  <c r="I24"/>
  <c r="L24"/>
  <c r="L25" s="1"/>
  <c r="L26" s="1"/>
  <c r="P11" i="11"/>
  <c r="P20"/>
  <c r="P21" s="1"/>
  <c r="S21" s="1"/>
  <c r="P12"/>
  <c r="P15"/>
  <c r="P17" s="1"/>
  <c r="S17" s="1"/>
  <c r="N13"/>
  <c r="O13"/>
  <c r="N22" l="1"/>
  <c r="O22"/>
  <c r="Q25" i="10"/>
  <c r="Q26" s="1"/>
  <c r="R27" i="7"/>
  <c r="S26"/>
  <c r="S27" s="1"/>
  <c r="M23" i="11"/>
  <c r="L23"/>
  <c r="I23"/>
  <c r="P6"/>
  <c r="P9" s="1"/>
  <c r="S9" s="1"/>
  <c r="H24"/>
  <c r="N24" i="10"/>
  <c r="O24"/>
  <c r="O25" s="1"/>
  <c r="P13" i="11"/>
  <c r="R13"/>
  <c r="R25" i="10" l="1"/>
  <c r="O26"/>
  <c r="I24" i="11"/>
  <c r="M24"/>
  <c r="M25" s="1"/>
  <c r="M26" s="1"/>
  <c r="L24"/>
  <c r="P24" i="10"/>
  <c r="P25" s="1"/>
  <c r="N25"/>
  <c r="N26" s="1"/>
  <c r="N23" i="11"/>
  <c r="O23"/>
  <c r="P23" s="1"/>
  <c r="P22"/>
  <c r="S13"/>
  <c r="Q25" l="1"/>
  <c r="Q26" s="1"/>
  <c r="R26" i="10"/>
  <c r="S25"/>
  <c r="S26" s="1"/>
  <c r="P26"/>
  <c r="L25" i="11"/>
  <c r="L26" s="1"/>
  <c r="N24"/>
  <c r="N25" s="1"/>
  <c r="N26" s="1"/>
  <c r="O24"/>
  <c r="O25" s="1"/>
  <c r="R25" l="1"/>
  <c r="R26" s="1"/>
  <c r="O26"/>
  <c r="P24"/>
  <c r="P25" s="1"/>
  <c r="S25" l="1"/>
  <c r="S26" s="1"/>
  <c r="P26"/>
</calcChain>
</file>

<file path=xl/sharedStrings.xml><?xml version="1.0" encoding="utf-8"?>
<sst xmlns="http://schemas.openxmlformats.org/spreadsheetml/2006/main" count="160" uniqueCount="39">
  <si>
    <t>Газ, реализуемый в баллонах с места промежуточного хранения (склада)</t>
  </si>
  <si>
    <t>Газ, реализуемый в баллонах, без доставки до потребителя</t>
  </si>
  <si>
    <t>Газ, реализуемый из групповых резервуарных установок</t>
  </si>
  <si>
    <t>Предприятие</t>
  </si>
  <si>
    <t>Итого</t>
  </si>
  <si>
    <t>ОАО "Котласгазсервис"
ИНН 2904001548</t>
  </si>
  <si>
    <t>ОАО "Архангельскоблгаз"
ИНН 2900000543</t>
  </si>
  <si>
    <t>Экономически обоснованные розничные цены на сжиженный газ (без НДС), руб./кг.</t>
  </si>
  <si>
    <t>Розничные цены на сжиженный газ (без НДС), руб./кг.</t>
  </si>
  <si>
    <t>АО "Няндомамежрайгаз"
ИНН 2918000142</t>
  </si>
  <si>
    <t>всего</t>
  </si>
  <si>
    <t>1 полугодие</t>
  </si>
  <si>
    <t xml:space="preserve"> 2 полугодие</t>
  </si>
  <si>
    <t>Руководитель АТиЦ АО</t>
  </si>
  <si>
    <t>Е.А. Попова</t>
  </si>
  <si>
    <t>Д.Н. Поташев</t>
  </si>
  <si>
    <t>1 квартал</t>
  </si>
  <si>
    <t>2 квартал</t>
  </si>
  <si>
    <t>3 квартал</t>
  </si>
  <si>
    <t>4 квартал</t>
  </si>
  <si>
    <t>Плановый расчет
 потребности в средствах субсидии на возмещение недополученных доходов, возникающих в результате государственного регулирования розничных цен на сжиженный газ, реализуемый для бытовых нужд населения 
на 2021 год</t>
  </si>
  <si>
    <t>Потребность в средствах областного бюджета, руб.</t>
  </si>
  <si>
    <t>Плановый объем сжиженного газа, кг.</t>
  </si>
  <si>
    <t>Наименование сжиженного газа</t>
  </si>
  <si>
    <t>Потребность в средствах субсидии с учетом кредиторской задолженности без учета декабря,
 руб.</t>
  </si>
  <si>
    <t>Плановый расчет
 потребности в средствах субсидии на возмещение недополученных доходов, возникающих в результате государственного регулирования розничных цен на сжиженный газ, реализуемый для бытовых нужд населения 
на 2022 год</t>
  </si>
  <si>
    <t>Кредиторская задолженность на 01.01.2022, руб.</t>
  </si>
  <si>
    <t>Всего</t>
  </si>
  <si>
    <t>Кредиторская задолженность на 01.01.2023, руб.</t>
  </si>
  <si>
    <t>Плановый расчет
 потребности в средствах субсидии на возмещение недополученных доходов, возникающих в результате государственного регулирования розничных цен на сжиженный газ, реализуемый для бытовых нужд населения 
на 2023 год</t>
  </si>
  <si>
    <t>Министр ТЭК и ЖКХ АО</t>
  </si>
  <si>
    <t>ООО "Ленскгазэнерго"
ИНН 2915004413</t>
  </si>
  <si>
    <t xml:space="preserve">Декабрь 2021 г., руб. </t>
  </si>
  <si>
    <t xml:space="preserve">Декабрь 2022 г., руб. </t>
  </si>
  <si>
    <t xml:space="preserve">Декабрь 2023 г., руб. </t>
  </si>
  <si>
    <t>Кредиторская задолженность на 01.01.2021, руб.</t>
  </si>
  <si>
    <t>ООО "Комгаз" 
ИНН 2920015788</t>
  </si>
  <si>
    <t xml:space="preserve">                                       Приложение № 15</t>
  </si>
  <si>
    <t xml:space="preserve">                                       к пояснительной записке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</si>
</sst>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71" formatCode="_-* #,##0.00_р_._-;\-* #,##0.00_р_._-;_-* &quot;-&quot;??_р_._-;_-@_-"/>
    <numFmt numFmtId="184" formatCode="#,##0.000"/>
    <numFmt numFmtId="189" formatCode="#,##0.00_ ;\-#,##0.00\ "/>
    <numFmt numFmtId="194" formatCode="#,##0.000_ ;\-#,##0.000\ "/>
    <numFmt numFmtId="200" formatCode="0.0%"/>
  </numFmts>
  <fonts count="4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b/>
      <sz val="8"/>
      <name val="Tahoma"/>
      <family val="2"/>
      <charset val="204"/>
    </font>
    <font>
      <b/>
      <sz val="10.5"/>
      <name val="Tahoma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Tahoma"/>
      <family val="2"/>
      <charset val="204"/>
    </font>
    <font>
      <sz val="18"/>
      <name val="Times New Roman"/>
      <family val="1"/>
      <charset val="204"/>
    </font>
    <font>
      <sz val="18"/>
      <name val="Tahoma"/>
      <family val="2"/>
      <charset val="204"/>
    </font>
    <font>
      <b/>
      <sz val="10.5"/>
      <color rgb="FFFF0000"/>
      <name val="Tahoma"/>
      <family val="2"/>
      <charset val="204"/>
    </font>
    <font>
      <sz val="10.5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ahoma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0" tint="-0.34998626667073579"/>
      <name val="Tahoma"/>
      <family val="2"/>
      <charset val="204"/>
    </font>
    <font>
      <b/>
      <sz val="12"/>
      <color rgb="FF00B050"/>
      <name val="Tahoma"/>
      <family val="2"/>
      <charset val="204"/>
    </font>
    <font>
      <b/>
      <sz val="10.5"/>
      <color rgb="FF00B050"/>
      <name val="Tahoma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00B050"/>
      <name val="Arial Cyr"/>
      <charset val="204"/>
    </font>
    <font>
      <sz val="10"/>
      <color rgb="FF00B050"/>
      <name val="Tahom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20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20" fillId="23" borderId="8" applyNumberFormat="0" applyFont="0" applyAlignment="0" applyProtection="0"/>
    <xf numFmtId="0" fontId="20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20" fillId="23" borderId="8" applyNumberFormat="0" applyFont="0" applyAlignment="0" applyProtection="0"/>
    <xf numFmtId="0" fontId="19" fillId="23" borderId="8" applyNumberFormat="0" applyFont="0" applyAlignment="0" applyProtection="0"/>
    <xf numFmtId="9" fontId="2" fillId="0" borderId="0" applyFon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</cellStyleXfs>
  <cellXfs count="94">
    <xf numFmtId="0" fontId="0" fillId="0" borderId="0" xfId="0"/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/>
    <xf numFmtId="0" fontId="21" fillId="0" borderId="0" xfId="0" applyFont="1" applyFill="1" applyBorder="1" applyAlignment="1">
      <alignment vertical="center" wrapText="1"/>
    </xf>
    <xf numFmtId="0" fontId="19" fillId="0" borderId="0" xfId="0" applyFont="1" applyFill="1"/>
    <xf numFmtId="0" fontId="19" fillId="0" borderId="0" xfId="0" applyFont="1" applyBorder="1"/>
    <xf numFmtId="0" fontId="19" fillId="0" borderId="0" xfId="0" applyFont="1"/>
    <xf numFmtId="0" fontId="21" fillId="0" borderId="0" xfId="0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194" fontId="26" fillId="0" borderId="0" xfId="0" applyNumberFormat="1" applyFont="1" applyFill="1" applyBorder="1" applyAlignment="1">
      <alignment horizontal="center" vertical="center" wrapText="1"/>
    </xf>
    <xf numFmtId="189" fontId="32" fillId="0" borderId="0" xfId="0" applyNumberFormat="1" applyFont="1" applyFill="1" applyBorder="1" applyAlignment="1">
      <alignment horizontal="center" vertical="center" wrapText="1"/>
    </xf>
    <xf numFmtId="189" fontId="26" fillId="0" borderId="0" xfId="0" applyNumberFormat="1" applyFont="1" applyFill="1" applyBorder="1" applyAlignment="1">
      <alignment horizontal="center" vertical="center" wrapText="1"/>
    </xf>
    <xf numFmtId="4" fontId="26" fillId="0" borderId="0" xfId="239" applyNumberFormat="1" applyFont="1" applyFill="1" applyBorder="1" applyAlignment="1">
      <alignment horizontal="center" vertical="center" wrapText="1"/>
    </xf>
    <xf numFmtId="171" fontId="26" fillId="0" borderId="0" xfId="239" applyFont="1" applyFill="1" applyBorder="1" applyAlignment="1">
      <alignment horizontal="center" vertical="center" wrapText="1"/>
    </xf>
    <xf numFmtId="189" fontId="26" fillId="0" borderId="0" xfId="0" applyNumberFormat="1" applyFont="1" applyFill="1" applyBorder="1" applyAlignment="1">
      <alignment horizontal="center" vertical="center" wrapText="1" shrinkToFit="1"/>
    </xf>
    <xf numFmtId="0" fontId="33" fillId="0" borderId="0" xfId="0" applyFont="1" applyFill="1"/>
    <xf numFmtId="0" fontId="0" fillId="0" borderId="0" xfId="0" applyFill="1"/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wrapText="1"/>
    </xf>
    <xf numFmtId="0" fontId="27" fillId="0" borderId="0" xfId="0" applyFont="1" applyFill="1"/>
    <xf numFmtId="0" fontId="21" fillId="0" borderId="0" xfId="0" applyFont="1" applyFill="1" applyBorder="1" applyAlignment="1">
      <alignment horizontal="center" vertical="center"/>
    </xf>
    <xf numFmtId="171" fontId="21" fillId="0" borderId="0" xfId="239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wrapText="1"/>
    </xf>
    <xf numFmtId="0" fontId="27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34" fillId="0" borderId="0" xfId="0" applyFont="1" applyFill="1" applyAlignment="1">
      <alignment horizontal="left"/>
    </xf>
    <xf numFmtId="0" fontId="35" fillId="0" borderId="0" xfId="0" applyFont="1" applyFill="1"/>
    <xf numFmtId="0" fontId="36" fillId="0" borderId="0" xfId="0" applyFont="1" applyFill="1"/>
    <xf numFmtId="0" fontId="29" fillId="0" borderId="10" xfId="160" applyFont="1" applyFill="1" applyBorder="1"/>
    <xf numFmtId="0" fontId="28" fillId="0" borderId="10" xfId="163" applyFont="1" applyFill="1" applyBorder="1"/>
    <xf numFmtId="0" fontId="28" fillId="0" borderId="0" xfId="160" applyFont="1" applyFill="1"/>
    <xf numFmtId="0" fontId="37" fillId="0" borderId="0" xfId="0" applyFont="1" applyFill="1" applyBorder="1"/>
    <xf numFmtId="0" fontId="37" fillId="0" borderId="0" xfId="0" applyFont="1" applyFill="1"/>
    <xf numFmtId="0" fontId="38" fillId="0" borderId="0" xfId="0" applyFont="1" applyFill="1" applyBorder="1" applyAlignment="1">
      <alignment horizontal="left"/>
    </xf>
    <xf numFmtId="0" fontId="39" fillId="0" borderId="10" xfId="0" applyFont="1" applyFill="1" applyBorder="1"/>
    <xf numFmtId="0" fontId="40" fillId="0" borderId="0" xfId="0" applyFont="1" applyFill="1"/>
    <xf numFmtId="0" fontId="41" fillId="0" borderId="0" xfId="0" applyFont="1" applyFill="1"/>
    <xf numFmtId="0" fontId="30" fillId="0" borderId="0" xfId="0" applyFont="1" applyFill="1"/>
    <xf numFmtId="0" fontId="28" fillId="0" borderId="0" xfId="163" applyFont="1" applyFill="1"/>
    <xf numFmtId="0" fontId="31" fillId="0" borderId="0" xfId="0" applyFont="1" applyFill="1"/>
    <xf numFmtId="0" fontId="21" fillId="24" borderId="0" xfId="0" applyFont="1" applyFill="1" applyBorder="1" applyAlignment="1">
      <alignment vertical="center" wrapText="1"/>
    </xf>
    <xf numFmtId="189" fontId="32" fillId="24" borderId="0" xfId="0" applyNumberFormat="1" applyFont="1" applyFill="1" applyBorder="1" applyAlignment="1">
      <alignment horizontal="center" vertical="center" wrapText="1" shrinkToFit="1"/>
    </xf>
    <xf numFmtId="0" fontId="0" fillId="24" borderId="0" xfId="0" applyFill="1"/>
    <xf numFmtId="0" fontId="28" fillId="24" borderId="0" xfId="160" applyFont="1" applyFill="1" applyAlignment="1">
      <alignment horizontal="left" wrapText="1"/>
    </xf>
    <xf numFmtId="0" fontId="37" fillId="24" borderId="0" xfId="0" applyFont="1" applyFill="1"/>
    <xf numFmtId="0" fontId="19" fillId="24" borderId="0" xfId="0" applyFont="1" applyFill="1"/>
    <xf numFmtId="0" fontId="24" fillId="0" borderId="11" xfId="161" applyFont="1" applyFill="1" applyBorder="1" applyAlignment="1">
      <alignment horizontal="center" vertical="center" wrapText="1" shrinkToFit="1"/>
    </xf>
    <xf numFmtId="184" fontId="24" fillId="0" borderId="11" xfId="161" applyNumberFormat="1" applyFont="1" applyFill="1" applyBorder="1" applyAlignment="1">
      <alignment horizontal="center" vertical="center" wrapText="1" shrinkToFit="1"/>
    </xf>
    <xf numFmtId="4" fontId="24" fillId="0" borderId="11" xfId="161" applyNumberFormat="1" applyFont="1" applyFill="1" applyBorder="1" applyAlignment="1">
      <alignment horizontal="center" vertical="center" wrapText="1" shrinkToFit="1"/>
    </xf>
    <xf numFmtId="2" fontId="42" fillId="0" borderId="11" xfId="161" applyNumberFormat="1" applyFont="1" applyFill="1" applyBorder="1" applyAlignment="1">
      <alignment horizontal="center" vertical="center" wrapText="1" shrinkToFit="1"/>
    </xf>
    <xf numFmtId="4" fontId="24" fillId="0" borderId="11" xfId="158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 wrapText="1"/>
    </xf>
    <xf numFmtId="194" fontId="44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/>
    <xf numFmtId="0" fontId="47" fillId="0" borderId="0" xfId="0" applyFont="1" applyFill="1"/>
    <xf numFmtId="0" fontId="21" fillId="0" borderId="11" xfId="0" applyFont="1" applyFill="1" applyBorder="1" applyAlignment="1">
      <alignment horizontal="center" vertical="center"/>
    </xf>
    <xf numFmtId="184" fontId="21" fillId="0" borderId="11" xfId="158" applyNumberFormat="1" applyFont="1" applyFill="1" applyBorder="1" applyAlignment="1">
      <alignment horizontal="center" vertical="center" wrapText="1"/>
    </xf>
    <xf numFmtId="4" fontId="21" fillId="0" borderId="11" xfId="161" applyNumberFormat="1" applyFont="1" applyFill="1" applyBorder="1" applyAlignment="1">
      <alignment horizontal="center" vertical="center" wrapText="1" shrinkToFit="1"/>
    </xf>
    <xf numFmtId="0" fontId="25" fillId="0" borderId="0" xfId="0" applyFont="1" applyFill="1"/>
    <xf numFmtId="0" fontId="25" fillId="0" borderId="0" xfId="0" applyFont="1"/>
    <xf numFmtId="184" fontId="21" fillId="25" borderId="11" xfId="163" applyNumberFormat="1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184" fontId="21" fillId="25" borderId="12" xfId="163" applyNumberFormat="1" applyFont="1" applyFill="1" applyBorder="1" applyAlignment="1">
      <alignment horizontal="center" vertical="center" wrapText="1"/>
    </xf>
    <xf numFmtId="184" fontId="21" fillId="26" borderId="11" xfId="0" applyNumberFormat="1" applyFont="1" applyFill="1" applyBorder="1" applyAlignment="1">
      <alignment horizontal="center" vertical="center" wrapText="1"/>
    </xf>
    <xf numFmtId="4" fontId="24" fillId="0" borderId="13" xfId="158" applyNumberFormat="1" applyFont="1" applyFill="1" applyBorder="1" applyAlignment="1">
      <alignment horizontal="center" vertical="center" wrapText="1"/>
    </xf>
    <xf numFmtId="4" fontId="21" fillId="0" borderId="13" xfId="158" applyNumberFormat="1" applyFont="1" applyFill="1" applyBorder="1" applyAlignment="1">
      <alignment horizontal="center" vertical="center" wrapText="1"/>
    </xf>
    <xf numFmtId="4" fontId="21" fillId="0" borderId="11" xfId="158" applyNumberFormat="1" applyFont="1" applyFill="1" applyBorder="1" applyAlignment="1">
      <alignment horizontal="center" vertical="center" wrapText="1"/>
    </xf>
    <xf numFmtId="2" fontId="21" fillId="0" borderId="11" xfId="161" applyNumberFormat="1" applyFont="1" applyFill="1" applyBorder="1" applyAlignment="1">
      <alignment horizontal="center" vertical="center" wrapText="1" shrinkToFit="1"/>
    </xf>
    <xf numFmtId="184" fontId="21" fillId="0" borderId="12" xfId="158" applyNumberFormat="1" applyFont="1" applyFill="1" applyBorder="1" applyAlignment="1">
      <alignment horizontal="center" vertical="center" wrapText="1"/>
    </xf>
    <xf numFmtId="4" fontId="21" fillId="26" borderId="11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37" fillId="2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4" borderId="0" xfId="0" applyFill="1" applyAlignment="1">
      <alignment horizontal="center"/>
    </xf>
    <xf numFmtId="2" fontId="24" fillId="0" borderId="11" xfId="161" applyNumberFormat="1" applyFont="1" applyFill="1" applyBorder="1" applyAlignment="1">
      <alignment horizontal="center" vertical="center" wrapText="1" shrinkToFit="1"/>
    </xf>
    <xf numFmtId="184" fontId="24" fillId="0" borderId="13" xfId="158" applyNumberFormat="1" applyFont="1" applyFill="1" applyBorder="1" applyAlignment="1">
      <alignment horizontal="center" vertical="center" wrapText="1"/>
    </xf>
    <xf numFmtId="200" fontId="25" fillId="0" borderId="0" xfId="228" applyNumberFormat="1" applyFont="1" applyFill="1"/>
    <xf numFmtId="43" fontId="22" fillId="0" borderId="0" xfId="0" applyNumberFormat="1" applyFont="1" applyFill="1"/>
    <xf numFmtId="0" fontId="21" fillId="0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1" fillId="0" borderId="11" xfId="158" applyFont="1" applyFill="1" applyBorder="1" applyAlignment="1">
      <alignment horizontal="center" vertical="center" wrapText="1"/>
    </xf>
    <xf numFmtId="0" fontId="28" fillId="0" borderId="0" xfId="160" applyFont="1" applyFill="1" applyAlignment="1">
      <alignment horizontal="left" wrapText="1"/>
    </xf>
    <xf numFmtId="0" fontId="21" fillId="26" borderId="14" xfId="0" applyFont="1" applyFill="1" applyBorder="1" applyAlignment="1">
      <alignment horizontal="center" vertical="center"/>
    </xf>
    <xf numFmtId="0" fontId="21" fillId="2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28" fillId="0" borderId="0" xfId="160" applyFont="1" applyFill="1" applyAlignment="1">
      <alignment horizontal="center" wrapText="1"/>
    </xf>
  </cellXfs>
  <cellStyles count="245">
    <cellStyle name="20% - Акцент1 2" xfId="1"/>
    <cellStyle name="20% - Акцент1 2 2" xfId="2"/>
    <cellStyle name="20% - Акцент1 3" xfId="3"/>
    <cellStyle name="20% - Акцент1 3 2" xfId="4"/>
    <cellStyle name="20% - Акцент2 2" xfId="5"/>
    <cellStyle name="20% - Акцент2 2 2" xfId="6"/>
    <cellStyle name="20% - Акцент2 3" xfId="7"/>
    <cellStyle name="20% - Акцент2 3 2" xfId="8"/>
    <cellStyle name="20% - Акцент3 2" xfId="9"/>
    <cellStyle name="20% - Акцент3 2 2" xfId="10"/>
    <cellStyle name="20% - Акцент3 3" xfId="11"/>
    <cellStyle name="20% - Акцент3 3 2" xfId="12"/>
    <cellStyle name="20% - Акцент4 2" xfId="13"/>
    <cellStyle name="20% - Акцент4 2 2" xfId="14"/>
    <cellStyle name="20% - Акцент4 3" xfId="15"/>
    <cellStyle name="20% - Акцент4 3 2" xfId="16"/>
    <cellStyle name="20% - Акцент5 2" xfId="17"/>
    <cellStyle name="20% - Акцент5 2 2" xfId="18"/>
    <cellStyle name="20% - Акцент5 3" xfId="19"/>
    <cellStyle name="20% - Акцент5 3 2" xfId="20"/>
    <cellStyle name="20% - Акцент6 2" xfId="21"/>
    <cellStyle name="20% - Акцент6 2 2" xfId="22"/>
    <cellStyle name="20% - Акцент6 3" xfId="23"/>
    <cellStyle name="20% - Акцент6 3 2" xfId="24"/>
    <cellStyle name="40% - Акцент1 2" xfId="25"/>
    <cellStyle name="40% - Акцент1 2 2" xfId="26"/>
    <cellStyle name="40% - Акцент1 3" xfId="27"/>
    <cellStyle name="40% - Акцент1 3 2" xfId="28"/>
    <cellStyle name="40% - Акцент2 2" xfId="29"/>
    <cellStyle name="40% - Акцент2 2 2" xfId="30"/>
    <cellStyle name="40% - Акцент2 3" xfId="31"/>
    <cellStyle name="40% - Акцент2 3 2" xfId="32"/>
    <cellStyle name="40% - Акцент3 2" xfId="33"/>
    <cellStyle name="40% - Акцент3 2 2" xfId="34"/>
    <cellStyle name="40% - Акцент3 3" xfId="35"/>
    <cellStyle name="40% - Акцент3 3 2" xfId="36"/>
    <cellStyle name="40% - Акцент4 2" xfId="37"/>
    <cellStyle name="40% - Акцент4 2 2" xfId="38"/>
    <cellStyle name="40% - Акцент4 3" xfId="39"/>
    <cellStyle name="40% - Акцент4 3 2" xfId="40"/>
    <cellStyle name="40% - Акцент5 2" xfId="41"/>
    <cellStyle name="40% - Акцент5 2 2" xfId="42"/>
    <cellStyle name="40% - Акцент5 3" xfId="43"/>
    <cellStyle name="40% - Акцент5 3 2" xfId="44"/>
    <cellStyle name="40% - Акцент6 2" xfId="45"/>
    <cellStyle name="40% - Акцент6 2 2" xfId="46"/>
    <cellStyle name="40% - Акцент6 3" xfId="47"/>
    <cellStyle name="40% - Акцент6 3 2" xfId="48"/>
    <cellStyle name="60% - Акцент1 2" xfId="49"/>
    <cellStyle name="60% - Акцент1 2 2" xfId="50"/>
    <cellStyle name="60% - Акцент1 3" xfId="51"/>
    <cellStyle name="60% - Акцент1 3 2" xfId="52"/>
    <cellStyle name="60% - Акцент2 2" xfId="53"/>
    <cellStyle name="60% - Акцент2 2 2" xfId="54"/>
    <cellStyle name="60% - Акцент2 3" xfId="55"/>
    <cellStyle name="60% - Акцент2 3 2" xfId="56"/>
    <cellStyle name="60% - Акцент3 2" xfId="57"/>
    <cellStyle name="60% - Акцент3 2 2" xfId="58"/>
    <cellStyle name="60% - Акцент3 3" xfId="59"/>
    <cellStyle name="60% - Акцент3 3 2" xfId="60"/>
    <cellStyle name="60% - Акцент4 2" xfId="61"/>
    <cellStyle name="60% - Акцент4 2 2" xfId="62"/>
    <cellStyle name="60% - Акцент4 3" xfId="63"/>
    <cellStyle name="60% - Акцент4 3 2" xfId="64"/>
    <cellStyle name="60% - Акцент5 2" xfId="65"/>
    <cellStyle name="60% - Акцент5 2 2" xfId="66"/>
    <cellStyle name="60% - Акцент5 3" xfId="67"/>
    <cellStyle name="60% - Акцент5 3 2" xfId="68"/>
    <cellStyle name="60% - Акцент6 2" xfId="69"/>
    <cellStyle name="60% - Акцент6 2 2" xfId="70"/>
    <cellStyle name="60% - Акцент6 3" xfId="71"/>
    <cellStyle name="60% - Акцент6 3 2" xfId="72"/>
    <cellStyle name="Акцент1 2" xfId="73"/>
    <cellStyle name="Акцент1 2 2" xfId="74"/>
    <cellStyle name="Акцент1 3" xfId="75"/>
    <cellStyle name="Акцент1 3 2" xfId="76"/>
    <cellStyle name="Акцент1 4" xfId="77"/>
    <cellStyle name="Акцент2 2" xfId="78"/>
    <cellStyle name="Акцент2 2 2" xfId="79"/>
    <cellStyle name="Акцент2 3" xfId="80"/>
    <cellStyle name="Акцент2 3 2" xfId="81"/>
    <cellStyle name="Акцент2 4" xfId="82"/>
    <cellStyle name="Акцент3 2" xfId="83"/>
    <cellStyle name="Акцент3 2 2" xfId="84"/>
    <cellStyle name="Акцент3 3" xfId="85"/>
    <cellStyle name="Акцент3 3 2" xfId="86"/>
    <cellStyle name="Акцент3 4" xfId="87"/>
    <cellStyle name="Акцент4 2" xfId="88"/>
    <cellStyle name="Акцент4 2 2" xfId="89"/>
    <cellStyle name="Акцент4 3" xfId="90"/>
    <cellStyle name="Акцент4 3 2" xfId="91"/>
    <cellStyle name="Акцент4 4" xfId="92"/>
    <cellStyle name="Акцент5 2" xfId="93"/>
    <cellStyle name="Акцент5 2 2" xfId="94"/>
    <cellStyle name="Акцент5 3" xfId="95"/>
    <cellStyle name="Акцент5 3 2" xfId="96"/>
    <cellStyle name="Акцент5 4" xfId="97"/>
    <cellStyle name="Акцент6 2" xfId="98"/>
    <cellStyle name="Акцент6 2 2" xfId="99"/>
    <cellStyle name="Акцент6 3" xfId="100"/>
    <cellStyle name="Акцент6 3 2" xfId="101"/>
    <cellStyle name="Акцент6 4" xfId="102"/>
    <cellStyle name="Ввод  2" xfId="103"/>
    <cellStyle name="Ввод  2 2" xfId="104"/>
    <cellStyle name="Ввод  3" xfId="105"/>
    <cellStyle name="Ввод  3 2" xfId="106"/>
    <cellStyle name="Ввод  4" xfId="107"/>
    <cellStyle name="Вывод 2" xfId="108"/>
    <cellStyle name="Вывод 2 2" xfId="109"/>
    <cellStyle name="Вывод 3" xfId="110"/>
    <cellStyle name="Вывод 3 2" xfId="111"/>
    <cellStyle name="Вывод 4" xfId="112"/>
    <cellStyle name="Вычисление 2" xfId="113"/>
    <cellStyle name="Вычисление 2 2" xfId="114"/>
    <cellStyle name="Вычисление 3" xfId="115"/>
    <cellStyle name="Вычисление 3 2" xfId="116"/>
    <cellStyle name="Вычисление 4" xfId="117"/>
    <cellStyle name="Заголовок 1 2" xfId="118"/>
    <cellStyle name="Заголовок 1 2 2" xfId="119"/>
    <cellStyle name="Заголовок 1 3" xfId="120"/>
    <cellStyle name="Заголовок 1 3 2" xfId="121"/>
    <cellStyle name="Заголовок 1 4" xfId="122"/>
    <cellStyle name="Заголовок 2 2" xfId="123"/>
    <cellStyle name="Заголовок 2 2 2" xfId="124"/>
    <cellStyle name="Заголовок 2 3" xfId="125"/>
    <cellStyle name="Заголовок 2 3 2" xfId="126"/>
    <cellStyle name="Заголовок 2 4" xfId="127"/>
    <cellStyle name="Заголовок 3 2" xfId="128"/>
    <cellStyle name="Заголовок 3 2 2" xfId="129"/>
    <cellStyle name="Заголовок 3 3" xfId="130"/>
    <cellStyle name="Заголовок 3 3 2" xfId="131"/>
    <cellStyle name="Заголовок 3 4" xfId="132"/>
    <cellStyle name="Заголовок 4 2" xfId="133"/>
    <cellStyle name="Заголовок 4 2 2" xfId="134"/>
    <cellStyle name="Заголовок 4 3" xfId="135"/>
    <cellStyle name="Заголовок 4 3 2" xfId="136"/>
    <cellStyle name="Заголовок 4 4" xfId="137"/>
    <cellStyle name="Итог 2" xfId="138"/>
    <cellStyle name="Итог 2 2" xfId="139"/>
    <cellStyle name="Итог 3" xfId="140"/>
    <cellStyle name="Итог 3 2" xfId="141"/>
    <cellStyle name="Итог 4" xfId="142"/>
    <cellStyle name="Контрольная ячейка 2" xfId="143"/>
    <cellStyle name="Контрольная ячейка 2 2" xfId="144"/>
    <cellStyle name="Контрольная ячейка 3" xfId="145"/>
    <cellStyle name="Контрольная ячейка 3 2" xfId="146"/>
    <cellStyle name="Контрольная ячейка 4" xfId="147"/>
    <cellStyle name="Название 2" xfId="148"/>
    <cellStyle name="Название 2 2" xfId="149"/>
    <cellStyle name="Название 3" xfId="150"/>
    <cellStyle name="Название 3 2" xfId="151"/>
    <cellStyle name="Название 4" xfId="152"/>
    <cellStyle name="Нейтральный 2" xfId="153"/>
    <cellStyle name="Нейтральный 2 2" xfId="154"/>
    <cellStyle name="Нейтральный 3" xfId="155"/>
    <cellStyle name="Нейтральный 3 2" xfId="156"/>
    <cellStyle name="Нейтральный 4" xfId="157"/>
    <cellStyle name="Обычный" xfId="0" builtinId="0"/>
    <cellStyle name="Обычный 10" xfId="158"/>
    <cellStyle name="Обычный 10 2" xfId="159"/>
    <cellStyle name="Обычный 10 2 4 2" xfId="160"/>
    <cellStyle name="Обычный 11" xfId="161"/>
    <cellStyle name="Обычный 12" xfId="162"/>
    <cellStyle name="Обычный 2" xfId="163"/>
    <cellStyle name="Обычный 2 2" xfId="164"/>
    <cellStyle name="Обычный 2 3" xfId="165"/>
    <cellStyle name="Обычный 2 4" xfId="166"/>
    <cellStyle name="Обычный 2 5" xfId="167"/>
    <cellStyle name="Обычный 3" xfId="168"/>
    <cellStyle name="Обычный 3 2" xfId="169"/>
    <cellStyle name="Обычный 3 3" xfId="170"/>
    <cellStyle name="Обычный 3 4" xfId="171"/>
    <cellStyle name="Обычный 3 5" xfId="172"/>
    <cellStyle name="Обычный 3 6" xfId="173"/>
    <cellStyle name="Обычный 3 7" xfId="174"/>
    <cellStyle name="Обычный 4" xfId="175"/>
    <cellStyle name="Обычный 4 2" xfId="176"/>
    <cellStyle name="Обычный 4 3" xfId="177"/>
    <cellStyle name="Обычный 4 4" xfId="178"/>
    <cellStyle name="Обычный 4 5" xfId="179"/>
    <cellStyle name="Обычный 4 6" xfId="180"/>
    <cellStyle name="Обычный 4 6 2" xfId="181"/>
    <cellStyle name="Обычный 4 6 2 2" xfId="182"/>
    <cellStyle name="Обычный 4 6 3" xfId="183"/>
    <cellStyle name="Обычный 4 7" xfId="184"/>
    <cellStyle name="Обычный 4 7 2" xfId="185"/>
    <cellStyle name="Обычный 4 7 2 2" xfId="186"/>
    <cellStyle name="Обычный 4 7 3" xfId="187"/>
    <cellStyle name="Обычный 4 8" xfId="188"/>
    <cellStyle name="Обычный 4 8 2" xfId="189"/>
    <cellStyle name="Обычный 4 8 2 2" xfId="190"/>
    <cellStyle name="Обычный 4 8 3" xfId="191"/>
    <cellStyle name="Обычный 4 9" xfId="192"/>
    <cellStyle name="Обычный 4 9 2" xfId="193"/>
    <cellStyle name="Обычный 4 9 2 2" xfId="194"/>
    <cellStyle name="Обычный 4 9 3" xfId="195"/>
    <cellStyle name="Обычный 5" xfId="196"/>
    <cellStyle name="Обычный 6" xfId="197"/>
    <cellStyle name="Обычный 7" xfId="198"/>
    <cellStyle name="Обычный 7 2" xfId="199"/>
    <cellStyle name="Обычный 7 2 2" xfId="200"/>
    <cellStyle name="Обычный 7 3" xfId="201"/>
    <cellStyle name="Обычный 8" xfId="202"/>
    <cellStyle name="Обычный 8 2" xfId="203"/>
    <cellStyle name="Обычный 8 2 2" xfId="204"/>
    <cellStyle name="Обычный 8 3" xfId="205"/>
    <cellStyle name="Обычный 9" xfId="206"/>
    <cellStyle name="Обычный 9 2" xfId="207"/>
    <cellStyle name="Плохой 2" xfId="208"/>
    <cellStyle name="Плохой 2 2" xfId="209"/>
    <cellStyle name="Плохой 3" xfId="210"/>
    <cellStyle name="Плохой 3 2" xfId="211"/>
    <cellStyle name="Плохой 4" xfId="212"/>
    <cellStyle name="Пояснение 2" xfId="213"/>
    <cellStyle name="Пояснение 2 2" xfId="214"/>
    <cellStyle name="Пояснение 3" xfId="215"/>
    <cellStyle name="Пояснение 3 2" xfId="216"/>
    <cellStyle name="Пояснение 4" xfId="217"/>
    <cellStyle name="Примечание 2" xfId="218"/>
    <cellStyle name="Примечание 2 2" xfId="219"/>
    <cellStyle name="Примечание 2 2 2" xfId="220"/>
    <cellStyle name="Примечание 2 3" xfId="221"/>
    <cellStyle name="Примечание 3" xfId="222"/>
    <cellStyle name="Примечание 3 2" xfId="223"/>
    <cellStyle name="Примечание 3 2 2" xfId="224"/>
    <cellStyle name="Примечание 3 3" xfId="225"/>
    <cellStyle name="Примечание 4" xfId="226"/>
    <cellStyle name="Примечание 5" xfId="227"/>
    <cellStyle name="Процентный" xfId="228" builtinId="5"/>
    <cellStyle name="Связанная ячейка 2" xfId="229"/>
    <cellStyle name="Связанная ячейка 2 2" xfId="230"/>
    <cellStyle name="Связанная ячейка 3" xfId="231"/>
    <cellStyle name="Связанная ячейка 3 2" xfId="232"/>
    <cellStyle name="Связанная ячейка 4" xfId="233"/>
    <cellStyle name="Текст предупреждения 2" xfId="234"/>
    <cellStyle name="Текст предупреждения 2 2" xfId="235"/>
    <cellStyle name="Текст предупреждения 3" xfId="236"/>
    <cellStyle name="Текст предупреждения 3 2" xfId="237"/>
    <cellStyle name="Текст предупреждения 4" xfId="238"/>
    <cellStyle name="Финансовый" xfId="239" builtinId="3"/>
    <cellStyle name="Хороший 2" xfId="240"/>
    <cellStyle name="Хороший 2 2" xfId="241"/>
    <cellStyle name="Хороший 3" xfId="242"/>
    <cellStyle name="Хороший 3 2" xfId="243"/>
    <cellStyle name="Хороший 4" xfId="2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87a\&#1092;&#1080;&#1085;&#1072;&#1085;&#1089;&#1080;&#1088;&#1086;&#1074;&#1072;&#1085;&#1080;&#1077;\&#1041;&#1102;&#1076;&#1078;&#1077;&#1090;%202020_&#1080;&#1079;&#1084;&#1077;&#1085;&#1077;&#1085;&#1080;&#1103;\&#1089;&#1077;&#1089;&#1089;&#1080;&#1103;%20&#1089;&#1077;&#1085;&#1090;&#1103;&#1073;&#1088;&#1100;\&#1074;%20&#1084;&#1080;&#1085;&#1092;&#1080;&#1085;\&#1088;&#1072;&#1089;&#1095;&#1077;&#1090;&#1099;\1%20&#1044;&#1077;&#1083;&#1100;&#1090;&#1072;%20&#1043;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58;&#1044;&#1045;&#1051;%20&#1056;&#1043;&#1054;%20&#1080;%20&#1050;&#1050;\3%20&#1041;&#1070;&#1044;&#1046;&#1045;&#1058;\8%20&#1041;&#1070;&#1044;&#1046;&#1045;&#1058;%20&#1085;&#1072;%202021%20&#1075;&#1086;&#1076;%20&#1080;%20&#1087;&#1083;&#1072;&#1085;&#1086;&#1074;&#1099;&#1081;%202022-2023\&#1044;&#1083;&#1103;%20&#1096;&#1072;&#1073;&#1083;&#1086;&#1085;&#1072;%20INDEX.ROST.TARIFF.KU.2021_&#1088;&#1086;&#1089;&#1090;%20&#1089;%2001.07.2021\&#1057;&#1078;&#1080;&#1078;&#1077;&#1085;&#1085;&#1099;&#1081;%20&#1043;&#1072;&#1079;\&#1053;&#1077;%20&#1080;&#1089;&#1087;&#1086;&#1083;&#1100;&#1079;&#1086;&#1074;&#1072;&#1085;&#1099;%20&#1074;%20&#1088;&#1072;&#1089;&#1095;&#1077;&#1090;&#1072;&#1093;\&#1043;&#1072;&#1079;&#1086;&#1074;&#1072;&#1103;%20&#1086;&#1090;&#1088;&#1072;&#1089;&#1083;&#1100;%20%20&#1089;&#1074;&#1086;&#1076;%202016-2020%20&#1080;%20&#1087;&#1083;&#1072;&#1085;%20&#1085;&#1072;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Газ 2020"/>
    </sheetNames>
    <sheetDataSet>
      <sheetData sheetId="0" refreshError="1">
        <row r="8">
          <cell r="R8">
            <v>5087383.1666666707</v>
          </cell>
        </row>
        <row r="12">
          <cell r="R12">
            <v>716315.41499999969</v>
          </cell>
        </row>
        <row r="16">
          <cell r="R16">
            <v>186451.44000000003</v>
          </cell>
        </row>
        <row r="20">
          <cell r="R20">
            <v>3958517.883966668</v>
          </cell>
        </row>
        <row r="24">
          <cell r="R24">
            <v>1837625.254833332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НВВ (план2021)"/>
      <sheetName val="АО &quot;Архангельскоблгаз&quot;"/>
      <sheetName val="ООО &quot;Котласгазсервис&quot;"/>
      <sheetName val="  АО «Няндомамежрайгаз» "/>
      <sheetName val="ООО «Комгаз»"/>
      <sheetName val="ООО &quot;Ленскгазэнерго&quot;"/>
      <sheetName val="ФГБУ &quot;ЦЖКУ&quot;  МО РФ"/>
    </sheetNames>
    <sheetDataSet>
      <sheetData sheetId="0">
        <row r="4">
          <cell r="E4">
            <v>66.840613909774433</v>
          </cell>
        </row>
        <row r="5">
          <cell r="E5">
            <v>52.864968777124773</v>
          </cell>
        </row>
        <row r="6">
          <cell r="E6">
            <v>127.77304097721328</v>
          </cell>
        </row>
        <row r="7">
          <cell r="E7">
            <v>120.07122136277778</v>
          </cell>
        </row>
        <row r="8">
          <cell r="E8">
            <v>166.46759671852507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U153"/>
  <sheetViews>
    <sheetView tabSelected="1" view="pageBreakPreview" zoomScale="70" zoomScaleNormal="70" zoomScaleSheetLayoutView="70" workbookViewId="0">
      <pane xSplit="1" ySplit="6" topLeftCell="B19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RowHeight="12.75" outlineLevelRow="1"/>
  <cols>
    <col min="1" max="1" width="32.140625" style="4" customWidth="1"/>
    <col min="2" max="2" width="68.28515625" style="4" customWidth="1"/>
    <col min="3" max="3" width="19.28515625" style="4" customWidth="1"/>
    <col min="4" max="4" width="19.28515625" style="58" customWidth="1"/>
    <col min="5" max="7" width="19.28515625" style="4" customWidth="1"/>
    <col min="8" max="9" width="16.7109375" style="47" customWidth="1"/>
    <col min="10" max="11" width="16.7109375" style="4" customWidth="1"/>
    <col min="12" max="12" width="19.5703125" style="4" customWidth="1"/>
    <col min="13" max="13" width="19.85546875" style="4" customWidth="1"/>
    <col min="14" max="14" width="19.5703125" style="4" customWidth="1"/>
    <col min="15" max="15" width="19.42578125" style="4" customWidth="1"/>
    <col min="16" max="16" width="20.85546875" style="4" customWidth="1"/>
    <col min="17" max="17" width="20.5703125" style="4" customWidth="1"/>
    <col min="18" max="18" width="19.85546875" style="4" customWidth="1"/>
    <col min="19" max="19" width="25.42578125" style="4" customWidth="1"/>
    <col min="20" max="20" width="16.140625" style="6" customWidth="1"/>
    <col min="21" max="16384" width="9.140625" style="6"/>
  </cols>
  <sheetData>
    <row r="1" spans="1:20" ht="20.25" customHeight="1">
      <c r="H1" s="47" t="s">
        <v>37</v>
      </c>
    </row>
    <row r="2" spans="1:20" ht="17.25" customHeight="1">
      <c r="H2" s="47" t="s">
        <v>38</v>
      </c>
    </row>
    <row r="3" spans="1:20" s="5" customFormat="1" ht="89.25" customHeight="1">
      <c r="B3" s="82"/>
      <c r="C3" s="91" t="s">
        <v>20</v>
      </c>
      <c r="D3" s="91"/>
      <c r="E3" s="91"/>
      <c r="F3" s="91"/>
      <c r="G3" s="9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0" ht="15">
      <c r="A4" s="7"/>
      <c r="B4" s="1"/>
      <c r="C4" s="3"/>
      <c r="D4" s="53"/>
      <c r="E4" s="3"/>
      <c r="F4" s="3"/>
      <c r="G4" s="3"/>
      <c r="H4" s="42"/>
      <c r="I4" s="42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s="63" customFormat="1" ht="90" customHeight="1">
      <c r="A5" s="83" t="s">
        <v>3</v>
      </c>
      <c r="B5" s="83" t="s">
        <v>23</v>
      </c>
      <c r="C5" s="84" t="s">
        <v>22</v>
      </c>
      <c r="D5" s="85"/>
      <c r="E5" s="85"/>
      <c r="F5" s="85"/>
      <c r="G5" s="86"/>
      <c r="H5" s="86" t="s">
        <v>7</v>
      </c>
      <c r="I5" s="83"/>
      <c r="J5" s="83" t="s">
        <v>8</v>
      </c>
      <c r="K5" s="83"/>
      <c r="L5" s="83" t="s">
        <v>21</v>
      </c>
      <c r="M5" s="83"/>
      <c r="N5" s="83"/>
      <c r="O5" s="83"/>
      <c r="P5" s="83"/>
      <c r="Q5" s="83" t="s">
        <v>35</v>
      </c>
      <c r="R5" s="83" t="s">
        <v>32</v>
      </c>
      <c r="S5" s="83" t="s">
        <v>24</v>
      </c>
    </row>
    <row r="6" spans="1:20" s="63" customFormat="1" ht="46.5" customHeight="1">
      <c r="A6" s="83"/>
      <c r="B6" s="83"/>
      <c r="C6" s="64" t="s">
        <v>16</v>
      </c>
      <c r="D6" s="64" t="s">
        <v>17</v>
      </c>
      <c r="E6" s="64" t="s">
        <v>18</v>
      </c>
      <c r="F6" s="64" t="s">
        <v>19</v>
      </c>
      <c r="G6" s="65" t="s">
        <v>10</v>
      </c>
      <c r="H6" s="66" t="s">
        <v>11</v>
      </c>
      <c r="I6" s="64" t="s">
        <v>12</v>
      </c>
      <c r="J6" s="64" t="s">
        <v>11</v>
      </c>
      <c r="K6" s="64" t="s">
        <v>12</v>
      </c>
      <c r="L6" s="64" t="s">
        <v>16</v>
      </c>
      <c r="M6" s="64" t="s">
        <v>17</v>
      </c>
      <c r="N6" s="64" t="s">
        <v>18</v>
      </c>
      <c r="O6" s="64" t="s">
        <v>19</v>
      </c>
      <c r="P6" s="64" t="s">
        <v>10</v>
      </c>
      <c r="Q6" s="83"/>
      <c r="R6" s="83"/>
      <c r="S6" s="83"/>
    </row>
    <row r="7" spans="1:20" s="2" customFormat="1" ht="33.75" customHeight="1">
      <c r="A7" s="87" t="s">
        <v>6</v>
      </c>
      <c r="B7" s="48" t="s">
        <v>0</v>
      </c>
      <c r="C7" s="49">
        <v>119000</v>
      </c>
      <c r="D7" s="49">
        <v>153100</v>
      </c>
      <c r="E7" s="49">
        <f>180300+131700</f>
        <v>312000</v>
      </c>
      <c r="F7" s="49">
        <f>116000+109000</f>
        <v>225000</v>
      </c>
      <c r="G7" s="50">
        <f t="shared" ref="G7:G26" si="0">C7+D7+E7+F7</f>
        <v>809100</v>
      </c>
      <c r="H7" s="78">
        <f>'[2]Свод НВВ (план2021)'!$E$5</f>
        <v>52.864968777124773</v>
      </c>
      <c r="I7" s="78">
        <f>H7</f>
        <v>52.864968777124773</v>
      </c>
      <c r="J7" s="78">
        <f>56.6/1.2</f>
        <v>47.166666666666671</v>
      </c>
      <c r="K7" s="78">
        <f>J7*1.04</f>
        <v>49.053333333333342</v>
      </c>
      <c r="L7" s="50">
        <f>(H7-J7)*C7</f>
        <v>678097.95114451402</v>
      </c>
      <c r="M7" s="50">
        <f t="shared" ref="M7:N9" si="1">(H7-J7)*D7</f>
        <v>872410.05311113526</v>
      </c>
      <c r="N7" s="50">
        <f t="shared" si="1"/>
        <v>1189230.2584629264</v>
      </c>
      <c r="O7" s="50">
        <f>(I7-K7)*F7</f>
        <v>857617.97485307197</v>
      </c>
      <c r="P7" s="50">
        <f t="shared" ref="P7:P19" si="2">SUM(L7:O7)</f>
        <v>3597356.2375716474</v>
      </c>
      <c r="Q7" s="50"/>
      <c r="R7" s="50"/>
      <c r="S7" s="50"/>
    </row>
    <row r="8" spans="1:20" s="2" customFormat="1" ht="33.75" customHeight="1">
      <c r="A8" s="87"/>
      <c r="B8" s="48" t="s">
        <v>1</v>
      </c>
      <c r="C8" s="49">
        <v>0</v>
      </c>
      <c r="D8" s="49">
        <v>0</v>
      </c>
      <c r="E8" s="49">
        <v>0</v>
      </c>
      <c r="F8" s="49">
        <v>0</v>
      </c>
      <c r="G8" s="50">
        <f t="shared" si="0"/>
        <v>0</v>
      </c>
      <c r="H8" s="78">
        <f>H7</f>
        <v>52.864968777124773</v>
      </c>
      <c r="I8" s="78">
        <f>H8</f>
        <v>52.864968777124773</v>
      </c>
      <c r="J8" s="78">
        <f>54.64/1.2</f>
        <v>45.533333333333339</v>
      </c>
      <c r="K8" s="78">
        <f>J8*1.04</f>
        <v>47.354666666666674</v>
      </c>
      <c r="L8" s="50">
        <f>(H8-J8)*C8</f>
        <v>0</v>
      </c>
      <c r="M8" s="50">
        <f t="shared" si="1"/>
        <v>0</v>
      </c>
      <c r="N8" s="50">
        <f t="shared" si="1"/>
        <v>0</v>
      </c>
      <c r="O8" s="50">
        <f>(I8-K8)*F8</f>
        <v>0</v>
      </c>
      <c r="P8" s="50">
        <f t="shared" si="2"/>
        <v>0</v>
      </c>
      <c r="Q8" s="50"/>
      <c r="R8" s="50"/>
      <c r="S8" s="50"/>
    </row>
    <row r="9" spans="1:20" s="2" customFormat="1" ht="33.75" customHeight="1">
      <c r="A9" s="87"/>
      <c r="B9" s="48" t="s">
        <v>2</v>
      </c>
      <c r="C9" s="49">
        <f>2507200*0+2700900</f>
        <v>2700900</v>
      </c>
      <c r="D9" s="49">
        <v>2713900</v>
      </c>
      <c r="E9" s="49">
        <v>2541900</v>
      </c>
      <c r="F9" s="49">
        <v>2605500</v>
      </c>
      <c r="G9" s="50">
        <f t="shared" si="0"/>
        <v>10562200</v>
      </c>
      <c r="H9" s="78">
        <f>H8</f>
        <v>52.864968777124773</v>
      </c>
      <c r="I9" s="78">
        <f>I8</f>
        <v>52.864968777124773</v>
      </c>
      <c r="J9" s="78">
        <f>52.18/1.2</f>
        <v>43.483333333333334</v>
      </c>
      <c r="K9" s="78">
        <f>J9*1.04</f>
        <v>45.222666666666669</v>
      </c>
      <c r="L9" s="50">
        <f>(H9-J9)*C9</f>
        <v>25338859.170136295</v>
      </c>
      <c r="M9" s="50">
        <f t="shared" si="1"/>
        <v>25460820.430905584</v>
      </c>
      <c r="N9" s="50">
        <f t="shared" si="1"/>
        <v>19425967.734573454</v>
      </c>
      <c r="O9" s="50">
        <f>(I9-K9)*F9</f>
        <v>19912018.148798589</v>
      </c>
      <c r="P9" s="50">
        <f t="shared" si="2"/>
        <v>90137665.484413922</v>
      </c>
      <c r="Q9" s="50"/>
      <c r="R9" s="50"/>
      <c r="S9" s="50"/>
    </row>
    <row r="10" spans="1:20" s="62" customFormat="1" ht="33.75" customHeight="1">
      <c r="A10" s="87"/>
      <c r="B10" s="59" t="s">
        <v>4</v>
      </c>
      <c r="C10" s="60">
        <f>SUM(C7:C9)</f>
        <v>2819900</v>
      </c>
      <c r="D10" s="60">
        <f>SUM(D7:D9)</f>
        <v>2867000</v>
      </c>
      <c r="E10" s="60">
        <f>SUM(E7:E9)</f>
        <v>2853900</v>
      </c>
      <c r="F10" s="60">
        <f>SUM(F7:F9)</f>
        <v>2830500</v>
      </c>
      <c r="G10" s="61">
        <f t="shared" si="0"/>
        <v>11371300</v>
      </c>
      <c r="H10" s="61"/>
      <c r="I10" s="61"/>
      <c r="J10" s="60"/>
      <c r="K10" s="71"/>
      <c r="L10" s="70">
        <f>SUM(L7:L9)</f>
        <v>26016957.121280808</v>
      </c>
      <c r="M10" s="70">
        <f>SUM(M7:M9)</f>
        <v>26333230.48401672</v>
      </c>
      <c r="N10" s="70">
        <f>SUM(N7:N9)</f>
        <v>20615197.993036382</v>
      </c>
      <c r="O10" s="70">
        <f>SUM(O7:O9)</f>
        <v>20769636.123651661</v>
      </c>
      <c r="P10" s="70">
        <f>SUM(P7:P9)</f>
        <v>93735021.721985564</v>
      </c>
      <c r="Q10" s="70">
        <f>'[1]Прогноз Газ 2020'!$R$8</f>
        <v>5087383.1666666707</v>
      </c>
      <c r="R10" s="70">
        <f>O10/3</f>
        <v>6923212.04121722</v>
      </c>
      <c r="S10" s="70">
        <f>P10+Q10-R10</f>
        <v>91899192.847435012</v>
      </c>
      <c r="T10" s="2"/>
    </row>
    <row r="11" spans="1:20" s="2" customFormat="1" ht="33.75" customHeight="1">
      <c r="A11" s="87" t="s">
        <v>5</v>
      </c>
      <c r="B11" s="48" t="s">
        <v>0</v>
      </c>
      <c r="C11" s="49">
        <v>39315</v>
      </c>
      <c r="D11" s="49">
        <v>79175</v>
      </c>
      <c r="E11" s="49">
        <f>74678+32091</f>
        <v>106769</v>
      </c>
      <c r="F11" s="49">
        <f>42829+26575</f>
        <v>69404</v>
      </c>
      <c r="G11" s="50">
        <f t="shared" si="0"/>
        <v>294663</v>
      </c>
      <c r="H11" s="78">
        <f>'[2]Свод НВВ (план2021)'!$E$4</f>
        <v>66.840613909774433</v>
      </c>
      <c r="I11" s="78">
        <f>H11</f>
        <v>66.840613909774433</v>
      </c>
      <c r="J11" s="78">
        <f>56.6/1.2</f>
        <v>47.166666666666671</v>
      </c>
      <c r="K11" s="78">
        <f>J11*1.04</f>
        <v>49.053333333333342</v>
      </c>
      <c r="L11" s="50">
        <f>(H11-J11)*C11</f>
        <v>773481.23586278164</v>
      </c>
      <c r="M11" s="50">
        <f t="shared" ref="M11:N13" si="3">(H11-J11)*D11</f>
        <v>1557684.7729730571</v>
      </c>
      <c r="N11" s="50">
        <f t="shared" si="3"/>
        <v>1899130.1598660389</v>
      </c>
      <c r="O11" s="50">
        <f>(I11-K11)*F11</f>
        <v>1234508.4211273175</v>
      </c>
      <c r="P11" s="50">
        <f t="shared" si="2"/>
        <v>5464804.5898291953</v>
      </c>
      <c r="Q11" s="50"/>
      <c r="R11" s="50"/>
      <c r="S11" s="50"/>
    </row>
    <row r="12" spans="1:20" s="2" customFormat="1" ht="33.75" customHeight="1">
      <c r="A12" s="87"/>
      <c r="B12" s="48" t="s">
        <v>1</v>
      </c>
      <c r="C12" s="49">
        <v>53979</v>
      </c>
      <c r="D12" s="49">
        <v>75847</v>
      </c>
      <c r="E12" s="49">
        <v>75987</v>
      </c>
      <c r="F12" s="49">
        <v>56208</v>
      </c>
      <c r="G12" s="50">
        <f t="shared" si="0"/>
        <v>262021</v>
      </c>
      <c r="H12" s="78">
        <f>H11</f>
        <v>66.840613909774433</v>
      </c>
      <c r="I12" s="78">
        <f>I11</f>
        <v>66.840613909774433</v>
      </c>
      <c r="J12" s="78">
        <f>54.64/1.2</f>
        <v>45.533333333333339</v>
      </c>
      <c r="K12" s="78">
        <f>J12*1.04</f>
        <v>47.354666666666674</v>
      </c>
      <c r="L12" s="50">
        <f>(H12-J12)*C12</f>
        <v>1150145.6982357139</v>
      </c>
      <c r="M12" s="50">
        <f t="shared" si="3"/>
        <v>1616093.3098813277</v>
      </c>
      <c r="N12" s="50">
        <f t="shared" si="3"/>
        <v>1480678.6731620294</v>
      </c>
      <c r="O12" s="50">
        <f>(I12-K12)*F12</f>
        <v>1095266.1226406009</v>
      </c>
      <c r="P12" s="50">
        <f t="shared" si="2"/>
        <v>5342183.8039196711</v>
      </c>
      <c r="Q12" s="50"/>
      <c r="R12" s="50"/>
      <c r="S12" s="50"/>
    </row>
    <row r="13" spans="1:20" s="2" customFormat="1" ht="33.75" customHeight="1">
      <c r="A13" s="87"/>
      <c r="B13" s="48" t="s">
        <v>2</v>
      </c>
      <c r="C13" s="49">
        <v>4232.45</v>
      </c>
      <c r="D13" s="49">
        <v>3725.6800000000003</v>
      </c>
      <c r="E13" s="49">
        <v>3700.03</v>
      </c>
      <c r="F13" s="49">
        <v>3632.79</v>
      </c>
      <c r="G13" s="50">
        <f t="shared" si="0"/>
        <v>15290.95</v>
      </c>
      <c r="H13" s="78">
        <f>H12</f>
        <v>66.840613909774433</v>
      </c>
      <c r="I13" s="78">
        <f>I12</f>
        <v>66.840613909774433</v>
      </c>
      <c r="J13" s="78">
        <f>52.18/1.2</f>
        <v>43.483333333333334</v>
      </c>
      <c r="K13" s="78">
        <f>J13*1.04</f>
        <v>45.222666666666669</v>
      </c>
      <c r="L13" s="50">
        <f>(H13-J13)*C13</f>
        <v>98858.522175758117</v>
      </c>
      <c r="M13" s="50">
        <f t="shared" si="3"/>
        <v>87021.753098035086</v>
      </c>
      <c r="N13" s="50">
        <f t="shared" si="3"/>
        <v>79987.053337916019</v>
      </c>
      <c r="O13" s="50">
        <f>(I13-K13)*F13</f>
        <v>78533.462565289461</v>
      </c>
      <c r="P13" s="50">
        <f t="shared" si="2"/>
        <v>344400.7911769987</v>
      </c>
      <c r="Q13" s="50"/>
      <c r="R13" s="50"/>
      <c r="S13" s="50"/>
    </row>
    <row r="14" spans="1:20" s="62" customFormat="1" ht="33.75" customHeight="1">
      <c r="A14" s="87"/>
      <c r="B14" s="59" t="s">
        <v>4</v>
      </c>
      <c r="C14" s="60">
        <f>SUM(C11:C13)</f>
        <v>97526.45</v>
      </c>
      <c r="D14" s="60">
        <f>SUM(D11:D13)</f>
        <v>158747.68</v>
      </c>
      <c r="E14" s="60">
        <f>SUM(E11:E13)</f>
        <v>186456.03</v>
      </c>
      <c r="F14" s="60">
        <f>SUM(F11:F13)</f>
        <v>129244.79</v>
      </c>
      <c r="G14" s="61">
        <f t="shared" si="0"/>
        <v>571974.95000000007</v>
      </c>
      <c r="H14" s="60"/>
      <c r="I14" s="60"/>
      <c r="J14" s="60"/>
      <c r="K14" s="71"/>
      <c r="L14" s="70">
        <f>SUM(L11:L13)</f>
        <v>2022485.4562742538</v>
      </c>
      <c r="M14" s="70">
        <f>SUM(M11:M13)</f>
        <v>3260799.8359524198</v>
      </c>
      <c r="N14" s="70">
        <f>SUM(N11:N13)</f>
        <v>3459795.8863659841</v>
      </c>
      <c r="O14" s="70">
        <f>SUM(O11:O13)</f>
        <v>2408308.0063332077</v>
      </c>
      <c r="P14" s="70">
        <f>SUM(P11:P13)</f>
        <v>11151389.184925865</v>
      </c>
      <c r="Q14" s="70">
        <f>'[1]Прогноз Газ 2020'!$R$12</f>
        <v>716315.41499999969</v>
      </c>
      <c r="R14" s="70">
        <f>O14/3</f>
        <v>802769.33544440253</v>
      </c>
      <c r="S14" s="70">
        <f>P14+Q14-R14</f>
        <v>11064935.264481463</v>
      </c>
      <c r="T14" s="2"/>
    </row>
    <row r="15" spans="1:20" s="2" customFormat="1" ht="33.75" customHeight="1">
      <c r="A15" s="87" t="s">
        <v>31</v>
      </c>
      <c r="B15" s="48" t="s">
        <v>0</v>
      </c>
      <c r="C15" s="49">
        <v>3675</v>
      </c>
      <c r="D15" s="49">
        <v>5103</v>
      </c>
      <c r="E15" s="49">
        <v>7573</v>
      </c>
      <c r="F15" s="49">
        <v>5418</v>
      </c>
      <c r="G15" s="50">
        <f t="shared" si="0"/>
        <v>21769</v>
      </c>
      <c r="H15" s="78">
        <f>'[2]Свод НВВ (план2021)'!$E$8</f>
        <v>166.46759671852507</v>
      </c>
      <c r="I15" s="78">
        <f>H15</f>
        <v>166.46759671852507</v>
      </c>
      <c r="J15" s="78">
        <f>56.6</f>
        <v>56.6</v>
      </c>
      <c r="K15" s="78">
        <f>J15*1.04</f>
        <v>58.864000000000004</v>
      </c>
      <c r="L15" s="50">
        <f>(H15-J15)*C15</f>
        <v>403763.41794057965</v>
      </c>
      <c r="M15" s="50">
        <f t="shared" ref="M15:N17" si="4">(H15-J15)*D15</f>
        <v>560654.3460546335</v>
      </c>
      <c r="N15" s="50">
        <f t="shared" si="4"/>
        <v>814882.03794939036</v>
      </c>
      <c r="O15" s="50">
        <f>(I15-K15)*F15</f>
        <v>582996.28702096886</v>
      </c>
      <c r="P15" s="50">
        <f t="shared" si="2"/>
        <v>2362296.0889655724</v>
      </c>
      <c r="Q15" s="50"/>
      <c r="R15" s="50"/>
      <c r="S15" s="50"/>
    </row>
    <row r="16" spans="1:20" s="2" customFormat="1" ht="33.75" customHeight="1">
      <c r="A16" s="87"/>
      <c r="B16" s="48" t="s">
        <v>1</v>
      </c>
      <c r="C16" s="49">
        <v>0</v>
      </c>
      <c r="D16" s="49">
        <v>0</v>
      </c>
      <c r="E16" s="49">
        <v>0</v>
      </c>
      <c r="F16" s="49">
        <v>0</v>
      </c>
      <c r="G16" s="50">
        <f t="shared" si="0"/>
        <v>0</v>
      </c>
      <c r="H16" s="78">
        <f>H15</f>
        <v>166.46759671852507</v>
      </c>
      <c r="I16" s="78">
        <f>I15</f>
        <v>166.46759671852507</v>
      </c>
      <c r="J16" s="78">
        <f>54.64</f>
        <v>54.64</v>
      </c>
      <c r="K16" s="78">
        <f>J16*1.04</f>
        <v>56.825600000000001</v>
      </c>
      <c r="L16" s="50">
        <f>(H16-J16)*C16</f>
        <v>0</v>
      </c>
      <c r="M16" s="50">
        <f t="shared" si="4"/>
        <v>0</v>
      </c>
      <c r="N16" s="50">
        <f t="shared" si="4"/>
        <v>0</v>
      </c>
      <c r="O16" s="50">
        <f>(I16-K16)*F16</f>
        <v>0</v>
      </c>
      <c r="P16" s="50">
        <f t="shared" si="2"/>
        <v>0</v>
      </c>
      <c r="Q16" s="50"/>
      <c r="R16" s="50"/>
      <c r="S16" s="50"/>
    </row>
    <row r="17" spans="1:21" s="2" customFormat="1" ht="33.75" customHeight="1">
      <c r="A17" s="87"/>
      <c r="B17" s="48" t="s">
        <v>2</v>
      </c>
      <c r="C17" s="49">
        <v>0</v>
      </c>
      <c r="D17" s="49">
        <v>0</v>
      </c>
      <c r="E17" s="49">
        <v>0</v>
      </c>
      <c r="F17" s="49">
        <v>0</v>
      </c>
      <c r="G17" s="50">
        <f t="shared" si="0"/>
        <v>0</v>
      </c>
      <c r="H17" s="78">
        <f>H16</f>
        <v>166.46759671852507</v>
      </c>
      <c r="I17" s="78">
        <f>I16</f>
        <v>166.46759671852507</v>
      </c>
      <c r="J17" s="78">
        <f>52.18</f>
        <v>52.18</v>
      </c>
      <c r="K17" s="78">
        <f>J17*1.04</f>
        <v>54.267200000000003</v>
      </c>
      <c r="L17" s="50">
        <f>(H17-J17)*C17</f>
        <v>0</v>
      </c>
      <c r="M17" s="50">
        <f t="shared" si="4"/>
        <v>0</v>
      </c>
      <c r="N17" s="50">
        <f t="shared" si="4"/>
        <v>0</v>
      </c>
      <c r="O17" s="50">
        <f>(I17-K17)*F17</f>
        <v>0</v>
      </c>
      <c r="P17" s="50">
        <f t="shared" si="2"/>
        <v>0</v>
      </c>
      <c r="Q17" s="50"/>
      <c r="R17" s="50"/>
      <c r="S17" s="50"/>
    </row>
    <row r="18" spans="1:21" s="2" customFormat="1" ht="33.75" customHeight="1">
      <c r="A18" s="87"/>
      <c r="B18" s="59" t="s">
        <v>4</v>
      </c>
      <c r="C18" s="60">
        <f>SUM(C15:C17)</f>
        <v>3675</v>
      </c>
      <c r="D18" s="60">
        <f>SUM(D15:D17)</f>
        <v>5103</v>
      </c>
      <c r="E18" s="60">
        <f>SUM(E15:E17)</f>
        <v>7573</v>
      </c>
      <c r="F18" s="60">
        <f>SUM(F15:F17)</f>
        <v>5418</v>
      </c>
      <c r="G18" s="61">
        <f t="shared" si="0"/>
        <v>21769</v>
      </c>
      <c r="H18" s="79"/>
      <c r="I18" s="79"/>
      <c r="J18" s="79"/>
      <c r="K18" s="78"/>
      <c r="L18" s="52">
        <f>SUM(L15:L17)</f>
        <v>403763.41794057965</v>
      </c>
      <c r="M18" s="52">
        <f>SUM(M15:M17)</f>
        <v>560654.3460546335</v>
      </c>
      <c r="N18" s="52">
        <f>SUM(N15:N17)</f>
        <v>814882.03794939036</v>
      </c>
      <c r="O18" s="52">
        <f>SUM(O15:O17)</f>
        <v>582996.28702096886</v>
      </c>
      <c r="P18" s="68">
        <f>SUM(P15:P17)</f>
        <v>2362296.0889655724</v>
      </c>
      <c r="Q18" s="69">
        <f>'[1]Прогноз Газ 2020'!$R$16</f>
        <v>186451.44000000003</v>
      </c>
      <c r="R18" s="69">
        <f>O18/3</f>
        <v>194332.09567365629</v>
      </c>
      <c r="S18" s="69">
        <f>P18+Q18-R18</f>
        <v>2354415.4332919163</v>
      </c>
    </row>
    <row r="19" spans="1:21" s="2" customFormat="1" ht="33.75" customHeight="1">
      <c r="A19" s="87" t="s">
        <v>9</v>
      </c>
      <c r="B19" s="48" t="s">
        <v>0</v>
      </c>
      <c r="C19" s="49">
        <v>24475.5</v>
      </c>
      <c r="D19" s="49">
        <v>32915</v>
      </c>
      <c r="E19" s="49">
        <f>528.5+20298</f>
        <v>20826.5</v>
      </c>
      <c r="F19" s="49">
        <f>17663.5+13373.5</f>
        <v>31037</v>
      </c>
      <c r="G19" s="50">
        <f t="shared" si="0"/>
        <v>109254</v>
      </c>
      <c r="H19" s="78">
        <f>'[2]Свод НВВ (план2021)'!$E$6</f>
        <v>127.77304097721328</v>
      </c>
      <c r="I19" s="78">
        <f>H19</f>
        <v>127.77304097721328</v>
      </c>
      <c r="J19" s="78">
        <f>56.6/1.2</f>
        <v>47.166666666666671</v>
      </c>
      <c r="K19" s="78">
        <f>J19*1.04</f>
        <v>49.053333333333342</v>
      </c>
      <c r="L19" s="50">
        <f>(H19-J19)*C19</f>
        <v>1972881.3144377836</v>
      </c>
      <c r="M19" s="50">
        <f t="shared" ref="M19:N21" si="5">(H19-J19)*D19</f>
        <v>2653158.810431642</v>
      </c>
      <c r="N19" s="50">
        <f t="shared" si="5"/>
        <v>1639455.9912452656</v>
      </c>
      <c r="O19" s="50">
        <f>(I19-K19)*F19</f>
        <v>2443223.566143102</v>
      </c>
      <c r="P19" s="50">
        <f t="shared" si="2"/>
        <v>8708719.6822577938</v>
      </c>
      <c r="Q19" s="50"/>
      <c r="R19" s="50"/>
      <c r="S19" s="52"/>
    </row>
    <row r="20" spans="1:21" s="2" customFormat="1" ht="33.75" customHeight="1">
      <c r="A20" s="87"/>
      <c r="B20" s="48" t="s">
        <v>1</v>
      </c>
      <c r="C20" s="49">
        <v>46356.979999999996</v>
      </c>
      <c r="D20" s="49">
        <v>60222.55</v>
      </c>
      <c r="E20" s="49">
        <v>61603.79</v>
      </c>
      <c r="F20" s="49">
        <v>56374.31</v>
      </c>
      <c r="G20" s="50">
        <f t="shared" si="0"/>
        <v>224557.63</v>
      </c>
      <c r="H20" s="78">
        <f>H19</f>
        <v>127.77304097721328</v>
      </c>
      <c r="I20" s="78">
        <f>I19</f>
        <v>127.77304097721328</v>
      </c>
      <c r="J20" s="78">
        <f>54.64/1.2</f>
        <v>45.533333333333339</v>
      </c>
      <c r="K20" s="78">
        <f>J20*1.04</f>
        <v>47.354666666666674</v>
      </c>
      <c r="L20" s="50">
        <f>(H20-J20)*C20</f>
        <v>3812384.4824531893</v>
      </c>
      <c r="M20" s="50">
        <f t="shared" si="5"/>
        <v>4952684.9055689424</v>
      </c>
      <c r="N20" s="50">
        <f t="shared" si="5"/>
        <v>4954076.6431683078</v>
      </c>
      <c r="O20" s="50">
        <f>(I20-K20)*F20</f>
        <v>4533530.3630787907</v>
      </c>
      <c r="P20" s="50">
        <f t="shared" ref="P20:P25" si="6">SUM(L20:O20)</f>
        <v>18252676.394269232</v>
      </c>
      <c r="Q20" s="50"/>
      <c r="R20" s="50"/>
      <c r="S20" s="52"/>
    </row>
    <row r="21" spans="1:21" s="2" customFormat="1" ht="33.75" customHeight="1">
      <c r="A21" s="87"/>
      <c r="B21" s="48" t="s">
        <v>2</v>
      </c>
      <c r="C21" s="49">
        <v>79959.850000000006</v>
      </c>
      <c r="D21" s="49">
        <v>74864.170000000013</v>
      </c>
      <c r="E21" s="49">
        <v>69949.42</v>
      </c>
      <c r="F21" s="49">
        <v>75432</v>
      </c>
      <c r="G21" s="50">
        <f t="shared" si="0"/>
        <v>300205.44</v>
      </c>
      <c r="H21" s="78">
        <f>H20</f>
        <v>127.77304097721328</v>
      </c>
      <c r="I21" s="78">
        <f>I20</f>
        <v>127.77304097721328</v>
      </c>
      <c r="J21" s="78">
        <f>52.18/1.2</f>
        <v>43.483333333333334</v>
      </c>
      <c r="K21" s="78">
        <f>J21*1.04</f>
        <v>45.222666666666669</v>
      </c>
      <c r="L21" s="50">
        <f>(H21-J21)*C21</f>
        <v>6739792.3797484944</v>
      </c>
      <c r="M21" s="50">
        <f t="shared" si="5"/>
        <v>6310279.0023017293</v>
      </c>
      <c r="N21" s="50">
        <f t="shared" si="5"/>
        <v>5774350.8038056353</v>
      </c>
      <c r="O21" s="50">
        <f>(I21-K21)*F21</f>
        <v>6226939.8349931519</v>
      </c>
      <c r="P21" s="50">
        <f t="shared" si="6"/>
        <v>25051362.020849012</v>
      </c>
      <c r="Q21" s="50"/>
      <c r="R21" s="50"/>
      <c r="S21" s="52"/>
    </row>
    <row r="22" spans="1:21" s="62" customFormat="1" ht="33.75" customHeight="1">
      <c r="A22" s="87"/>
      <c r="B22" s="59" t="s">
        <v>4</v>
      </c>
      <c r="C22" s="60">
        <f>SUM(C19:C21)</f>
        <v>150792.33000000002</v>
      </c>
      <c r="D22" s="60">
        <f>SUM(D19:D21)</f>
        <v>168001.72000000003</v>
      </c>
      <c r="E22" s="60">
        <f>SUM(E19:E21)</f>
        <v>152379.71000000002</v>
      </c>
      <c r="F22" s="60">
        <f>SUM(F19:F21)</f>
        <v>162843.31</v>
      </c>
      <c r="G22" s="61">
        <f t="shared" si="0"/>
        <v>634017.07000000007</v>
      </c>
      <c r="H22" s="71"/>
      <c r="I22" s="71"/>
      <c r="J22" s="60"/>
      <c r="K22" s="71"/>
      <c r="L22" s="70">
        <f>SUM(L19:L21)</f>
        <v>12525058.176639467</v>
      </c>
      <c r="M22" s="70">
        <f>SUM(M19:M21)</f>
        <v>13916122.718302313</v>
      </c>
      <c r="N22" s="70">
        <f>SUM(N19:N21)</f>
        <v>12367883.438219208</v>
      </c>
      <c r="O22" s="70">
        <f>SUM(O19:O21)</f>
        <v>13203693.764215045</v>
      </c>
      <c r="P22" s="70">
        <f>SUM(P19:P21)</f>
        <v>52012758.097376034</v>
      </c>
      <c r="Q22" s="70">
        <f>'[1]Прогноз Газ 2020'!$R$20</f>
        <v>3958517.883966668</v>
      </c>
      <c r="R22" s="70">
        <f>O22/3</f>
        <v>4401231.2547383485</v>
      </c>
      <c r="S22" s="70">
        <f>P22+Q22-R22</f>
        <v>51570044.726604357</v>
      </c>
      <c r="T22" s="2"/>
    </row>
    <row r="23" spans="1:21" s="2" customFormat="1" ht="33.75" customHeight="1">
      <c r="A23" s="87" t="s">
        <v>36</v>
      </c>
      <c r="B23" s="48" t="s">
        <v>0</v>
      </c>
      <c r="C23" s="49">
        <v>2082.5</v>
      </c>
      <c r="D23" s="49">
        <v>7631</v>
      </c>
      <c r="E23" s="49">
        <v>10199.700000000001</v>
      </c>
      <c r="F23" s="49">
        <v>8189</v>
      </c>
      <c r="G23" s="50">
        <f t="shared" si="0"/>
        <v>28102.2</v>
      </c>
      <c r="H23" s="78">
        <f>'[2]Свод НВВ (план2021)'!$E$7</f>
        <v>120.07122136277778</v>
      </c>
      <c r="I23" s="78">
        <f>H23</f>
        <v>120.07122136277778</v>
      </c>
      <c r="J23" s="78">
        <f>56.6</f>
        <v>56.6</v>
      </c>
      <c r="K23" s="78">
        <f>J23*1.04</f>
        <v>58.864000000000004</v>
      </c>
      <c r="L23" s="50">
        <f>(H23-J23)*C23</f>
        <v>132178.81848798471</v>
      </c>
      <c r="M23" s="50">
        <f t="shared" ref="M23:N25" si="7">(H23-J23)*D23</f>
        <v>484348.89021935721</v>
      </c>
      <c r="N23" s="50">
        <f t="shared" si="7"/>
        <v>624295.29573392449</v>
      </c>
      <c r="O23" s="50">
        <f>(I23-K23)*F23</f>
        <v>501225.93573978718</v>
      </c>
      <c r="P23" s="50">
        <f t="shared" si="6"/>
        <v>1742048.9401810537</v>
      </c>
      <c r="Q23" s="50"/>
      <c r="R23" s="50"/>
      <c r="S23" s="52"/>
    </row>
    <row r="24" spans="1:21" s="2" customFormat="1" ht="33.75" customHeight="1">
      <c r="A24" s="87"/>
      <c r="B24" s="48" t="s">
        <v>1</v>
      </c>
      <c r="C24" s="49">
        <v>0</v>
      </c>
      <c r="D24" s="49">
        <v>0</v>
      </c>
      <c r="E24" s="49">
        <v>0</v>
      </c>
      <c r="F24" s="49">
        <v>0</v>
      </c>
      <c r="G24" s="50">
        <f t="shared" si="0"/>
        <v>0</v>
      </c>
      <c r="H24" s="78">
        <f>H23</f>
        <v>120.07122136277778</v>
      </c>
      <c r="I24" s="78">
        <f>I23</f>
        <v>120.07122136277778</v>
      </c>
      <c r="J24" s="78">
        <f>54.64</f>
        <v>54.64</v>
      </c>
      <c r="K24" s="78">
        <f>J24*1.04</f>
        <v>56.825600000000001</v>
      </c>
      <c r="L24" s="50">
        <f>(H24-J24)*C24</f>
        <v>0</v>
      </c>
      <c r="M24" s="50">
        <f t="shared" si="7"/>
        <v>0</v>
      </c>
      <c r="N24" s="50">
        <f t="shared" si="7"/>
        <v>0</v>
      </c>
      <c r="O24" s="50">
        <f>(I24-K24)*F24</f>
        <v>0</v>
      </c>
      <c r="P24" s="50">
        <f t="shared" si="6"/>
        <v>0</v>
      </c>
      <c r="Q24" s="50"/>
      <c r="R24" s="50"/>
      <c r="S24" s="52"/>
    </row>
    <row r="25" spans="1:21" s="2" customFormat="1" ht="33.75" customHeight="1">
      <c r="A25" s="87"/>
      <c r="B25" s="48" t="s">
        <v>2</v>
      </c>
      <c r="C25" s="49">
        <v>86630.05</v>
      </c>
      <c r="D25" s="49">
        <v>80344.399999999994</v>
      </c>
      <c r="E25" s="49">
        <v>74082.55</v>
      </c>
      <c r="F25" s="49">
        <v>79423.51999999999</v>
      </c>
      <c r="G25" s="50">
        <f t="shared" si="0"/>
        <v>320480.52</v>
      </c>
      <c r="H25" s="78">
        <f>H24</f>
        <v>120.07122136277778</v>
      </c>
      <c r="I25" s="78">
        <f>I24</f>
        <v>120.07122136277778</v>
      </c>
      <c r="J25" s="78">
        <f>52.18</f>
        <v>52.18</v>
      </c>
      <c r="K25" s="78">
        <f>J25*1.04</f>
        <v>54.267200000000003</v>
      </c>
      <c r="L25" s="50">
        <f>(H25-J25)*C25</f>
        <v>5881419.9012185065</v>
      </c>
      <c r="M25" s="50">
        <f t="shared" si="7"/>
        <v>5454679.445659562</v>
      </c>
      <c r="N25" s="50">
        <f t="shared" si="7"/>
        <v>4874929.7028090525</v>
      </c>
      <c r="O25" s="50">
        <f>(I25-K25)*F25</f>
        <v>5226387.0067870067</v>
      </c>
      <c r="P25" s="50">
        <f t="shared" si="6"/>
        <v>21437416.056474127</v>
      </c>
      <c r="Q25" s="50"/>
      <c r="R25" s="50"/>
      <c r="S25" s="52"/>
    </row>
    <row r="26" spans="1:21" s="62" customFormat="1" ht="33.75" customHeight="1">
      <c r="A26" s="87"/>
      <c r="B26" s="59" t="s">
        <v>4</v>
      </c>
      <c r="C26" s="60">
        <f>SUM(C23:C25)</f>
        <v>88712.55</v>
      </c>
      <c r="D26" s="60">
        <f>SUM(D23:D25)</f>
        <v>87975.4</v>
      </c>
      <c r="E26" s="60">
        <f>SUM(E23:E25)</f>
        <v>84282.25</v>
      </c>
      <c r="F26" s="60">
        <f>SUM(F23:F25)</f>
        <v>87612.51999999999</v>
      </c>
      <c r="G26" s="61">
        <f t="shared" si="0"/>
        <v>348582.72</v>
      </c>
      <c r="H26" s="72"/>
      <c r="I26" s="60"/>
      <c r="J26" s="60"/>
      <c r="K26" s="71"/>
      <c r="L26" s="70">
        <f>SUM(L23:L25)</f>
        <v>6013598.7197064916</v>
      </c>
      <c r="M26" s="70">
        <f>SUM(M23:M25)</f>
        <v>5939028.3358789189</v>
      </c>
      <c r="N26" s="70">
        <f>SUM(N23:N25)</f>
        <v>5499224.9985429775</v>
      </c>
      <c r="O26" s="70">
        <f>SUM(O23:O25)</f>
        <v>5727612.942526794</v>
      </c>
      <c r="P26" s="70">
        <f>SUM(P23:P25)</f>
        <v>23179464.996655181</v>
      </c>
      <c r="Q26" s="70">
        <f>'[1]Прогноз Газ 2020'!$R$24</f>
        <v>1837625.254833332</v>
      </c>
      <c r="R26" s="70">
        <f>O26/3</f>
        <v>1909204.3141755981</v>
      </c>
      <c r="S26" s="70">
        <f>P26+Q26-R26</f>
        <v>23107885.937312916</v>
      </c>
      <c r="T26" s="2"/>
    </row>
    <row r="27" spans="1:21" s="62" customFormat="1" ht="33.75" customHeight="1">
      <c r="A27" s="89" t="s">
        <v>27</v>
      </c>
      <c r="B27" s="90"/>
      <c r="C27" s="67">
        <f>C10+C14+C18+C22+C26</f>
        <v>3160606.33</v>
      </c>
      <c r="D27" s="67">
        <f>D10+D14+D18+D22+D26</f>
        <v>3286827.8000000003</v>
      </c>
      <c r="E27" s="67">
        <f>E10+E14+E18+E22+E26</f>
        <v>3284590.9899999998</v>
      </c>
      <c r="F27" s="67">
        <f>F10+F14+F18+F22+F26</f>
        <v>3215618.62</v>
      </c>
      <c r="G27" s="67">
        <f>G10+G14+G18+G22+G26</f>
        <v>12947643.74</v>
      </c>
      <c r="H27" s="67"/>
      <c r="I27" s="67"/>
      <c r="J27" s="67"/>
      <c r="K27" s="67"/>
      <c r="L27" s="73">
        <f t="shared" ref="L27:S27" si="8">L10+L14+L18+L22+L26</f>
        <v>46981862.891841598</v>
      </c>
      <c r="M27" s="73">
        <f t="shared" si="8"/>
        <v>50009835.720205002</v>
      </c>
      <c r="N27" s="73">
        <f t="shared" si="8"/>
        <v>42756984.354113944</v>
      </c>
      <c r="O27" s="73">
        <f t="shared" si="8"/>
        <v>42692247.123747684</v>
      </c>
      <c r="P27" s="73">
        <f t="shared" si="8"/>
        <v>182440930.08990818</v>
      </c>
      <c r="Q27" s="73">
        <f t="shared" si="8"/>
        <v>11786293.160466671</v>
      </c>
      <c r="R27" s="73">
        <f t="shared" si="8"/>
        <v>14230749.041249227</v>
      </c>
      <c r="S27" s="73">
        <f t="shared" si="8"/>
        <v>179996474.20912564</v>
      </c>
      <c r="T27" s="81"/>
    </row>
    <row r="28" spans="1:21" s="16" customFormat="1" ht="3" customHeight="1" outlineLevel="1">
      <c r="A28" s="8"/>
      <c r="B28" s="9"/>
      <c r="C28" s="10"/>
      <c r="D28" s="54"/>
      <c r="E28" s="10"/>
      <c r="F28" s="10"/>
      <c r="G28" s="10"/>
      <c r="H28" s="43"/>
      <c r="I28" s="43"/>
      <c r="J28" s="11"/>
      <c r="K28" s="11"/>
      <c r="L28" s="12"/>
      <c r="M28" s="12"/>
      <c r="N28" s="12"/>
      <c r="O28" s="12"/>
      <c r="P28" s="12"/>
      <c r="Q28" s="12"/>
      <c r="R28" s="12"/>
      <c r="S28" s="13"/>
      <c r="T28" s="14"/>
      <c r="U28" s="15"/>
    </row>
    <row r="29" spans="1:21" s="16" customFormat="1" ht="15" customHeight="1" outlineLevel="1">
      <c r="A29" s="8"/>
      <c r="B29" s="9"/>
      <c r="C29" s="10"/>
      <c r="D29" s="54"/>
      <c r="E29" s="10"/>
      <c r="F29" s="10"/>
      <c r="G29" s="10"/>
      <c r="H29" s="43"/>
      <c r="I29" s="43"/>
      <c r="J29" s="11"/>
      <c r="K29" s="11"/>
      <c r="L29" s="12"/>
      <c r="M29" s="12"/>
      <c r="N29" s="12"/>
      <c r="O29" s="12"/>
      <c r="P29" s="12"/>
      <c r="Q29" s="12"/>
      <c r="R29" s="12"/>
      <c r="S29" s="13"/>
      <c r="T29" s="14"/>
      <c r="U29" s="15"/>
    </row>
    <row r="30" spans="1:21" s="16" customFormat="1" ht="15" customHeight="1" outlineLevel="1">
      <c r="A30" s="8"/>
      <c r="B30" s="9"/>
      <c r="C30" s="10"/>
      <c r="D30" s="54"/>
      <c r="E30" s="10"/>
      <c r="F30" s="10"/>
      <c r="G30" s="10"/>
      <c r="H30" s="43"/>
      <c r="I30" s="43"/>
      <c r="J30" s="11"/>
      <c r="K30" s="11"/>
      <c r="L30" s="12"/>
      <c r="M30" s="12"/>
      <c r="N30" s="12"/>
      <c r="O30" s="12"/>
      <c r="P30" s="12"/>
      <c r="Q30" s="12"/>
      <c r="R30" s="12"/>
      <c r="S30" s="13"/>
      <c r="T30" s="14"/>
      <c r="U30" s="15"/>
    </row>
    <row r="31" spans="1:21" s="16" customFormat="1" ht="15" customHeight="1" outlineLevel="1">
      <c r="A31" s="8"/>
      <c r="B31" s="9"/>
      <c r="C31" s="10"/>
      <c r="D31" s="54"/>
      <c r="E31" s="10"/>
      <c r="F31" s="10"/>
      <c r="G31" s="10"/>
      <c r="H31" s="43"/>
      <c r="I31" s="43"/>
      <c r="J31" s="11"/>
      <c r="K31" s="11"/>
      <c r="L31" s="12"/>
      <c r="M31" s="12"/>
      <c r="N31" s="12"/>
      <c r="O31" s="12"/>
      <c r="P31" s="12"/>
      <c r="Q31" s="12"/>
      <c r="R31" s="12"/>
      <c r="S31" s="13"/>
      <c r="T31" s="14"/>
      <c r="U31" s="15"/>
    </row>
    <row r="32" spans="1:21" s="16" customFormat="1" ht="15" customHeight="1" outlineLevel="1">
      <c r="A32" s="8"/>
      <c r="B32" s="9"/>
      <c r="C32" s="10"/>
      <c r="D32" s="54"/>
      <c r="E32" s="10"/>
      <c r="F32" s="10"/>
      <c r="G32" s="10"/>
      <c r="H32" s="43"/>
      <c r="I32" s="43"/>
      <c r="J32" s="11"/>
      <c r="K32" s="11"/>
      <c r="L32" s="12"/>
      <c r="M32" s="12"/>
      <c r="N32" s="12"/>
      <c r="O32" s="12"/>
      <c r="P32" s="12"/>
      <c r="Q32" s="12"/>
      <c r="R32" s="12"/>
      <c r="S32" s="13"/>
      <c r="T32" s="14"/>
      <c r="U32" s="15"/>
    </row>
    <row r="33" spans="1:21" s="17" customFormat="1" ht="37.5" customHeight="1">
      <c r="A33" s="18"/>
      <c r="B33" s="19"/>
      <c r="C33" s="20"/>
      <c r="D33" s="55"/>
      <c r="E33" s="20"/>
      <c r="G33" s="88"/>
      <c r="H33" s="88"/>
      <c r="I33" s="88"/>
      <c r="J33" s="38"/>
      <c r="K33" s="38"/>
      <c r="L33" s="38"/>
      <c r="M33" s="39"/>
      <c r="N33" s="20"/>
      <c r="O33" s="20"/>
      <c r="P33" s="20"/>
      <c r="Q33" s="20"/>
      <c r="R33" s="18"/>
      <c r="S33" s="20"/>
      <c r="T33" s="14"/>
      <c r="U33" s="22"/>
    </row>
    <row r="34" spans="1:21" s="17" customFormat="1" ht="15" customHeight="1">
      <c r="A34" s="18"/>
      <c r="B34" s="19"/>
      <c r="C34" s="20"/>
      <c r="D34" s="55"/>
      <c r="E34" s="20"/>
      <c r="H34" s="44"/>
      <c r="I34" s="44"/>
      <c r="N34" s="4"/>
      <c r="O34" s="4"/>
      <c r="P34" s="4"/>
      <c r="Q34" s="4"/>
      <c r="R34" s="18"/>
      <c r="S34" s="4"/>
      <c r="T34" s="14"/>
      <c r="U34" s="21"/>
    </row>
    <row r="35" spans="1:21" s="17" customFormat="1" ht="15" customHeight="1">
      <c r="A35" s="28"/>
      <c r="D35" s="57"/>
      <c r="H35" s="44"/>
      <c r="I35" s="44"/>
      <c r="T35" s="14"/>
    </row>
    <row r="36" spans="1:21" s="17" customFormat="1" ht="15" customHeight="1">
      <c r="A36" s="28"/>
      <c r="D36" s="57"/>
      <c r="H36" s="44"/>
      <c r="I36" s="44"/>
      <c r="T36" s="14"/>
    </row>
    <row r="37" spans="1:21" s="17" customFormat="1" ht="13.5">
      <c r="D37" s="57"/>
      <c r="H37" s="44"/>
      <c r="I37" s="44"/>
      <c r="T37" s="14"/>
    </row>
    <row r="38" spans="1:21" s="17" customFormat="1" ht="13.5">
      <c r="D38" s="57"/>
      <c r="H38" s="44"/>
      <c r="I38" s="44"/>
      <c r="T38" s="14"/>
    </row>
    <row r="39" spans="1:21" s="17" customFormat="1" ht="13.5">
      <c r="D39" s="57"/>
      <c r="H39" s="44"/>
      <c r="I39" s="44"/>
      <c r="T39" s="14"/>
    </row>
    <row r="40" spans="1:21" s="17" customFormat="1" ht="13.5">
      <c r="D40" s="57"/>
      <c r="H40" s="44"/>
      <c r="I40" s="44"/>
      <c r="T40" s="14"/>
    </row>
    <row r="41" spans="1:21" s="17" customFormat="1" ht="13.5">
      <c r="D41" s="57"/>
      <c r="H41" s="44"/>
      <c r="I41" s="44"/>
      <c r="T41" s="14"/>
    </row>
    <row r="42" spans="1:21" s="17" customFormat="1" ht="13.5">
      <c r="D42" s="57"/>
      <c r="H42" s="44"/>
      <c r="I42" s="44"/>
      <c r="T42" s="14"/>
    </row>
    <row r="43" spans="1:21" s="17" customFormat="1" ht="13.5">
      <c r="D43" s="57"/>
      <c r="H43" s="44"/>
      <c r="I43" s="44"/>
      <c r="T43" s="14"/>
    </row>
    <row r="44" spans="1:21" s="17" customFormat="1" ht="13.5">
      <c r="D44" s="57"/>
      <c r="H44" s="44"/>
      <c r="I44" s="44"/>
      <c r="T44" s="14"/>
    </row>
    <row r="45" spans="1:21" s="17" customFormat="1" ht="13.5">
      <c r="D45" s="57"/>
      <c r="H45" s="44"/>
      <c r="I45" s="44"/>
      <c r="T45" s="14"/>
    </row>
    <row r="46" spans="1:21" s="17" customFormat="1" ht="13.5">
      <c r="D46" s="57"/>
      <c r="H46" s="44"/>
      <c r="I46" s="44"/>
      <c r="T46" s="14"/>
    </row>
    <row r="47" spans="1:21" s="17" customFormat="1" ht="13.5">
      <c r="D47" s="57"/>
      <c r="H47" s="44"/>
      <c r="I47" s="44"/>
      <c r="T47" s="14"/>
    </row>
    <row r="48" spans="1:21" s="17" customFormat="1" ht="13.5">
      <c r="D48" s="57"/>
      <c r="H48" s="44"/>
      <c r="I48" s="44"/>
      <c r="T48" s="14"/>
    </row>
    <row r="49" spans="2:9" s="17" customFormat="1">
      <c r="D49" s="57"/>
      <c r="H49" s="44"/>
      <c r="I49" s="44"/>
    </row>
    <row r="50" spans="2:9" s="17" customFormat="1">
      <c r="D50" s="57"/>
      <c r="H50" s="44"/>
      <c r="I50" s="44"/>
    </row>
    <row r="51" spans="2:9" s="17" customFormat="1">
      <c r="D51" s="57"/>
      <c r="H51" s="44"/>
      <c r="I51" s="44"/>
    </row>
    <row r="52" spans="2:9" s="17" customFormat="1">
      <c r="D52" s="57"/>
      <c r="H52" s="44"/>
      <c r="I52" s="44"/>
    </row>
    <row r="53" spans="2:9" s="17" customFormat="1">
      <c r="D53" s="57"/>
      <c r="H53" s="44"/>
      <c r="I53" s="44"/>
    </row>
    <row r="54" spans="2:9" s="17" customFormat="1">
      <c r="D54" s="57"/>
      <c r="H54" s="44"/>
      <c r="I54" s="44"/>
    </row>
    <row r="55" spans="2:9" s="17" customFormat="1">
      <c r="D55" s="57"/>
      <c r="H55" s="44"/>
      <c r="I55" s="44"/>
    </row>
    <row r="56" spans="2:9" s="17" customFormat="1">
      <c r="D56" s="57"/>
      <c r="H56" s="44"/>
      <c r="I56" s="44"/>
    </row>
    <row r="57" spans="2:9" s="17" customFormat="1">
      <c r="D57" s="57"/>
      <c r="H57" s="44"/>
      <c r="I57" s="44"/>
    </row>
    <row r="58" spans="2:9" s="17" customFormat="1">
      <c r="D58" s="57"/>
      <c r="H58" s="44"/>
      <c r="I58" s="44"/>
    </row>
    <row r="59" spans="2:9" s="17" customFormat="1" ht="15">
      <c r="B59" s="29"/>
      <c r="D59" s="57"/>
      <c r="H59" s="44"/>
      <c r="I59" s="44"/>
    </row>
    <row r="60" spans="2:9" s="17" customFormat="1" ht="15">
      <c r="B60" s="29"/>
      <c r="D60" s="57"/>
      <c r="H60" s="44"/>
      <c r="I60" s="44"/>
    </row>
    <row r="61" spans="2:9" s="17" customFormat="1">
      <c r="D61" s="57"/>
      <c r="H61" s="44"/>
      <c r="I61" s="44"/>
    </row>
    <row r="62" spans="2:9" s="17" customFormat="1">
      <c r="D62" s="57"/>
      <c r="H62" s="44"/>
      <c r="I62" s="44"/>
    </row>
    <row r="63" spans="2:9" s="17" customFormat="1">
      <c r="D63" s="57"/>
      <c r="H63" s="44"/>
      <c r="I63" s="44"/>
    </row>
    <row r="64" spans="2:9" s="17" customFormat="1">
      <c r="D64" s="57"/>
      <c r="H64" s="44"/>
      <c r="I64" s="44"/>
    </row>
    <row r="65" spans="4:9" s="17" customFormat="1">
      <c r="D65" s="57"/>
      <c r="H65" s="44"/>
      <c r="I65" s="44"/>
    </row>
    <row r="66" spans="4:9" s="17" customFormat="1">
      <c r="D66" s="57"/>
      <c r="H66" s="44"/>
      <c r="I66" s="44"/>
    </row>
    <row r="67" spans="4:9" s="17" customFormat="1">
      <c r="D67" s="57"/>
      <c r="H67" s="44"/>
      <c r="I67" s="44"/>
    </row>
    <row r="68" spans="4:9" s="17" customFormat="1">
      <c r="D68" s="57"/>
      <c r="H68" s="44"/>
      <c r="I68" s="44"/>
    </row>
    <row r="69" spans="4:9" s="17" customFormat="1">
      <c r="D69" s="57"/>
      <c r="H69" s="44"/>
      <c r="I69" s="44"/>
    </row>
    <row r="70" spans="4:9" s="17" customFormat="1">
      <c r="D70" s="57"/>
      <c r="H70" s="44"/>
      <c r="I70" s="44"/>
    </row>
    <row r="71" spans="4:9" s="17" customFormat="1">
      <c r="D71" s="57"/>
      <c r="H71" s="44"/>
      <c r="I71" s="44"/>
    </row>
    <row r="72" spans="4:9" s="17" customFormat="1">
      <c r="D72" s="57"/>
      <c r="H72" s="44"/>
      <c r="I72" s="44"/>
    </row>
    <row r="73" spans="4:9" s="17" customFormat="1">
      <c r="D73" s="57"/>
      <c r="H73" s="44"/>
      <c r="I73" s="44"/>
    </row>
    <row r="74" spans="4:9" s="17" customFormat="1">
      <c r="D74" s="57"/>
      <c r="H74" s="44"/>
      <c r="I74" s="44"/>
    </row>
    <row r="75" spans="4:9" s="17" customFormat="1">
      <c r="D75" s="57"/>
      <c r="H75" s="44"/>
      <c r="I75" s="44"/>
    </row>
    <row r="76" spans="4:9" s="17" customFormat="1">
      <c r="D76" s="57"/>
      <c r="H76" s="44"/>
      <c r="I76" s="44"/>
    </row>
    <row r="77" spans="4:9" s="17" customFormat="1">
      <c r="D77" s="57"/>
      <c r="H77" s="44"/>
      <c r="I77" s="44"/>
    </row>
    <row r="78" spans="4:9" s="17" customFormat="1">
      <c r="D78" s="57"/>
      <c r="H78" s="44"/>
      <c r="I78" s="44"/>
    </row>
    <row r="79" spans="4:9" s="17" customFormat="1">
      <c r="D79" s="57"/>
      <c r="H79" s="44"/>
      <c r="I79" s="44"/>
    </row>
    <row r="80" spans="4:9" s="17" customFormat="1">
      <c r="D80" s="57"/>
      <c r="H80" s="44"/>
      <c r="I80" s="44"/>
    </row>
    <row r="81" spans="4:9" s="17" customFormat="1">
      <c r="D81" s="57"/>
      <c r="H81" s="44"/>
      <c r="I81" s="44"/>
    </row>
    <row r="82" spans="4:9" s="17" customFormat="1">
      <c r="D82" s="57"/>
      <c r="H82" s="44"/>
      <c r="I82" s="44"/>
    </row>
    <row r="83" spans="4:9" s="17" customFormat="1">
      <c r="D83" s="57"/>
      <c r="H83" s="44"/>
      <c r="I83" s="44"/>
    </row>
    <row r="84" spans="4:9" s="17" customFormat="1">
      <c r="D84" s="57"/>
      <c r="H84" s="44"/>
      <c r="I84" s="44"/>
    </row>
    <row r="85" spans="4:9" s="17" customFormat="1">
      <c r="D85" s="57"/>
      <c r="H85" s="44"/>
      <c r="I85" s="44"/>
    </row>
    <row r="86" spans="4:9" s="17" customFormat="1">
      <c r="D86" s="57"/>
      <c r="H86" s="44"/>
      <c r="I86" s="44"/>
    </row>
    <row r="87" spans="4:9" s="17" customFormat="1">
      <c r="D87" s="57"/>
      <c r="H87" s="44"/>
      <c r="I87" s="44"/>
    </row>
    <row r="88" spans="4:9" s="17" customFormat="1">
      <c r="D88" s="57"/>
      <c r="H88" s="44"/>
      <c r="I88" s="44"/>
    </row>
    <row r="89" spans="4:9" s="17" customFormat="1">
      <c r="D89" s="57"/>
      <c r="H89" s="44"/>
      <c r="I89" s="44"/>
    </row>
    <row r="90" spans="4:9" s="17" customFormat="1">
      <c r="D90" s="57"/>
      <c r="H90" s="44"/>
      <c r="I90" s="44"/>
    </row>
    <row r="91" spans="4:9" s="17" customFormat="1">
      <c r="D91" s="57"/>
      <c r="H91" s="44"/>
      <c r="I91" s="44"/>
    </row>
    <row r="92" spans="4:9" s="17" customFormat="1">
      <c r="D92" s="57"/>
      <c r="H92" s="44"/>
      <c r="I92" s="44"/>
    </row>
    <row r="93" spans="4:9" s="17" customFormat="1">
      <c r="D93" s="57"/>
      <c r="H93" s="44"/>
      <c r="I93" s="44"/>
    </row>
    <row r="94" spans="4:9" s="17" customFormat="1">
      <c r="D94" s="57"/>
      <c r="H94" s="44"/>
      <c r="I94" s="44"/>
    </row>
    <row r="95" spans="4:9" s="17" customFormat="1">
      <c r="D95" s="57"/>
      <c r="H95" s="44"/>
      <c r="I95" s="44"/>
    </row>
    <row r="96" spans="4:9" s="17" customFormat="1">
      <c r="D96" s="57"/>
      <c r="H96" s="44"/>
      <c r="I96" s="44"/>
    </row>
    <row r="97" spans="4:9" s="17" customFormat="1">
      <c r="D97" s="57"/>
      <c r="H97" s="44"/>
      <c r="I97" s="44"/>
    </row>
    <row r="98" spans="4:9" s="17" customFormat="1">
      <c r="D98" s="57"/>
      <c r="H98" s="44"/>
      <c r="I98" s="44"/>
    </row>
    <row r="99" spans="4:9" s="17" customFormat="1">
      <c r="D99" s="57"/>
      <c r="H99" s="44"/>
      <c r="I99" s="44"/>
    </row>
    <row r="100" spans="4:9" s="17" customFormat="1">
      <c r="D100" s="57"/>
      <c r="H100" s="44"/>
      <c r="I100" s="44"/>
    </row>
    <row r="101" spans="4:9" s="17" customFormat="1">
      <c r="D101" s="57"/>
      <c r="H101" s="44"/>
      <c r="I101" s="44"/>
    </row>
    <row r="102" spans="4:9" s="17" customFormat="1">
      <c r="D102" s="57"/>
      <c r="H102" s="44"/>
      <c r="I102" s="44"/>
    </row>
    <row r="103" spans="4:9" s="17" customFormat="1">
      <c r="D103" s="57"/>
      <c r="H103" s="44"/>
      <c r="I103" s="44"/>
    </row>
    <row r="104" spans="4:9" s="17" customFormat="1">
      <c r="D104" s="57"/>
      <c r="H104" s="44"/>
      <c r="I104" s="44"/>
    </row>
    <row r="105" spans="4:9" s="17" customFormat="1">
      <c r="D105" s="57"/>
      <c r="H105" s="44"/>
      <c r="I105" s="44"/>
    </row>
    <row r="106" spans="4:9" s="17" customFormat="1">
      <c r="D106" s="57"/>
      <c r="H106" s="44"/>
      <c r="I106" s="44"/>
    </row>
    <row r="107" spans="4:9" s="17" customFormat="1">
      <c r="D107" s="57"/>
      <c r="H107" s="44"/>
      <c r="I107" s="44"/>
    </row>
    <row r="108" spans="4:9" s="17" customFormat="1">
      <c r="D108" s="57"/>
      <c r="H108" s="44"/>
      <c r="I108" s="44"/>
    </row>
    <row r="109" spans="4:9" s="17" customFormat="1">
      <c r="D109" s="57"/>
      <c r="H109" s="44"/>
      <c r="I109" s="44"/>
    </row>
    <row r="110" spans="4:9" s="17" customFormat="1">
      <c r="D110" s="57"/>
      <c r="H110" s="44"/>
      <c r="I110" s="44"/>
    </row>
    <row r="111" spans="4:9" s="17" customFormat="1">
      <c r="D111" s="57"/>
      <c r="H111" s="44"/>
      <c r="I111" s="44"/>
    </row>
    <row r="112" spans="4:9" s="17" customFormat="1">
      <c r="D112" s="57"/>
      <c r="H112" s="44"/>
      <c r="I112" s="44"/>
    </row>
    <row r="113" spans="4:9" s="17" customFormat="1">
      <c r="D113" s="57"/>
      <c r="H113" s="44"/>
      <c r="I113" s="44"/>
    </row>
    <row r="114" spans="4:9" s="17" customFormat="1">
      <c r="D114" s="57"/>
      <c r="H114" s="44"/>
      <c r="I114" s="44"/>
    </row>
    <row r="115" spans="4:9" s="17" customFormat="1">
      <c r="D115" s="57"/>
      <c r="H115" s="44"/>
      <c r="I115" s="44"/>
    </row>
    <row r="116" spans="4:9" s="17" customFormat="1">
      <c r="D116" s="57"/>
      <c r="H116" s="44"/>
      <c r="I116" s="44"/>
    </row>
    <row r="117" spans="4:9" s="17" customFormat="1">
      <c r="D117" s="57"/>
      <c r="H117" s="44"/>
      <c r="I117" s="44"/>
    </row>
    <row r="118" spans="4:9" s="17" customFormat="1">
      <c r="D118" s="57"/>
      <c r="H118" s="44"/>
      <c r="I118" s="44"/>
    </row>
    <row r="119" spans="4:9" s="17" customFormat="1">
      <c r="D119" s="57"/>
      <c r="H119" s="44"/>
      <c r="I119" s="44"/>
    </row>
    <row r="120" spans="4:9" s="17" customFormat="1">
      <c r="D120" s="57"/>
      <c r="H120" s="44"/>
      <c r="I120" s="44"/>
    </row>
    <row r="121" spans="4:9" s="17" customFormat="1">
      <c r="D121" s="57"/>
      <c r="H121" s="44"/>
      <c r="I121" s="44"/>
    </row>
    <row r="122" spans="4:9" s="17" customFormat="1">
      <c r="D122" s="57"/>
      <c r="H122" s="44"/>
      <c r="I122" s="44"/>
    </row>
    <row r="123" spans="4:9" s="17" customFormat="1">
      <c r="D123" s="57"/>
      <c r="H123" s="44"/>
      <c r="I123" s="44"/>
    </row>
    <row r="124" spans="4:9" s="17" customFormat="1">
      <c r="D124" s="57"/>
      <c r="H124" s="44"/>
      <c r="I124" s="44"/>
    </row>
    <row r="125" spans="4:9" s="17" customFormat="1">
      <c r="D125" s="57"/>
      <c r="H125" s="44"/>
      <c r="I125" s="44"/>
    </row>
    <row r="126" spans="4:9" s="17" customFormat="1">
      <c r="D126" s="57"/>
      <c r="H126" s="44"/>
      <c r="I126" s="44"/>
    </row>
    <row r="127" spans="4:9" s="17" customFormat="1">
      <c r="D127" s="57"/>
      <c r="H127" s="44"/>
      <c r="I127" s="44"/>
    </row>
    <row r="128" spans="4:9" s="17" customFormat="1">
      <c r="D128" s="57"/>
      <c r="H128" s="44"/>
      <c r="I128" s="44"/>
    </row>
    <row r="129" spans="4:9" s="17" customFormat="1">
      <c r="D129" s="57"/>
      <c r="H129" s="44"/>
      <c r="I129" s="44"/>
    </row>
    <row r="130" spans="4:9" s="17" customFormat="1">
      <c r="D130" s="57"/>
      <c r="H130" s="44"/>
      <c r="I130" s="44"/>
    </row>
    <row r="131" spans="4:9" s="17" customFormat="1">
      <c r="D131" s="57"/>
      <c r="H131" s="44"/>
      <c r="I131" s="44"/>
    </row>
    <row r="132" spans="4:9" s="17" customFormat="1">
      <c r="D132" s="57"/>
      <c r="H132" s="44"/>
      <c r="I132" s="44"/>
    </row>
    <row r="133" spans="4:9" s="17" customFormat="1">
      <c r="D133" s="57"/>
      <c r="H133" s="44"/>
      <c r="I133" s="44"/>
    </row>
    <row r="134" spans="4:9" s="17" customFormat="1">
      <c r="D134" s="57"/>
      <c r="H134" s="44"/>
      <c r="I134" s="44"/>
    </row>
    <row r="135" spans="4:9" s="17" customFormat="1">
      <c r="D135" s="57"/>
      <c r="H135" s="44"/>
      <c r="I135" s="44"/>
    </row>
    <row r="136" spans="4:9" s="17" customFormat="1">
      <c r="D136" s="57"/>
      <c r="H136" s="44"/>
      <c r="I136" s="44"/>
    </row>
    <row r="137" spans="4:9" s="17" customFormat="1">
      <c r="D137" s="57"/>
      <c r="H137" s="44"/>
      <c r="I137" s="44"/>
    </row>
    <row r="138" spans="4:9" s="17" customFormat="1">
      <c r="D138" s="57"/>
      <c r="H138" s="44"/>
      <c r="I138" s="44"/>
    </row>
    <row r="139" spans="4:9" s="17" customFormat="1">
      <c r="D139" s="57"/>
      <c r="H139" s="44"/>
      <c r="I139" s="44"/>
    </row>
    <row r="140" spans="4:9" s="17" customFormat="1">
      <c r="D140" s="57"/>
      <c r="H140" s="44"/>
      <c r="I140" s="44"/>
    </row>
    <row r="141" spans="4:9" s="17" customFormat="1">
      <c r="D141" s="57"/>
      <c r="H141" s="44"/>
      <c r="I141" s="44"/>
    </row>
    <row r="142" spans="4:9" s="17" customFormat="1">
      <c r="D142" s="57"/>
      <c r="H142" s="44"/>
      <c r="I142" s="44"/>
    </row>
    <row r="143" spans="4:9" s="17" customFormat="1">
      <c r="D143" s="57"/>
      <c r="H143" s="44"/>
      <c r="I143" s="44"/>
    </row>
    <row r="144" spans="4:9" s="17" customFormat="1">
      <c r="D144" s="57"/>
      <c r="H144" s="44"/>
      <c r="I144" s="44"/>
    </row>
    <row r="145" spans="4:9" s="17" customFormat="1">
      <c r="D145" s="57"/>
      <c r="H145" s="44"/>
      <c r="I145" s="44"/>
    </row>
    <row r="146" spans="4:9" s="17" customFormat="1">
      <c r="D146" s="57"/>
      <c r="H146" s="44"/>
      <c r="I146" s="44"/>
    </row>
    <row r="147" spans="4:9" s="17" customFormat="1">
      <c r="D147" s="57"/>
      <c r="H147" s="44"/>
      <c r="I147" s="44"/>
    </row>
    <row r="148" spans="4:9" s="17" customFormat="1">
      <c r="D148" s="57"/>
      <c r="H148" s="44"/>
      <c r="I148" s="44"/>
    </row>
    <row r="149" spans="4:9" s="17" customFormat="1">
      <c r="D149" s="57"/>
      <c r="H149" s="44"/>
      <c r="I149" s="44"/>
    </row>
    <row r="150" spans="4:9" s="17" customFormat="1">
      <c r="D150" s="57"/>
      <c r="H150" s="44"/>
      <c r="I150" s="44"/>
    </row>
    <row r="151" spans="4:9" s="17" customFormat="1">
      <c r="D151" s="57"/>
      <c r="H151" s="44"/>
      <c r="I151" s="44"/>
    </row>
    <row r="152" spans="4:9" s="17" customFormat="1">
      <c r="D152" s="57"/>
      <c r="H152" s="44"/>
      <c r="I152" s="44"/>
    </row>
    <row r="153" spans="4:9" s="17" customFormat="1">
      <c r="D153" s="57"/>
      <c r="H153" s="44"/>
      <c r="I153" s="44"/>
    </row>
  </sheetData>
  <mergeCells count="17">
    <mergeCell ref="A19:A22"/>
    <mergeCell ref="J5:K5"/>
    <mergeCell ref="C3:G3"/>
    <mergeCell ref="L5:P5"/>
    <mergeCell ref="A7:A10"/>
    <mergeCell ref="A11:A14"/>
    <mergeCell ref="A15:A18"/>
    <mergeCell ref="R5:R6"/>
    <mergeCell ref="S5:S6"/>
    <mergeCell ref="C5:G5"/>
    <mergeCell ref="A23:A26"/>
    <mergeCell ref="G33:I33"/>
    <mergeCell ref="Q5:Q6"/>
    <mergeCell ref="A5:A6"/>
    <mergeCell ref="B5:B6"/>
    <mergeCell ref="A27:B27"/>
    <mergeCell ref="H5:I5"/>
  </mergeCells>
  <pageMargins left="0.35433070866141736" right="0.23622047244094491" top="0.62992125984251968" bottom="0.39370078740157483" header="0" footer="0.19685039370078741"/>
  <pageSetup paperSize="9" scale="54" fitToHeight="2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U161"/>
  <sheetViews>
    <sheetView view="pageBreakPreview" zoomScale="60" zoomScaleNormal="70" workbookViewId="0">
      <pane xSplit="1" ySplit="5" topLeftCell="C15" activePane="bottomRight" state="frozen"/>
      <selection pane="topRight" activeCell="B1" sqref="B1"/>
      <selection pane="bottomLeft" activeCell="A5" sqref="A5"/>
      <selection pane="bottomRight" activeCell="C2" sqref="C2:G2"/>
    </sheetView>
  </sheetViews>
  <sheetFormatPr defaultRowHeight="12.75" outlineLevelRow="1"/>
  <cols>
    <col min="1" max="1" width="30" style="4" customWidth="1"/>
    <col min="2" max="2" width="68.28515625" style="4" customWidth="1"/>
    <col min="3" max="3" width="22" style="4" customWidth="1"/>
    <col min="4" max="4" width="21" style="58" customWidth="1"/>
    <col min="5" max="5" width="21" style="4" customWidth="1"/>
    <col min="6" max="6" width="21.42578125" style="4" customWidth="1"/>
    <col min="7" max="7" width="22.42578125" style="4" customWidth="1"/>
    <col min="8" max="8" width="14.85546875" style="47" customWidth="1"/>
    <col min="9" max="9" width="15.7109375" style="47" customWidth="1"/>
    <col min="10" max="10" width="15.28515625" style="4" customWidth="1"/>
    <col min="11" max="11" width="15.5703125" style="4" customWidth="1"/>
    <col min="12" max="15" width="20.85546875" style="4" customWidth="1"/>
    <col min="16" max="16" width="22" style="4" customWidth="1"/>
    <col min="17" max="17" width="21.5703125" style="4" customWidth="1"/>
    <col min="18" max="18" width="21.85546875" style="4" customWidth="1"/>
    <col min="19" max="19" width="25.42578125" style="4" customWidth="1"/>
    <col min="20" max="20" width="14.140625" style="6" customWidth="1"/>
    <col min="21" max="16384" width="9.140625" style="6"/>
  </cols>
  <sheetData>
    <row r="1" spans="1:20" ht="25.5" customHeight="1"/>
    <row r="2" spans="1:20" s="5" customFormat="1" ht="93.75" customHeight="1">
      <c r="B2" s="82"/>
      <c r="C2" s="91" t="s">
        <v>25</v>
      </c>
      <c r="D2" s="91"/>
      <c r="E2" s="91"/>
      <c r="F2" s="91"/>
      <c r="G2" s="91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ht="15">
      <c r="A3" s="7"/>
      <c r="B3" s="1"/>
      <c r="C3" s="3"/>
      <c r="D3" s="53"/>
      <c r="E3" s="3"/>
      <c r="F3" s="3"/>
      <c r="G3" s="3"/>
      <c r="H3" s="42"/>
      <c r="I3" s="42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s="63" customFormat="1" ht="90" customHeight="1">
      <c r="A4" s="83" t="s">
        <v>3</v>
      </c>
      <c r="B4" s="83" t="s">
        <v>23</v>
      </c>
      <c r="C4" s="84" t="s">
        <v>22</v>
      </c>
      <c r="D4" s="85"/>
      <c r="E4" s="85"/>
      <c r="F4" s="85"/>
      <c r="G4" s="86"/>
      <c r="H4" s="86" t="s">
        <v>7</v>
      </c>
      <c r="I4" s="83"/>
      <c r="J4" s="83" t="s">
        <v>8</v>
      </c>
      <c r="K4" s="83"/>
      <c r="L4" s="83" t="s">
        <v>21</v>
      </c>
      <c r="M4" s="83"/>
      <c r="N4" s="83"/>
      <c r="O4" s="83"/>
      <c r="P4" s="83"/>
      <c r="Q4" s="83" t="s">
        <v>26</v>
      </c>
      <c r="R4" s="83" t="s">
        <v>33</v>
      </c>
      <c r="S4" s="83" t="s">
        <v>24</v>
      </c>
    </row>
    <row r="5" spans="1:20" s="63" customFormat="1" ht="46.5" customHeight="1">
      <c r="A5" s="83"/>
      <c r="B5" s="83"/>
      <c r="C5" s="64" t="s">
        <v>16</v>
      </c>
      <c r="D5" s="64" t="s">
        <v>17</v>
      </c>
      <c r="E5" s="64" t="s">
        <v>18</v>
      </c>
      <c r="F5" s="64" t="s">
        <v>19</v>
      </c>
      <c r="G5" s="65" t="s">
        <v>10</v>
      </c>
      <c r="H5" s="66" t="s">
        <v>11</v>
      </c>
      <c r="I5" s="64" t="s">
        <v>12</v>
      </c>
      <c r="J5" s="64" t="s">
        <v>11</v>
      </c>
      <c r="K5" s="64" t="s">
        <v>12</v>
      </c>
      <c r="L5" s="64" t="s">
        <v>16</v>
      </c>
      <c r="M5" s="64" t="s">
        <v>17</v>
      </c>
      <c r="N5" s="64" t="s">
        <v>18</v>
      </c>
      <c r="O5" s="64" t="s">
        <v>19</v>
      </c>
      <c r="P5" s="64" t="s">
        <v>10</v>
      </c>
      <c r="Q5" s="83"/>
      <c r="R5" s="83"/>
      <c r="S5" s="83"/>
    </row>
    <row r="6" spans="1:20" s="2" customFormat="1" ht="33.75" customHeight="1">
      <c r="A6" s="87" t="s">
        <v>6</v>
      </c>
      <c r="B6" s="48" t="s">
        <v>0</v>
      </c>
      <c r="C6" s="49">
        <v>119000</v>
      </c>
      <c r="D6" s="49">
        <v>153100</v>
      </c>
      <c r="E6" s="49">
        <f>180300+131700</f>
        <v>312000</v>
      </c>
      <c r="F6" s="49">
        <f>116000+109000</f>
        <v>225000</v>
      </c>
      <c r="G6" s="50">
        <f t="shared" ref="G6:G25" si="0">C6+D6+E6+F6</f>
        <v>809100</v>
      </c>
      <c r="H6" s="78">
        <f>'2021'!I7*1.04</f>
        <v>54.979567528209763</v>
      </c>
      <c r="I6" s="78">
        <f>H6</f>
        <v>54.979567528209763</v>
      </c>
      <c r="J6" s="78">
        <f>'2021'!K7</f>
        <v>49.053333333333342</v>
      </c>
      <c r="K6" s="78">
        <f>J6*1.04</f>
        <v>51.015466666666676</v>
      </c>
      <c r="L6" s="50">
        <f>(H6-J6)*C6</f>
        <v>705221.86919029418</v>
      </c>
      <c r="M6" s="50">
        <f t="shared" ref="M6:N8" si="1">(H6-J6)*D6</f>
        <v>907306.45523558022</v>
      </c>
      <c r="N6" s="50">
        <f t="shared" si="1"/>
        <v>1236799.4688014435</v>
      </c>
      <c r="O6" s="50">
        <f>(I6-K6)*F6</f>
        <v>891922.69384719478</v>
      </c>
      <c r="P6" s="50">
        <f t="shared" ref="P6:P24" si="2">SUM(L6:O6)</f>
        <v>3741250.4870745125</v>
      </c>
      <c r="Q6" s="50"/>
      <c r="R6" s="50"/>
      <c r="S6" s="50"/>
    </row>
    <row r="7" spans="1:20" s="2" customFormat="1" ht="33.75" customHeight="1">
      <c r="A7" s="87"/>
      <c r="B7" s="48" t="s">
        <v>1</v>
      </c>
      <c r="C7" s="49">
        <v>0</v>
      </c>
      <c r="D7" s="49">
        <v>0</v>
      </c>
      <c r="E7" s="49">
        <v>0</v>
      </c>
      <c r="F7" s="49">
        <v>0</v>
      </c>
      <c r="G7" s="50">
        <f t="shared" si="0"/>
        <v>0</v>
      </c>
      <c r="H7" s="78">
        <f>'2021'!I8*1.04</f>
        <v>54.979567528209763</v>
      </c>
      <c r="I7" s="78">
        <f t="shared" ref="I7:I24" si="3">H7</f>
        <v>54.979567528209763</v>
      </c>
      <c r="J7" s="78">
        <f>'2021'!K8</f>
        <v>47.354666666666674</v>
      </c>
      <c r="K7" s="78">
        <f t="shared" ref="K7:K24" si="4">J7*1.04</f>
        <v>49.248853333333344</v>
      </c>
      <c r="L7" s="50">
        <f>(H7-J7)*C7</f>
        <v>0</v>
      </c>
      <c r="M7" s="50">
        <f t="shared" si="1"/>
        <v>0</v>
      </c>
      <c r="N7" s="50">
        <f t="shared" si="1"/>
        <v>0</v>
      </c>
      <c r="O7" s="50">
        <f>(I7-K7)*F7</f>
        <v>0</v>
      </c>
      <c r="P7" s="50">
        <f t="shared" si="2"/>
        <v>0</v>
      </c>
      <c r="Q7" s="50"/>
      <c r="R7" s="50"/>
      <c r="S7" s="50"/>
    </row>
    <row r="8" spans="1:20" s="2" customFormat="1" ht="33.75" customHeight="1">
      <c r="A8" s="87"/>
      <c r="B8" s="48" t="s">
        <v>2</v>
      </c>
      <c r="C8" s="49">
        <f>2507200*0+2700900</f>
        <v>2700900</v>
      </c>
      <c r="D8" s="49">
        <v>2713900</v>
      </c>
      <c r="E8" s="49">
        <v>2541900</v>
      </c>
      <c r="F8" s="49">
        <v>2605500</v>
      </c>
      <c r="G8" s="50">
        <f t="shared" si="0"/>
        <v>10562200</v>
      </c>
      <c r="H8" s="78">
        <f>'2021'!I9*1.04</f>
        <v>54.979567528209763</v>
      </c>
      <c r="I8" s="78">
        <f t="shared" si="3"/>
        <v>54.979567528209763</v>
      </c>
      <c r="J8" s="78">
        <f>'2021'!K9</f>
        <v>45.222666666666669</v>
      </c>
      <c r="K8" s="78">
        <f t="shared" si="4"/>
        <v>47.031573333333334</v>
      </c>
      <c r="L8" s="50">
        <f>(H8-J8)*C8</f>
        <v>26352413.536941744</v>
      </c>
      <c r="M8" s="50">
        <f t="shared" si="1"/>
        <v>26479253.248141803</v>
      </c>
      <c r="N8" s="50">
        <f t="shared" si="1"/>
        <v>20203006.443956394</v>
      </c>
      <c r="O8" s="50">
        <f>(I8-K8)*F8</f>
        <v>20708498.874750536</v>
      </c>
      <c r="P8" s="50">
        <f t="shared" si="2"/>
        <v>93743172.103790477</v>
      </c>
      <c r="Q8" s="50"/>
      <c r="R8" s="50"/>
      <c r="S8" s="50"/>
    </row>
    <row r="9" spans="1:20" s="62" customFormat="1" ht="33.75" customHeight="1">
      <c r="A9" s="87"/>
      <c r="B9" s="59" t="s">
        <v>4</v>
      </c>
      <c r="C9" s="60">
        <f>SUM(C6:C8)</f>
        <v>2819900</v>
      </c>
      <c r="D9" s="60">
        <f>SUM(D6:D8)</f>
        <v>2867000</v>
      </c>
      <c r="E9" s="60">
        <f>SUM(E6:E8)</f>
        <v>2853900</v>
      </c>
      <c r="F9" s="60">
        <f>SUM(F6:F8)</f>
        <v>2830500</v>
      </c>
      <c r="G9" s="61">
        <f t="shared" si="0"/>
        <v>11371300</v>
      </c>
      <c r="H9" s="78"/>
      <c r="I9" s="78"/>
      <c r="J9" s="78"/>
      <c r="K9" s="78"/>
      <c r="L9" s="70">
        <f>SUM(L6:L8)</f>
        <v>27057635.406132039</v>
      </c>
      <c r="M9" s="70">
        <f>SUM(M6:M8)</f>
        <v>27386559.703377385</v>
      </c>
      <c r="N9" s="70">
        <f>SUM(N6:N8)</f>
        <v>21439805.912757836</v>
      </c>
      <c r="O9" s="70">
        <f>SUM(O6:O8)</f>
        <v>21600421.56859773</v>
      </c>
      <c r="P9" s="70">
        <f>SUM(P6:P8)</f>
        <v>97484422.590864986</v>
      </c>
      <c r="Q9" s="70">
        <f>'2021'!R10</f>
        <v>6923212.04121722</v>
      </c>
      <c r="R9" s="70">
        <f>O9/3</f>
        <v>7200140.5228659101</v>
      </c>
      <c r="S9" s="70">
        <f>P9+Q9-R9</f>
        <v>97207494.109216303</v>
      </c>
      <c r="T9" s="2"/>
    </row>
    <row r="10" spans="1:20" s="2" customFormat="1" ht="33.75" customHeight="1">
      <c r="A10" s="87" t="s">
        <v>5</v>
      </c>
      <c r="B10" s="48" t="s">
        <v>0</v>
      </c>
      <c r="C10" s="49">
        <v>39315</v>
      </c>
      <c r="D10" s="49">
        <v>79175</v>
      </c>
      <c r="E10" s="49">
        <f>74678+32091</f>
        <v>106769</v>
      </c>
      <c r="F10" s="49">
        <f>42829+26575</f>
        <v>69404</v>
      </c>
      <c r="G10" s="50">
        <f t="shared" si="0"/>
        <v>294663</v>
      </c>
      <c r="H10" s="78">
        <f>'2021'!I11*1.04</f>
        <v>69.514238466165409</v>
      </c>
      <c r="I10" s="78">
        <f t="shared" si="3"/>
        <v>69.514238466165409</v>
      </c>
      <c r="J10" s="78">
        <f>'2021'!K11</f>
        <v>49.053333333333342</v>
      </c>
      <c r="K10" s="78">
        <f t="shared" si="4"/>
        <v>51.015466666666676</v>
      </c>
      <c r="L10" s="50">
        <f>(H10-J10)*C10</f>
        <v>804420.4852972927</v>
      </c>
      <c r="M10" s="50">
        <f t="shared" ref="M10:N12" si="5">(H10-J10)*D10</f>
        <v>1619992.163891979</v>
      </c>
      <c r="N10" s="50">
        <f t="shared" si="5"/>
        <v>1975095.3662606804</v>
      </c>
      <c r="O10" s="50">
        <f>(I10-K10)*F10</f>
        <v>1283888.7579724102</v>
      </c>
      <c r="P10" s="50">
        <f t="shared" si="2"/>
        <v>5683396.7734223623</v>
      </c>
      <c r="Q10" s="50"/>
      <c r="R10" s="50"/>
      <c r="S10" s="50"/>
    </row>
    <row r="11" spans="1:20" s="2" customFormat="1" ht="33.75" customHeight="1">
      <c r="A11" s="87"/>
      <c r="B11" s="48" t="s">
        <v>1</v>
      </c>
      <c r="C11" s="49">
        <v>53979</v>
      </c>
      <c r="D11" s="49">
        <v>75847</v>
      </c>
      <c r="E11" s="49">
        <v>75987</v>
      </c>
      <c r="F11" s="49">
        <v>56208</v>
      </c>
      <c r="G11" s="50">
        <f t="shared" si="0"/>
        <v>262021</v>
      </c>
      <c r="H11" s="78">
        <f>'2021'!I12*1.04</f>
        <v>69.514238466165409</v>
      </c>
      <c r="I11" s="78">
        <f t="shared" si="3"/>
        <v>69.514238466165409</v>
      </c>
      <c r="J11" s="78">
        <f>'2021'!K12</f>
        <v>47.354666666666674</v>
      </c>
      <c r="K11" s="78">
        <f t="shared" si="4"/>
        <v>49.248853333333344</v>
      </c>
      <c r="L11" s="50">
        <f>(H11-J11)*C11</f>
        <v>1196151.5261651422</v>
      </c>
      <c r="M11" s="50">
        <f t="shared" si="5"/>
        <v>1680737.0422765806</v>
      </c>
      <c r="N11" s="50">
        <f t="shared" si="5"/>
        <v>1539905.8200885102</v>
      </c>
      <c r="O11" s="50">
        <f>(I11-K11)*F11</f>
        <v>1139076.7675462246</v>
      </c>
      <c r="P11" s="50">
        <f t="shared" si="2"/>
        <v>5555871.1560764574</v>
      </c>
      <c r="Q11" s="50"/>
      <c r="R11" s="50"/>
      <c r="S11" s="50"/>
    </row>
    <row r="12" spans="1:20" s="2" customFormat="1" ht="33.75" customHeight="1">
      <c r="A12" s="87"/>
      <c r="B12" s="48" t="s">
        <v>2</v>
      </c>
      <c r="C12" s="49">
        <v>4232.45</v>
      </c>
      <c r="D12" s="49">
        <v>3725.6800000000003</v>
      </c>
      <c r="E12" s="49">
        <v>3700.03</v>
      </c>
      <c r="F12" s="49">
        <v>3632.79</v>
      </c>
      <c r="G12" s="50">
        <f t="shared" si="0"/>
        <v>15290.95</v>
      </c>
      <c r="H12" s="78">
        <f>'2021'!I13*1.04</f>
        <v>69.514238466165409</v>
      </c>
      <c r="I12" s="78">
        <f t="shared" si="3"/>
        <v>69.514238466165409</v>
      </c>
      <c r="J12" s="78">
        <f>'2021'!K13</f>
        <v>45.222666666666669</v>
      </c>
      <c r="K12" s="78">
        <f t="shared" si="4"/>
        <v>47.031573333333334</v>
      </c>
      <c r="L12" s="50">
        <f>(H12-J12)*C12</f>
        <v>102812.86306278844</v>
      </c>
      <c r="M12" s="50">
        <f t="shared" si="5"/>
        <v>90502.62322195647</v>
      </c>
      <c r="N12" s="50">
        <f t="shared" si="5"/>
        <v>83186.535471432668</v>
      </c>
      <c r="O12" s="50">
        <f>(I12-K12)*F12</f>
        <v>81674.801067901033</v>
      </c>
      <c r="P12" s="50">
        <f t="shared" si="2"/>
        <v>358176.82282407861</v>
      </c>
      <c r="Q12" s="50"/>
      <c r="R12" s="50"/>
      <c r="S12" s="50"/>
    </row>
    <row r="13" spans="1:20" s="62" customFormat="1" ht="33.75" customHeight="1">
      <c r="A13" s="87"/>
      <c r="B13" s="59" t="s">
        <v>4</v>
      </c>
      <c r="C13" s="60">
        <f>SUM(C10:C12)</f>
        <v>97526.45</v>
      </c>
      <c r="D13" s="60">
        <f>SUM(D10:D12)</f>
        <v>158747.68</v>
      </c>
      <c r="E13" s="60">
        <f>SUM(E10:E12)</f>
        <v>186456.03</v>
      </c>
      <c r="F13" s="60">
        <f>SUM(F10:F12)</f>
        <v>129244.79</v>
      </c>
      <c r="G13" s="61">
        <f t="shared" si="0"/>
        <v>571974.95000000007</v>
      </c>
      <c r="H13" s="78"/>
      <c r="I13" s="78"/>
      <c r="J13" s="78"/>
      <c r="K13" s="78"/>
      <c r="L13" s="70">
        <f>SUM(L10:L12)</f>
        <v>2103384.8745252234</v>
      </c>
      <c r="M13" s="70">
        <f>SUM(M10:M12)</f>
        <v>3391231.829390516</v>
      </c>
      <c r="N13" s="70">
        <f>SUM(N10:N12)</f>
        <v>3598187.7218206236</v>
      </c>
      <c r="O13" s="70">
        <f>SUM(O10:O12)</f>
        <v>2504640.3265865357</v>
      </c>
      <c r="P13" s="70">
        <f>SUM(P10:P12)</f>
        <v>11597444.752322897</v>
      </c>
      <c r="Q13" s="70">
        <f>'2021'!R14</f>
        <v>802769.33544440253</v>
      </c>
      <c r="R13" s="70">
        <f>O13/3</f>
        <v>834880.10886217852</v>
      </c>
      <c r="S13" s="70">
        <f>P13+Q13-R13</f>
        <v>11565333.978905121</v>
      </c>
      <c r="T13" s="2"/>
    </row>
    <row r="14" spans="1:20" s="2" customFormat="1" ht="33.75" customHeight="1">
      <c r="A14" s="87" t="s">
        <v>31</v>
      </c>
      <c r="B14" s="48" t="s">
        <v>0</v>
      </c>
      <c r="C14" s="49">
        <v>3675</v>
      </c>
      <c r="D14" s="49">
        <v>5103</v>
      </c>
      <c r="E14" s="49">
        <v>7573</v>
      </c>
      <c r="F14" s="49">
        <v>5418</v>
      </c>
      <c r="G14" s="50">
        <f t="shared" si="0"/>
        <v>21769</v>
      </c>
      <c r="H14" s="78">
        <f>'2021'!I15*1.04</f>
        <v>173.12630058726609</v>
      </c>
      <c r="I14" s="78">
        <f t="shared" si="3"/>
        <v>173.12630058726609</v>
      </c>
      <c r="J14" s="78">
        <f>'2021'!K15</f>
        <v>58.864000000000004</v>
      </c>
      <c r="K14" s="78">
        <f t="shared" si="4"/>
        <v>61.218560000000004</v>
      </c>
      <c r="L14" s="50">
        <f>(H14-J14)*C14</f>
        <v>419913.95465820283</v>
      </c>
      <c r="M14" s="50">
        <f t="shared" ref="M14:N16" si="6">(H14-J14)*D14</f>
        <v>583080.51989681879</v>
      </c>
      <c r="N14" s="50">
        <f t="shared" si="6"/>
        <v>847477.31946736609</v>
      </c>
      <c r="O14" s="50">
        <f>(I14-K14)*F14</f>
        <v>606316.1385018077</v>
      </c>
      <c r="P14" s="50">
        <f t="shared" si="2"/>
        <v>2456787.9325241954</v>
      </c>
      <c r="Q14" s="50"/>
      <c r="R14" s="50"/>
      <c r="S14" s="50"/>
    </row>
    <row r="15" spans="1:20" s="2" customFormat="1" ht="33.75" customHeight="1">
      <c r="A15" s="87"/>
      <c r="B15" s="48" t="s">
        <v>1</v>
      </c>
      <c r="C15" s="49">
        <v>0</v>
      </c>
      <c r="D15" s="49">
        <v>0</v>
      </c>
      <c r="E15" s="49">
        <v>0</v>
      </c>
      <c r="F15" s="49">
        <v>0</v>
      </c>
      <c r="G15" s="50">
        <f t="shared" si="0"/>
        <v>0</v>
      </c>
      <c r="H15" s="78">
        <f>'2021'!I16*1.04</f>
        <v>173.12630058726609</v>
      </c>
      <c r="I15" s="78">
        <f t="shared" si="3"/>
        <v>173.12630058726609</v>
      </c>
      <c r="J15" s="78">
        <f>'2021'!K16</f>
        <v>56.825600000000001</v>
      </c>
      <c r="K15" s="78">
        <f t="shared" si="4"/>
        <v>59.098624000000001</v>
      </c>
      <c r="L15" s="50">
        <f>(H15-J15)*C15</f>
        <v>0</v>
      </c>
      <c r="M15" s="50">
        <f t="shared" si="6"/>
        <v>0</v>
      </c>
      <c r="N15" s="50">
        <f t="shared" si="6"/>
        <v>0</v>
      </c>
      <c r="O15" s="50">
        <f>(I15-K15)*F15</f>
        <v>0</v>
      </c>
      <c r="P15" s="50">
        <f t="shared" si="2"/>
        <v>0</v>
      </c>
      <c r="Q15" s="50"/>
      <c r="R15" s="50"/>
      <c r="S15" s="50"/>
    </row>
    <row r="16" spans="1:20" s="2" customFormat="1" ht="33.75" customHeight="1">
      <c r="A16" s="87"/>
      <c r="B16" s="48" t="s">
        <v>2</v>
      </c>
      <c r="C16" s="49">
        <v>0</v>
      </c>
      <c r="D16" s="49">
        <v>0</v>
      </c>
      <c r="E16" s="49">
        <v>0</v>
      </c>
      <c r="F16" s="49">
        <v>0</v>
      </c>
      <c r="G16" s="50">
        <f t="shared" si="0"/>
        <v>0</v>
      </c>
      <c r="H16" s="78">
        <f>'2021'!I17*1.04</f>
        <v>173.12630058726609</v>
      </c>
      <c r="I16" s="78">
        <f t="shared" si="3"/>
        <v>173.12630058726609</v>
      </c>
      <c r="J16" s="78">
        <f>'2021'!K17</f>
        <v>54.267200000000003</v>
      </c>
      <c r="K16" s="78">
        <f t="shared" si="4"/>
        <v>56.437888000000008</v>
      </c>
      <c r="L16" s="50">
        <f>(H16-J16)*C16</f>
        <v>0</v>
      </c>
      <c r="M16" s="50">
        <f t="shared" si="6"/>
        <v>0</v>
      </c>
      <c r="N16" s="50">
        <f t="shared" si="6"/>
        <v>0</v>
      </c>
      <c r="O16" s="50">
        <f>(I16-K16)*F16</f>
        <v>0</v>
      </c>
      <c r="P16" s="50">
        <f t="shared" si="2"/>
        <v>0</v>
      </c>
      <c r="Q16" s="50"/>
      <c r="R16" s="50"/>
      <c r="S16" s="50"/>
    </row>
    <row r="17" spans="1:21" s="2" customFormat="1" ht="33.75" customHeight="1">
      <c r="A17" s="87"/>
      <c r="B17" s="59" t="s">
        <v>4</v>
      </c>
      <c r="C17" s="60">
        <f>SUM(C14:C16)</f>
        <v>3675</v>
      </c>
      <c r="D17" s="60">
        <f>SUM(D14:D16)</f>
        <v>5103</v>
      </c>
      <c r="E17" s="60">
        <f>SUM(E14:E16)</f>
        <v>7573</v>
      </c>
      <c r="F17" s="60">
        <f>SUM(F14:F16)</f>
        <v>5418</v>
      </c>
      <c r="G17" s="61">
        <f t="shared" si="0"/>
        <v>21769</v>
      </c>
      <c r="H17" s="78"/>
      <c r="I17" s="78"/>
      <c r="J17" s="78"/>
      <c r="K17" s="78"/>
      <c r="L17" s="52">
        <f>SUM(L14:L16)</f>
        <v>419913.95465820283</v>
      </c>
      <c r="M17" s="52">
        <f>SUM(M14:M16)</f>
        <v>583080.51989681879</v>
      </c>
      <c r="N17" s="52">
        <f>SUM(N14:N16)</f>
        <v>847477.31946736609</v>
      </c>
      <c r="O17" s="52">
        <f>SUM(O14:O16)</f>
        <v>606316.1385018077</v>
      </c>
      <c r="P17" s="68">
        <f>SUM(P14:P16)</f>
        <v>2456787.9325241954</v>
      </c>
      <c r="Q17" s="69">
        <f>'2021'!R18</f>
        <v>194332.09567365629</v>
      </c>
      <c r="R17" s="70">
        <f>O17/3</f>
        <v>202105.37950060258</v>
      </c>
      <c r="S17" s="70">
        <f>P17+Q17-R17</f>
        <v>2449014.6486972491</v>
      </c>
    </row>
    <row r="18" spans="1:21" s="2" customFormat="1" ht="33.75" customHeight="1">
      <c r="A18" s="87" t="s">
        <v>9</v>
      </c>
      <c r="B18" s="48" t="s">
        <v>0</v>
      </c>
      <c r="C18" s="49">
        <v>24475.5</v>
      </c>
      <c r="D18" s="49">
        <v>32915</v>
      </c>
      <c r="E18" s="49">
        <f>528.5+20298</f>
        <v>20826.5</v>
      </c>
      <c r="F18" s="49">
        <f>17663.5+13373.5</f>
        <v>31037</v>
      </c>
      <c r="G18" s="50">
        <f t="shared" si="0"/>
        <v>109254</v>
      </c>
      <c r="H18" s="78">
        <f>'2021'!I19*1.04</f>
        <v>132.88396261630183</v>
      </c>
      <c r="I18" s="78">
        <f t="shared" si="3"/>
        <v>132.88396261630183</v>
      </c>
      <c r="J18" s="78">
        <f>'2021'!K19</f>
        <v>49.053333333333342</v>
      </c>
      <c r="K18" s="78">
        <f t="shared" si="4"/>
        <v>51.015466666666676</v>
      </c>
      <c r="L18" s="50">
        <f>(H18-J18)*C18</f>
        <v>2051796.5670152951</v>
      </c>
      <c r="M18" s="50">
        <f t="shared" ref="M18:N20" si="7">(H18-J18)*D18</f>
        <v>2759285.162848908</v>
      </c>
      <c r="N18" s="50">
        <f t="shared" si="7"/>
        <v>1705034.2308950766</v>
      </c>
      <c r="O18" s="50">
        <f>(I18-K18)*F18</f>
        <v>2540952.5087888264</v>
      </c>
      <c r="P18" s="50">
        <f t="shared" si="2"/>
        <v>9057068.4695481062</v>
      </c>
      <c r="Q18" s="50"/>
      <c r="R18" s="50"/>
      <c r="S18" s="52"/>
    </row>
    <row r="19" spans="1:21" s="2" customFormat="1" ht="33.75" customHeight="1">
      <c r="A19" s="87"/>
      <c r="B19" s="48" t="s">
        <v>1</v>
      </c>
      <c r="C19" s="49">
        <v>46356.979999999996</v>
      </c>
      <c r="D19" s="49">
        <v>60222.55</v>
      </c>
      <c r="E19" s="49">
        <v>61603.79</v>
      </c>
      <c r="F19" s="49">
        <v>56374.31</v>
      </c>
      <c r="G19" s="50">
        <f t="shared" si="0"/>
        <v>224557.63</v>
      </c>
      <c r="H19" s="78">
        <f>'2021'!I20*1.04</f>
        <v>132.88396261630183</v>
      </c>
      <c r="I19" s="78">
        <f t="shared" si="3"/>
        <v>132.88396261630183</v>
      </c>
      <c r="J19" s="78">
        <f>'2021'!K20</f>
        <v>47.354666666666674</v>
      </c>
      <c r="K19" s="78">
        <f t="shared" si="4"/>
        <v>49.248853333333344</v>
      </c>
      <c r="L19" s="50">
        <f>(H19-J19)*C19</f>
        <v>3964879.8617513175</v>
      </c>
      <c r="M19" s="50">
        <f t="shared" si="7"/>
        <v>5150792.3017917005</v>
      </c>
      <c r="N19" s="50">
        <f t="shared" si="7"/>
        <v>5152239.7088950416</v>
      </c>
      <c r="O19" s="50">
        <f>(I19-K19)*F19</f>
        <v>4714871.5776019432</v>
      </c>
      <c r="P19" s="50">
        <f t="shared" si="2"/>
        <v>18982783.450040001</v>
      </c>
      <c r="Q19" s="50"/>
      <c r="R19" s="50"/>
      <c r="S19" s="52"/>
    </row>
    <row r="20" spans="1:21" s="2" customFormat="1" ht="33.75" customHeight="1">
      <c r="A20" s="87"/>
      <c r="B20" s="48" t="s">
        <v>2</v>
      </c>
      <c r="C20" s="49">
        <v>79959.850000000006</v>
      </c>
      <c r="D20" s="49">
        <v>74864.170000000013</v>
      </c>
      <c r="E20" s="49">
        <v>69949.42</v>
      </c>
      <c r="F20" s="49">
        <v>75432</v>
      </c>
      <c r="G20" s="50">
        <f t="shared" si="0"/>
        <v>300205.44</v>
      </c>
      <c r="H20" s="78">
        <f>'2021'!I21*1.04</f>
        <v>132.88396261630183</v>
      </c>
      <c r="I20" s="78">
        <f t="shared" si="3"/>
        <v>132.88396261630183</v>
      </c>
      <c r="J20" s="78">
        <f>'2021'!K21</f>
        <v>45.222666666666669</v>
      </c>
      <c r="K20" s="78">
        <f t="shared" si="4"/>
        <v>47.031573333333334</v>
      </c>
      <c r="L20" s="50">
        <f>(H20-J20)*C20</f>
        <v>7009384.0749384351</v>
      </c>
      <c r="M20" s="50">
        <f t="shared" si="7"/>
        <v>6562690.1623937991</v>
      </c>
      <c r="N20" s="50">
        <f t="shared" si="7"/>
        <v>6005324.8359578615</v>
      </c>
      <c r="O20" s="50">
        <f>(I20-K20)*F20</f>
        <v>6476017.4283928787</v>
      </c>
      <c r="P20" s="50">
        <f t="shared" si="2"/>
        <v>26053416.501682974</v>
      </c>
      <c r="Q20" s="50"/>
      <c r="R20" s="50"/>
      <c r="S20" s="52"/>
    </row>
    <row r="21" spans="1:21" s="62" customFormat="1" ht="33.75" customHeight="1">
      <c r="A21" s="87"/>
      <c r="B21" s="59" t="s">
        <v>4</v>
      </c>
      <c r="C21" s="60">
        <f>SUM(C18:C20)</f>
        <v>150792.33000000002</v>
      </c>
      <c r="D21" s="60">
        <f>SUM(D18:D20)</f>
        <v>168001.72000000003</v>
      </c>
      <c r="E21" s="60">
        <f>SUM(E18:E20)</f>
        <v>152379.71000000002</v>
      </c>
      <c r="F21" s="60">
        <f>SUM(F18:F20)</f>
        <v>162843.31</v>
      </c>
      <c r="G21" s="61">
        <f t="shared" si="0"/>
        <v>634017.07000000007</v>
      </c>
      <c r="H21" s="78"/>
      <c r="I21" s="78"/>
      <c r="J21" s="78"/>
      <c r="K21" s="78"/>
      <c r="L21" s="70">
        <f>SUM(L18:L20)</f>
        <v>13026060.503705047</v>
      </c>
      <c r="M21" s="70">
        <f>SUM(M18:M20)</f>
        <v>14472767.627034407</v>
      </c>
      <c r="N21" s="70">
        <f>SUM(N18:N20)</f>
        <v>12862598.775747981</v>
      </c>
      <c r="O21" s="70">
        <f>SUM(O18:O20)</f>
        <v>13731841.514783647</v>
      </c>
      <c r="P21" s="70">
        <f>SUM(P18:P20)</f>
        <v>54093268.421271086</v>
      </c>
      <c r="Q21" s="70">
        <f>'2021'!R22</f>
        <v>4401231.2547383485</v>
      </c>
      <c r="R21" s="70">
        <f>O21/3</f>
        <v>4577280.504927882</v>
      </c>
      <c r="S21" s="70">
        <f>P21+Q21-R21</f>
        <v>53917219.17108155</v>
      </c>
      <c r="T21" s="2"/>
    </row>
    <row r="22" spans="1:21" s="2" customFormat="1" ht="33.75" customHeight="1">
      <c r="A22" s="87" t="s">
        <v>36</v>
      </c>
      <c r="B22" s="48" t="s">
        <v>0</v>
      </c>
      <c r="C22" s="49">
        <v>2082.5</v>
      </c>
      <c r="D22" s="49">
        <v>7631</v>
      </c>
      <c r="E22" s="49">
        <v>10199.700000000001</v>
      </c>
      <c r="F22" s="49">
        <v>8189</v>
      </c>
      <c r="G22" s="50">
        <f t="shared" si="0"/>
        <v>28102.2</v>
      </c>
      <c r="H22" s="78">
        <f>'2021'!I23*1.04</f>
        <v>124.87407021728889</v>
      </c>
      <c r="I22" s="78">
        <f t="shared" si="3"/>
        <v>124.87407021728889</v>
      </c>
      <c r="J22" s="78">
        <f>'2021'!K23</f>
        <v>58.864000000000004</v>
      </c>
      <c r="K22" s="78">
        <f t="shared" si="4"/>
        <v>61.218560000000004</v>
      </c>
      <c r="L22" s="50">
        <f>(H22-J22)*C22</f>
        <v>137465.97122750411</v>
      </c>
      <c r="M22" s="50">
        <f t="shared" ref="M22:N24" si="8">(H22-J22)*D22</f>
        <v>503722.84582813148</v>
      </c>
      <c r="N22" s="50">
        <f t="shared" si="8"/>
        <v>649267.10756328143</v>
      </c>
      <c r="O22" s="50">
        <f>(I22-K22)*F22</f>
        <v>521274.9731693787</v>
      </c>
      <c r="P22" s="50">
        <f t="shared" si="2"/>
        <v>1811730.8977882958</v>
      </c>
      <c r="Q22" s="50"/>
      <c r="R22" s="50"/>
      <c r="S22" s="52"/>
    </row>
    <row r="23" spans="1:21" s="2" customFormat="1" ht="33.75" customHeight="1">
      <c r="A23" s="87"/>
      <c r="B23" s="48" t="s">
        <v>1</v>
      </c>
      <c r="C23" s="49">
        <v>0</v>
      </c>
      <c r="D23" s="49">
        <v>0</v>
      </c>
      <c r="E23" s="49">
        <v>0</v>
      </c>
      <c r="F23" s="49">
        <v>0</v>
      </c>
      <c r="G23" s="50">
        <f t="shared" si="0"/>
        <v>0</v>
      </c>
      <c r="H23" s="78">
        <f>'2021'!I24*1.04</f>
        <v>124.87407021728889</v>
      </c>
      <c r="I23" s="78">
        <f t="shared" si="3"/>
        <v>124.87407021728889</v>
      </c>
      <c r="J23" s="78">
        <f>'2021'!K24</f>
        <v>56.825600000000001</v>
      </c>
      <c r="K23" s="78">
        <f t="shared" si="4"/>
        <v>59.098624000000001</v>
      </c>
      <c r="L23" s="50">
        <f>(H23-J23)*C23</f>
        <v>0</v>
      </c>
      <c r="M23" s="50">
        <f t="shared" si="8"/>
        <v>0</v>
      </c>
      <c r="N23" s="50">
        <f t="shared" si="8"/>
        <v>0</v>
      </c>
      <c r="O23" s="50">
        <f>(I23-K23)*F23</f>
        <v>0</v>
      </c>
      <c r="P23" s="50">
        <f t="shared" si="2"/>
        <v>0</v>
      </c>
      <c r="Q23" s="50"/>
      <c r="R23" s="50"/>
      <c r="S23" s="52"/>
    </row>
    <row r="24" spans="1:21" s="2" customFormat="1" ht="33.75" customHeight="1">
      <c r="A24" s="87"/>
      <c r="B24" s="48" t="s">
        <v>2</v>
      </c>
      <c r="C24" s="49">
        <v>86630.05</v>
      </c>
      <c r="D24" s="49">
        <v>80344.399999999994</v>
      </c>
      <c r="E24" s="49">
        <v>74082.55</v>
      </c>
      <c r="F24" s="49">
        <v>79423.51999999999</v>
      </c>
      <c r="G24" s="50">
        <f t="shared" si="0"/>
        <v>320480.52</v>
      </c>
      <c r="H24" s="78">
        <f>'2021'!I25*1.04</f>
        <v>124.87407021728889</v>
      </c>
      <c r="I24" s="78">
        <f t="shared" si="3"/>
        <v>124.87407021728889</v>
      </c>
      <c r="J24" s="78">
        <f>'2021'!K25</f>
        <v>54.267200000000003</v>
      </c>
      <c r="K24" s="78">
        <f t="shared" si="4"/>
        <v>56.437888000000008</v>
      </c>
      <c r="L24" s="50">
        <f>(H24-J24)*C24</f>
        <v>6116676.6972672474</v>
      </c>
      <c r="M24" s="50">
        <f t="shared" si="8"/>
        <v>5672866.6234859452</v>
      </c>
      <c r="N24" s="50">
        <f t="shared" si="8"/>
        <v>5069926.8909214148</v>
      </c>
      <c r="O24" s="50">
        <f>(I24-K24)*F24</f>
        <v>5435442.4870584877</v>
      </c>
      <c r="P24" s="50">
        <f t="shared" si="2"/>
        <v>22294912.698733095</v>
      </c>
      <c r="Q24" s="50"/>
      <c r="R24" s="50"/>
      <c r="S24" s="52"/>
    </row>
    <row r="25" spans="1:21" s="62" customFormat="1" ht="33.75" customHeight="1">
      <c r="A25" s="87"/>
      <c r="B25" s="59" t="s">
        <v>4</v>
      </c>
      <c r="C25" s="60">
        <f>SUM(C22:C24)</f>
        <v>88712.55</v>
      </c>
      <c r="D25" s="60">
        <f>SUM(D22:D24)</f>
        <v>87975.4</v>
      </c>
      <c r="E25" s="60">
        <f>SUM(E22:E24)</f>
        <v>84282.25</v>
      </c>
      <c r="F25" s="60">
        <f>SUM(F22:F24)</f>
        <v>87612.51999999999</v>
      </c>
      <c r="G25" s="61">
        <f t="shared" si="0"/>
        <v>348582.72</v>
      </c>
      <c r="H25" s="51"/>
      <c r="I25" s="60"/>
      <c r="J25" s="60"/>
      <c r="K25" s="71"/>
      <c r="L25" s="70">
        <f>SUM(L22:L24)</f>
        <v>6254142.6684947517</v>
      </c>
      <c r="M25" s="70">
        <f>SUM(M22:M24)</f>
        <v>6176589.4693140769</v>
      </c>
      <c r="N25" s="70">
        <f>SUM(N22:N24)</f>
        <v>5719193.9984846963</v>
      </c>
      <c r="O25" s="70">
        <f>SUM(O22:O24)</f>
        <v>5956717.4602278667</v>
      </c>
      <c r="P25" s="70">
        <f>SUM(P22:P24)</f>
        <v>24106643.596521392</v>
      </c>
      <c r="Q25" s="70">
        <f>'2021'!R26</f>
        <v>1909204.3141755981</v>
      </c>
      <c r="R25" s="70">
        <f>O25/3</f>
        <v>1985572.4867426222</v>
      </c>
      <c r="S25" s="70">
        <f>P25+Q25-R25</f>
        <v>24030275.423954368</v>
      </c>
      <c r="T25" s="2"/>
    </row>
    <row r="26" spans="1:21" s="62" customFormat="1" ht="33.75" customHeight="1">
      <c r="A26" s="89" t="s">
        <v>27</v>
      </c>
      <c r="B26" s="90"/>
      <c r="C26" s="67">
        <f>C9+C13+C17+C21+C25</f>
        <v>3160606.33</v>
      </c>
      <c r="D26" s="67">
        <f t="shared" ref="D26:S26" si="9">D9+D13+D17+D21+D25</f>
        <v>3286827.8000000003</v>
      </c>
      <c r="E26" s="67">
        <f t="shared" si="9"/>
        <v>3284590.9899999998</v>
      </c>
      <c r="F26" s="67">
        <f t="shared" si="9"/>
        <v>3215618.62</v>
      </c>
      <c r="G26" s="67">
        <f t="shared" si="9"/>
        <v>12947643.74</v>
      </c>
      <c r="H26" s="51"/>
      <c r="I26" s="67"/>
      <c r="J26" s="67"/>
      <c r="K26" s="67"/>
      <c r="L26" s="73">
        <f t="shared" si="9"/>
        <v>48861137.407515265</v>
      </c>
      <c r="M26" s="73">
        <f t="shared" si="9"/>
        <v>52010229.149013199</v>
      </c>
      <c r="N26" s="73">
        <f t="shared" si="9"/>
        <v>44467263.728278495</v>
      </c>
      <c r="O26" s="73">
        <f t="shared" si="9"/>
        <v>44399937.008697592</v>
      </c>
      <c r="P26" s="73">
        <f t="shared" si="9"/>
        <v>189738567.29350454</v>
      </c>
      <c r="Q26" s="73">
        <f t="shared" si="9"/>
        <v>14230749.041249227</v>
      </c>
      <c r="R26" s="73">
        <f t="shared" si="9"/>
        <v>14799979.002899196</v>
      </c>
      <c r="S26" s="73">
        <f t="shared" si="9"/>
        <v>189169337.33185458</v>
      </c>
      <c r="T26" s="80"/>
    </row>
    <row r="27" spans="1:21" s="16" customFormat="1" ht="15" customHeight="1" outlineLevel="1">
      <c r="A27" s="8"/>
      <c r="B27" s="9"/>
      <c r="C27" s="10"/>
      <c r="D27" s="54"/>
      <c r="E27" s="10"/>
      <c r="F27" s="10"/>
      <c r="G27" s="10"/>
      <c r="H27" s="43"/>
      <c r="I27" s="43"/>
      <c r="J27" s="11"/>
      <c r="K27" s="11"/>
      <c r="L27" s="12"/>
      <c r="M27" s="12"/>
      <c r="N27" s="12"/>
      <c r="O27" s="12"/>
      <c r="P27" s="12"/>
      <c r="Q27" s="12"/>
      <c r="R27" s="12"/>
      <c r="S27" s="13"/>
      <c r="T27" s="14"/>
      <c r="U27" s="15"/>
    </row>
    <row r="28" spans="1:21" s="16" customFormat="1" ht="15" customHeight="1" outlineLevel="1">
      <c r="A28" s="8"/>
      <c r="B28" s="9"/>
      <c r="C28" s="10"/>
      <c r="D28" s="54"/>
      <c r="E28" s="10"/>
      <c r="F28" s="10"/>
      <c r="G28" s="10"/>
      <c r="H28" s="43"/>
      <c r="I28" s="43"/>
      <c r="J28" s="11"/>
      <c r="K28" s="11"/>
      <c r="L28" s="12"/>
      <c r="M28" s="12"/>
      <c r="N28" s="12"/>
      <c r="O28" s="12"/>
      <c r="P28" s="12"/>
      <c r="Q28" s="12"/>
      <c r="R28" s="12"/>
      <c r="S28" s="13"/>
      <c r="T28" s="14"/>
      <c r="U28" s="15"/>
    </row>
    <row r="29" spans="1:21" s="16" customFormat="1" ht="15" customHeight="1" outlineLevel="1">
      <c r="A29" s="8"/>
      <c r="B29" s="9"/>
      <c r="C29" s="10"/>
      <c r="D29" s="54"/>
      <c r="E29" s="10"/>
      <c r="F29" s="10"/>
      <c r="G29" s="10"/>
      <c r="H29" s="43"/>
      <c r="I29" s="43"/>
      <c r="J29" s="11"/>
      <c r="K29" s="11"/>
      <c r="L29" s="12"/>
      <c r="M29" s="12"/>
      <c r="N29" s="12"/>
      <c r="O29" s="12"/>
      <c r="P29" s="12"/>
      <c r="Q29" s="12"/>
      <c r="R29" s="12"/>
      <c r="S29" s="13"/>
      <c r="T29" s="14"/>
      <c r="U29" s="15"/>
    </row>
    <row r="30" spans="1:21" s="16" customFormat="1" ht="15" customHeight="1" outlineLevel="1">
      <c r="A30" s="8"/>
      <c r="B30" s="9"/>
      <c r="C30" s="10"/>
      <c r="D30" s="54"/>
      <c r="E30" s="10"/>
      <c r="F30" s="10"/>
      <c r="G30" s="10"/>
      <c r="H30" s="43"/>
      <c r="I30" s="43"/>
      <c r="J30" s="11"/>
      <c r="K30" s="11"/>
      <c r="L30" s="12"/>
      <c r="M30" s="12"/>
      <c r="N30" s="12"/>
      <c r="O30" s="12"/>
      <c r="P30" s="12"/>
      <c r="Q30" s="12"/>
      <c r="R30" s="12"/>
      <c r="S30" s="13"/>
      <c r="T30" s="14"/>
      <c r="U30" s="15"/>
    </row>
    <row r="31" spans="1:21" s="16" customFormat="1" ht="15" customHeight="1" outlineLevel="1">
      <c r="A31" s="8"/>
      <c r="B31" s="9"/>
      <c r="C31" s="10"/>
      <c r="D31" s="54"/>
      <c r="E31" s="10"/>
      <c r="F31" s="10"/>
      <c r="G31" s="10"/>
      <c r="H31" s="43"/>
      <c r="I31" s="43"/>
      <c r="J31" s="11"/>
      <c r="K31" s="11"/>
      <c r="L31" s="12"/>
      <c r="M31" s="12"/>
      <c r="N31" s="12"/>
      <c r="O31" s="12"/>
      <c r="P31" s="12"/>
      <c r="Q31" s="12"/>
      <c r="R31" s="12"/>
      <c r="S31" s="13"/>
      <c r="T31" s="14"/>
      <c r="U31" s="15"/>
    </row>
    <row r="32" spans="1:21" s="17" customFormat="1" ht="37.5" hidden="1" customHeight="1">
      <c r="A32" s="18"/>
      <c r="B32" s="19"/>
      <c r="C32" s="20"/>
      <c r="D32" s="55"/>
      <c r="E32" s="20"/>
      <c r="G32" s="88"/>
      <c r="H32" s="88"/>
      <c r="I32" s="88"/>
      <c r="J32" s="38"/>
      <c r="K32" s="38"/>
      <c r="L32" s="38"/>
      <c r="M32" s="39"/>
      <c r="N32" s="20"/>
      <c r="O32" s="20"/>
      <c r="P32" s="20"/>
      <c r="Q32" s="20"/>
      <c r="R32" s="18"/>
      <c r="S32" s="20"/>
      <c r="T32" s="21"/>
      <c r="U32" s="22"/>
    </row>
    <row r="33" spans="1:21" s="17" customFormat="1" ht="15" hidden="1" customHeight="1">
      <c r="A33" s="18"/>
      <c r="B33" s="19"/>
      <c r="C33" s="20"/>
      <c r="D33" s="55"/>
      <c r="E33" s="20"/>
      <c r="H33" s="44"/>
      <c r="I33" s="44"/>
      <c r="N33" s="4"/>
      <c r="O33" s="4"/>
      <c r="P33" s="4"/>
      <c r="Q33" s="4"/>
      <c r="R33" s="18"/>
      <c r="S33" s="4"/>
      <c r="T33" s="23"/>
      <c r="U33" s="21"/>
    </row>
    <row r="34" spans="1:21" s="26" customFormat="1" ht="15" hidden="1" customHeight="1">
      <c r="A34" s="24"/>
      <c r="B34" s="25"/>
      <c r="D34" s="56"/>
      <c r="G34" s="34"/>
      <c r="H34" s="45"/>
      <c r="I34" s="45"/>
      <c r="J34" s="40"/>
      <c r="K34" s="40"/>
      <c r="L34" s="40"/>
      <c r="M34" s="41"/>
      <c r="N34" s="27"/>
      <c r="S34" s="24"/>
      <c r="T34" s="24"/>
      <c r="U34" s="24"/>
    </row>
    <row r="35" spans="1:21" s="26" customFormat="1" ht="57" hidden="1" customHeight="1">
      <c r="D35" s="56"/>
      <c r="G35" s="93" t="s">
        <v>30</v>
      </c>
      <c r="H35" s="93"/>
      <c r="I35" s="93"/>
      <c r="J35" s="30"/>
      <c r="K35" s="31"/>
      <c r="L35" s="32" t="s">
        <v>15</v>
      </c>
      <c r="M35" s="33"/>
      <c r="N35" s="27"/>
    </row>
    <row r="36" spans="1:21" s="17" customFormat="1" ht="15" hidden="1" customHeight="1">
      <c r="D36" s="57"/>
      <c r="G36" s="74"/>
      <c r="H36" s="75"/>
      <c r="I36" s="75"/>
      <c r="J36" s="33"/>
      <c r="K36" s="33"/>
      <c r="L36" s="34"/>
      <c r="M36" s="35"/>
    </row>
    <row r="37" spans="1:21" s="17" customFormat="1" ht="15" hidden="1" customHeight="1">
      <c r="D37" s="57"/>
      <c r="G37" s="74"/>
      <c r="H37" s="75"/>
      <c r="I37" s="75"/>
      <c r="J37" s="33"/>
      <c r="K37" s="33"/>
      <c r="L37" s="34"/>
      <c r="M37" s="35"/>
    </row>
    <row r="38" spans="1:21" s="17" customFormat="1" ht="15" hidden="1" customHeight="1">
      <c r="D38" s="57"/>
      <c r="G38" s="76"/>
      <c r="H38" s="77"/>
      <c r="I38" s="77"/>
    </row>
    <row r="39" spans="1:21" s="17" customFormat="1" ht="15" hidden="1" customHeight="1">
      <c r="D39" s="57"/>
      <c r="G39" s="76"/>
      <c r="H39" s="77"/>
      <c r="I39" s="77"/>
    </row>
    <row r="40" spans="1:21" s="17" customFormat="1" ht="15" hidden="1" customHeight="1">
      <c r="D40" s="57"/>
      <c r="G40" s="74"/>
      <c r="H40" s="75"/>
      <c r="I40" s="75"/>
      <c r="J40" s="33"/>
      <c r="K40" s="33"/>
      <c r="L40" s="34"/>
      <c r="M40" s="33"/>
    </row>
    <row r="41" spans="1:21" s="17" customFormat="1" ht="36.75" hidden="1" customHeight="1">
      <c r="D41" s="57"/>
      <c r="G41" s="92" t="s">
        <v>13</v>
      </c>
      <c r="H41" s="92"/>
      <c r="I41" s="92"/>
      <c r="J41" s="36"/>
      <c r="K41" s="36"/>
      <c r="L41" s="37" t="s">
        <v>14</v>
      </c>
      <c r="M41" s="34"/>
    </row>
    <row r="42" spans="1:21" s="17" customFormat="1" ht="15" hidden="1" customHeight="1">
      <c r="D42" s="57"/>
      <c r="G42" s="34"/>
      <c r="H42" s="46"/>
      <c r="I42" s="46"/>
      <c r="J42" s="34"/>
      <c r="K42" s="34"/>
      <c r="L42" s="34"/>
      <c r="M42" s="34"/>
    </row>
    <row r="43" spans="1:21" s="17" customFormat="1" ht="15" hidden="1" customHeight="1">
      <c r="A43" s="28"/>
      <c r="D43" s="57"/>
      <c r="H43" s="44"/>
      <c r="I43" s="44"/>
    </row>
    <row r="44" spans="1:21" s="17" customFormat="1" ht="15" hidden="1" customHeight="1">
      <c r="A44" s="28"/>
      <c r="D44" s="57"/>
      <c r="H44" s="44"/>
      <c r="I44" s="44"/>
    </row>
    <row r="45" spans="1:21" s="17" customFormat="1" hidden="1">
      <c r="D45" s="57"/>
      <c r="H45" s="44"/>
      <c r="I45" s="44"/>
    </row>
    <row r="46" spans="1:21" s="17" customFormat="1" hidden="1">
      <c r="D46" s="57"/>
      <c r="H46" s="44"/>
      <c r="I46" s="44"/>
    </row>
    <row r="47" spans="1:21" s="17" customFormat="1" hidden="1">
      <c r="D47" s="57"/>
      <c r="H47" s="44"/>
      <c r="I47" s="44"/>
    </row>
    <row r="48" spans="1:21" s="17" customFormat="1" hidden="1">
      <c r="D48" s="57"/>
      <c r="H48" s="44"/>
      <c r="I48" s="44"/>
    </row>
    <row r="49" spans="4:9" s="17" customFormat="1" hidden="1">
      <c r="D49" s="57"/>
      <c r="H49" s="44"/>
      <c r="I49" s="44"/>
    </row>
    <row r="50" spans="4:9" s="17" customFormat="1" hidden="1">
      <c r="D50" s="57"/>
      <c r="H50" s="44"/>
      <c r="I50" s="44"/>
    </row>
    <row r="51" spans="4:9" s="17" customFormat="1" hidden="1">
      <c r="D51" s="57"/>
      <c r="H51" s="44"/>
      <c r="I51" s="44"/>
    </row>
    <row r="52" spans="4:9" s="17" customFormat="1" hidden="1">
      <c r="D52" s="57"/>
      <c r="H52" s="44"/>
      <c r="I52" s="44"/>
    </row>
    <row r="53" spans="4:9" s="17" customFormat="1" hidden="1">
      <c r="D53" s="57"/>
      <c r="H53" s="44"/>
      <c r="I53" s="44"/>
    </row>
    <row r="54" spans="4:9" s="17" customFormat="1" hidden="1">
      <c r="D54" s="57"/>
      <c r="H54" s="44"/>
      <c r="I54" s="44"/>
    </row>
    <row r="55" spans="4:9" s="17" customFormat="1" hidden="1">
      <c r="D55" s="57"/>
      <c r="H55" s="44"/>
      <c r="I55" s="44"/>
    </row>
    <row r="56" spans="4:9" s="17" customFormat="1" hidden="1">
      <c r="D56" s="57"/>
      <c r="H56" s="44"/>
      <c r="I56" s="44"/>
    </row>
    <row r="57" spans="4:9" s="17" customFormat="1" hidden="1">
      <c r="D57" s="57"/>
      <c r="H57" s="44"/>
      <c r="I57" s="44"/>
    </row>
    <row r="58" spans="4:9" s="17" customFormat="1" hidden="1">
      <c r="D58" s="57"/>
      <c r="H58" s="44"/>
      <c r="I58" s="44"/>
    </row>
    <row r="59" spans="4:9" s="17" customFormat="1" hidden="1">
      <c r="D59" s="57"/>
      <c r="H59" s="44"/>
      <c r="I59" s="44"/>
    </row>
    <row r="60" spans="4:9" s="17" customFormat="1" hidden="1">
      <c r="D60" s="57"/>
      <c r="H60" s="44"/>
      <c r="I60" s="44"/>
    </row>
    <row r="61" spans="4:9" s="17" customFormat="1" hidden="1">
      <c r="D61" s="57"/>
      <c r="H61" s="44"/>
      <c r="I61" s="44"/>
    </row>
    <row r="62" spans="4:9" s="17" customFormat="1" hidden="1">
      <c r="D62" s="57"/>
      <c r="H62" s="44"/>
      <c r="I62" s="44"/>
    </row>
    <row r="63" spans="4:9" s="17" customFormat="1" hidden="1">
      <c r="D63" s="57"/>
      <c r="H63" s="44"/>
      <c r="I63" s="44"/>
    </row>
    <row r="64" spans="4:9" s="17" customFormat="1" hidden="1">
      <c r="D64" s="57"/>
      <c r="H64" s="44"/>
      <c r="I64" s="44"/>
    </row>
    <row r="65" spans="2:9" s="17" customFormat="1" hidden="1">
      <c r="D65" s="57"/>
      <c r="H65" s="44"/>
      <c r="I65" s="44"/>
    </row>
    <row r="66" spans="2:9" s="17" customFormat="1" hidden="1">
      <c r="D66" s="57"/>
      <c r="H66" s="44"/>
      <c r="I66" s="44"/>
    </row>
    <row r="67" spans="2:9" s="17" customFormat="1" ht="15" hidden="1">
      <c r="B67" s="29"/>
      <c r="D67" s="57"/>
      <c r="H67" s="44"/>
      <c r="I67" s="44"/>
    </row>
    <row r="68" spans="2:9" s="17" customFormat="1" ht="15" hidden="1">
      <c r="B68" s="29"/>
      <c r="D68" s="57"/>
      <c r="H68" s="44"/>
      <c r="I68" s="44"/>
    </row>
    <row r="69" spans="2:9" s="17" customFormat="1" hidden="1">
      <c r="D69" s="57"/>
      <c r="H69" s="44"/>
      <c r="I69" s="44"/>
    </row>
    <row r="70" spans="2:9" s="17" customFormat="1" hidden="1">
      <c r="D70" s="57"/>
      <c r="H70" s="44"/>
      <c r="I70" s="44"/>
    </row>
    <row r="71" spans="2:9" s="17" customFormat="1" hidden="1">
      <c r="D71" s="57"/>
      <c r="H71" s="44"/>
      <c r="I71" s="44"/>
    </row>
    <row r="72" spans="2:9" s="17" customFormat="1" hidden="1">
      <c r="D72" s="57"/>
      <c r="H72" s="44"/>
      <c r="I72" s="44"/>
    </row>
    <row r="73" spans="2:9" s="17" customFormat="1" hidden="1">
      <c r="D73" s="57"/>
      <c r="H73" s="44"/>
      <c r="I73" s="44"/>
    </row>
    <row r="74" spans="2:9" s="17" customFormat="1" hidden="1">
      <c r="D74" s="57"/>
      <c r="H74" s="44"/>
      <c r="I74" s="44"/>
    </row>
    <row r="75" spans="2:9" s="17" customFormat="1" hidden="1">
      <c r="D75" s="57"/>
      <c r="H75" s="44"/>
      <c r="I75" s="44"/>
    </row>
    <row r="76" spans="2:9" s="17" customFormat="1" hidden="1">
      <c r="D76" s="57"/>
      <c r="H76" s="44"/>
      <c r="I76" s="44"/>
    </row>
    <row r="77" spans="2:9" s="17" customFormat="1" hidden="1">
      <c r="D77" s="57"/>
      <c r="H77" s="44"/>
      <c r="I77" s="44"/>
    </row>
    <row r="78" spans="2:9" s="17" customFormat="1">
      <c r="D78" s="57"/>
      <c r="H78" s="44"/>
      <c r="I78" s="44"/>
    </row>
    <row r="79" spans="2:9" s="17" customFormat="1">
      <c r="D79" s="57"/>
      <c r="H79" s="44"/>
      <c r="I79" s="44"/>
    </row>
    <row r="80" spans="2:9" s="17" customFormat="1">
      <c r="D80" s="57"/>
      <c r="H80" s="44"/>
      <c r="I80" s="44"/>
    </row>
    <row r="81" spans="4:9" s="17" customFormat="1">
      <c r="D81" s="57"/>
      <c r="H81" s="44"/>
      <c r="I81" s="44"/>
    </row>
    <row r="82" spans="4:9" s="17" customFormat="1">
      <c r="D82" s="57"/>
      <c r="H82" s="44"/>
      <c r="I82" s="44"/>
    </row>
    <row r="83" spans="4:9" s="17" customFormat="1">
      <c r="D83" s="57"/>
      <c r="H83" s="44"/>
      <c r="I83" s="44"/>
    </row>
    <row r="84" spans="4:9" s="17" customFormat="1">
      <c r="D84" s="57"/>
      <c r="H84" s="44"/>
      <c r="I84" s="44"/>
    </row>
    <row r="85" spans="4:9" s="17" customFormat="1">
      <c r="D85" s="57"/>
      <c r="H85" s="44"/>
      <c r="I85" s="44"/>
    </row>
    <row r="86" spans="4:9" s="17" customFormat="1">
      <c r="D86" s="57"/>
      <c r="H86" s="44"/>
      <c r="I86" s="44"/>
    </row>
    <row r="87" spans="4:9" s="17" customFormat="1">
      <c r="D87" s="57"/>
      <c r="H87" s="44"/>
      <c r="I87" s="44"/>
    </row>
    <row r="88" spans="4:9" s="17" customFormat="1">
      <c r="D88" s="57"/>
      <c r="H88" s="44"/>
      <c r="I88" s="44"/>
    </row>
    <row r="89" spans="4:9" s="17" customFormat="1">
      <c r="D89" s="57"/>
      <c r="H89" s="44"/>
      <c r="I89" s="44"/>
    </row>
    <row r="90" spans="4:9" s="17" customFormat="1">
      <c r="D90" s="57"/>
      <c r="H90" s="44"/>
      <c r="I90" s="44"/>
    </row>
    <row r="91" spans="4:9" s="17" customFormat="1">
      <c r="D91" s="57"/>
      <c r="H91" s="44"/>
      <c r="I91" s="44"/>
    </row>
    <row r="92" spans="4:9" s="17" customFormat="1">
      <c r="D92" s="57"/>
      <c r="H92" s="44"/>
      <c r="I92" s="44"/>
    </row>
    <row r="93" spans="4:9" s="17" customFormat="1">
      <c r="D93" s="57"/>
      <c r="H93" s="44"/>
      <c r="I93" s="44"/>
    </row>
    <row r="94" spans="4:9" s="17" customFormat="1">
      <c r="D94" s="57"/>
      <c r="H94" s="44"/>
      <c r="I94" s="44"/>
    </row>
    <row r="95" spans="4:9" s="17" customFormat="1">
      <c r="D95" s="57"/>
      <c r="H95" s="44"/>
      <c r="I95" s="44"/>
    </row>
    <row r="96" spans="4:9" s="17" customFormat="1">
      <c r="D96" s="57"/>
      <c r="H96" s="44"/>
      <c r="I96" s="44"/>
    </row>
    <row r="97" spans="4:9" s="17" customFormat="1">
      <c r="D97" s="57"/>
      <c r="H97" s="44"/>
      <c r="I97" s="44"/>
    </row>
    <row r="98" spans="4:9" s="17" customFormat="1">
      <c r="D98" s="57"/>
      <c r="H98" s="44"/>
      <c r="I98" s="44"/>
    </row>
    <row r="99" spans="4:9" s="17" customFormat="1">
      <c r="D99" s="57"/>
      <c r="H99" s="44"/>
      <c r="I99" s="44"/>
    </row>
    <row r="100" spans="4:9" s="17" customFormat="1">
      <c r="D100" s="57"/>
      <c r="H100" s="44"/>
      <c r="I100" s="44"/>
    </row>
    <row r="101" spans="4:9" s="17" customFormat="1">
      <c r="D101" s="57"/>
      <c r="H101" s="44"/>
      <c r="I101" s="44"/>
    </row>
    <row r="102" spans="4:9" s="17" customFormat="1">
      <c r="D102" s="57"/>
      <c r="H102" s="44"/>
      <c r="I102" s="44"/>
    </row>
    <row r="103" spans="4:9" s="17" customFormat="1">
      <c r="D103" s="57"/>
      <c r="H103" s="44"/>
      <c r="I103" s="44"/>
    </row>
    <row r="104" spans="4:9" s="17" customFormat="1">
      <c r="D104" s="57"/>
      <c r="H104" s="44"/>
      <c r="I104" s="44"/>
    </row>
    <row r="105" spans="4:9" s="17" customFormat="1">
      <c r="D105" s="57"/>
      <c r="H105" s="44"/>
      <c r="I105" s="44"/>
    </row>
    <row r="106" spans="4:9" s="17" customFormat="1">
      <c r="D106" s="57"/>
      <c r="H106" s="44"/>
      <c r="I106" s="44"/>
    </row>
    <row r="107" spans="4:9" s="17" customFormat="1">
      <c r="D107" s="57"/>
      <c r="H107" s="44"/>
      <c r="I107" s="44"/>
    </row>
    <row r="108" spans="4:9" s="17" customFormat="1">
      <c r="D108" s="57"/>
      <c r="H108" s="44"/>
      <c r="I108" s="44"/>
    </row>
    <row r="109" spans="4:9" s="17" customFormat="1">
      <c r="D109" s="57"/>
      <c r="H109" s="44"/>
      <c r="I109" s="44"/>
    </row>
    <row r="110" spans="4:9" s="17" customFormat="1">
      <c r="D110" s="57"/>
      <c r="H110" s="44"/>
      <c r="I110" s="44"/>
    </row>
    <row r="111" spans="4:9" s="17" customFormat="1">
      <c r="D111" s="57"/>
      <c r="H111" s="44"/>
      <c r="I111" s="44"/>
    </row>
    <row r="112" spans="4:9" s="17" customFormat="1">
      <c r="D112" s="57"/>
      <c r="H112" s="44"/>
      <c r="I112" s="44"/>
    </row>
    <row r="113" spans="4:9" s="17" customFormat="1">
      <c r="D113" s="57"/>
      <c r="H113" s="44"/>
      <c r="I113" s="44"/>
    </row>
    <row r="114" spans="4:9" s="17" customFormat="1">
      <c r="D114" s="57"/>
      <c r="H114" s="44"/>
      <c r="I114" s="44"/>
    </row>
    <row r="115" spans="4:9" s="17" customFormat="1">
      <c r="D115" s="57"/>
      <c r="H115" s="44"/>
      <c r="I115" s="44"/>
    </row>
    <row r="116" spans="4:9" s="17" customFormat="1">
      <c r="D116" s="57"/>
      <c r="H116" s="44"/>
      <c r="I116" s="44"/>
    </row>
    <row r="117" spans="4:9" s="17" customFormat="1">
      <c r="D117" s="57"/>
      <c r="H117" s="44"/>
      <c r="I117" s="44"/>
    </row>
    <row r="118" spans="4:9" s="17" customFormat="1">
      <c r="D118" s="57"/>
      <c r="H118" s="44"/>
      <c r="I118" s="44"/>
    </row>
    <row r="119" spans="4:9" s="17" customFormat="1">
      <c r="D119" s="57"/>
      <c r="H119" s="44"/>
      <c r="I119" s="44"/>
    </row>
    <row r="120" spans="4:9" s="17" customFormat="1">
      <c r="D120" s="57"/>
      <c r="H120" s="44"/>
      <c r="I120" s="44"/>
    </row>
    <row r="121" spans="4:9" s="17" customFormat="1">
      <c r="D121" s="57"/>
      <c r="H121" s="44"/>
      <c r="I121" s="44"/>
    </row>
    <row r="122" spans="4:9" s="17" customFormat="1">
      <c r="D122" s="57"/>
      <c r="H122" s="44"/>
      <c r="I122" s="44"/>
    </row>
    <row r="123" spans="4:9" s="17" customFormat="1">
      <c r="D123" s="57"/>
      <c r="H123" s="44"/>
      <c r="I123" s="44"/>
    </row>
    <row r="124" spans="4:9" s="17" customFormat="1">
      <c r="D124" s="57"/>
      <c r="H124" s="44"/>
      <c r="I124" s="44"/>
    </row>
    <row r="125" spans="4:9" s="17" customFormat="1">
      <c r="D125" s="57"/>
      <c r="H125" s="44"/>
      <c r="I125" s="44"/>
    </row>
    <row r="126" spans="4:9" s="17" customFormat="1">
      <c r="D126" s="57"/>
      <c r="H126" s="44"/>
      <c r="I126" s="44"/>
    </row>
    <row r="127" spans="4:9" s="17" customFormat="1">
      <c r="D127" s="57"/>
      <c r="H127" s="44"/>
      <c r="I127" s="44"/>
    </row>
    <row r="128" spans="4:9" s="17" customFormat="1">
      <c r="D128" s="57"/>
      <c r="H128" s="44"/>
      <c r="I128" s="44"/>
    </row>
    <row r="129" spans="4:9" s="17" customFormat="1">
      <c r="D129" s="57"/>
      <c r="H129" s="44"/>
      <c r="I129" s="44"/>
    </row>
    <row r="130" spans="4:9" s="17" customFormat="1">
      <c r="D130" s="57"/>
      <c r="H130" s="44"/>
      <c r="I130" s="44"/>
    </row>
    <row r="131" spans="4:9" s="17" customFormat="1">
      <c r="D131" s="57"/>
      <c r="H131" s="44"/>
      <c r="I131" s="44"/>
    </row>
    <row r="132" spans="4:9" s="17" customFormat="1">
      <c r="D132" s="57"/>
      <c r="H132" s="44"/>
      <c r="I132" s="44"/>
    </row>
    <row r="133" spans="4:9" s="17" customFormat="1">
      <c r="D133" s="57"/>
      <c r="H133" s="44"/>
      <c r="I133" s="44"/>
    </row>
    <row r="134" spans="4:9" s="17" customFormat="1">
      <c r="D134" s="57"/>
      <c r="H134" s="44"/>
      <c r="I134" s="44"/>
    </row>
    <row r="135" spans="4:9" s="17" customFormat="1">
      <c r="D135" s="57"/>
      <c r="H135" s="44"/>
      <c r="I135" s="44"/>
    </row>
    <row r="136" spans="4:9" s="17" customFormat="1">
      <c r="D136" s="57"/>
      <c r="H136" s="44"/>
      <c r="I136" s="44"/>
    </row>
    <row r="137" spans="4:9" s="17" customFormat="1">
      <c r="D137" s="57"/>
      <c r="H137" s="44"/>
      <c r="I137" s="44"/>
    </row>
    <row r="138" spans="4:9" s="17" customFormat="1">
      <c r="D138" s="57"/>
      <c r="H138" s="44"/>
      <c r="I138" s="44"/>
    </row>
    <row r="139" spans="4:9" s="17" customFormat="1">
      <c r="D139" s="57"/>
      <c r="H139" s="44"/>
      <c r="I139" s="44"/>
    </row>
    <row r="140" spans="4:9" s="17" customFormat="1">
      <c r="D140" s="57"/>
      <c r="H140" s="44"/>
      <c r="I140" s="44"/>
    </row>
    <row r="141" spans="4:9" s="17" customFormat="1">
      <c r="D141" s="57"/>
      <c r="H141" s="44"/>
      <c r="I141" s="44"/>
    </row>
    <row r="142" spans="4:9" s="17" customFormat="1">
      <c r="D142" s="57"/>
      <c r="H142" s="44"/>
      <c r="I142" s="44"/>
    </row>
    <row r="143" spans="4:9" s="17" customFormat="1">
      <c r="D143" s="57"/>
      <c r="H143" s="44"/>
      <c r="I143" s="44"/>
    </row>
    <row r="144" spans="4:9" s="17" customFormat="1">
      <c r="D144" s="57"/>
      <c r="H144" s="44"/>
      <c r="I144" s="44"/>
    </row>
    <row r="145" spans="4:9" s="17" customFormat="1">
      <c r="D145" s="57"/>
      <c r="H145" s="44"/>
      <c r="I145" s="44"/>
    </row>
    <row r="146" spans="4:9" s="17" customFormat="1">
      <c r="D146" s="57"/>
      <c r="H146" s="44"/>
      <c r="I146" s="44"/>
    </row>
    <row r="147" spans="4:9" s="17" customFormat="1">
      <c r="D147" s="57"/>
      <c r="H147" s="44"/>
      <c r="I147" s="44"/>
    </row>
    <row r="148" spans="4:9" s="17" customFormat="1">
      <c r="D148" s="57"/>
      <c r="H148" s="44"/>
      <c r="I148" s="44"/>
    </row>
    <row r="149" spans="4:9" s="17" customFormat="1">
      <c r="D149" s="57"/>
      <c r="H149" s="44"/>
      <c r="I149" s="44"/>
    </row>
    <row r="150" spans="4:9" s="17" customFormat="1">
      <c r="D150" s="57"/>
      <c r="H150" s="44"/>
      <c r="I150" s="44"/>
    </row>
    <row r="151" spans="4:9" s="17" customFormat="1">
      <c r="D151" s="57"/>
      <c r="H151" s="44"/>
      <c r="I151" s="44"/>
    </row>
    <row r="152" spans="4:9" s="17" customFormat="1">
      <c r="D152" s="57"/>
      <c r="H152" s="44"/>
      <c r="I152" s="44"/>
    </row>
    <row r="153" spans="4:9" s="17" customFormat="1">
      <c r="D153" s="57"/>
      <c r="H153" s="44"/>
      <c r="I153" s="44"/>
    </row>
    <row r="154" spans="4:9" s="17" customFormat="1">
      <c r="D154" s="57"/>
      <c r="H154" s="44"/>
      <c r="I154" s="44"/>
    </row>
    <row r="155" spans="4:9" s="17" customFormat="1">
      <c r="D155" s="57"/>
      <c r="H155" s="44"/>
      <c r="I155" s="44"/>
    </row>
    <row r="156" spans="4:9" s="17" customFormat="1">
      <c r="D156" s="57"/>
      <c r="H156" s="44"/>
      <c r="I156" s="44"/>
    </row>
    <row r="157" spans="4:9" s="17" customFormat="1">
      <c r="D157" s="57"/>
      <c r="H157" s="44"/>
      <c r="I157" s="44"/>
    </row>
    <row r="158" spans="4:9" s="17" customFormat="1">
      <c r="D158" s="57"/>
      <c r="H158" s="44"/>
      <c r="I158" s="44"/>
    </row>
    <row r="159" spans="4:9" s="17" customFormat="1">
      <c r="D159" s="57"/>
      <c r="H159" s="44"/>
      <c r="I159" s="44"/>
    </row>
    <row r="160" spans="4:9" s="17" customFormat="1">
      <c r="D160" s="57"/>
      <c r="H160" s="44"/>
      <c r="I160" s="44"/>
    </row>
    <row r="161" spans="4:9" s="17" customFormat="1">
      <c r="D161" s="57"/>
      <c r="H161" s="44"/>
      <c r="I161" s="44"/>
    </row>
  </sheetData>
  <mergeCells count="19">
    <mergeCell ref="J4:K4"/>
    <mergeCell ref="A26:B26"/>
    <mergeCell ref="G32:I32"/>
    <mergeCell ref="G35:I35"/>
    <mergeCell ref="C2:G2"/>
    <mergeCell ref="A4:A5"/>
    <mergeCell ref="B4:B5"/>
    <mergeCell ref="C4:G4"/>
    <mergeCell ref="H4:I4"/>
    <mergeCell ref="G41:I41"/>
    <mergeCell ref="S4:S5"/>
    <mergeCell ref="A6:A9"/>
    <mergeCell ref="A10:A13"/>
    <mergeCell ref="A14:A17"/>
    <mergeCell ref="A18:A21"/>
    <mergeCell ref="A22:A25"/>
    <mergeCell ref="L4:P4"/>
    <mergeCell ref="Q4:Q5"/>
    <mergeCell ref="R4:R5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Footer>&amp;C&amp;P</oddFooter>
  </headerFooter>
  <colBreaks count="1" manualBreakCount="1">
    <brk id="1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U161"/>
  <sheetViews>
    <sheetView view="pageBreakPreview" zoomScale="60" zoomScaleNormal="70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RowHeight="12.75" outlineLevelRow="1"/>
  <cols>
    <col min="1" max="1" width="31" style="4" customWidth="1"/>
    <col min="2" max="2" width="68.28515625" style="4" customWidth="1"/>
    <col min="3" max="3" width="21" style="4" customWidth="1"/>
    <col min="4" max="4" width="21.7109375" style="58" customWidth="1"/>
    <col min="5" max="5" width="22.85546875" style="4" customWidth="1"/>
    <col min="6" max="6" width="20.28515625" style="4" customWidth="1"/>
    <col min="7" max="7" width="22.7109375" style="4" customWidth="1"/>
    <col min="8" max="8" width="15.28515625" style="47" customWidth="1"/>
    <col min="9" max="9" width="16.7109375" style="47" customWidth="1"/>
    <col min="10" max="10" width="14.5703125" style="4" customWidth="1"/>
    <col min="11" max="11" width="15" style="4" customWidth="1"/>
    <col min="12" max="15" width="20.85546875" style="4" customWidth="1"/>
    <col min="16" max="16" width="22.7109375" style="4" customWidth="1"/>
    <col min="17" max="17" width="21.140625" style="4" customWidth="1"/>
    <col min="18" max="18" width="20.42578125" style="4" customWidth="1"/>
    <col min="19" max="19" width="24" style="4" customWidth="1"/>
    <col min="20" max="20" width="14.140625" style="6" customWidth="1"/>
    <col min="21" max="16384" width="9.140625" style="6"/>
  </cols>
  <sheetData>
    <row r="1" spans="1:20" ht="18.75" customHeight="1">
      <c r="G1" s="47"/>
    </row>
    <row r="2" spans="1:20" s="5" customFormat="1" ht="84" customHeight="1">
      <c r="B2" s="82"/>
      <c r="C2" s="91" t="s">
        <v>29</v>
      </c>
      <c r="D2" s="91"/>
      <c r="E2" s="91"/>
      <c r="F2" s="91"/>
      <c r="G2" s="91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ht="15">
      <c r="A3" s="7"/>
      <c r="B3" s="1"/>
      <c r="C3" s="3"/>
      <c r="D3" s="53"/>
      <c r="E3" s="3"/>
      <c r="F3" s="3"/>
      <c r="G3" s="3"/>
      <c r="H3" s="42"/>
      <c r="I3" s="42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s="63" customFormat="1" ht="90" customHeight="1">
      <c r="A4" s="83" t="s">
        <v>3</v>
      </c>
      <c r="B4" s="83" t="s">
        <v>23</v>
      </c>
      <c r="C4" s="84" t="s">
        <v>22</v>
      </c>
      <c r="D4" s="85"/>
      <c r="E4" s="85"/>
      <c r="F4" s="85"/>
      <c r="G4" s="86"/>
      <c r="H4" s="86" t="s">
        <v>7</v>
      </c>
      <c r="I4" s="83"/>
      <c r="J4" s="83" t="s">
        <v>8</v>
      </c>
      <c r="K4" s="83"/>
      <c r="L4" s="83" t="s">
        <v>21</v>
      </c>
      <c r="M4" s="83"/>
      <c r="N4" s="83"/>
      <c r="O4" s="83"/>
      <c r="P4" s="83"/>
      <c r="Q4" s="83" t="s">
        <v>28</v>
      </c>
      <c r="R4" s="83" t="s">
        <v>34</v>
      </c>
      <c r="S4" s="83" t="s">
        <v>24</v>
      </c>
    </row>
    <row r="5" spans="1:20" s="63" customFormat="1" ht="46.5" customHeight="1">
      <c r="A5" s="83"/>
      <c r="B5" s="83"/>
      <c r="C5" s="64" t="s">
        <v>16</v>
      </c>
      <c r="D5" s="64" t="s">
        <v>17</v>
      </c>
      <c r="E5" s="64" t="s">
        <v>18</v>
      </c>
      <c r="F5" s="64" t="s">
        <v>19</v>
      </c>
      <c r="G5" s="65" t="s">
        <v>10</v>
      </c>
      <c r="H5" s="66" t="s">
        <v>11</v>
      </c>
      <c r="I5" s="64" t="s">
        <v>12</v>
      </c>
      <c r="J5" s="64" t="s">
        <v>11</v>
      </c>
      <c r="K5" s="64" t="s">
        <v>12</v>
      </c>
      <c r="L5" s="64" t="s">
        <v>16</v>
      </c>
      <c r="M5" s="64" t="s">
        <v>17</v>
      </c>
      <c r="N5" s="64" t="s">
        <v>18</v>
      </c>
      <c r="O5" s="64" t="s">
        <v>19</v>
      </c>
      <c r="P5" s="64" t="s">
        <v>10</v>
      </c>
      <c r="Q5" s="83"/>
      <c r="R5" s="83"/>
      <c r="S5" s="83"/>
    </row>
    <row r="6" spans="1:20" s="2" customFormat="1" ht="33.75" customHeight="1">
      <c r="A6" s="87" t="s">
        <v>6</v>
      </c>
      <c r="B6" s="48" t="s">
        <v>0</v>
      </c>
      <c r="C6" s="49">
        <v>119000</v>
      </c>
      <c r="D6" s="49">
        <v>153100</v>
      </c>
      <c r="E6" s="49">
        <f>180300+131700</f>
        <v>312000</v>
      </c>
      <c r="F6" s="49">
        <f>116000+109000</f>
        <v>225000</v>
      </c>
      <c r="G6" s="50">
        <f t="shared" ref="G6:G25" si="0">C6+D6+E6+F6</f>
        <v>809100</v>
      </c>
      <c r="H6" s="78">
        <f>'2022'!I6*1.04</f>
        <v>57.178750229338156</v>
      </c>
      <c r="I6" s="78">
        <f>H6</f>
        <v>57.178750229338156</v>
      </c>
      <c r="J6" s="78">
        <f>'2022'!K6</f>
        <v>51.015466666666676</v>
      </c>
      <c r="K6" s="78">
        <f>J6*1.04</f>
        <v>53.056085333333343</v>
      </c>
      <c r="L6" s="50">
        <f>(H6-J6)*C6</f>
        <v>733430.74395790626</v>
      </c>
      <c r="M6" s="50">
        <f t="shared" ref="M6:N8" si="1">(H6-J6)*D6</f>
        <v>943598.71344500373</v>
      </c>
      <c r="N6" s="50">
        <f t="shared" si="1"/>
        <v>1286271.4475535019</v>
      </c>
      <c r="O6" s="50">
        <f>(I6-K6)*F6</f>
        <v>927599.60160108306</v>
      </c>
      <c r="P6" s="50">
        <f t="shared" ref="P6:P24" si="2">SUM(L6:O6)</f>
        <v>3890900.5065574953</v>
      </c>
      <c r="Q6" s="50"/>
      <c r="R6" s="50"/>
      <c r="S6" s="50"/>
    </row>
    <row r="7" spans="1:20" s="2" customFormat="1" ht="33.75" customHeight="1">
      <c r="A7" s="87"/>
      <c r="B7" s="48" t="s">
        <v>1</v>
      </c>
      <c r="C7" s="49">
        <v>0</v>
      </c>
      <c r="D7" s="49">
        <v>0</v>
      </c>
      <c r="E7" s="49">
        <v>0</v>
      </c>
      <c r="F7" s="49">
        <v>0</v>
      </c>
      <c r="G7" s="50">
        <f t="shared" si="0"/>
        <v>0</v>
      </c>
      <c r="H7" s="78">
        <f>'2022'!I7*1.04</f>
        <v>57.178750229338156</v>
      </c>
      <c r="I7" s="78">
        <f t="shared" ref="I7:I24" si="3">H7</f>
        <v>57.178750229338156</v>
      </c>
      <c r="J7" s="78">
        <f>'2022'!K7</f>
        <v>49.248853333333344</v>
      </c>
      <c r="K7" s="78">
        <f t="shared" ref="K7:K24" si="4">J7*1.04</f>
        <v>51.218807466666682</v>
      </c>
      <c r="L7" s="50">
        <f>(H7-J7)*C7</f>
        <v>0</v>
      </c>
      <c r="M7" s="50">
        <f t="shared" si="1"/>
        <v>0</v>
      </c>
      <c r="N7" s="50">
        <f t="shared" si="1"/>
        <v>0</v>
      </c>
      <c r="O7" s="50">
        <f>(I7-K7)*F7</f>
        <v>0</v>
      </c>
      <c r="P7" s="50">
        <f t="shared" si="2"/>
        <v>0</v>
      </c>
      <c r="Q7" s="50"/>
      <c r="R7" s="50"/>
      <c r="S7" s="50"/>
    </row>
    <row r="8" spans="1:20" s="2" customFormat="1" ht="33.75" customHeight="1">
      <c r="A8" s="87"/>
      <c r="B8" s="48" t="s">
        <v>2</v>
      </c>
      <c r="C8" s="49">
        <f>2507200*0+2700900</f>
        <v>2700900</v>
      </c>
      <c r="D8" s="49">
        <v>2713900</v>
      </c>
      <c r="E8" s="49">
        <v>2541900</v>
      </c>
      <c r="F8" s="49">
        <v>2605500</v>
      </c>
      <c r="G8" s="50">
        <f t="shared" si="0"/>
        <v>10562200</v>
      </c>
      <c r="H8" s="78">
        <f>'2022'!I8*1.04</f>
        <v>57.178750229338156</v>
      </c>
      <c r="I8" s="78">
        <f t="shared" si="3"/>
        <v>57.178750229338156</v>
      </c>
      <c r="J8" s="78">
        <f>'2022'!K8</f>
        <v>47.031573333333334</v>
      </c>
      <c r="K8" s="78">
        <f t="shared" si="4"/>
        <v>48.912836266666666</v>
      </c>
      <c r="L8" s="50">
        <f>(H8-J8)*C8</f>
        <v>27406510.078419425</v>
      </c>
      <c r="M8" s="50">
        <f t="shared" si="1"/>
        <v>27538423.378067486</v>
      </c>
      <c r="N8" s="50">
        <f t="shared" si="1"/>
        <v>21011126.701714661</v>
      </c>
      <c r="O8" s="50">
        <f>(I8-K8)*F8</f>
        <v>21536838.829740569</v>
      </c>
      <c r="P8" s="50">
        <f t="shared" si="2"/>
        <v>97492898.987942144</v>
      </c>
      <c r="Q8" s="50"/>
      <c r="R8" s="50"/>
      <c r="S8" s="50"/>
    </row>
    <row r="9" spans="1:20" s="62" customFormat="1" ht="33.75" customHeight="1">
      <c r="A9" s="87"/>
      <c r="B9" s="59" t="s">
        <v>4</v>
      </c>
      <c r="C9" s="60">
        <f>SUM(C6:C8)</f>
        <v>2819900</v>
      </c>
      <c r="D9" s="60">
        <f>SUM(D6:D8)</f>
        <v>2867000</v>
      </c>
      <c r="E9" s="60">
        <f>SUM(E6:E8)</f>
        <v>2853900</v>
      </c>
      <c r="F9" s="60">
        <f>SUM(F6:F8)</f>
        <v>2830500</v>
      </c>
      <c r="G9" s="61">
        <f t="shared" si="0"/>
        <v>11371300</v>
      </c>
      <c r="H9" s="78"/>
      <c r="I9" s="78"/>
      <c r="J9" s="78"/>
      <c r="K9" s="78"/>
      <c r="L9" s="70">
        <f>SUM(L6:L8)</f>
        <v>28139940.822377332</v>
      </c>
      <c r="M9" s="70">
        <f>SUM(M6:M8)</f>
        <v>28482022.09151249</v>
      </c>
      <c r="N9" s="70">
        <f>SUM(N6:N8)</f>
        <v>22297398.149268162</v>
      </c>
      <c r="O9" s="70">
        <f>SUM(O6:O8)</f>
        <v>22464438.431341652</v>
      </c>
      <c r="P9" s="70">
        <f>SUM(P6:P8)</f>
        <v>101383799.49449964</v>
      </c>
      <c r="Q9" s="70">
        <f>'2022'!R9</f>
        <v>7200140.5228659101</v>
      </c>
      <c r="R9" s="70">
        <f>O9/3</f>
        <v>7488146.1437805509</v>
      </c>
      <c r="S9" s="70">
        <f>P9+Q9-R9</f>
        <v>101095793.873585</v>
      </c>
      <c r="T9" s="2"/>
    </row>
    <row r="10" spans="1:20" s="2" customFormat="1" ht="33.75" customHeight="1">
      <c r="A10" s="87" t="s">
        <v>5</v>
      </c>
      <c r="B10" s="48" t="s">
        <v>0</v>
      </c>
      <c r="C10" s="49">
        <v>39315</v>
      </c>
      <c r="D10" s="49">
        <v>79175</v>
      </c>
      <c r="E10" s="49">
        <f>74678+32091</f>
        <v>106769</v>
      </c>
      <c r="F10" s="49">
        <f>42829+26575</f>
        <v>69404</v>
      </c>
      <c r="G10" s="50">
        <f t="shared" si="0"/>
        <v>294663</v>
      </c>
      <c r="H10" s="78">
        <f>'2022'!I10*1.04</f>
        <v>72.294808004812026</v>
      </c>
      <c r="I10" s="78">
        <f t="shared" si="3"/>
        <v>72.294808004812026</v>
      </c>
      <c r="J10" s="78">
        <f>'2022'!K10</f>
        <v>51.015466666666676</v>
      </c>
      <c r="K10" s="78">
        <f t="shared" si="4"/>
        <v>53.056085333333343</v>
      </c>
      <c r="L10" s="50">
        <f>(H10-J10)*C10</f>
        <v>836597.30470918445</v>
      </c>
      <c r="M10" s="50">
        <f t="shared" ref="M10:N12" si="5">(H10-J10)*D10</f>
        <v>1684791.8504476582</v>
      </c>
      <c r="N10" s="50">
        <f t="shared" si="5"/>
        <v>2054099.1809111075</v>
      </c>
      <c r="O10" s="50">
        <f>(I10-K10)*F10</f>
        <v>1335244.3082913065</v>
      </c>
      <c r="P10" s="50">
        <f t="shared" si="2"/>
        <v>5910732.6443592571</v>
      </c>
      <c r="Q10" s="50"/>
      <c r="R10" s="50"/>
      <c r="S10" s="50"/>
    </row>
    <row r="11" spans="1:20" s="2" customFormat="1" ht="33.75" customHeight="1">
      <c r="A11" s="87"/>
      <c r="B11" s="48" t="s">
        <v>1</v>
      </c>
      <c r="C11" s="49">
        <v>53979</v>
      </c>
      <c r="D11" s="49">
        <v>75847</v>
      </c>
      <c r="E11" s="49">
        <v>75987</v>
      </c>
      <c r="F11" s="49">
        <v>56208</v>
      </c>
      <c r="G11" s="50">
        <f t="shared" si="0"/>
        <v>262021</v>
      </c>
      <c r="H11" s="78">
        <f>'2022'!I11*1.04</f>
        <v>72.294808004812026</v>
      </c>
      <c r="I11" s="78">
        <f t="shared" si="3"/>
        <v>72.294808004812026</v>
      </c>
      <c r="J11" s="78">
        <f>'2022'!K11</f>
        <v>49.248853333333344</v>
      </c>
      <c r="K11" s="78">
        <f t="shared" si="4"/>
        <v>51.218807466666682</v>
      </c>
      <c r="L11" s="50">
        <f>(H11-J11)*C11</f>
        <v>1243997.5872117479</v>
      </c>
      <c r="M11" s="50">
        <f t="shared" si="5"/>
        <v>1747966.5239676437</v>
      </c>
      <c r="N11" s="50">
        <f t="shared" si="5"/>
        <v>1601502.0528920502</v>
      </c>
      <c r="O11" s="50">
        <f>(I11-K11)*F11</f>
        <v>1184639.8382480736</v>
      </c>
      <c r="P11" s="50">
        <f t="shared" si="2"/>
        <v>5778106.0023195166</v>
      </c>
      <c r="Q11" s="50"/>
      <c r="R11" s="50"/>
      <c r="S11" s="50"/>
    </row>
    <row r="12" spans="1:20" s="2" customFormat="1" ht="33.75" customHeight="1">
      <c r="A12" s="87"/>
      <c r="B12" s="48" t="s">
        <v>2</v>
      </c>
      <c r="C12" s="49">
        <v>4232.45</v>
      </c>
      <c r="D12" s="49">
        <v>3725.6800000000003</v>
      </c>
      <c r="E12" s="49">
        <v>3700.03</v>
      </c>
      <c r="F12" s="49">
        <v>3632.79</v>
      </c>
      <c r="G12" s="50">
        <f t="shared" si="0"/>
        <v>15290.95</v>
      </c>
      <c r="H12" s="78">
        <f>'2022'!I12*1.04</f>
        <v>72.294808004812026</v>
      </c>
      <c r="I12" s="78">
        <f t="shared" si="3"/>
        <v>72.294808004812026</v>
      </c>
      <c r="J12" s="78">
        <f>'2022'!K12</f>
        <v>47.031573333333334</v>
      </c>
      <c r="K12" s="78">
        <f t="shared" si="4"/>
        <v>48.912836266666666</v>
      </c>
      <c r="L12" s="50">
        <f>(H12-J12)*C12</f>
        <v>106925.37758529998</v>
      </c>
      <c r="M12" s="50">
        <f t="shared" si="5"/>
        <v>94122.728150834737</v>
      </c>
      <c r="N12" s="50">
        <f t="shared" si="5"/>
        <v>86513.996890289985</v>
      </c>
      <c r="O12" s="50">
        <f>(I12-K12)*F12</f>
        <v>84941.793110617087</v>
      </c>
      <c r="P12" s="50">
        <f t="shared" si="2"/>
        <v>372503.89573704178</v>
      </c>
      <c r="Q12" s="50"/>
      <c r="R12" s="50"/>
      <c r="S12" s="50"/>
    </row>
    <row r="13" spans="1:20" s="62" customFormat="1" ht="33.75" customHeight="1">
      <c r="A13" s="87"/>
      <c r="B13" s="59" t="s">
        <v>4</v>
      </c>
      <c r="C13" s="60">
        <f>SUM(C10:C12)</f>
        <v>97526.45</v>
      </c>
      <c r="D13" s="60">
        <f>SUM(D10:D12)</f>
        <v>158747.68</v>
      </c>
      <c r="E13" s="60">
        <f>SUM(E10:E12)</f>
        <v>186456.03</v>
      </c>
      <c r="F13" s="60">
        <f>SUM(F10:F12)</f>
        <v>129244.79</v>
      </c>
      <c r="G13" s="61">
        <f t="shared" si="0"/>
        <v>571974.95000000007</v>
      </c>
      <c r="H13" s="78"/>
      <c r="I13" s="78"/>
      <c r="J13" s="78"/>
      <c r="K13" s="78"/>
      <c r="L13" s="70">
        <f>SUM(L10:L12)</f>
        <v>2187520.2695062323</v>
      </c>
      <c r="M13" s="70">
        <f>SUM(M10:M12)</f>
        <v>3526881.1025661365</v>
      </c>
      <c r="N13" s="70">
        <f>SUM(N10:N12)</f>
        <v>3742115.2306934479</v>
      </c>
      <c r="O13" s="70">
        <f>SUM(O10:O12)</f>
        <v>2604825.9396499968</v>
      </c>
      <c r="P13" s="70">
        <f>SUM(P10:P12)</f>
        <v>12061342.542415816</v>
      </c>
      <c r="Q13" s="70">
        <f>'2022'!R13</f>
        <v>834880.10886217852</v>
      </c>
      <c r="R13" s="70">
        <f>O13/3</f>
        <v>868275.31321666564</v>
      </c>
      <c r="S13" s="70">
        <f>P13+Q13-R13</f>
        <v>12027947.338061329</v>
      </c>
      <c r="T13" s="2"/>
    </row>
    <row r="14" spans="1:20" s="2" customFormat="1" ht="33.75" customHeight="1">
      <c r="A14" s="87" t="s">
        <v>31</v>
      </c>
      <c r="B14" s="48" t="s">
        <v>0</v>
      </c>
      <c r="C14" s="49">
        <v>3675</v>
      </c>
      <c r="D14" s="49">
        <v>5103</v>
      </c>
      <c r="E14" s="49">
        <v>7573</v>
      </c>
      <c r="F14" s="49">
        <v>5418</v>
      </c>
      <c r="G14" s="50">
        <f t="shared" si="0"/>
        <v>21769</v>
      </c>
      <c r="H14" s="78">
        <f>'2022'!I14*1.04</f>
        <v>180.05135261075674</v>
      </c>
      <c r="I14" s="78">
        <f t="shared" si="3"/>
        <v>180.05135261075674</v>
      </c>
      <c r="J14" s="78">
        <f>'2022'!K14</f>
        <v>61.218560000000004</v>
      </c>
      <c r="K14" s="78">
        <f t="shared" si="4"/>
        <v>63.667302400000004</v>
      </c>
      <c r="L14" s="50">
        <f>(H14-J14)*C14</f>
        <v>436710.51284453104</v>
      </c>
      <c r="M14" s="50">
        <f t="shared" ref="M14:N16" si="6">(H14-J14)*D14</f>
        <v>606403.74069269164</v>
      </c>
      <c r="N14" s="50">
        <f t="shared" si="6"/>
        <v>881376.41224606067</v>
      </c>
      <c r="O14" s="50">
        <f>(I14-K14)*F14</f>
        <v>630568.78404187993</v>
      </c>
      <c r="P14" s="50">
        <f t="shared" si="2"/>
        <v>2555059.449825163</v>
      </c>
      <c r="Q14" s="50"/>
      <c r="R14" s="50"/>
      <c r="S14" s="50"/>
    </row>
    <row r="15" spans="1:20" s="2" customFormat="1" ht="33.75" customHeight="1">
      <c r="A15" s="87"/>
      <c r="B15" s="48" t="s">
        <v>1</v>
      </c>
      <c r="C15" s="49">
        <v>0</v>
      </c>
      <c r="D15" s="49">
        <v>0</v>
      </c>
      <c r="E15" s="49">
        <v>0</v>
      </c>
      <c r="F15" s="49">
        <v>0</v>
      </c>
      <c r="G15" s="50">
        <f t="shared" si="0"/>
        <v>0</v>
      </c>
      <c r="H15" s="78">
        <f>'2022'!I15*1.04</f>
        <v>180.05135261075674</v>
      </c>
      <c r="I15" s="78">
        <f t="shared" si="3"/>
        <v>180.05135261075674</v>
      </c>
      <c r="J15" s="78">
        <f>'2022'!K15</f>
        <v>59.098624000000001</v>
      </c>
      <c r="K15" s="78">
        <f t="shared" si="4"/>
        <v>61.462568960000006</v>
      </c>
      <c r="L15" s="50">
        <f>(H15-J15)*C15</f>
        <v>0</v>
      </c>
      <c r="M15" s="50">
        <f t="shared" si="6"/>
        <v>0</v>
      </c>
      <c r="N15" s="50">
        <f t="shared" si="6"/>
        <v>0</v>
      </c>
      <c r="O15" s="50">
        <f>(I15-K15)*F15</f>
        <v>0</v>
      </c>
      <c r="P15" s="50">
        <f t="shared" si="2"/>
        <v>0</v>
      </c>
      <c r="Q15" s="50"/>
      <c r="R15" s="50"/>
      <c r="S15" s="50"/>
    </row>
    <row r="16" spans="1:20" s="2" customFormat="1" ht="33.75" customHeight="1">
      <c r="A16" s="87"/>
      <c r="B16" s="48" t="s">
        <v>2</v>
      </c>
      <c r="C16" s="49">
        <v>0</v>
      </c>
      <c r="D16" s="49">
        <v>0</v>
      </c>
      <c r="E16" s="49">
        <v>0</v>
      </c>
      <c r="F16" s="49">
        <v>0</v>
      </c>
      <c r="G16" s="50">
        <f t="shared" si="0"/>
        <v>0</v>
      </c>
      <c r="H16" s="78">
        <f>'2022'!I16*1.04</f>
        <v>180.05135261075674</v>
      </c>
      <c r="I16" s="78">
        <f t="shared" si="3"/>
        <v>180.05135261075674</v>
      </c>
      <c r="J16" s="78">
        <f>'2022'!K16</f>
        <v>56.437888000000008</v>
      </c>
      <c r="K16" s="78">
        <f t="shared" si="4"/>
        <v>58.695403520000013</v>
      </c>
      <c r="L16" s="50">
        <f>(H16-J16)*C16</f>
        <v>0</v>
      </c>
      <c r="M16" s="50">
        <f t="shared" si="6"/>
        <v>0</v>
      </c>
      <c r="N16" s="50">
        <f t="shared" si="6"/>
        <v>0</v>
      </c>
      <c r="O16" s="50">
        <f>(I16-K16)*F16</f>
        <v>0</v>
      </c>
      <c r="P16" s="50">
        <f t="shared" si="2"/>
        <v>0</v>
      </c>
      <c r="Q16" s="50"/>
      <c r="R16" s="50"/>
      <c r="S16" s="50"/>
    </row>
    <row r="17" spans="1:21" s="2" customFormat="1" ht="33.75" customHeight="1">
      <c r="A17" s="87"/>
      <c r="B17" s="59" t="s">
        <v>4</v>
      </c>
      <c r="C17" s="60">
        <f>SUM(C14:C16)</f>
        <v>3675</v>
      </c>
      <c r="D17" s="60">
        <f>SUM(D14:D16)</f>
        <v>5103</v>
      </c>
      <c r="E17" s="60">
        <f>SUM(E14:E16)</f>
        <v>7573</v>
      </c>
      <c r="F17" s="60">
        <f>SUM(F14:F16)</f>
        <v>5418</v>
      </c>
      <c r="G17" s="61">
        <f t="shared" si="0"/>
        <v>21769</v>
      </c>
      <c r="H17" s="78"/>
      <c r="I17" s="78"/>
      <c r="J17" s="78"/>
      <c r="K17" s="78"/>
      <c r="L17" s="52">
        <f>SUM(L14:L16)</f>
        <v>436710.51284453104</v>
      </c>
      <c r="M17" s="52">
        <f>SUM(M14:M16)</f>
        <v>606403.74069269164</v>
      </c>
      <c r="N17" s="52">
        <f>SUM(N14:N16)</f>
        <v>881376.41224606067</v>
      </c>
      <c r="O17" s="52">
        <f>SUM(O14:O16)</f>
        <v>630568.78404187993</v>
      </c>
      <c r="P17" s="68">
        <f>SUM(P14:P16)</f>
        <v>2555059.449825163</v>
      </c>
      <c r="Q17" s="69">
        <f>'2022'!R17</f>
        <v>202105.37950060258</v>
      </c>
      <c r="R17" s="70">
        <f>O17/3</f>
        <v>210189.59468062664</v>
      </c>
      <c r="S17" s="70">
        <f>P17+Q17-R17</f>
        <v>2546975.2346451385</v>
      </c>
    </row>
    <row r="18" spans="1:21" s="2" customFormat="1" ht="33.75" customHeight="1">
      <c r="A18" s="87" t="s">
        <v>9</v>
      </c>
      <c r="B18" s="48" t="s">
        <v>0</v>
      </c>
      <c r="C18" s="49">
        <v>24475.5</v>
      </c>
      <c r="D18" s="49">
        <v>32915</v>
      </c>
      <c r="E18" s="49">
        <f>528.5+20298</f>
        <v>20826.5</v>
      </c>
      <c r="F18" s="49">
        <f>17663.5+13373.5</f>
        <v>31037</v>
      </c>
      <c r="G18" s="50">
        <f t="shared" si="0"/>
        <v>109254</v>
      </c>
      <c r="H18" s="78">
        <f>'2022'!I18*1.04</f>
        <v>138.1993211209539</v>
      </c>
      <c r="I18" s="78">
        <f t="shared" si="3"/>
        <v>138.1993211209539</v>
      </c>
      <c r="J18" s="78">
        <f>'2022'!K18</f>
        <v>51.015466666666676</v>
      </c>
      <c r="K18" s="78">
        <f t="shared" si="4"/>
        <v>53.056085333333343</v>
      </c>
      <c r="L18" s="50">
        <f>(H18-J18)*C18</f>
        <v>2133868.429695907</v>
      </c>
      <c r="M18" s="50">
        <f t="shared" ref="M18:N20" si="7">(H18-J18)*D18</f>
        <v>2869656.5693628639</v>
      </c>
      <c r="N18" s="50">
        <f t="shared" si="7"/>
        <v>1773235.6001308796</v>
      </c>
      <c r="O18" s="50">
        <f>(I18-K18)*F18</f>
        <v>2642590.6091403794</v>
      </c>
      <c r="P18" s="50">
        <f t="shared" si="2"/>
        <v>9419351.2083300296</v>
      </c>
      <c r="Q18" s="50"/>
      <c r="R18" s="50"/>
      <c r="S18" s="52"/>
    </row>
    <row r="19" spans="1:21" s="2" customFormat="1" ht="33.75" customHeight="1">
      <c r="A19" s="87"/>
      <c r="B19" s="48" t="s">
        <v>1</v>
      </c>
      <c r="C19" s="49">
        <v>46356.979999999996</v>
      </c>
      <c r="D19" s="49">
        <v>60222.55</v>
      </c>
      <c r="E19" s="49">
        <v>61603.79</v>
      </c>
      <c r="F19" s="49">
        <v>56374.31</v>
      </c>
      <c r="G19" s="50">
        <f t="shared" si="0"/>
        <v>224557.63</v>
      </c>
      <c r="H19" s="78">
        <f>'2022'!I19*1.04</f>
        <v>138.1993211209539</v>
      </c>
      <c r="I19" s="78">
        <f t="shared" si="3"/>
        <v>138.1993211209539</v>
      </c>
      <c r="J19" s="78">
        <f>'2022'!K19</f>
        <v>49.248853333333344</v>
      </c>
      <c r="K19" s="78">
        <f t="shared" si="4"/>
        <v>51.218807466666682</v>
      </c>
      <c r="L19" s="50">
        <f>(H19-J19)*C19</f>
        <v>4123475.0562213697</v>
      </c>
      <c r="M19" s="50">
        <f t="shared" si="7"/>
        <v>5356823.9938633684</v>
      </c>
      <c r="N19" s="50">
        <f t="shared" si="7"/>
        <v>5358329.2972508427</v>
      </c>
      <c r="O19" s="50">
        <f>(I19-K19)*F19</f>
        <v>4903466.4407060202</v>
      </c>
      <c r="P19" s="50">
        <f t="shared" si="2"/>
        <v>19742094.788041599</v>
      </c>
      <c r="Q19" s="50"/>
      <c r="R19" s="50"/>
      <c r="S19" s="52"/>
    </row>
    <row r="20" spans="1:21" s="2" customFormat="1" ht="33.75" customHeight="1">
      <c r="A20" s="87"/>
      <c r="B20" s="48" t="s">
        <v>2</v>
      </c>
      <c r="C20" s="49">
        <v>79959.850000000006</v>
      </c>
      <c r="D20" s="49">
        <v>74864.170000000013</v>
      </c>
      <c r="E20" s="49">
        <v>69949.42</v>
      </c>
      <c r="F20" s="49">
        <v>75432</v>
      </c>
      <c r="G20" s="50">
        <f t="shared" si="0"/>
        <v>300205.44</v>
      </c>
      <c r="H20" s="78">
        <f>'2022'!I20*1.04</f>
        <v>138.1993211209539</v>
      </c>
      <c r="I20" s="78">
        <f t="shared" si="3"/>
        <v>138.1993211209539</v>
      </c>
      <c r="J20" s="78">
        <f>'2022'!K20</f>
        <v>47.031573333333334</v>
      </c>
      <c r="K20" s="78">
        <f t="shared" si="4"/>
        <v>48.912836266666666</v>
      </c>
      <c r="L20" s="50">
        <f>(H20-J20)*C20</f>
        <v>7289759.4379359717</v>
      </c>
      <c r="M20" s="50">
        <f t="shared" si="7"/>
        <v>6825197.7688895501</v>
      </c>
      <c r="N20" s="50">
        <f t="shared" si="7"/>
        <v>6245537.8293961771</v>
      </c>
      <c r="O20" s="50">
        <f>(I20-K20)*F20</f>
        <v>6735058.1255285945</v>
      </c>
      <c r="P20" s="50">
        <f t="shared" si="2"/>
        <v>27095553.161750294</v>
      </c>
      <c r="Q20" s="50"/>
      <c r="R20" s="50"/>
      <c r="S20" s="52"/>
    </row>
    <row r="21" spans="1:21" s="62" customFormat="1" ht="33.75" customHeight="1">
      <c r="A21" s="87"/>
      <c r="B21" s="59" t="s">
        <v>4</v>
      </c>
      <c r="C21" s="60">
        <f>SUM(C18:C20)</f>
        <v>150792.33000000002</v>
      </c>
      <c r="D21" s="60">
        <f>SUM(D18:D20)</f>
        <v>168001.72000000003</v>
      </c>
      <c r="E21" s="60">
        <f>SUM(E18:E20)</f>
        <v>152379.71000000002</v>
      </c>
      <c r="F21" s="60">
        <f>SUM(F18:F20)</f>
        <v>162843.31</v>
      </c>
      <c r="G21" s="61">
        <f t="shared" si="0"/>
        <v>634017.07000000007</v>
      </c>
      <c r="H21" s="78"/>
      <c r="I21" s="78"/>
      <c r="J21" s="78"/>
      <c r="K21" s="78"/>
      <c r="L21" s="70">
        <f>SUM(L18:L20)</f>
        <v>13547102.923853248</v>
      </c>
      <c r="M21" s="70">
        <f>SUM(M18:M20)</f>
        <v>15051678.332115782</v>
      </c>
      <c r="N21" s="70">
        <f>SUM(N18:N20)</f>
        <v>13377102.7267779</v>
      </c>
      <c r="O21" s="70">
        <f>SUM(O18:O20)</f>
        <v>14281115.175374994</v>
      </c>
      <c r="P21" s="70">
        <f>SUM(P18:P20)</f>
        <v>56256999.158121921</v>
      </c>
      <c r="Q21" s="70">
        <f>'2022'!R21</f>
        <v>4577280.504927882</v>
      </c>
      <c r="R21" s="70">
        <f>O21/3</f>
        <v>4760371.725124998</v>
      </c>
      <c r="S21" s="70">
        <f>P21+Q21-R21</f>
        <v>56073907.937924802</v>
      </c>
      <c r="T21" s="2"/>
    </row>
    <row r="22" spans="1:21" s="2" customFormat="1" ht="33.75" customHeight="1">
      <c r="A22" s="87" t="s">
        <v>36</v>
      </c>
      <c r="B22" s="48" t="s">
        <v>0</v>
      </c>
      <c r="C22" s="49">
        <v>2082.5</v>
      </c>
      <c r="D22" s="49">
        <v>7631</v>
      </c>
      <c r="E22" s="49">
        <v>10199.700000000001</v>
      </c>
      <c r="F22" s="49">
        <v>8189</v>
      </c>
      <c r="G22" s="50">
        <f t="shared" si="0"/>
        <v>28102.2</v>
      </c>
      <c r="H22" s="78">
        <f>'2022'!I22*1.04</f>
        <v>129.86903302598046</v>
      </c>
      <c r="I22" s="78">
        <f t="shared" si="3"/>
        <v>129.86903302598046</v>
      </c>
      <c r="J22" s="78">
        <f>'2022'!K22</f>
        <v>61.218560000000004</v>
      </c>
      <c r="K22" s="78">
        <f t="shared" si="4"/>
        <v>63.667302400000004</v>
      </c>
      <c r="L22" s="50">
        <f>(H22-J22)*C22</f>
        <v>142964.61007660429</v>
      </c>
      <c r="M22" s="50">
        <f t="shared" ref="M22:N24" si="8">(H22-J22)*D22</f>
        <v>523871.75966125692</v>
      </c>
      <c r="N22" s="50">
        <f t="shared" si="8"/>
        <v>675237.79186581285</v>
      </c>
      <c r="O22" s="50">
        <f>(I22-K22)*F22</f>
        <v>542125.97209615388</v>
      </c>
      <c r="P22" s="50">
        <f t="shared" si="2"/>
        <v>1884200.1336998278</v>
      </c>
      <c r="Q22" s="50"/>
      <c r="R22" s="50"/>
      <c r="S22" s="52"/>
    </row>
    <row r="23" spans="1:21" s="2" customFormat="1" ht="33.75" customHeight="1">
      <c r="A23" s="87"/>
      <c r="B23" s="48" t="s">
        <v>1</v>
      </c>
      <c r="C23" s="49">
        <v>0</v>
      </c>
      <c r="D23" s="49">
        <v>0</v>
      </c>
      <c r="E23" s="49">
        <v>0</v>
      </c>
      <c r="F23" s="49">
        <v>0</v>
      </c>
      <c r="G23" s="50">
        <f t="shared" si="0"/>
        <v>0</v>
      </c>
      <c r="H23" s="78">
        <f>'2022'!I23*1.04</f>
        <v>129.86903302598046</v>
      </c>
      <c r="I23" s="78">
        <f t="shared" si="3"/>
        <v>129.86903302598046</v>
      </c>
      <c r="J23" s="78">
        <f>'2022'!K23</f>
        <v>59.098624000000001</v>
      </c>
      <c r="K23" s="78">
        <f t="shared" si="4"/>
        <v>61.462568960000006</v>
      </c>
      <c r="L23" s="50">
        <f>(H23-J23)*C23</f>
        <v>0</v>
      </c>
      <c r="M23" s="50">
        <f t="shared" si="8"/>
        <v>0</v>
      </c>
      <c r="N23" s="50">
        <f t="shared" si="8"/>
        <v>0</v>
      </c>
      <c r="O23" s="50">
        <f>(I23-K23)*F23</f>
        <v>0</v>
      </c>
      <c r="P23" s="50">
        <f t="shared" si="2"/>
        <v>0</v>
      </c>
      <c r="Q23" s="50"/>
      <c r="R23" s="50"/>
      <c r="S23" s="52"/>
    </row>
    <row r="24" spans="1:21" s="2" customFormat="1" ht="33.75" customHeight="1">
      <c r="A24" s="87"/>
      <c r="B24" s="48" t="s">
        <v>2</v>
      </c>
      <c r="C24" s="49">
        <v>86630.05</v>
      </c>
      <c r="D24" s="49">
        <v>80344.399999999994</v>
      </c>
      <c r="E24" s="49">
        <v>74082.55</v>
      </c>
      <c r="F24" s="49">
        <v>79423.51999999999</v>
      </c>
      <c r="G24" s="50">
        <f t="shared" si="0"/>
        <v>320480.52</v>
      </c>
      <c r="H24" s="78">
        <f>'2022'!I24*1.04</f>
        <v>129.86903302598046</v>
      </c>
      <c r="I24" s="78">
        <f t="shared" si="3"/>
        <v>129.86903302598046</v>
      </c>
      <c r="J24" s="78">
        <f>'2022'!K24</f>
        <v>56.437888000000008</v>
      </c>
      <c r="K24" s="78">
        <f t="shared" si="4"/>
        <v>58.695403520000013</v>
      </c>
      <c r="L24" s="50">
        <f>(H24-J24)*C24</f>
        <v>6361343.7651579371</v>
      </c>
      <c r="M24" s="50">
        <f t="shared" si="8"/>
        <v>5899781.2884253822</v>
      </c>
      <c r="N24" s="50">
        <f t="shared" si="8"/>
        <v>5272723.966558272</v>
      </c>
      <c r="O24" s="50">
        <f>(I24-K24)*F24</f>
        <v>5652860.1865408272</v>
      </c>
      <c r="P24" s="50">
        <f t="shared" si="2"/>
        <v>23186709.206682421</v>
      </c>
      <c r="Q24" s="50"/>
      <c r="R24" s="50"/>
      <c r="S24" s="52"/>
    </row>
    <row r="25" spans="1:21" s="62" customFormat="1" ht="33.75" customHeight="1">
      <c r="A25" s="87"/>
      <c r="B25" s="59" t="s">
        <v>4</v>
      </c>
      <c r="C25" s="60">
        <f>SUM(C22:C24)</f>
        <v>88712.55</v>
      </c>
      <c r="D25" s="60">
        <f>SUM(D22:D24)</f>
        <v>87975.4</v>
      </c>
      <c r="E25" s="60">
        <f>SUM(E22:E24)</f>
        <v>84282.25</v>
      </c>
      <c r="F25" s="60">
        <f>SUM(F22:F24)</f>
        <v>87612.51999999999</v>
      </c>
      <c r="G25" s="61">
        <f t="shared" si="0"/>
        <v>348582.72</v>
      </c>
      <c r="H25" s="72"/>
      <c r="I25" s="60"/>
      <c r="J25" s="60"/>
      <c r="K25" s="71"/>
      <c r="L25" s="70">
        <f>SUM(L22:L24)</f>
        <v>6504308.3752345415</v>
      </c>
      <c r="M25" s="70">
        <f>SUM(M22:M24)</f>
        <v>6423653.0480866395</v>
      </c>
      <c r="N25" s="70">
        <f>SUM(N22:N24)</f>
        <v>5947961.7584240846</v>
      </c>
      <c r="O25" s="70">
        <f>SUM(O22:O24)</f>
        <v>6194986.1586369807</v>
      </c>
      <c r="P25" s="70">
        <f>SUM(P22:P24)</f>
        <v>25070909.340382248</v>
      </c>
      <c r="Q25" s="70">
        <f>'2022'!R25</f>
        <v>1985572.4867426222</v>
      </c>
      <c r="R25" s="70">
        <f>O25/3</f>
        <v>2064995.3862123268</v>
      </c>
      <c r="S25" s="70">
        <f>P25+Q25-R25</f>
        <v>24991486.440912545</v>
      </c>
      <c r="T25" s="2"/>
    </row>
    <row r="26" spans="1:21" s="62" customFormat="1" ht="33.75" customHeight="1">
      <c r="A26" s="89" t="s">
        <v>27</v>
      </c>
      <c r="B26" s="90"/>
      <c r="C26" s="67">
        <f>C9+C13+C17+C21+C25</f>
        <v>3160606.33</v>
      </c>
      <c r="D26" s="67">
        <f t="shared" ref="D26:S26" si="9">D9+D13+D17+D21+D25</f>
        <v>3286827.8000000003</v>
      </c>
      <c r="E26" s="67">
        <f t="shared" si="9"/>
        <v>3284590.9899999998</v>
      </c>
      <c r="F26" s="67">
        <f t="shared" si="9"/>
        <v>3215618.62</v>
      </c>
      <c r="G26" s="67">
        <f t="shared" si="9"/>
        <v>12947643.74</v>
      </c>
      <c r="H26" s="67"/>
      <c r="I26" s="67"/>
      <c r="J26" s="67"/>
      <c r="K26" s="67"/>
      <c r="L26" s="73">
        <f t="shared" si="9"/>
        <v>50815582.903815888</v>
      </c>
      <c r="M26" s="73">
        <f t="shared" si="9"/>
        <v>54090638.314973742</v>
      </c>
      <c r="N26" s="73">
        <f t="shared" si="9"/>
        <v>46245954.277409658</v>
      </c>
      <c r="O26" s="73">
        <f t="shared" si="9"/>
        <v>46175934.489045501</v>
      </c>
      <c r="P26" s="73">
        <f t="shared" si="9"/>
        <v>197328109.98524478</v>
      </c>
      <c r="Q26" s="73">
        <f t="shared" si="9"/>
        <v>14799979.002899196</v>
      </c>
      <c r="R26" s="73">
        <f t="shared" si="9"/>
        <v>15391978.163015168</v>
      </c>
      <c r="S26" s="73">
        <f t="shared" si="9"/>
        <v>196736110.82512882</v>
      </c>
      <c r="T26" s="80"/>
    </row>
    <row r="27" spans="1:21" s="16" customFormat="1" ht="15" customHeight="1" outlineLevel="1">
      <c r="A27" s="8"/>
      <c r="B27" s="9"/>
      <c r="C27" s="10"/>
      <c r="D27" s="54"/>
      <c r="E27" s="10"/>
      <c r="F27" s="10"/>
      <c r="G27" s="10"/>
      <c r="H27" s="43"/>
      <c r="I27" s="43"/>
      <c r="J27" s="11"/>
      <c r="K27" s="11"/>
      <c r="L27" s="12"/>
      <c r="M27" s="12"/>
      <c r="N27" s="12"/>
      <c r="O27" s="12"/>
      <c r="P27" s="12"/>
      <c r="Q27" s="12"/>
      <c r="R27" s="12"/>
      <c r="S27" s="13"/>
      <c r="T27" s="14"/>
      <c r="U27" s="15"/>
    </row>
    <row r="28" spans="1:21" s="16" customFormat="1" ht="15" customHeight="1" outlineLevel="1">
      <c r="A28" s="8"/>
      <c r="B28" s="9"/>
      <c r="C28" s="10"/>
      <c r="D28" s="54"/>
      <c r="E28" s="10"/>
      <c r="F28" s="10"/>
      <c r="G28" s="10"/>
      <c r="H28" s="43"/>
      <c r="I28" s="43"/>
      <c r="J28" s="11"/>
      <c r="K28" s="11"/>
      <c r="L28" s="12"/>
      <c r="M28" s="12"/>
      <c r="N28" s="12"/>
      <c r="O28" s="12"/>
      <c r="P28" s="12"/>
      <c r="Q28" s="12"/>
      <c r="R28" s="12"/>
      <c r="S28" s="13"/>
      <c r="T28" s="14"/>
      <c r="U28" s="15"/>
    </row>
    <row r="29" spans="1:21" s="16" customFormat="1" ht="15" hidden="1" customHeight="1" outlineLevel="1">
      <c r="A29" s="8"/>
      <c r="B29" s="9"/>
      <c r="C29" s="10"/>
      <c r="D29" s="54"/>
      <c r="E29" s="10"/>
      <c r="F29" s="10"/>
      <c r="G29" s="10"/>
      <c r="H29" s="43"/>
      <c r="I29" s="43"/>
      <c r="J29" s="11"/>
      <c r="K29" s="11"/>
      <c r="L29" s="12"/>
      <c r="M29" s="12"/>
      <c r="N29" s="12"/>
      <c r="O29" s="12"/>
      <c r="P29" s="12"/>
      <c r="Q29" s="12"/>
      <c r="R29" s="12"/>
      <c r="S29" s="13"/>
      <c r="T29" s="14"/>
      <c r="U29" s="15"/>
    </row>
    <row r="30" spans="1:21" s="16" customFormat="1" ht="15" hidden="1" customHeight="1" outlineLevel="1">
      <c r="A30" s="8"/>
      <c r="B30" s="9"/>
      <c r="C30" s="10"/>
      <c r="D30" s="54"/>
      <c r="E30" s="10"/>
      <c r="F30" s="10"/>
      <c r="G30" s="10"/>
      <c r="H30" s="43"/>
      <c r="I30" s="43"/>
      <c r="J30" s="11"/>
      <c r="K30" s="11"/>
      <c r="L30" s="12"/>
      <c r="M30" s="12"/>
      <c r="N30" s="12"/>
      <c r="O30" s="12"/>
      <c r="P30" s="12"/>
      <c r="Q30" s="12"/>
      <c r="R30" s="12"/>
      <c r="S30" s="13"/>
      <c r="T30" s="14"/>
      <c r="U30" s="15"/>
    </row>
    <row r="31" spans="1:21" s="16" customFormat="1" ht="15" hidden="1" customHeight="1" outlineLevel="1">
      <c r="A31" s="8"/>
      <c r="B31" s="9"/>
      <c r="C31" s="10"/>
      <c r="D31" s="54"/>
      <c r="E31" s="10"/>
      <c r="F31" s="10"/>
      <c r="G31" s="10"/>
      <c r="H31" s="43"/>
      <c r="I31" s="43"/>
      <c r="J31" s="11"/>
      <c r="K31" s="11"/>
      <c r="L31" s="12"/>
      <c r="M31" s="12"/>
      <c r="N31" s="12"/>
      <c r="O31" s="12"/>
      <c r="P31" s="12"/>
      <c r="Q31" s="12"/>
      <c r="R31" s="12"/>
      <c r="S31" s="13"/>
      <c r="T31" s="14"/>
      <c r="U31" s="15"/>
    </row>
    <row r="32" spans="1:21" s="17" customFormat="1" ht="37.5" hidden="1" customHeight="1">
      <c r="A32" s="18"/>
      <c r="B32" s="19"/>
      <c r="C32" s="20"/>
      <c r="D32" s="55"/>
      <c r="E32" s="20"/>
      <c r="G32" s="88"/>
      <c r="H32" s="88"/>
      <c r="I32" s="88"/>
      <c r="J32" s="38"/>
      <c r="K32" s="38"/>
      <c r="L32" s="38"/>
      <c r="M32" s="39"/>
      <c r="N32" s="20"/>
      <c r="O32" s="20"/>
      <c r="P32" s="20"/>
      <c r="Q32" s="20"/>
      <c r="R32" s="18"/>
      <c r="S32" s="20"/>
      <c r="T32" s="21"/>
      <c r="U32" s="22"/>
    </row>
    <row r="33" spans="1:21" s="17" customFormat="1" ht="15" hidden="1" customHeight="1">
      <c r="A33" s="18"/>
      <c r="B33" s="19"/>
      <c r="C33" s="20"/>
      <c r="D33" s="55"/>
      <c r="E33" s="20"/>
      <c r="H33" s="44"/>
      <c r="I33" s="44"/>
      <c r="N33" s="4"/>
      <c r="O33" s="4"/>
      <c r="P33" s="4"/>
      <c r="Q33" s="4"/>
      <c r="R33" s="18"/>
      <c r="S33" s="4"/>
      <c r="T33" s="23"/>
      <c r="U33" s="21"/>
    </row>
    <row r="34" spans="1:21" s="26" customFormat="1" ht="15" hidden="1" customHeight="1">
      <c r="A34" s="24"/>
      <c r="B34" s="25"/>
      <c r="D34" s="56"/>
      <c r="G34" s="34"/>
      <c r="H34" s="45"/>
      <c r="I34" s="45"/>
      <c r="J34" s="40"/>
      <c r="K34" s="40"/>
      <c r="L34" s="40"/>
      <c r="M34" s="41"/>
      <c r="N34" s="27"/>
      <c r="S34" s="24"/>
      <c r="T34" s="24"/>
      <c r="U34" s="24"/>
    </row>
    <row r="35" spans="1:21" s="26" customFormat="1" ht="57" hidden="1" customHeight="1">
      <c r="D35" s="56"/>
      <c r="G35" s="93" t="s">
        <v>30</v>
      </c>
      <c r="H35" s="93"/>
      <c r="I35" s="93"/>
      <c r="J35" s="30"/>
      <c r="K35" s="31"/>
      <c r="L35" s="32" t="s">
        <v>15</v>
      </c>
      <c r="M35" s="33"/>
      <c r="N35" s="27"/>
    </row>
    <row r="36" spans="1:21" s="17" customFormat="1" ht="15" hidden="1" customHeight="1">
      <c r="D36" s="57"/>
      <c r="G36" s="74"/>
      <c r="H36" s="75"/>
      <c r="I36" s="75"/>
      <c r="J36" s="33"/>
      <c r="K36" s="33"/>
      <c r="L36" s="34"/>
      <c r="M36" s="35"/>
    </row>
    <row r="37" spans="1:21" s="17" customFormat="1" ht="15" hidden="1" customHeight="1">
      <c r="D37" s="57"/>
      <c r="G37" s="74"/>
      <c r="H37" s="75"/>
      <c r="I37" s="75"/>
      <c r="J37" s="33"/>
      <c r="K37" s="33"/>
      <c r="L37" s="34"/>
      <c r="M37" s="35"/>
    </row>
    <row r="38" spans="1:21" s="17" customFormat="1" ht="15" hidden="1" customHeight="1">
      <c r="D38" s="57"/>
      <c r="G38" s="76"/>
      <c r="H38" s="77"/>
      <c r="I38" s="77"/>
    </row>
    <row r="39" spans="1:21" s="17" customFormat="1" ht="15" hidden="1" customHeight="1">
      <c r="D39" s="57"/>
      <c r="G39" s="76"/>
      <c r="H39" s="77"/>
      <c r="I39" s="77"/>
    </row>
    <row r="40" spans="1:21" s="17" customFormat="1" ht="15" hidden="1" customHeight="1">
      <c r="D40" s="57"/>
      <c r="G40" s="74"/>
      <c r="H40" s="75"/>
      <c r="I40" s="75"/>
      <c r="J40" s="33"/>
      <c r="K40" s="33"/>
      <c r="L40" s="34"/>
      <c r="M40" s="33"/>
    </row>
    <row r="41" spans="1:21" s="17" customFormat="1" ht="36.75" hidden="1" customHeight="1">
      <c r="D41" s="57"/>
      <c r="G41" s="92" t="s">
        <v>13</v>
      </c>
      <c r="H41" s="92"/>
      <c r="I41" s="92"/>
      <c r="J41" s="36"/>
      <c r="K41" s="36"/>
      <c r="L41" s="37" t="s">
        <v>14</v>
      </c>
      <c r="M41" s="34"/>
    </row>
    <row r="42" spans="1:21" s="17" customFormat="1" ht="15" hidden="1" customHeight="1">
      <c r="D42" s="57"/>
      <c r="G42" s="34"/>
      <c r="H42" s="46"/>
      <c r="I42" s="46"/>
      <c r="J42" s="34"/>
      <c r="K42" s="34"/>
      <c r="L42" s="34"/>
      <c r="M42" s="34"/>
    </row>
    <row r="43" spans="1:21" s="17" customFormat="1" ht="15" hidden="1" customHeight="1">
      <c r="A43" s="28"/>
      <c r="D43" s="57"/>
      <c r="H43" s="44"/>
      <c r="I43" s="44"/>
    </row>
    <row r="44" spans="1:21" s="17" customFormat="1" ht="15" hidden="1" customHeight="1">
      <c r="A44" s="28"/>
      <c r="D44" s="57"/>
      <c r="H44" s="44"/>
      <c r="I44" s="44"/>
    </row>
    <row r="45" spans="1:21" s="17" customFormat="1" hidden="1">
      <c r="D45" s="57"/>
      <c r="H45" s="44"/>
      <c r="I45" s="44"/>
    </row>
    <row r="46" spans="1:21" s="17" customFormat="1" hidden="1">
      <c r="D46" s="57"/>
      <c r="H46" s="44"/>
      <c r="I46" s="44"/>
    </row>
    <row r="47" spans="1:21" s="17" customFormat="1" hidden="1">
      <c r="D47" s="57"/>
      <c r="H47" s="44"/>
      <c r="I47" s="44"/>
    </row>
    <row r="48" spans="1:21" s="17" customFormat="1" hidden="1">
      <c r="D48" s="57"/>
      <c r="H48" s="44"/>
      <c r="I48" s="44"/>
    </row>
    <row r="49" spans="4:9" s="17" customFormat="1" hidden="1">
      <c r="D49" s="57"/>
      <c r="H49" s="44"/>
      <c r="I49" s="44"/>
    </row>
    <row r="50" spans="4:9" s="17" customFormat="1" hidden="1">
      <c r="D50" s="57"/>
      <c r="H50" s="44"/>
      <c r="I50" s="44"/>
    </row>
    <row r="51" spans="4:9" s="17" customFormat="1" hidden="1">
      <c r="D51" s="57"/>
      <c r="H51" s="44"/>
      <c r="I51" s="44"/>
    </row>
    <row r="52" spans="4:9" s="17" customFormat="1" hidden="1">
      <c r="D52" s="57"/>
      <c r="H52" s="44"/>
      <c r="I52" s="44"/>
    </row>
    <row r="53" spans="4:9" s="17" customFormat="1" hidden="1">
      <c r="D53" s="57"/>
      <c r="H53" s="44"/>
      <c r="I53" s="44"/>
    </row>
    <row r="54" spans="4:9" s="17" customFormat="1" hidden="1">
      <c r="D54" s="57"/>
      <c r="H54" s="44"/>
      <c r="I54" s="44"/>
    </row>
    <row r="55" spans="4:9" s="17" customFormat="1" hidden="1">
      <c r="D55" s="57"/>
      <c r="H55" s="44"/>
      <c r="I55" s="44"/>
    </row>
    <row r="56" spans="4:9" s="17" customFormat="1" hidden="1">
      <c r="D56" s="57"/>
      <c r="H56" s="44"/>
      <c r="I56" s="44"/>
    </row>
    <row r="57" spans="4:9" s="17" customFormat="1" hidden="1">
      <c r="D57" s="57"/>
      <c r="H57" s="44"/>
      <c r="I57" s="44"/>
    </row>
    <row r="58" spans="4:9" s="17" customFormat="1" hidden="1">
      <c r="D58" s="57"/>
      <c r="H58" s="44"/>
      <c r="I58" s="44"/>
    </row>
    <row r="59" spans="4:9" s="17" customFormat="1" hidden="1">
      <c r="D59" s="57"/>
      <c r="H59" s="44"/>
      <c r="I59" s="44"/>
    </row>
    <row r="60" spans="4:9" s="17" customFormat="1" hidden="1">
      <c r="D60" s="57"/>
      <c r="H60" s="44"/>
      <c r="I60" s="44"/>
    </row>
    <row r="61" spans="4:9" s="17" customFormat="1" hidden="1">
      <c r="D61" s="57"/>
      <c r="H61" s="44"/>
      <c r="I61" s="44"/>
    </row>
    <row r="62" spans="4:9" s="17" customFormat="1" hidden="1">
      <c r="D62" s="57"/>
      <c r="H62" s="44"/>
      <c r="I62" s="44"/>
    </row>
    <row r="63" spans="4:9" s="17" customFormat="1" hidden="1">
      <c r="D63" s="57"/>
      <c r="H63" s="44"/>
      <c r="I63" s="44"/>
    </row>
    <row r="64" spans="4:9" s="17" customFormat="1" hidden="1">
      <c r="D64" s="57"/>
      <c r="H64" s="44"/>
      <c r="I64" s="44"/>
    </row>
    <row r="65" spans="2:9" s="17" customFormat="1" hidden="1">
      <c r="D65" s="57"/>
      <c r="H65" s="44"/>
      <c r="I65" s="44"/>
    </row>
    <row r="66" spans="2:9" s="17" customFormat="1" hidden="1">
      <c r="D66" s="57"/>
      <c r="H66" s="44"/>
      <c r="I66" s="44"/>
    </row>
    <row r="67" spans="2:9" s="17" customFormat="1" ht="15" hidden="1">
      <c r="B67" s="29"/>
      <c r="D67" s="57"/>
      <c r="H67" s="44"/>
      <c r="I67" s="44"/>
    </row>
    <row r="68" spans="2:9" s="17" customFormat="1" ht="15" hidden="1">
      <c r="B68" s="29"/>
      <c r="D68" s="57"/>
      <c r="H68" s="44"/>
      <c r="I68" s="44"/>
    </row>
    <row r="69" spans="2:9" s="17" customFormat="1" hidden="1">
      <c r="D69" s="57"/>
      <c r="H69" s="44"/>
      <c r="I69" s="44"/>
    </row>
    <row r="70" spans="2:9" s="17" customFormat="1" hidden="1">
      <c r="D70" s="57"/>
      <c r="H70" s="44"/>
      <c r="I70" s="44"/>
    </row>
    <row r="71" spans="2:9" s="17" customFormat="1" hidden="1">
      <c r="D71" s="57"/>
      <c r="H71" s="44"/>
      <c r="I71" s="44"/>
    </row>
    <row r="72" spans="2:9" s="17" customFormat="1" hidden="1">
      <c r="D72" s="57"/>
      <c r="H72" s="44"/>
      <c r="I72" s="44"/>
    </row>
    <row r="73" spans="2:9" s="17" customFormat="1" hidden="1">
      <c r="D73" s="57"/>
      <c r="H73" s="44"/>
      <c r="I73" s="44"/>
    </row>
    <row r="74" spans="2:9" s="17" customFormat="1" hidden="1">
      <c r="D74" s="57"/>
      <c r="H74" s="44"/>
      <c r="I74" s="44"/>
    </row>
    <row r="75" spans="2:9" s="17" customFormat="1" hidden="1">
      <c r="D75" s="57"/>
      <c r="H75" s="44"/>
      <c r="I75" s="44"/>
    </row>
    <row r="76" spans="2:9" s="17" customFormat="1" hidden="1">
      <c r="D76" s="57"/>
      <c r="H76" s="44"/>
      <c r="I76" s="44"/>
    </row>
    <row r="77" spans="2:9" s="17" customFormat="1" hidden="1">
      <c r="D77" s="57"/>
      <c r="H77" s="44"/>
      <c r="I77" s="44"/>
    </row>
    <row r="78" spans="2:9" s="17" customFormat="1">
      <c r="D78" s="57"/>
      <c r="H78" s="44"/>
      <c r="I78" s="44"/>
    </row>
    <row r="79" spans="2:9" s="17" customFormat="1">
      <c r="D79" s="57"/>
      <c r="H79" s="44"/>
      <c r="I79" s="44"/>
    </row>
    <row r="80" spans="2:9" s="17" customFormat="1">
      <c r="D80" s="57"/>
      <c r="H80" s="44"/>
      <c r="I80" s="44"/>
    </row>
    <row r="81" spans="4:9" s="17" customFormat="1">
      <c r="D81" s="57"/>
      <c r="H81" s="44"/>
      <c r="I81" s="44"/>
    </row>
    <row r="82" spans="4:9" s="17" customFormat="1">
      <c r="D82" s="57"/>
      <c r="H82" s="44"/>
      <c r="I82" s="44"/>
    </row>
    <row r="83" spans="4:9" s="17" customFormat="1">
      <c r="D83" s="57"/>
      <c r="H83" s="44"/>
      <c r="I83" s="44"/>
    </row>
    <row r="84" spans="4:9" s="17" customFormat="1">
      <c r="D84" s="57"/>
      <c r="H84" s="44"/>
      <c r="I84" s="44"/>
    </row>
    <row r="85" spans="4:9" s="17" customFormat="1">
      <c r="D85" s="57"/>
      <c r="H85" s="44"/>
      <c r="I85" s="44"/>
    </row>
    <row r="86" spans="4:9" s="17" customFormat="1">
      <c r="D86" s="57"/>
      <c r="H86" s="44"/>
      <c r="I86" s="44"/>
    </row>
    <row r="87" spans="4:9" s="17" customFormat="1">
      <c r="D87" s="57"/>
      <c r="H87" s="44"/>
      <c r="I87" s="44"/>
    </row>
    <row r="88" spans="4:9" s="17" customFormat="1">
      <c r="D88" s="57"/>
      <c r="H88" s="44"/>
      <c r="I88" s="44"/>
    </row>
    <row r="89" spans="4:9" s="17" customFormat="1">
      <c r="D89" s="57"/>
      <c r="H89" s="44"/>
      <c r="I89" s="44"/>
    </row>
    <row r="90" spans="4:9" s="17" customFormat="1">
      <c r="D90" s="57"/>
      <c r="H90" s="44"/>
      <c r="I90" s="44"/>
    </row>
    <row r="91" spans="4:9" s="17" customFormat="1">
      <c r="D91" s="57"/>
      <c r="H91" s="44"/>
      <c r="I91" s="44"/>
    </row>
    <row r="92" spans="4:9" s="17" customFormat="1">
      <c r="D92" s="57"/>
      <c r="H92" s="44"/>
      <c r="I92" s="44"/>
    </row>
    <row r="93" spans="4:9" s="17" customFormat="1">
      <c r="D93" s="57"/>
      <c r="H93" s="44"/>
      <c r="I93" s="44"/>
    </row>
    <row r="94" spans="4:9" s="17" customFormat="1">
      <c r="D94" s="57"/>
      <c r="H94" s="44"/>
      <c r="I94" s="44"/>
    </row>
    <row r="95" spans="4:9" s="17" customFormat="1">
      <c r="D95" s="57"/>
      <c r="H95" s="44"/>
      <c r="I95" s="44"/>
    </row>
    <row r="96" spans="4:9" s="17" customFormat="1">
      <c r="D96" s="57"/>
      <c r="H96" s="44"/>
      <c r="I96" s="44"/>
    </row>
    <row r="97" spans="4:9" s="17" customFormat="1">
      <c r="D97" s="57"/>
      <c r="H97" s="44"/>
      <c r="I97" s="44"/>
    </row>
    <row r="98" spans="4:9" s="17" customFormat="1">
      <c r="D98" s="57"/>
      <c r="H98" s="44"/>
      <c r="I98" s="44"/>
    </row>
    <row r="99" spans="4:9" s="17" customFormat="1">
      <c r="D99" s="57"/>
      <c r="H99" s="44"/>
      <c r="I99" s="44"/>
    </row>
    <row r="100" spans="4:9" s="17" customFormat="1">
      <c r="D100" s="57"/>
      <c r="H100" s="44"/>
      <c r="I100" s="44"/>
    </row>
    <row r="101" spans="4:9" s="17" customFormat="1">
      <c r="D101" s="57"/>
      <c r="H101" s="44"/>
      <c r="I101" s="44"/>
    </row>
    <row r="102" spans="4:9" s="17" customFormat="1">
      <c r="D102" s="57"/>
      <c r="H102" s="44"/>
      <c r="I102" s="44"/>
    </row>
    <row r="103" spans="4:9" s="17" customFormat="1">
      <c r="D103" s="57"/>
      <c r="H103" s="44"/>
      <c r="I103" s="44"/>
    </row>
    <row r="104" spans="4:9" s="17" customFormat="1">
      <c r="D104" s="57"/>
      <c r="H104" s="44"/>
      <c r="I104" s="44"/>
    </row>
    <row r="105" spans="4:9" s="17" customFormat="1">
      <c r="D105" s="57"/>
      <c r="H105" s="44"/>
      <c r="I105" s="44"/>
    </row>
    <row r="106" spans="4:9" s="17" customFormat="1">
      <c r="D106" s="57"/>
      <c r="H106" s="44"/>
      <c r="I106" s="44"/>
    </row>
    <row r="107" spans="4:9" s="17" customFormat="1">
      <c r="D107" s="57"/>
      <c r="H107" s="44"/>
      <c r="I107" s="44"/>
    </row>
    <row r="108" spans="4:9" s="17" customFormat="1">
      <c r="D108" s="57"/>
      <c r="H108" s="44"/>
      <c r="I108" s="44"/>
    </row>
    <row r="109" spans="4:9" s="17" customFormat="1">
      <c r="D109" s="57"/>
      <c r="H109" s="44"/>
      <c r="I109" s="44"/>
    </row>
    <row r="110" spans="4:9" s="17" customFormat="1">
      <c r="D110" s="57"/>
      <c r="H110" s="44"/>
      <c r="I110" s="44"/>
    </row>
    <row r="111" spans="4:9" s="17" customFormat="1">
      <c r="D111" s="57"/>
      <c r="H111" s="44"/>
      <c r="I111" s="44"/>
    </row>
    <row r="112" spans="4:9" s="17" customFormat="1">
      <c r="D112" s="57"/>
      <c r="H112" s="44"/>
      <c r="I112" s="44"/>
    </row>
    <row r="113" spans="4:9" s="17" customFormat="1">
      <c r="D113" s="57"/>
      <c r="H113" s="44"/>
      <c r="I113" s="44"/>
    </row>
    <row r="114" spans="4:9" s="17" customFormat="1">
      <c r="D114" s="57"/>
      <c r="H114" s="44"/>
      <c r="I114" s="44"/>
    </row>
    <row r="115" spans="4:9" s="17" customFormat="1">
      <c r="D115" s="57"/>
      <c r="H115" s="44"/>
      <c r="I115" s="44"/>
    </row>
    <row r="116" spans="4:9" s="17" customFormat="1">
      <c r="D116" s="57"/>
      <c r="H116" s="44"/>
      <c r="I116" s="44"/>
    </row>
    <row r="117" spans="4:9" s="17" customFormat="1">
      <c r="D117" s="57"/>
      <c r="H117" s="44"/>
      <c r="I117" s="44"/>
    </row>
    <row r="118" spans="4:9" s="17" customFormat="1">
      <c r="D118" s="57"/>
      <c r="H118" s="44"/>
      <c r="I118" s="44"/>
    </row>
    <row r="119" spans="4:9" s="17" customFormat="1">
      <c r="D119" s="57"/>
      <c r="H119" s="44"/>
      <c r="I119" s="44"/>
    </row>
    <row r="120" spans="4:9" s="17" customFormat="1">
      <c r="D120" s="57"/>
      <c r="H120" s="44"/>
      <c r="I120" s="44"/>
    </row>
    <row r="121" spans="4:9" s="17" customFormat="1">
      <c r="D121" s="57"/>
      <c r="H121" s="44"/>
      <c r="I121" s="44"/>
    </row>
    <row r="122" spans="4:9" s="17" customFormat="1">
      <c r="D122" s="57"/>
      <c r="H122" s="44"/>
      <c r="I122" s="44"/>
    </row>
    <row r="123" spans="4:9" s="17" customFormat="1">
      <c r="D123" s="57"/>
      <c r="H123" s="44"/>
      <c r="I123" s="44"/>
    </row>
    <row r="124" spans="4:9" s="17" customFormat="1">
      <c r="D124" s="57"/>
      <c r="H124" s="44"/>
      <c r="I124" s="44"/>
    </row>
    <row r="125" spans="4:9" s="17" customFormat="1">
      <c r="D125" s="57"/>
      <c r="H125" s="44"/>
      <c r="I125" s="44"/>
    </row>
    <row r="126" spans="4:9" s="17" customFormat="1">
      <c r="D126" s="57"/>
      <c r="H126" s="44"/>
      <c r="I126" s="44"/>
    </row>
    <row r="127" spans="4:9" s="17" customFormat="1">
      <c r="D127" s="57"/>
      <c r="H127" s="44"/>
      <c r="I127" s="44"/>
    </row>
    <row r="128" spans="4:9" s="17" customFormat="1">
      <c r="D128" s="57"/>
      <c r="H128" s="44"/>
      <c r="I128" s="44"/>
    </row>
    <row r="129" spans="4:9" s="17" customFormat="1">
      <c r="D129" s="57"/>
      <c r="H129" s="44"/>
      <c r="I129" s="44"/>
    </row>
    <row r="130" spans="4:9" s="17" customFormat="1">
      <c r="D130" s="57"/>
      <c r="H130" s="44"/>
      <c r="I130" s="44"/>
    </row>
    <row r="131" spans="4:9" s="17" customFormat="1">
      <c r="D131" s="57"/>
      <c r="H131" s="44"/>
      <c r="I131" s="44"/>
    </row>
    <row r="132" spans="4:9" s="17" customFormat="1">
      <c r="D132" s="57"/>
      <c r="H132" s="44"/>
      <c r="I132" s="44"/>
    </row>
    <row r="133" spans="4:9" s="17" customFormat="1">
      <c r="D133" s="57"/>
      <c r="H133" s="44"/>
      <c r="I133" s="44"/>
    </row>
    <row r="134" spans="4:9" s="17" customFormat="1">
      <c r="D134" s="57"/>
      <c r="H134" s="44"/>
      <c r="I134" s="44"/>
    </row>
    <row r="135" spans="4:9" s="17" customFormat="1">
      <c r="D135" s="57"/>
      <c r="H135" s="44"/>
      <c r="I135" s="44"/>
    </row>
    <row r="136" spans="4:9" s="17" customFormat="1">
      <c r="D136" s="57"/>
      <c r="H136" s="44"/>
      <c r="I136" s="44"/>
    </row>
    <row r="137" spans="4:9" s="17" customFormat="1">
      <c r="D137" s="57"/>
      <c r="H137" s="44"/>
      <c r="I137" s="44"/>
    </row>
    <row r="138" spans="4:9" s="17" customFormat="1">
      <c r="D138" s="57"/>
      <c r="H138" s="44"/>
      <c r="I138" s="44"/>
    </row>
    <row r="139" spans="4:9" s="17" customFormat="1">
      <c r="D139" s="57"/>
      <c r="H139" s="44"/>
      <c r="I139" s="44"/>
    </row>
    <row r="140" spans="4:9" s="17" customFormat="1">
      <c r="D140" s="57"/>
      <c r="H140" s="44"/>
      <c r="I140" s="44"/>
    </row>
    <row r="141" spans="4:9" s="17" customFormat="1">
      <c r="D141" s="57"/>
      <c r="H141" s="44"/>
      <c r="I141" s="44"/>
    </row>
    <row r="142" spans="4:9" s="17" customFormat="1">
      <c r="D142" s="57"/>
      <c r="H142" s="44"/>
      <c r="I142" s="44"/>
    </row>
    <row r="143" spans="4:9" s="17" customFormat="1">
      <c r="D143" s="57"/>
      <c r="H143" s="44"/>
      <c r="I143" s="44"/>
    </row>
    <row r="144" spans="4:9" s="17" customFormat="1">
      <c r="D144" s="57"/>
      <c r="H144" s="44"/>
      <c r="I144" s="44"/>
    </row>
    <row r="145" spans="4:9" s="17" customFormat="1">
      <c r="D145" s="57"/>
      <c r="H145" s="44"/>
      <c r="I145" s="44"/>
    </row>
    <row r="146" spans="4:9" s="17" customFormat="1">
      <c r="D146" s="57"/>
      <c r="H146" s="44"/>
      <c r="I146" s="44"/>
    </row>
    <row r="147" spans="4:9" s="17" customFormat="1">
      <c r="D147" s="57"/>
      <c r="H147" s="44"/>
      <c r="I147" s="44"/>
    </row>
    <row r="148" spans="4:9" s="17" customFormat="1">
      <c r="D148" s="57"/>
      <c r="H148" s="44"/>
      <c r="I148" s="44"/>
    </row>
    <row r="149" spans="4:9" s="17" customFormat="1">
      <c r="D149" s="57"/>
      <c r="H149" s="44"/>
      <c r="I149" s="44"/>
    </row>
    <row r="150" spans="4:9" s="17" customFormat="1">
      <c r="D150" s="57"/>
      <c r="H150" s="44"/>
      <c r="I150" s="44"/>
    </row>
    <row r="151" spans="4:9" s="17" customFormat="1">
      <c r="D151" s="57"/>
      <c r="H151" s="44"/>
      <c r="I151" s="44"/>
    </row>
    <row r="152" spans="4:9" s="17" customFormat="1">
      <c r="D152" s="57"/>
      <c r="H152" s="44"/>
      <c r="I152" s="44"/>
    </row>
    <row r="153" spans="4:9" s="17" customFormat="1">
      <c r="D153" s="57"/>
      <c r="H153" s="44"/>
      <c r="I153" s="44"/>
    </row>
    <row r="154" spans="4:9" s="17" customFormat="1">
      <c r="D154" s="57"/>
      <c r="H154" s="44"/>
      <c r="I154" s="44"/>
    </row>
    <row r="155" spans="4:9" s="17" customFormat="1">
      <c r="D155" s="57"/>
      <c r="H155" s="44"/>
      <c r="I155" s="44"/>
    </row>
    <row r="156" spans="4:9" s="17" customFormat="1">
      <c r="D156" s="57"/>
      <c r="H156" s="44"/>
      <c r="I156" s="44"/>
    </row>
    <row r="157" spans="4:9" s="17" customFormat="1">
      <c r="D157" s="57"/>
      <c r="H157" s="44"/>
      <c r="I157" s="44"/>
    </row>
    <row r="158" spans="4:9" s="17" customFormat="1">
      <c r="D158" s="57"/>
      <c r="H158" s="44"/>
      <c r="I158" s="44"/>
    </row>
    <row r="159" spans="4:9" s="17" customFormat="1">
      <c r="D159" s="57"/>
      <c r="H159" s="44"/>
      <c r="I159" s="44"/>
    </row>
    <row r="160" spans="4:9" s="17" customFormat="1">
      <c r="D160" s="57"/>
      <c r="H160" s="44"/>
      <c r="I160" s="44"/>
    </row>
    <row r="161" spans="4:9" s="17" customFormat="1">
      <c r="D161" s="57"/>
      <c r="H161" s="44"/>
      <c r="I161" s="44"/>
    </row>
  </sheetData>
  <mergeCells count="19">
    <mergeCell ref="C2:G2"/>
    <mergeCell ref="C4:G4"/>
    <mergeCell ref="H4:I4"/>
    <mergeCell ref="J4:K4"/>
    <mergeCell ref="L4:P4"/>
    <mergeCell ref="Q4:Q5"/>
    <mergeCell ref="R4:R5"/>
    <mergeCell ref="S4:S5"/>
    <mergeCell ref="A4:A5"/>
    <mergeCell ref="B4:B5"/>
    <mergeCell ref="G32:I32"/>
    <mergeCell ref="G35:I35"/>
    <mergeCell ref="G41:I41"/>
    <mergeCell ref="A6:A9"/>
    <mergeCell ref="A10:A13"/>
    <mergeCell ref="A14:A17"/>
    <mergeCell ref="A18:A21"/>
    <mergeCell ref="A22:A25"/>
    <mergeCell ref="A26:B26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Footer>&amp;C&amp;P</oddFooter>
  </headerFooter>
  <colBreaks count="1" manualBreakCount="1">
    <brk id="1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2021</vt:lpstr>
      <vt:lpstr>2022</vt:lpstr>
      <vt:lpstr>2023</vt:lpstr>
      <vt:lpstr>'2021'!Заголовки_для_печати</vt:lpstr>
      <vt:lpstr>'2022'!Заголовки_для_печати</vt:lpstr>
      <vt:lpstr>'2023'!Заголовки_для_печати</vt:lpstr>
      <vt:lpstr>'2021'!Область_печати</vt:lpstr>
      <vt:lpstr>'2022'!Область_печати</vt:lpstr>
      <vt:lpstr>'2023'!Область_печати</vt:lpstr>
    </vt:vector>
  </TitlesOfParts>
  <Company>ДТиЦ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syvorova</dc:creator>
  <cp:lastModifiedBy>minfin user</cp:lastModifiedBy>
  <cp:lastPrinted>2020-10-10T09:16:10Z</cp:lastPrinted>
  <dcterms:created xsi:type="dcterms:W3CDTF">2007-05-08T07:36:57Z</dcterms:created>
  <dcterms:modified xsi:type="dcterms:W3CDTF">2020-10-10T09:16:12Z</dcterms:modified>
</cp:coreProperties>
</file>