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845" windowWidth="11355" windowHeight="6645" tabRatio="599"/>
  </bookViews>
  <sheets>
    <sheet name="2021" sheetId="2" r:id="rId1"/>
    <sheet name="2022" sheetId="8" r:id="rId2"/>
    <sheet name="2023" sheetId="9" r:id="rId3"/>
  </sheets>
  <definedNames>
    <definedName name="_xlnm._FilterDatabase" localSheetId="0" hidden="1">'2021'!$A$7:$S$7</definedName>
    <definedName name="_xlnm._FilterDatabase" localSheetId="1" hidden="1">'2022'!$A$6:$S$71</definedName>
    <definedName name="_xlnm._FilterDatabase" localSheetId="2" hidden="1">'2023'!$A$6:$S$72</definedName>
    <definedName name="_xlnm.Print_Titles" localSheetId="0">'2021'!$A:$C,'2021'!$5:$7</definedName>
    <definedName name="_xlnm.Print_Titles" localSheetId="1">'2022'!$A:$C,'2022'!$4:$6</definedName>
    <definedName name="_xlnm.Print_Titles" localSheetId="2">'2023'!$A:$C,'2023'!$4:$6</definedName>
    <definedName name="_xlnm.Print_Area" localSheetId="0">'2021'!$A$1:$S$107</definedName>
    <definedName name="_xlnm.Print_Area" localSheetId="1">'2022'!$A$1:$S$101</definedName>
    <definedName name="_xlnm.Print_Area" localSheetId="2">'2023'!$A$1:$S$100</definedName>
  </definedNames>
  <calcPr calcId="125725" fullCalcOnLoad="1"/>
</workbook>
</file>

<file path=xl/calcChain.xml><?xml version="1.0" encoding="utf-8"?>
<calcChain xmlns="http://schemas.openxmlformats.org/spreadsheetml/2006/main">
  <c r="H84" i="8"/>
  <c r="H84" i="9"/>
  <c r="D87"/>
  <c r="O28" i="2"/>
  <c r="O30"/>
  <c r="O42"/>
  <c r="O46"/>
  <c r="O49"/>
  <c r="O54"/>
  <c r="O67"/>
  <c r="O69"/>
  <c r="O73"/>
  <c r="O78"/>
  <c r="O83"/>
  <c r="O85"/>
  <c r="N28"/>
  <c r="N30"/>
  <c r="N42"/>
  <c r="N46"/>
  <c r="N49"/>
  <c r="N54"/>
  <c r="N67"/>
  <c r="N69"/>
  <c r="N73"/>
  <c r="N78"/>
  <c r="N83"/>
  <c r="N85"/>
  <c r="M28"/>
  <c r="M30"/>
  <c r="P30"/>
  <c r="M42"/>
  <c r="M46"/>
  <c r="M49"/>
  <c r="M54"/>
  <c r="P54"/>
  <c r="M67"/>
  <c r="M69"/>
  <c r="M78"/>
  <c r="M83"/>
  <c r="M85"/>
  <c r="L28"/>
  <c r="P28"/>
  <c r="L30"/>
  <c r="L42"/>
  <c r="L46"/>
  <c r="L49"/>
  <c r="P49"/>
  <c r="L54"/>
  <c r="L67"/>
  <c r="L69"/>
  <c r="L78"/>
  <c r="L83"/>
  <c r="L85"/>
  <c r="H85"/>
  <c r="H28"/>
  <c r="H27"/>
  <c r="H26"/>
  <c r="P78"/>
  <c r="J27" i="9"/>
  <c r="C27"/>
  <c r="J27" i="8"/>
  <c r="I27"/>
  <c r="N27" s="1"/>
  <c r="A27"/>
  <c r="A27" i="9" s="1"/>
  <c r="B27" i="8"/>
  <c r="B27" i="9" s="1"/>
  <c r="B26" i="8"/>
  <c r="B26" i="9" s="1"/>
  <c r="B25" i="8"/>
  <c r="B25" i="9" s="1"/>
  <c r="H27" i="8"/>
  <c r="H27" i="9" s="1"/>
  <c r="H87" s="1"/>
  <c r="J84"/>
  <c r="J84" i="8"/>
  <c r="I84"/>
  <c r="L84" s="1"/>
  <c r="C84"/>
  <c r="C84" i="9" s="1"/>
  <c r="A84" i="8"/>
  <c r="A84" i="9"/>
  <c r="A83" i="8"/>
  <c r="A83" i="9" s="1"/>
  <c r="H9"/>
  <c r="H10"/>
  <c r="H11"/>
  <c r="H12"/>
  <c r="H13"/>
  <c r="H14"/>
  <c r="H15"/>
  <c r="H16"/>
  <c r="H17"/>
  <c r="H19"/>
  <c r="H20"/>
  <c r="H21"/>
  <c r="H22"/>
  <c r="H23"/>
  <c r="H25"/>
  <c r="H26"/>
  <c r="H29"/>
  <c r="H31"/>
  <c r="H32"/>
  <c r="H33"/>
  <c r="H34"/>
  <c r="H35"/>
  <c r="H37"/>
  <c r="H39"/>
  <c r="H40"/>
  <c r="H41"/>
  <c r="H42"/>
  <c r="H43"/>
  <c r="H44"/>
  <c r="H45"/>
  <c r="H46"/>
  <c r="H48"/>
  <c r="H50"/>
  <c r="H51"/>
  <c r="H52"/>
  <c r="H53"/>
  <c r="H55"/>
  <c r="H57"/>
  <c r="H58"/>
  <c r="H59"/>
  <c r="H60"/>
  <c r="H61"/>
  <c r="H62"/>
  <c r="H63"/>
  <c r="H64"/>
  <c r="H65"/>
  <c r="H67"/>
  <c r="H68"/>
  <c r="H69"/>
  <c r="H70"/>
  <c r="H72"/>
  <c r="H73"/>
  <c r="H75"/>
  <c r="H77"/>
  <c r="H79"/>
  <c r="H80"/>
  <c r="H82"/>
  <c r="H86"/>
  <c r="H8"/>
  <c r="H10" i="8"/>
  <c r="H12"/>
  <c r="H16"/>
  <c r="H17"/>
  <c r="H18"/>
  <c r="H19"/>
  <c r="H20"/>
  <c r="H21"/>
  <c r="H22"/>
  <c r="H23"/>
  <c r="H24"/>
  <c r="H25"/>
  <c r="H26"/>
  <c r="H28"/>
  <c r="H30"/>
  <c r="H31"/>
  <c r="H32"/>
  <c r="H33"/>
  <c r="H34"/>
  <c r="H35"/>
  <c r="H36"/>
  <c r="H38"/>
  <c r="H39"/>
  <c r="H40"/>
  <c r="H41"/>
  <c r="H42"/>
  <c r="H43"/>
  <c r="H45"/>
  <c r="H46"/>
  <c r="H47"/>
  <c r="H49"/>
  <c r="H54"/>
  <c r="H56"/>
  <c r="H66"/>
  <c r="H68"/>
  <c r="H71"/>
  <c r="H81"/>
  <c r="H82"/>
  <c r="H8"/>
  <c r="H15"/>
  <c r="H14"/>
  <c r="H13"/>
  <c r="H11"/>
  <c r="H16" i="2"/>
  <c r="H36"/>
  <c r="H35"/>
  <c r="H34"/>
  <c r="H24"/>
  <c r="H25"/>
  <c r="H22"/>
  <c r="K22"/>
  <c r="J22"/>
  <c r="J23"/>
  <c r="J24"/>
  <c r="J82" i="9"/>
  <c r="J82" i="8"/>
  <c r="I82"/>
  <c r="C82"/>
  <c r="C82" i="9" s="1"/>
  <c r="A82" i="8"/>
  <c r="A82" i="9" s="1"/>
  <c r="A81" i="8"/>
  <c r="A81" i="9" s="1"/>
  <c r="K34"/>
  <c r="K35"/>
  <c r="K33"/>
  <c r="J21"/>
  <c r="J22"/>
  <c r="J23"/>
  <c r="C19"/>
  <c r="C20"/>
  <c r="K34" i="8"/>
  <c r="J34" i="9"/>
  <c r="K35" i="8"/>
  <c r="J35" i="9"/>
  <c r="K33" i="8"/>
  <c r="J33" i="9"/>
  <c r="B33" i="8"/>
  <c r="B33" i="9" s="1"/>
  <c r="C33" i="8"/>
  <c r="C33" i="9" s="1"/>
  <c r="B34" i="8"/>
  <c r="B34" i="9" s="1"/>
  <c r="C34" i="8"/>
  <c r="C34" i="9" s="1"/>
  <c r="B35" i="8"/>
  <c r="B35" i="9" s="1"/>
  <c r="C35" i="8"/>
  <c r="C35" i="9" s="1"/>
  <c r="A34" i="8"/>
  <c r="A34" i="9" s="1"/>
  <c r="A35" i="8"/>
  <c r="A35" i="9" s="1"/>
  <c r="A33" i="8"/>
  <c r="A33" i="9" s="1"/>
  <c r="C22" i="8"/>
  <c r="C22" i="9" s="1"/>
  <c r="C23" i="8"/>
  <c r="C23" i="9" s="1"/>
  <c r="C21" i="8"/>
  <c r="C21" i="9" s="1"/>
  <c r="B20" i="8"/>
  <c r="B20" i="9" s="1"/>
  <c r="B21" i="8"/>
  <c r="B21" i="9" s="1"/>
  <c r="B22" i="8"/>
  <c r="B22" i="9" s="1"/>
  <c r="B23" i="8"/>
  <c r="B23" i="9" s="1"/>
  <c r="B19" i="8"/>
  <c r="B19" i="9" s="1"/>
  <c r="K35" i="2"/>
  <c r="K36"/>
  <c r="J35"/>
  <c r="J36"/>
  <c r="M36"/>
  <c r="K34"/>
  <c r="J34"/>
  <c r="I35"/>
  <c r="I34" i="8"/>
  <c r="I34" i="9" s="1"/>
  <c r="I36" i="2"/>
  <c r="I34"/>
  <c r="I33" i="8"/>
  <c r="I81" i="2"/>
  <c r="I62" i="8"/>
  <c r="I18" i="2"/>
  <c r="I17"/>
  <c r="J53" i="9"/>
  <c r="J53" i="8"/>
  <c r="I53"/>
  <c r="B53"/>
  <c r="B53" i="9" s="1"/>
  <c r="C53" i="8"/>
  <c r="C53" i="9" s="1"/>
  <c r="A53" i="8"/>
  <c r="A53" i="9" s="1"/>
  <c r="K75"/>
  <c r="J75"/>
  <c r="K67"/>
  <c r="J67"/>
  <c r="K62"/>
  <c r="K55"/>
  <c r="J55"/>
  <c r="K51"/>
  <c r="K52"/>
  <c r="K50"/>
  <c r="J50"/>
  <c r="J9"/>
  <c r="J10"/>
  <c r="J11"/>
  <c r="J12"/>
  <c r="J13"/>
  <c r="J14"/>
  <c r="J15"/>
  <c r="J16"/>
  <c r="J17"/>
  <c r="J19"/>
  <c r="J20"/>
  <c r="J25"/>
  <c r="J26"/>
  <c r="J29"/>
  <c r="J31"/>
  <c r="J32"/>
  <c r="J37"/>
  <c r="J39"/>
  <c r="J40"/>
  <c r="J41"/>
  <c r="J42"/>
  <c r="J43"/>
  <c r="J44"/>
  <c r="J45"/>
  <c r="J46"/>
  <c r="J48"/>
  <c r="J57"/>
  <c r="J58"/>
  <c r="J59"/>
  <c r="J60"/>
  <c r="J61"/>
  <c r="J64"/>
  <c r="J65"/>
  <c r="J69"/>
  <c r="J70"/>
  <c r="J72"/>
  <c r="J73"/>
  <c r="J77"/>
  <c r="J79"/>
  <c r="J80"/>
  <c r="J86"/>
  <c r="K75" i="8"/>
  <c r="J75"/>
  <c r="K67"/>
  <c r="J67"/>
  <c r="K63"/>
  <c r="J63" i="9"/>
  <c r="K63" s="1"/>
  <c r="K62" i="8"/>
  <c r="J62" i="9"/>
  <c r="K55" i="8"/>
  <c r="J55"/>
  <c r="K51"/>
  <c r="J51" i="9"/>
  <c r="K52" i="8"/>
  <c r="J52" i="9"/>
  <c r="K50" i="8"/>
  <c r="J9"/>
  <c r="J10"/>
  <c r="J11"/>
  <c r="J12"/>
  <c r="J13"/>
  <c r="J14"/>
  <c r="J15"/>
  <c r="J16"/>
  <c r="J17"/>
  <c r="J19"/>
  <c r="J20"/>
  <c r="J25"/>
  <c r="J26"/>
  <c r="J29"/>
  <c r="J31"/>
  <c r="J32"/>
  <c r="J37"/>
  <c r="J39"/>
  <c r="J40"/>
  <c r="J41"/>
  <c r="J42"/>
  <c r="J43"/>
  <c r="J44"/>
  <c r="J45"/>
  <c r="J46"/>
  <c r="J48"/>
  <c r="J57"/>
  <c r="J58"/>
  <c r="J59"/>
  <c r="J60"/>
  <c r="J61"/>
  <c r="J64"/>
  <c r="J65"/>
  <c r="J69"/>
  <c r="J70"/>
  <c r="J72"/>
  <c r="J73"/>
  <c r="J77"/>
  <c r="J79"/>
  <c r="J80"/>
  <c r="J86"/>
  <c r="I29"/>
  <c r="O29" s="1"/>
  <c r="I41"/>
  <c r="M41" s="1"/>
  <c r="I45"/>
  <c r="L45" s="1"/>
  <c r="I48"/>
  <c r="M48" s="1"/>
  <c r="I55"/>
  <c r="O55" s="1"/>
  <c r="P55" s="1"/>
  <c r="I72"/>
  <c r="I72" i="9" s="1"/>
  <c r="I77" i="8"/>
  <c r="L77" s="1"/>
  <c r="H55"/>
  <c r="H58"/>
  <c r="H76"/>
  <c r="H78"/>
  <c r="H85"/>
  <c r="H38" i="2"/>
  <c r="H33"/>
  <c r="I44"/>
  <c r="I45"/>
  <c r="I44" i="8"/>
  <c r="L44" s="1"/>
  <c r="I43" i="2"/>
  <c r="I41"/>
  <c r="I40" i="8"/>
  <c r="M40"/>
  <c r="I40" i="2"/>
  <c r="M40"/>
  <c r="I39" i="8"/>
  <c r="M39" s="1"/>
  <c r="L39"/>
  <c r="I87" i="2"/>
  <c r="M87"/>
  <c r="I71"/>
  <c r="I70" i="8"/>
  <c r="O70" s="1"/>
  <c r="I70" i="2"/>
  <c r="I69" i="8"/>
  <c r="M69" s="1"/>
  <c r="K63" i="2"/>
  <c r="J62" i="8"/>
  <c r="J63" i="2"/>
  <c r="L63"/>
  <c r="I64"/>
  <c r="I63" i="8"/>
  <c r="I61" i="2"/>
  <c r="M61"/>
  <c r="I60"/>
  <c r="M60"/>
  <c r="I59"/>
  <c r="I58" i="8"/>
  <c r="M58" s="1"/>
  <c r="I58" i="2"/>
  <c r="I62"/>
  <c r="N62"/>
  <c r="J81"/>
  <c r="J80"/>
  <c r="I80"/>
  <c r="I67" i="8"/>
  <c r="O67" s="1"/>
  <c r="P67" s="1"/>
  <c r="I38" i="2"/>
  <c r="I33"/>
  <c r="I32"/>
  <c r="L32"/>
  <c r="I27"/>
  <c r="I26" i="8"/>
  <c r="L26" s="1"/>
  <c r="I26" i="2"/>
  <c r="L26"/>
  <c r="J76"/>
  <c r="M76"/>
  <c r="I76"/>
  <c r="I74"/>
  <c r="N74"/>
  <c r="J73"/>
  <c r="I20"/>
  <c r="I22"/>
  <c r="O22"/>
  <c r="I21"/>
  <c r="M21"/>
  <c r="I16"/>
  <c r="I15"/>
  <c r="M15"/>
  <c r="I14"/>
  <c r="N14"/>
  <c r="I13" i="8"/>
  <c r="L13" s="1"/>
  <c r="I13" i="2"/>
  <c r="I12"/>
  <c r="N12"/>
  <c r="I11"/>
  <c r="L11"/>
  <c r="I10" i="8"/>
  <c r="N10" s="1"/>
  <c r="I10" i="2"/>
  <c r="I9"/>
  <c r="M9"/>
  <c r="K64"/>
  <c r="J63" i="8"/>
  <c r="M63" s="1"/>
  <c r="J64" i="2"/>
  <c r="I52"/>
  <c r="O52"/>
  <c r="I53"/>
  <c r="I51"/>
  <c r="I50" i="8"/>
  <c r="K76" i="2"/>
  <c r="O76"/>
  <c r="K52"/>
  <c r="K53"/>
  <c r="O53"/>
  <c r="K51"/>
  <c r="J50" i="8"/>
  <c r="J52" i="2"/>
  <c r="J53"/>
  <c r="J51"/>
  <c r="H61"/>
  <c r="H59"/>
  <c r="H10"/>
  <c r="J8" i="9"/>
  <c r="K56" i="2"/>
  <c r="K68"/>
  <c r="J8" i="8"/>
  <c r="J68" i="2"/>
  <c r="M68"/>
  <c r="J56"/>
  <c r="L56"/>
  <c r="H14"/>
  <c r="H13"/>
  <c r="H12"/>
  <c r="H11"/>
  <c r="H58"/>
  <c r="H21"/>
  <c r="H64"/>
  <c r="H43"/>
  <c r="H45"/>
  <c r="H40"/>
  <c r="I59" i="8"/>
  <c r="M59" s="1"/>
  <c r="L59"/>
  <c r="H56" i="2"/>
  <c r="H15"/>
  <c r="I75" i="8"/>
  <c r="N75" s="1"/>
  <c r="H60" i="2"/>
  <c r="I52" i="8"/>
  <c r="N52" s="1"/>
  <c r="P52" s="1"/>
  <c r="I12"/>
  <c r="M12" s="1"/>
  <c r="J51"/>
  <c r="H20" i="2"/>
  <c r="E87" i="9"/>
  <c r="F87"/>
  <c r="G87"/>
  <c r="H83" i="2"/>
  <c r="H80"/>
  <c r="H71"/>
  <c r="I25" i="8"/>
  <c r="O25" s="1"/>
  <c r="I35"/>
  <c r="I15"/>
  <c r="L15" s="1"/>
  <c r="N15"/>
  <c r="H42" i="2"/>
  <c r="D88"/>
  <c r="H70"/>
  <c r="H9"/>
  <c r="H76"/>
  <c r="H59" i="8"/>
  <c r="H60"/>
  <c r="H79"/>
  <c r="H74"/>
  <c r="H69"/>
  <c r="H57"/>
  <c r="H47" i="2"/>
  <c r="H52"/>
  <c r="H63" i="8"/>
  <c r="H54" i="2"/>
  <c r="H41"/>
  <c r="H46"/>
  <c r="H53"/>
  <c r="H74"/>
  <c r="H73"/>
  <c r="H72" i="8"/>
  <c r="N10" i="2"/>
  <c r="L10"/>
  <c r="O10"/>
  <c r="M10"/>
  <c r="O21"/>
  <c r="P21"/>
  <c r="L21"/>
  <c r="N21"/>
  <c r="O32"/>
  <c r="N32"/>
  <c r="O61"/>
  <c r="L61"/>
  <c r="N61"/>
  <c r="I20" i="8"/>
  <c r="M20" s="1"/>
  <c r="I9"/>
  <c r="I9" i="9" s="1"/>
  <c r="I60" i="8"/>
  <c r="L60" s="1"/>
  <c r="O11" i="2"/>
  <c r="P11"/>
  <c r="N11"/>
  <c r="M11"/>
  <c r="O20"/>
  <c r="N33"/>
  <c r="M58"/>
  <c r="N63"/>
  <c r="P63"/>
  <c r="O63"/>
  <c r="L71"/>
  <c r="O71"/>
  <c r="M71"/>
  <c r="M52"/>
  <c r="L62"/>
  <c r="O62"/>
  <c r="M62"/>
  <c r="N70"/>
  <c r="L70"/>
  <c r="O70"/>
  <c r="M70"/>
  <c r="L43"/>
  <c r="M43"/>
  <c r="L36"/>
  <c r="I61" i="8"/>
  <c r="O61"/>
  <c r="M56" i="2"/>
  <c r="N51"/>
  <c r="L51"/>
  <c r="O51"/>
  <c r="M51"/>
  <c r="O12"/>
  <c r="O16"/>
  <c r="M16"/>
  <c r="N16"/>
  <c r="L16"/>
  <c r="M73"/>
  <c r="P73"/>
  <c r="L73"/>
  <c r="O74"/>
  <c r="N26"/>
  <c r="O26"/>
  <c r="M26"/>
  <c r="N38"/>
  <c r="P38"/>
  <c r="L38"/>
  <c r="O38"/>
  <c r="M38"/>
  <c r="N59"/>
  <c r="O44"/>
  <c r="N44"/>
  <c r="O17"/>
  <c r="N17"/>
  <c r="I80" i="8"/>
  <c r="L80"/>
  <c r="M81" i="2"/>
  <c r="L81"/>
  <c r="L35"/>
  <c r="N35"/>
  <c r="P35"/>
  <c r="M35"/>
  <c r="O35"/>
  <c r="L68"/>
  <c r="O56"/>
  <c r="N56"/>
  <c r="L14"/>
  <c r="O14"/>
  <c r="M14"/>
  <c r="P14"/>
  <c r="M63"/>
  <c r="N87"/>
  <c r="L87"/>
  <c r="O87"/>
  <c r="N18"/>
  <c r="L18"/>
  <c r="O18"/>
  <c r="M18"/>
  <c r="P18"/>
  <c r="O68"/>
  <c r="N68"/>
  <c r="L53"/>
  <c r="O13"/>
  <c r="M13"/>
  <c r="P13"/>
  <c r="L13"/>
  <c r="N13"/>
  <c r="N76"/>
  <c r="O27"/>
  <c r="O60"/>
  <c r="N60"/>
  <c r="L60"/>
  <c r="I86" i="8"/>
  <c r="O86"/>
  <c r="O41" i="2"/>
  <c r="M41"/>
  <c r="L41"/>
  <c r="I17" i="8"/>
  <c r="N34" i="2"/>
  <c r="L34"/>
  <c r="M34"/>
  <c r="H70" i="8"/>
  <c r="H44"/>
  <c r="H77"/>
  <c r="H51"/>
  <c r="H51" i="2"/>
  <c r="I13" i="9"/>
  <c r="O13" s="1"/>
  <c r="I59"/>
  <c r="N59"/>
  <c r="H62" i="2"/>
  <c r="H44"/>
  <c r="J34" i="8"/>
  <c r="H23" i="2"/>
  <c r="H53" i="8"/>
  <c r="H17" i="2"/>
  <c r="H65"/>
  <c r="H64" i="8"/>
  <c r="H37"/>
  <c r="H75"/>
  <c r="H49" i="2"/>
  <c r="I37" i="8"/>
  <c r="M37" s="1"/>
  <c r="J33"/>
  <c r="I57"/>
  <c r="M57" s="1"/>
  <c r="K23" i="2"/>
  <c r="J22" i="8"/>
  <c r="J21"/>
  <c r="H68" i="2"/>
  <c r="H78"/>
  <c r="I17" i="9"/>
  <c r="N17"/>
  <c r="P51" i="2"/>
  <c r="I20" i="9"/>
  <c r="M20" s="1"/>
  <c r="P20" s="1"/>
  <c r="P10" i="2"/>
  <c r="H50" i="8"/>
  <c r="D87"/>
  <c r="H63" i="2"/>
  <c r="E88"/>
  <c r="F88"/>
  <c r="I57" i="9"/>
  <c r="M57" s="1"/>
  <c r="H52" i="8"/>
  <c r="H61"/>
  <c r="H73"/>
  <c r="H87" i="2"/>
  <c r="H48" i="8"/>
  <c r="H32" i="2"/>
  <c r="H9" i="8"/>
  <c r="H65"/>
  <c r="H66" i="2"/>
  <c r="H18"/>
  <c r="H67" i="8"/>
  <c r="E87"/>
  <c r="H86"/>
  <c r="F87"/>
  <c r="H30" i="2"/>
  <c r="H81"/>
  <c r="H62" i="8"/>
  <c r="G88" i="2"/>
  <c r="G87" i="8"/>
  <c r="H80"/>
  <c r="H29"/>
  <c r="M25"/>
  <c r="L67"/>
  <c r="K24" i="2"/>
  <c r="J23" i="8"/>
  <c r="I51"/>
  <c r="I51" i="9" s="1"/>
  <c r="M59" i="2"/>
  <c r="P70"/>
  <c r="P62"/>
  <c r="L45"/>
  <c r="L64"/>
  <c r="L20"/>
  <c r="M64"/>
  <c r="P26"/>
  <c r="O9"/>
  <c r="O59"/>
  <c r="P16"/>
  <c r="L52"/>
  <c r="P52"/>
  <c r="N45"/>
  <c r="O64"/>
  <c r="N20"/>
  <c r="I25" i="9"/>
  <c r="I19" i="8"/>
  <c r="M19" s="1"/>
  <c r="P19" s="1"/>
  <c r="P61" i="2"/>
  <c r="O40"/>
  <c r="O48" i="8"/>
  <c r="H88" i="2"/>
  <c r="P60"/>
  <c r="L76"/>
  <c r="P76"/>
  <c r="P56"/>
  <c r="L59"/>
  <c r="P59"/>
  <c r="N52"/>
  <c r="M45"/>
  <c r="M20"/>
  <c r="P68"/>
  <c r="M53"/>
  <c r="N64"/>
  <c r="P69"/>
  <c r="P46"/>
  <c r="P85"/>
  <c r="P67"/>
  <c r="P83"/>
  <c r="L40"/>
  <c r="N57" i="9"/>
  <c r="O57"/>
  <c r="N80" i="8"/>
  <c r="L57"/>
  <c r="N57"/>
  <c r="O37"/>
  <c r="P87" i="2"/>
  <c r="N9"/>
  <c r="I8" i="8"/>
  <c r="N8" s="1"/>
  <c r="L9" i="2"/>
  <c r="M12"/>
  <c r="I11" i="8"/>
  <c r="M11" s="1"/>
  <c r="L12" i="2"/>
  <c r="N15"/>
  <c r="I14" i="8"/>
  <c r="L14" s="1"/>
  <c r="L15" i="2"/>
  <c r="O15"/>
  <c r="M22"/>
  <c r="I23"/>
  <c r="N22"/>
  <c r="L22"/>
  <c r="I21" i="8"/>
  <c r="N21"/>
  <c r="I24" i="2"/>
  <c r="I79" i="8"/>
  <c r="M79" s="1"/>
  <c r="O80" i="2"/>
  <c r="M80"/>
  <c r="N80"/>
  <c r="N58"/>
  <c r="L58"/>
  <c r="O58"/>
  <c r="I65"/>
  <c r="I43" i="8"/>
  <c r="N43"/>
  <c r="L44" i="2"/>
  <c r="I47"/>
  <c r="M44"/>
  <c r="N17" i="8"/>
  <c r="O17"/>
  <c r="L17"/>
  <c r="M17"/>
  <c r="L27" i="2"/>
  <c r="L80"/>
  <c r="I50" i="9"/>
  <c r="I32" i="8"/>
  <c r="O32"/>
  <c r="O33" i="2"/>
  <c r="M33"/>
  <c r="L33"/>
  <c r="P33"/>
  <c r="N45" i="8"/>
  <c r="I45" i="9"/>
  <c r="O45" i="8"/>
  <c r="I16"/>
  <c r="L16" s="1"/>
  <c r="L17" i="2"/>
  <c r="M17"/>
  <c r="N81"/>
  <c r="P81"/>
  <c r="O81"/>
  <c r="O58" i="8"/>
  <c r="N58"/>
  <c r="N12"/>
  <c r="J52"/>
  <c r="N53" i="2"/>
  <c r="P53"/>
  <c r="I42" i="8"/>
  <c r="N42" s="1"/>
  <c r="O43" i="2"/>
  <c r="N43"/>
  <c r="N33" i="8"/>
  <c r="O33"/>
  <c r="P33" s="1"/>
  <c r="L33"/>
  <c r="M33"/>
  <c r="I33" i="9"/>
  <c r="L33" s="1"/>
  <c r="P33" s="1"/>
  <c r="J35" i="8"/>
  <c r="N36" i="2"/>
  <c r="N82" i="8"/>
  <c r="O82"/>
  <c r="M51"/>
  <c r="N60"/>
  <c r="I73"/>
  <c r="I73" i="9" s="1"/>
  <c r="M74" i="2"/>
  <c r="L74"/>
  <c r="M27"/>
  <c r="N27"/>
  <c r="N69" i="8"/>
  <c r="I69" i="9"/>
  <c r="L69" s="1"/>
  <c r="M44" i="8"/>
  <c r="O44"/>
  <c r="I44" i="9"/>
  <c r="O44"/>
  <c r="N44" i="8"/>
  <c r="O36" i="2"/>
  <c r="O34"/>
  <c r="P34"/>
  <c r="N41"/>
  <c r="P41"/>
  <c r="O45"/>
  <c r="P45"/>
  <c r="N71"/>
  <c r="P71"/>
  <c r="O9" i="8"/>
  <c r="L9"/>
  <c r="M32" i="2"/>
  <c r="P32"/>
  <c r="I31" i="8"/>
  <c r="O31"/>
  <c r="I48" i="9"/>
  <c r="L48" s="1"/>
  <c r="L41" i="8"/>
  <c r="P42" i="2"/>
  <c r="N40"/>
  <c r="P40"/>
  <c r="N20" i="8"/>
  <c r="O19"/>
  <c r="N35"/>
  <c r="N13"/>
  <c r="O13"/>
  <c r="L72"/>
  <c r="N72"/>
  <c r="N48"/>
  <c r="M84"/>
  <c r="O84"/>
  <c r="N84"/>
  <c r="N25"/>
  <c r="L29"/>
  <c r="M75"/>
  <c r="P17" i="2"/>
  <c r="P64"/>
  <c r="P74"/>
  <c r="P43"/>
  <c r="P58"/>
  <c r="P22"/>
  <c r="P12"/>
  <c r="P36"/>
  <c r="P20"/>
  <c r="P27"/>
  <c r="N47"/>
  <c r="M47"/>
  <c r="L47"/>
  <c r="I46" i="8"/>
  <c r="M46" s="1"/>
  <c r="P46" s="1"/>
  <c r="O47" i="2"/>
  <c r="M65"/>
  <c r="I64" i="8"/>
  <c r="I64" i="9" s="1"/>
  <c r="O65" i="2"/>
  <c r="L65"/>
  <c r="N65"/>
  <c r="I66"/>
  <c r="L24"/>
  <c r="N24"/>
  <c r="M24"/>
  <c r="O24"/>
  <c r="I23" i="8"/>
  <c r="O23"/>
  <c r="M23" i="2"/>
  <c r="O23"/>
  <c r="N23"/>
  <c r="L23"/>
  <c r="I22" i="8"/>
  <c r="N22" s="1"/>
  <c r="M14"/>
  <c r="O14"/>
  <c r="N14"/>
  <c r="I14" i="9"/>
  <c r="O14" s="1"/>
  <c r="P44" i="2"/>
  <c r="M21" i="8"/>
  <c r="P9" i="2"/>
  <c r="N45" i="9"/>
  <c r="O45"/>
  <c r="L45"/>
  <c r="O8" i="8"/>
  <c r="M8"/>
  <c r="O73"/>
  <c r="L73"/>
  <c r="N73"/>
  <c r="P80" i="2"/>
  <c r="P15"/>
  <c r="N11" i="8"/>
  <c r="O11"/>
  <c r="I11" i="9"/>
  <c r="O11" s="1"/>
  <c r="P11" s="1"/>
  <c r="P65" i="2"/>
  <c r="O88"/>
  <c r="P23"/>
  <c r="M66"/>
  <c r="M88"/>
  <c r="O66"/>
  <c r="N66"/>
  <c r="N88"/>
  <c r="L66"/>
  <c r="I65" i="8"/>
  <c r="N65" s="1"/>
  <c r="N64"/>
  <c r="P47" i="2"/>
  <c r="M22" i="8"/>
  <c r="P24" i="2"/>
  <c r="O65" i="8"/>
  <c r="I65" i="9"/>
  <c r="N65"/>
  <c r="P66" i="2"/>
  <c r="P88"/>
  <c r="L88"/>
  <c r="R88"/>
  <c r="Q87" i="8"/>
  <c r="S88" i="2"/>
  <c r="N46" i="8"/>
  <c r="I60" i="9"/>
  <c r="O60" s="1"/>
  <c r="M86" i="8"/>
  <c r="M15"/>
  <c r="O27"/>
  <c r="I15" i="9"/>
  <c r="O15" s="1"/>
  <c r="L64" i="8"/>
  <c r="M65" i="9"/>
  <c r="M73" i="8"/>
  <c r="L69"/>
  <c r="M65"/>
  <c r="M27"/>
  <c r="M64"/>
  <c r="M42"/>
  <c r="L21"/>
  <c r="O52"/>
  <c r="L20"/>
  <c r="L75"/>
  <c r="P17"/>
  <c r="O15"/>
  <c r="I52" i="9"/>
  <c r="L52" s="1"/>
  <c r="L58" i="8"/>
  <c r="I27" i="9"/>
  <c r="N27" s="1"/>
  <c r="P27" s="1"/>
  <c r="L65" i="8"/>
  <c r="O64"/>
  <c r="I21" i="9"/>
  <c r="O21" s="1"/>
  <c r="O53" i="8"/>
  <c r="N39"/>
  <c r="O60"/>
  <c r="N51"/>
  <c r="M52"/>
  <c r="M50"/>
  <c r="O42"/>
  <c r="O39"/>
  <c r="O51"/>
  <c r="M80"/>
  <c r="N59"/>
  <c r="M50" i="9"/>
  <c r="O22" i="8"/>
  <c r="L8"/>
  <c r="L52"/>
  <c r="O10"/>
  <c r="M9"/>
  <c r="I39" i="9"/>
  <c r="O39"/>
  <c r="I82"/>
  <c r="N82" s="1"/>
  <c r="O12" i="8"/>
  <c r="O50"/>
  <c r="I63" i="9"/>
  <c r="N63" s="1"/>
  <c r="N37" i="8"/>
  <c r="L63"/>
  <c r="O35"/>
  <c r="L22"/>
  <c r="I8" i="9"/>
  <c r="L8"/>
  <c r="O21" i="8"/>
  <c r="P21" s="1"/>
  <c r="L27"/>
  <c r="P27" s="1"/>
  <c r="L50"/>
  <c r="O63"/>
  <c r="L37"/>
  <c r="O80"/>
  <c r="I37" i="9"/>
  <c r="L37" s="1"/>
  <c r="I22"/>
  <c r="L22"/>
  <c r="N50"/>
  <c r="L43" i="8"/>
  <c r="N50"/>
  <c r="M26"/>
  <c r="I77" i="9"/>
  <c r="O50"/>
  <c r="N9" i="8"/>
  <c r="O59"/>
  <c r="N63"/>
  <c r="M34"/>
  <c r="N77"/>
  <c r="N15" i="9"/>
  <c r="O52"/>
  <c r="P64" i="8"/>
  <c r="O8" i="9"/>
  <c r="P50" i="8"/>
  <c r="M22" i="9"/>
  <c r="N44"/>
  <c r="M77"/>
  <c r="N11"/>
  <c r="O22"/>
  <c r="N60"/>
  <c r="N21"/>
  <c r="M8"/>
  <c r="N8"/>
  <c r="O65"/>
  <c r="L27"/>
  <c r="O48"/>
  <c r="N52"/>
  <c r="N22"/>
  <c r="M69"/>
  <c r="N69"/>
  <c r="M39"/>
  <c r="L21"/>
  <c r="P21" s="1"/>
  <c r="M21"/>
  <c r="L60"/>
  <c r="L82"/>
  <c r="L39"/>
  <c r="L77"/>
  <c r="N14"/>
  <c r="L15"/>
  <c r="M25"/>
  <c r="O69"/>
  <c r="O82"/>
  <c r="N39"/>
  <c r="O77"/>
  <c r="M45"/>
  <c r="P45" s="1"/>
  <c r="L50"/>
  <c r="P50" s="1"/>
  <c r="M33"/>
  <c r="M82"/>
  <c r="N77"/>
  <c r="L65"/>
  <c r="M14"/>
  <c r="O20"/>
  <c r="L57"/>
  <c r="P57" s="1"/>
  <c r="L32" i="8"/>
  <c r="M44" i="9"/>
  <c r="L44"/>
  <c r="N13"/>
  <c r="N55" i="8"/>
  <c r="N62"/>
  <c r="O43"/>
  <c r="I55" i="9"/>
  <c r="M23" i="8"/>
  <c r="N23"/>
  <c r="I67" i="9"/>
  <c r="L40" i="8"/>
  <c r="M72"/>
  <c r="O62"/>
  <c r="M10"/>
  <c r="L62"/>
  <c r="M70"/>
  <c r="O40"/>
  <c r="L11" i="9"/>
  <c r="L53" i="8"/>
  <c r="O75"/>
  <c r="I10" i="9"/>
  <c r="M63"/>
  <c r="N37"/>
  <c r="O27"/>
  <c r="M60"/>
  <c r="P60" s="1"/>
  <c r="O25"/>
  <c r="I41"/>
  <c r="M43" i="8"/>
  <c r="P43" s="1"/>
  <c r="I70" i="9"/>
  <c r="L14"/>
  <c r="O77" i="8"/>
  <c r="N25" i="9"/>
  <c r="N61" i="8"/>
  <c r="N33" i="9"/>
  <c r="I86"/>
  <c r="N67" i="8"/>
  <c r="L86"/>
  <c r="M31"/>
  <c r="M48" i="9"/>
  <c r="N32" i="8"/>
  <c r="I46" i="9"/>
  <c r="O72" i="8"/>
  <c r="N41"/>
  <c r="O17" i="9"/>
  <c r="L23" i="8"/>
  <c r="P23" s="1"/>
  <c r="M77"/>
  <c r="O41"/>
  <c r="O34"/>
  <c r="L61"/>
  <c r="L55"/>
  <c r="L13" i="9"/>
  <c r="L25"/>
  <c r="N26" i="8"/>
  <c r="N40"/>
  <c r="I62" i="9"/>
  <c r="L25" i="8"/>
  <c r="P25" s="1"/>
  <c r="I43" i="9"/>
  <c r="N29" i="8"/>
  <c r="I61" i="9"/>
  <c r="M32" i="8"/>
  <c r="M13"/>
  <c r="L42"/>
  <c r="P42" s="1"/>
  <c r="I35" i="9"/>
  <c r="N70" i="8"/>
  <c r="P9"/>
  <c r="L63" i="9"/>
  <c r="M37"/>
  <c r="M52"/>
  <c r="N31" i="8"/>
  <c r="M11" i="9"/>
  <c r="L70" i="8"/>
  <c r="P70" s="1"/>
  <c r="L34"/>
  <c r="L46"/>
  <c r="I40" i="9"/>
  <c r="M55" i="8"/>
  <c r="O59" i="9"/>
  <c r="L82" i="8"/>
  <c r="N53"/>
  <c r="I42" i="9"/>
  <c r="M29" i="8"/>
  <c r="I23" i="9"/>
  <c r="L10" i="8"/>
  <c r="L19"/>
  <c r="O46"/>
  <c r="N79"/>
  <c r="N48" i="9"/>
  <c r="I32"/>
  <c r="L35" i="8"/>
  <c r="L12"/>
  <c r="P12" s="1"/>
  <c r="L17" i="9"/>
  <c r="O26" i="8"/>
  <c r="I29" i="9"/>
  <c r="I80"/>
  <c r="L48" i="8"/>
  <c r="I31" i="9"/>
  <c r="I16"/>
  <c r="M45" i="8"/>
  <c r="O37" i="9"/>
  <c r="H87" i="8"/>
  <c r="M60"/>
  <c r="N16"/>
  <c r="M61"/>
  <c r="I19" i="9"/>
  <c r="N20"/>
  <c r="N86" i="8"/>
  <c r="M15" i="9"/>
  <c r="L79" i="8"/>
  <c r="I79" i="9"/>
  <c r="L20"/>
  <c r="M13"/>
  <c r="O16" i="8"/>
  <c r="M67"/>
  <c r="N34"/>
  <c r="M17" i="9"/>
  <c r="I26"/>
  <c r="O69" i="8"/>
  <c r="L31"/>
  <c r="M27" i="9"/>
  <c r="O79" i="8"/>
  <c r="I53" i="9"/>
  <c r="M16" i="8"/>
  <c r="O33" i="9"/>
  <c r="O57" i="8"/>
  <c r="M59" i="9"/>
  <c r="I75"/>
  <c r="L59"/>
  <c r="L11" i="8"/>
  <c r="P11" s="1"/>
  <c r="N19"/>
  <c r="P8" i="9"/>
  <c r="P65"/>
  <c r="P44"/>
  <c r="P39"/>
  <c r="O26"/>
  <c r="N26"/>
  <c r="M26"/>
  <c r="L26"/>
  <c r="M35"/>
  <c r="N35"/>
  <c r="O35"/>
  <c r="L35"/>
  <c r="O10"/>
  <c r="N10"/>
  <c r="M10"/>
  <c r="L10"/>
  <c r="P34" i="8"/>
  <c r="L67" i="9"/>
  <c r="O67"/>
  <c r="M67"/>
  <c r="N67"/>
  <c r="M80"/>
  <c r="N80"/>
  <c r="O80"/>
  <c r="L80"/>
  <c r="L19"/>
  <c r="N19"/>
  <c r="O19"/>
  <c r="M19"/>
  <c r="L31"/>
  <c r="N31"/>
  <c r="M31"/>
  <c r="O31"/>
  <c r="O23"/>
  <c r="M23"/>
  <c r="L23"/>
  <c r="N23"/>
  <c r="L43"/>
  <c r="O43"/>
  <c r="N43"/>
  <c r="M43"/>
  <c r="O70"/>
  <c r="L70"/>
  <c r="N70"/>
  <c r="M70"/>
  <c r="L55"/>
  <c r="O55"/>
  <c r="N55"/>
  <c r="M55"/>
  <c r="P61" i="8"/>
  <c r="P86"/>
  <c r="N29" i="9"/>
  <c r="L29"/>
  <c r="M29"/>
  <c r="O29"/>
  <c r="M62"/>
  <c r="N62"/>
  <c r="O62"/>
  <c r="L62"/>
  <c r="N79"/>
  <c r="O79"/>
  <c r="L79"/>
  <c r="M79"/>
  <c r="N42"/>
  <c r="L42"/>
  <c r="O42"/>
  <c r="M42"/>
  <c r="M86"/>
  <c r="L86"/>
  <c r="N86"/>
  <c r="O86"/>
  <c r="L16"/>
  <c r="O16"/>
  <c r="M16"/>
  <c r="N16"/>
  <c r="O40"/>
  <c r="L40"/>
  <c r="N40"/>
  <c r="M40"/>
  <c r="P40" i="8"/>
  <c r="P31"/>
  <c r="P25" i="9"/>
  <c r="P32" i="8"/>
  <c r="M46" i="9"/>
  <c r="O46"/>
  <c r="N46"/>
  <c r="L46"/>
  <c r="M41"/>
  <c r="O41"/>
  <c r="N41"/>
  <c r="L41"/>
  <c r="N75"/>
  <c r="L75"/>
  <c r="M75"/>
  <c r="O75"/>
  <c r="M32"/>
  <c r="L32"/>
  <c r="O32"/>
  <c r="N32"/>
  <c r="O53"/>
  <c r="L53"/>
  <c r="M53"/>
  <c r="N53"/>
  <c r="M61"/>
  <c r="N61"/>
  <c r="O61"/>
  <c r="L61"/>
  <c r="P61" s="1"/>
  <c r="P59"/>
  <c r="P17"/>
  <c r="P19"/>
  <c r="P67"/>
  <c r="P55"/>
  <c r="P43"/>
  <c r="P31"/>
  <c r="P46"/>
  <c r="P62"/>
  <c r="P29"/>
  <c r="P80"/>
  <c r="P32"/>
  <c r="P10"/>
  <c r="P79"/>
  <c r="P70"/>
  <c r="P40"/>
  <c r="P26"/>
  <c r="P53"/>
  <c r="P75"/>
  <c r="P16"/>
  <c r="P23"/>
  <c r="P86"/>
  <c r="P41"/>
  <c r="P42"/>
  <c r="P35"/>
  <c r="O64" l="1"/>
  <c r="L64"/>
  <c r="N64"/>
  <c r="M64"/>
  <c r="O73"/>
  <c r="L73"/>
  <c r="N73"/>
  <c r="M73"/>
  <c r="M72"/>
  <c r="O72"/>
  <c r="L72"/>
  <c r="P72" s="1"/>
  <c r="N72"/>
  <c r="P48" i="8"/>
  <c r="P72"/>
  <c r="P14" i="9"/>
  <c r="P22" i="8"/>
  <c r="P48" i="9"/>
  <c r="P16" i="8"/>
  <c r="P14"/>
  <c r="P13" i="9"/>
  <c r="O20" i="8"/>
  <c r="P75"/>
  <c r="P26"/>
  <c r="P41"/>
  <c r="M62"/>
  <c r="P62" s="1"/>
  <c r="M82"/>
  <c r="P82" s="1"/>
  <c r="P15" i="9"/>
  <c r="P29" i="8"/>
  <c r="P22" i="9"/>
  <c r="P82"/>
  <c r="P80" i="8"/>
  <c r="P59"/>
  <c r="P58"/>
  <c r="P69"/>
  <c r="P45"/>
  <c r="M53"/>
  <c r="P53" s="1"/>
  <c r="O87"/>
  <c r="P37" i="9"/>
  <c r="P52"/>
  <c r="P20" i="8"/>
  <c r="P73"/>
  <c r="P37"/>
  <c r="P60"/>
  <c r="M35"/>
  <c r="P35" s="1"/>
  <c r="P63"/>
  <c r="I58" i="9"/>
  <c r="O63"/>
  <c r="P63" s="1"/>
  <c r="P84" i="8"/>
  <c r="P57"/>
  <c r="P79"/>
  <c r="P77"/>
  <c r="P77" i="9"/>
  <c r="P65" i="8"/>
  <c r="P69" i="9"/>
  <c r="P15" i="8"/>
  <c r="P13"/>
  <c r="P39"/>
  <c r="P44"/>
  <c r="M51" i="9"/>
  <c r="N51"/>
  <c r="L51"/>
  <c r="O51"/>
  <c r="O9"/>
  <c r="N9"/>
  <c r="M9"/>
  <c r="L9"/>
  <c r="P8" i="8"/>
  <c r="N87"/>
  <c r="M34" i="9"/>
  <c r="N34"/>
  <c r="L34"/>
  <c r="P34" s="1"/>
  <c r="O34"/>
  <c r="L87" i="8"/>
  <c r="L51"/>
  <c r="P51" s="1"/>
  <c r="P10"/>
  <c r="I12" i="9"/>
  <c r="I84"/>
  <c r="M87" i="8" l="1"/>
  <c r="P64" i="9"/>
  <c r="L58"/>
  <c r="P58" s="1"/>
  <c r="O58"/>
  <c r="O87" s="1"/>
  <c r="M58"/>
  <c r="N58"/>
  <c r="P73"/>
  <c r="P87" i="8"/>
  <c r="O12" i="9"/>
  <c r="L12"/>
  <c r="P12" s="1"/>
  <c r="M12"/>
  <c r="M87" s="1"/>
  <c r="N12"/>
  <c r="M84"/>
  <c r="L84"/>
  <c r="P84" s="1"/>
  <c r="N84"/>
  <c r="O84"/>
  <c r="P51"/>
  <c r="P9"/>
  <c r="P87" s="1"/>
  <c r="N87" l="1"/>
  <c r="R87" i="8"/>
  <c r="Q87" i="9" s="1"/>
  <c r="S87" s="1"/>
  <c r="L87"/>
  <c r="R87"/>
  <c r="S87" i="8" l="1"/>
</calcChain>
</file>

<file path=xl/comments1.xml><?xml version="1.0" encoding="utf-8"?>
<comments xmlns="http://schemas.openxmlformats.org/spreadsheetml/2006/main">
  <authors>
    <author>Пермиловская Ирина Александровна</author>
  </authors>
  <commentList>
    <comment ref="H44" authorId="0">
      <text>
        <r>
          <rPr>
            <b/>
            <sz val="9"/>
            <color indexed="81"/>
            <rFont val="Tahoma"/>
            <family val="2"/>
            <charset val="204"/>
          </rPr>
          <t>Пермиловская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добавила объем по МО "Соянское" , т.к. ЭОС одинаковая</t>
        </r>
      </text>
    </comment>
    <comment ref="I47" authorId="0">
      <text>
        <r>
          <rPr>
            <b/>
            <sz val="9"/>
            <color indexed="81"/>
            <rFont val="Tahoma"/>
            <family val="2"/>
            <charset val="204"/>
          </rPr>
          <t>Пермиловская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в 2019 году работал на ООО "ПСК"</t>
        </r>
      </text>
    </comment>
  </commentList>
</comments>
</file>

<file path=xl/sharedStrings.xml><?xml version="1.0" encoding="utf-8"?>
<sst xmlns="http://schemas.openxmlformats.org/spreadsheetml/2006/main" count="620" uniqueCount="150">
  <si>
    <t>МО "Северодвинск"</t>
  </si>
  <si>
    <t>МО "Город Архангельск"</t>
  </si>
  <si>
    <t>ООО "Тайбола"</t>
  </si>
  <si>
    <t>МО "Город Новодвинск"</t>
  </si>
  <si>
    <t>ИП Агафапудов А.А.</t>
  </si>
  <si>
    <t>МО "Вельский муниципальный район"</t>
  </si>
  <si>
    <t>МО "Верхнетоемский муниципальный район"</t>
  </si>
  <si>
    <t>МО "Каргопольский муниципальный район"</t>
  </si>
  <si>
    <t>МО "Котласский муниципальный район"</t>
  </si>
  <si>
    <t>МО "Лешуконский муниципальный район"</t>
  </si>
  <si>
    <t>МО "Мезенский муниципальный район"</t>
  </si>
  <si>
    <t>МО "Приморский муниципальный район"</t>
  </si>
  <si>
    <t>ИП Чупраков Е.А.</t>
  </si>
  <si>
    <t>вид дров</t>
  </si>
  <si>
    <t xml:space="preserve">МУП "Хозьминское" </t>
  </si>
  <si>
    <t>ООО "Биотоп"</t>
  </si>
  <si>
    <t>МУП "Жилкомсервис"</t>
  </si>
  <si>
    <t>Поселение/уточнение</t>
  </si>
  <si>
    <t>СМУП "Белое озеро"</t>
  </si>
  <si>
    <t xml:space="preserve">ООО "Рай Топ" </t>
  </si>
  <si>
    <t>материковая часть</t>
  </si>
  <si>
    <t>острова</t>
  </si>
  <si>
    <t>острова Хабарка, Бревенник, Кего</t>
  </si>
  <si>
    <t>колотые длиной 1 м и менее</t>
  </si>
  <si>
    <t>круглые длиной 1 м и менее</t>
  </si>
  <si>
    <t>круглые длиной более 1 м</t>
  </si>
  <si>
    <t>МО "Онежский муниципальный район"</t>
  </si>
  <si>
    <t>СПК "РК"Беломор"</t>
  </si>
  <si>
    <t>ИП Витязев В.А.</t>
  </si>
  <si>
    <t>ООО "Производственно-сервисная компания"</t>
  </si>
  <si>
    <t>Розничная цена (без НДС), руб./пл.куб.м.</t>
  </si>
  <si>
    <t>МО "Койденское"</t>
  </si>
  <si>
    <t>Предприятие</t>
  </si>
  <si>
    <t>Всего</t>
  </si>
  <si>
    <t>МО "Быченское"</t>
  </si>
  <si>
    <t>ИП Баулин А.В.</t>
  </si>
  <si>
    <t>МО "Пертоминское"</t>
  </si>
  <si>
    <t>ООО "Дрова29"</t>
  </si>
  <si>
    <t>МО "Вожгорское", 
МО "Койнасское", 
МО "Ценогорское"</t>
  </si>
  <si>
    <t>МО "Виноградовский  муниципальный район"</t>
  </si>
  <si>
    <t>1 квартал</t>
  </si>
  <si>
    <t>2 квартал</t>
  </si>
  <si>
    <t>3 квартал</t>
  </si>
  <si>
    <t>4 квартал</t>
  </si>
  <si>
    <t>всего</t>
  </si>
  <si>
    <t>1 полугодие</t>
  </si>
  <si>
    <t>2 полугодие</t>
  </si>
  <si>
    <t>Потребность в средствах субсидии (без учета кредиторской задолженности), руб.</t>
  </si>
  <si>
    <t>МО "Усть-Шоношское", МО "хозьминское"</t>
  </si>
  <si>
    <t>поселок Белое озеро</t>
  </si>
  <si>
    <t>Северодвинск,  пос. Камбалица</t>
  </si>
  <si>
    <t>ООО "ЛПК- 14"</t>
  </si>
  <si>
    <t>Кредиторская задолженность на 01.01.2021, руб.</t>
  </si>
  <si>
    <t>Потребность в средствах субсдиии без учета декабря 2021 г.</t>
  </si>
  <si>
    <t>МО "Мезенское"</t>
  </si>
  <si>
    <t>ИП Попов Ю.Л.</t>
  </si>
  <si>
    <t>МО "Долгощелье"</t>
  </si>
  <si>
    <t>МО "Онежский муниципальный райн"</t>
  </si>
  <si>
    <t>Город Архангельск</t>
  </si>
  <si>
    <t>МО "Коношский  муниципальный район"</t>
  </si>
  <si>
    <t xml:space="preserve">МО Город Новодвинск </t>
  </si>
  <si>
    <t>МО "Котлас"</t>
  </si>
  <si>
    <t>ООО "Кедр"</t>
  </si>
  <si>
    <t>СОГЛАСОВАНО:</t>
  </si>
  <si>
    <t>Руководитель АТиЦ АО</t>
  </si>
  <si>
    <t>Е.А. Попова</t>
  </si>
  <si>
    <t>МО "Приводинское", МО "Шипицинское"</t>
  </si>
  <si>
    <t>круглые длиной 1 м и более</t>
  </si>
  <si>
    <t>ООО "Архтоп"</t>
  </si>
  <si>
    <t>ООО "Вектор"</t>
  </si>
  <si>
    <t>МО "Жердское", МО "Дорогорское"</t>
  </si>
  <si>
    <t>ООО "Дровснаб"</t>
  </si>
  <si>
    <t>ООО "МПМК"</t>
  </si>
  <si>
    <t>ООО "Норд Развитие"</t>
  </si>
  <si>
    <t>ООО "Фореста"</t>
  </si>
  <si>
    <t>Д.Н. Поташев</t>
  </si>
  <si>
    <t>Кредиторская задолженность на 01.01.2022, руб.</t>
  </si>
  <si>
    <t>Потребность в средствах субсдиии без учета декабря 2022 г.</t>
  </si>
  <si>
    <t>прибрежные территории МО "Талажское"</t>
  </si>
  <si>
    <t>ИП Осипов И.Р.</t>
  </si>
  <si>
    <t>МО "Березниковское"</t>
  </si>
  <si>
    <t>МО "Вилегодский  муниципальный район"</t>
  </si>
  <si>
    <t>АО "Группа "Илим" ОСП ЛЗУ "Вилегодский"</t>
  </si>
  <si>
    <t>МО "Красноборский муниципальный район"</t>
  </si>
  <si>
    <t>АО "Группа "Илим"</t>
  </si>
  <si>
    <t>МО "Алексеевское"</t>
  </si>
  <si>
    <t>МО "Куликовское"</t>
  </si>
  <si>
    <t>МО "Верхнеуфтюгское"</t>
  </si>
  <si>
    <t>МО "Ильинское", МО "Павловское", "Вилегодское", "Селянское"</t>
  </si>
  <si>
    <t xml:space="preserve">1 квартал </t>
  </si>
  <si>
    <t xml:space="preserve">2 квартал </t>
  </si>
  <si>
    <t xml:space="preserve">3 квартал </t>
  </si>
  <si>
    <t xml:space="preserve">4 квартал </t>
  </si>
  <si>
    <t>Плановый расчет потребности
в средствах субсидии на возмещение недополученных доходов, возникающих в результате государственного регулирования розничных цен на топливо твердое, реализуемое населению для нужд отопления
 на 2021 год</t>
  </si>
  <si>
    <t>Плановый расчет потребности
в средствах субсидии на возмещение недополученных доходов, возникающих в результате государственного регулирования розничных цен на топливо твердое, реализуемое населению для нужд отопления 
на 2022 год</t>
  </si>
  <si>
    <t>Плановый расчет потребности
в средствах субсидии на возмещение недополученных доходов, возникающих в результате государственного регулирования розничных цен на топливо твердое, реализуемое населению для нужд отопления
 на 2023 год</t>
  </si>
  <si>
    <t>декабрь 2021</t>
  </si>
  <si>
    <t xml:space="preserve">ИП Климова В.В. </t>
  </si>
  <si>
    <t xml:space="preserve">ООО "Двина" </t>
  </si>
  <si>
    <t>декабрь
2022 г.</t>
  </si>
  <si>
    <t>Министр ТЭК и ЖКХ АО</t>
  </si>
  <si>
    <t>Плановый объем реализации твердого топлива, куб.м.</t>
  </si>
  <si>
    <t>Кредиторская задолженность на 01.01.2023, руб.</t>
  </si>
  <si>
    <t>декабрь 2023 г.</t>
  </si>
  <si>
    <t>Потребность в средствах субсдиии без учета декабря 2023 г.</t>
  </si>
  <si>
    <t>круглые длинойболее 1 м</t>
  </si>
  <si>
    <t>МО"Заостровское", 
МО "Шидровское", 
МО "Березниковское"</t>
  </si>
  <si>
    <t>ИП Пахтусов В.К.</t>
  </si>
  <si>
    <t>МО "Подюжское"</t>
  </si>
  <si>
    <t>Филиал АО "Онежский ЛДК" по лесным ресурсам</t>
  </si>
  <si>
    <t>МО "Пинежский  муниципальный район"</t>
  </si>
  <si>
    <t>ИП Ильин П.В.</t>
  </si>
  <si>
    <t>ИП Третьяков А.Л.</t>
  </si>
  <si>
    <t>МО "Карпогорское". 
МО Междуреченское", 
МО "Сосновское", 
МО "Сурское", 
МО "Нюхченское"</t>
  </si>
  <si>
    <t>МО "Карпогорское". 
МО Междуреченское", 
МО "Сосновское", 
МО "Шилегское"</t>
  </si>
  <si>
    <t>МО "Пертоминское" д. Уда, д. Луна</t>
  </si>
  <si>
    <t>МО "Соловецкое"</t>
  </si>
  <si>
    <t>ООО "ЛПК-14"</t>
  </si>
  <si>
    <t>МО "Боброво-Лявленское",
МО "Заостровское", 
МО "Катунинское", 
МО "Уемское",
МО "Приморское", 
МО "Талажское"</t>
  </si>
  <si>
    <t>МО "Шенкурский муниципальный район"</t>
  </si>
  <si>
    <t>ООО "Уютный город"</t>
  </si>
  <si>
    <t>МО "Шенкурское",
МО "Федорогское"</t>
  </si>
  <si>
    <t>ООО "Каргопольский зодчий"</t>
  </si>
  <si>
    <t>МО "Каргопольское",
МО "ПОшевенское"
МО "Приозерное",
МО "Павловское"</t>
  </si>
  <si>
    <t>МО "Мезенское", "Каменское", "Дорогорское", "Козьмогородское", "Целегорское", "Быченское", "Соянское"</t>
  </si>
  <si>
    <t>ИП Тихонов А.Л.</t>
  </si>
  <si>
    <t>ИП Юрьев Алексей Анатольевич</t>
  </si>
  <si>
    <t>МО "Алексеевское", "Пермогорское", "Телеговское", "Черевковское"</t>
  </si>
  <si>
    <t>круглые  длиной  1 м и менее</t>
  </si>
  <si>
    <t>СП "Усть-Шоношское"</t>
  </si>
  <si>
    <t>МО "Усть-Шоношское", СП "Хозьминское"</t>
  </si>
  <si>
    <t>СП "Верхнешоношское"</t>
  </si>
  <si>
    <t>СП "Шадреньгское"</t>
  </si>
  <si>
    <t>МО "Приводинское"</t>
  </si>
  <si>
    <t>МО "Черемушское"</t>
  </si>
  <si>
    <t>МО "Сольвычегодское"</t>
  </si>
  <si>
    <t>МО "Плесецкий муниципальный район"</t>
  </si>
  <si>
    <t>ООО "Природа"</t>
  </si>
  <si>
    <t xml:space="preserve">Экономически обоснованная стоимость
 (без НДС), руб./пл.куб.м. </t>
  </si>
  <si>
    <t xml:space="preserve"> материковая часть города</t>
  </si>
  <si>
    <t>материковая часть города</t>
  </si>
  <si>
    <t xml:space="preserve">Экономически обоснованная стоимость 
(без НДС), руб./пл.куб.м. </t>
  </si>
  <si>
    <t>МО "Холмогорский муниципальный район"</t>
  </si>
  <si>
    <t>ООО "Север-лес"</t>
  </si>
  <si>
    <t>ИП Котельников М.А.</t>
  </si>
  <si>
    <t>МО "Пучужское", 
МО "Афанасьевское", 
МО "Верхнетоемское", 
МО "Сефтренское", 
МО "Двинское</t>
  </si>
  <si>
    <t>МО "Верхнетоемское", 
МО "Двинское"</t>
  </si>
  <si>
    <t xml:space="preserve">
МО "Сефтренское", 
МО "Двинское</t>
  </si>
  <si>
    <t xml:space="preserve">  Приложение № 16</t>
  </si>
  <si>
    <t xml:space="preserve">  к пояснительной записке</t>
  </si>
</sst>
</file>

<file path=xl/styles.xml><?xml version="1.0" encoding="utf-8"?>
<styleSheet xmlns="http://schemas.openxmlformats.org/spreadsheetml/2006/main">
  <numFmts count="2">
    <numFmt numFmtId="171" formatCode="_-* #,##0.00_р_._-;\-* #,##0.00_р_._-;_-* &quot;-&quot;??_р_._-;_-@_-"/>
    <numFmt numFmtId="184" formatCode="#,##0.000"/>
  </numFmts>
  <fonts count="29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12"/>
      <name val="Tahoma"/>
      <family val="2"/>
      <charset val="204"/>
    </font>
    <font>
      <sz val="8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Tahoma"/>
      <family val="2"/>
      <charset val="204"/>
    </font>
    <font>
      <b/>
      <sz val="18"/>
      <name val="Tahoma"/>
      <family val="2"/>
      <charset val="204"/>
    </font>
    <font>
      <b/>
      <sz val="18"/>
      <name val="Calibri"/>
      <family val="2"/>
      <charset val="204"/>
    </font>
    <font>
      <sz val="18"/>
      <name val="Calibri"/>
      <family val="2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b/>
      <sz val="16"/>
      <name val="Tahoma"/>
      <family val="2"/>
      <charset val="204"/>
    </font>
    <font>
      <sz val="16"/>
      <name val="Calibri"/>
      <family val="2"/>
      <charset val="204"/>
    </font>
    <font>
      <sz val="16"/>
      <name val="Arial Cyr"/>
      <charset val="204"/>
    </font>
    <font>
      <sz val="16"/>
      <name val="Times New Roman"/>
      <family val="1"/>
      <charset val="204"/>
    </font>
    <font>
      <sz val="16"/>
      <name val="Tahoma"/>
      <family val="2"/>
      <charset val="204"/>
    </font>
    <font>
      <b/>
      <sz val="16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</cellStyleXfs>
  <cellXfs count="156">
    <xf numFmtId="0" fontId="0" fillId="0" borderId="0" xfId="0"/>
    <xf numFmtId="0" fontId="5" fillId="2" borderId="0" xfId="0" applyFont="1" applyFill="1"/>
    <xf numFmtId="0" fontId="10" fillId="2" borderId="0" xfId="0" applyFont="1" applyFill="1" applyBorder="1" applyAlignment="1">
      <alignment horizontal="left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left" wrapText="1"/>
    </xf>
    <xf numFmtId="0" fontId="14" fillId="0" borderId="0" xfId="1" applyFont="1" applyFill="1" applyAlignment="1">
      <alignment horizontal="left" wrapText="1"/>
    </xf>
    <xf numFmtId="0" fontId="17" fillId="0" borderId="0" xfId="0" applyFont="1" applyFill="1" applyBorder="1" applyAlignment="1">
      <alignment horizontal="center" vertical="center"/>
    </xf>
    <xf numFmtId="171" fontId="17" fillId="0" borderId="0" xfId="5" applyFont="1" applyFill="1" applyBorder="1" applyAlignment="1">
      <alignment horizontal="center" vertical="center"/>
    </xf>
    <xf numFmtId="0" fontId="14" fillId="0" borderId="0" xfId="2" applyFont="1" applyFill="1"/>
    <xf numFmtId="0" fontId="16" fillId="0" borderId="0" xfId="0" applyFont="1" applyFill="1" applyBorder="1" applyAlignment="1">
      <alignment horizontal="center" wrapText="1"/>
    </xf>
    <xf numFmtId="0" fontId="17" fillId="0" borderId="1" xfId="1" applyFont="1" applyFill="1" applyBorder="1"/>
    <xf numFmtId="0" fontId="14" fillId="0" borderId="1" xfId="2" applyFont="1" applyFill="1" applyBorder="1"/>
    <xf numFmtId="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4" fillId="0" borderId="0" xfId="0" applyFont="1" applyFill="1" applyAlignment="1">
      <alignment horizontal="left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 applyBorder="1"/>
    <xf numFmtId="0" fontId="17" fillId="0" borderId="0" xfId="0" applyFont="1" applyFill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1" xfId="0" applyFont="1" applyFill="1" applyBorder="1"/>
    <xf numFmtId="2" fontId="2" fillId="2" borderId="0" xfId="0" applyNumberFormat="1" applyFont="1" applyFill="1" applyAlignment="1">
      <alignment horizontal="left" wrapText="1"/>
    </xf>
    <xf numFmtId="0" fontId="9" fillId="2" borderId="2" xfId="0" applyFont="1" applyFill="1" applyBorder="1" applyAlignment="1">
      <alignment horizontal="left" vertical="center"/>
    </xf>
    <xf numFmtId="0" fontId="9" fillId="2" borderId="2" xfId="2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84" fontId="9" fillId="2" borderId="2" xfId="2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184" fontId="9" fillId="2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184" fontId="10" fillId="2" borderId="2" xfId="0" applyNumberFormat="1" applyFont="1" applyFill="1" applyBorder="1" applyAlignment="1">
      <alignment horizontal="center" vertical="center"/>
    </xf>
    <xf numFmtId="171" fontId="10" fillId="2" borderId="2" xfId="5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/>
    </xf>
    <xf numFmtId="184" fontId="9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184" fontId="4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1" fillId="2" borderId="2" xfId="0" applyFont="1" applyFill="1" applyBorder="1"/>
    <xf numFmtId="0" fontId="2" fillId="0" borderId="2" xfId="0" applyFont="1" applyFill="1" applyBorder="1"/>
    <xf numFmtId="0" fontId="2" fillId="2" borderId="2" xfId="0" applyFont="1" applyFill="1" applyBorder="1"/>
    <xf numFmtId="4" fontId="1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7" fillId="2" borderId="0" xfId="4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0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184" fontId="9" fillId="4" borderId="2" xfId="2" applyNumberFormat="1" applyFont="1" applyFill="1" applyBorder="1" applyAlignment="1">
      <alignment horizontal="center" vertical="center" wrapText="1"/>
    </xf>
    <xf numFmtId="4" fontId="9" fillId="4" borderId="2" xfId="2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84" fontId="9" fillId="0" borderId="2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9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center"/>
    </xf>
    <xf numFmtId="4" fontId="9" fillId="4" borderId="2" xfId="0" applyNumberFormat="1" applyFont="1" applyFill="1" applyBorder="1" applyAlignment="1">
      <alignment horizontal="center" vertical="center"/>
    </xf>
    <xf numFmtId="184" fontId="9" fillId="4" borderId="2" xfId="0" applyNumberFormat="1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184" fontId="10" fillId="4" borderId="2" xfId="0" applyNumberFormat="1" applyFont="1" applyFill="1" applyBorder="1" applyAlignment="1">
      <alignment horizontal="center" vertical="center"/>
    </xf>
    <xf numFmtId="171" fontId="10" fillId="4" borderId="2" xfId="5" applyFont="1" applyFill="1" applyBorder="1" applyAlignment="1">
      <alignment horizontal="center" vertical="center"/>
    </xf>
    <xf numFmtId="184" fontId="9" fillId="4" borderId="2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" fontId="1" fillId="4" borderId="0" xfId="0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wrapText="1"/>
    </xf>
    <xf numFmtId="0" fontId="21" fillId="0" borderId="0" xfId="1" applyFont="1" applyFill="1"/>
    <xf numFmtId="0" fontId="21" fillId="0" borderId="0" xfId="0" applyFont="1" applyFill="1"/>
    <xf numFmtId="0" fontId="10" fillId="4" borderId="2" xfId="0" applyFont="1" applyFill="1" applyBorder="1" applyAlignment="1">
      <alignment horizontal="left" vertical="center" wrapText="1"/>
    </xf>
    <xf numFmtId="184" fontId="10" fillId="3" borderId="2" xfId="0" applyNumberFormat="1" applyFont="1" applyFill="1" applyBorder="1" applyAlignment="1">
      <alignment horizontal="center" vertical="center"/>
    </xf>
    <xf numFmtId="184" fontId="10" fillId="0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/>
    <xf numFmtId="4" fontId="2" fillId="2" borderId="0" xfId="0" applyNumberFormat="1" applyFont="1" applyFill="1"/>
    <xf numFmtId="0" fontId="22" fillId="0" borderId="1" xfId="1" applyFont="1" applyFill="1" applyBorder="1"/>
    <xf numFmtId="0" fontId="21" fillId="0" borderId="1" xfId="2" applyFont="1" applyFill="1" applyBorder="1"/>
    <xf numFmtId="0" fontId="23" fillId="0" borderId="0" xfId="0" applyFont="1" applyFill="1" applyBorder="1"/>
    <xf numFmtId="0" fontId="23" fillId="0" borderId="0" xfId="0" applyFont="1" applyFill="1" applyAlignment="1">
      <alignment horizontal="left"/>
    </xf>
    <xf numFmtId="0" fontId="23" fillId="0" borderId="0" xfId="0" applyFont="1" applyFill="1"/>
    <xf numFmtId="0" fontId="22" fillId="0" borderId="0" xfId="0" applyFont="1" applyFill="1" applyBorder="1" applyAlignment="1">
      <alignment horizontal="left"/>
    </xf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5" fillId="0" borderId="1" xfId="0" applyFont="1" applyFill="1" applyBorder="1"/>
    <xf numFmtId="0" fontId="24" fillId="2" borderId="0" xfId="0" applyFont="1" applyFill="1"/>
    <xf numFmtId="0" fontId="25" fillId="0" borderId="0" xfId="0" applyFont="1" applyFill="1"/>
    <xf numFmtId="0" fontId="21" fillId="0" borderId="0" xfId="2" applyFont="1" applyFill="1"/>
    <xf numFmtId="0" fontId="26" fillId="0" borderId="0" xfId="0" applyFont="1" applyFill="1"/>
    <xf numFmtId="0" fontId="27" fillId="0" borderId="0" xfId="0" applyFont="1" applyFill="1"/>
    <xf numFmtId="4" fontId="10" fillId="2" borderId="2" xfId="5" applyNumberFormat="1" applyFont="1" applyFill="1" applyBorder="1" applyAlignment="1">
      <alignment horizontal="center" vertical="center"/>
    </xf>
    <xf numFmtId="4" fontId="10" fillId="4" borderId="2" xfId="5" applyNumberFormat="1" applyFont="1" applyFill="1" applyBorder="1" applyAlignment="1">
      <alignment horizontal="center" vertical="center"/>
    </xf>
    <xf numFmtId="0" fontId="28" fillId="3" borderId="0" xfId="0" applyFont="1" applyFill="1"/>
    <xf numFmtId="4" fontId="10" fillId="2" borderId="2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left" vertical="center" wrapText="1"/>
    </xf>
    <xf numFmtId="4" fontId="10" fillId="4" borderId="2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 wrapText="1"/>
    </xf>
    <xf numFmtId="0" fontId="7" fillId="2" borderId="0" xfId="4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  <xf numFmtId="49" fontId="9" fillId="4" borderId="2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left" wrapText="1"/>
    </xf>
    <xf numFmtId="0" fontId="21" fillId="0" borderId="0" xfId="1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</cellXfs>
  <cellStyles count="6">
    <cellStyle name="Обычный" xfId="0" builtinId="0"/>
    <cellStyle name="Обычный 10 2 4 2" xfId="1"/>
    <cellStyle name="Обычный 2" xfId="2"/>
    <cellStyle name="Обычный 3" xfId="3"/>
    <cellStyle name="Обычный 7" xfId="4"/>
    <cellStyle name="Финансовый" xfId="5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7"/>
  <sheetViews>
    <sheetView tabSelected="1" view="pageBreakPreview" zoomScale="90" zoomScaleNormal="85" zoomScaleSheetLayoutView="90" workbookViewId="0">
      <pane xSplit="3" ySplit="6" topLeftCell="D7" activePane="bottomRight" state="frozen"/>
      <selection pane="topRight" activeCell="E1" sqref="E1"/>
      <selection pane="bottomLeft" activeCell="A5" sqref="A5"/>
      <selection pane="bottomRight" activeCell="D3" sqref="D3:H3"/>
    </sheetView>
  </sheetViews>
  <sheetFormatPr defaultRowHeight="12.75" outlineLevelCol="1"/>
  <cols>
    <col min="1" max="1" width="42.85546875" style="28" customWidth="1"/>
    <col min="2" max="2" width="27" style="41" bestFit="1" customWidth="1"/>
    <col min="3" max="3" width="18.28515625" style="76" customWidth="1"/>
    <col min="4" max="8" width="14" style="26" customWidth="1" outlineLevel="1"/>
    <col min="9" max="9" width="15.42578125" style="26" customWidth="1"/>
    <col min="10" max="11" width="14" style="26" customWidth="1"/>
    <col min="12" max="14" width="16" style="26" customWidth="1"/>
    <col min="15" max="15" width="15.7109375" style="26" customWidth="1"/>
    <col min="16" max="16" width="16.28515625" style="26" customWidth="1"/>
    <col min="17" max="18" width="15.85546875" style="26" customWidth="1"/>
    <col min="19" max="19" width="18" style="26" bestFit="1" customWidth="1"/>
    <col min="20" max="20" width="13.85546875" style="26" bestFit="1" customWidth="1"/>
    <col min="21" max="16384" width="9.140625" style="26"/>
  </cols>
  <sheetData>
    <row r="1" spans="1:20" ht="23.25" customHeight="1">
      <c r="I1" s="139" t="s">
        <v>148</v>
      </c>
    </row>
    <row r="2" spans="1:20" ht="13.5" customHeight="1">
      <c r="I2" s="139" t="s">
        <v>149</v>
      </c>
    </row>
    <row r="3" spans="1:20" ht="101.25" customHeight="1">
      <c r="B3" s="82"/>
      <c r="C3" s="82"/>
      <c r="D3" s="149" t="s">
        <v>93</v>
      </c>
      <c r="E3" s="149"/>
      <c r="F3" s="149"/>
      <c r="G3" s="149"/>
      <c r="H3" s="149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20" ht="6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</row>
    <row r="5" spans="1:20" s="86" customFormat="1" ht="42" customHeight="1">
      <c r="A5" s="147" t="s">
        <v>32</v>
      </c>
      <c r="B5" s="148" t="s">
        <v>17</v>
      </c>
      <c r="C5" s="146" t="s">
        <v>13</v>
      </c>
      <c r="D5" s="146" t="s">
        <v>101</v>
      </c>
      <c r="E5" s="146"/>
      <c r="F5" s="146"/>
      <c r="G5" s="146"/>
      <c r="H5" s="146"/>
      <c r="I5" s="146" t="s">
        <v>138</v>
      </c>
      <c r="J5" s="146" t="s">
        <v>30</v>
      </c>
      <c r="K5" s="146"/>
      <c r="L5" s="146" t="s">
        <v>47</v>
      </c>
      <c r="M5" s="146"/>
      <c r="N5" s="146"/>
      <c r="O5" s="146"/>
      <c r="P5" s="146"/>
      <c r="Q5" s="152" t="s">
        <v>52</v>
      </c>
      <c r="R5" s="151" t="s">
        <v>96</v>
      </c>
      <c r="S5" s="152" t="s">
        <v>53</v>
      </c>
    </row>
    <row r="6" spans="1:20" s="87" customFormat="1" ht="24.75" customHeight="1">
      <c r="A6" s="147"/>
      <c r="B6" s="148"/>
      <c r="C6" s="146"/>
      <c r="D6" s="89" t="s">
        <v>89</v>
      </c>
      <c r="E6" s="89" t="s">
        <v>90</v>
      </c>
      <c r="F6" s="89" t="s">
        <v>42</v>
      </c>
      <c r="G6" s="89" t="s">
        <v>43</v>
      </c>
      <c r="H6" s="89" t="s">
        <v>44</v>
      </c>
      <c r="I6" s="146"/>
      <c r="J6" s="89" t="s">
        <v>45</v>
      </c>
      <c r="K6" s="89" t="s">
        <v>46</v>
      </c>
      <c r="L6" s="89" t="s">
        <v>40</v>
      </c>
      <c r="M6" s="89" t="s">
        <v>41</v>
      </c>
      <c r="N6" s="89" t="s">
        <v>42</v>
      </c>
      <c r="O6" s="89" t="s">
        <v>43</v>
      </c>
      <c r="P6" s="90" t="s">
        <v>33</v>
      </c>
      <c r="Q6" s="152"/>
      <c r="R6" s="151"/>
      <c r="S6" s="152"/>
    </row>
    <row r="7" spans="1:20" s="101" customFormat="1" ht="12" customHeight="1">
      <c r="A7" s="94"/>
      <c r="B7" s="95"/>
      <c r="C7" s="96"/>
      <c r="D7" s="97"/>
      <c r="E7" s="97"/>
      <c r="F7" s="97"/>
      <c r="G7" s="97"/>
      <c r="H7" s="97"/>
      <c r="I7" s="96"/>
      <c r="J7" s="97"/>
      <c r="K7" s="97"/>
      <c r="L7" s="97"/>
      <c r="M7" s="97"/>
      <c r="N7" s="97"/>
      <c r="O7" s="97"/>
      <c r="P7" s="98"/>
      <c r="Q7" s="99"/>
      <c r="R7" s="100"/>
      <c r="S7" s="99"/>
    </row>
    <row r="8" spans="1:20" s="19" customFormat="1" ht="18.75" customHeight="1">
      <c r="A8" s="102" t="s">
        <v>1</v>
      </c>
      <c r="B8" s="103"/>
      <c r="C8" s="93"/>
      <c r="D8" s="105"/>
      <c r="E8" s="104"/>
      <c r="F8" s="104"/>
      <c r="G8" s="104"/>
      <c r="H8" s="104"/>
      <c r="I8" s="106"/>
      <c r="J8" s="106"/>
      <c r="K8" s="106"/>
      <c r="L8" s="104"/>
      <c r="M8" s="104"/>
      <c r="N8" s="104"/>
      <c r="O8" s="104"/>
      <c r="P8" s="104"/>
      <c r="Q8" s="104"/>
      <c r="R8" s="104"/>
      <c r="S8" s="104"/>
      <c r="T8" s="27"/>
    </row>
    <row r="9" spans="1:20" s="19" customFormat="1" ht="27" customHeight="1">
      <c r="A9" s="51" t="s">
        <v>68</v>
      </c>
      <c r="B9" s="65" t="s">
        <v>58</v>
      </c>
      <c r="C9" s="56" t="s">
        <v>23</v>
      </c>
      <c r="D9" s="53">
        <v>919.8</v>
      </c>
      <c r="E9" s="53">
        <v>1022</v>
      </c>
      <c r="F9" s="53">
        <v>2029.1</v>
      </c>
      <c r="G9" s="53">
        <v>2029.1</v>
      </c>
      <c r="H9" s="53">
        <f t="shared" ref="H9:H18" si="0">SUM(D9:G9)</f>
        <v>6000</v>
      </c>
      <c r="I9" s="50">
        <f>2466*(2466/2279)</f>
        <v>2668.3440105309346</v>
      </c>
      <c r="J9" s="50">
        <v>905</v>
      </c>
      <c r="K9" s="50">
        <v>938</v>
      </c>
      <c r="L9" s="50">
        <f t="shared" ref="L9:L18" si="1">(I9-J9)*D9</f>
        <v>1621923.8208863535</v>
      </c>
      <c r="M9" s="50">
        <f t="shared" ref="M9:M18" si="2">(I9-J9)*E9</f>
        <v>1802137.5787626151</v>
      </c>
      <c r="N9" s="50">
        <f t="shared" ref="N9:N18" si="3">(I9-K9)*F9</f>
        <v>3511041.0317683192</v>
      </c>
      <c r="O9" s="50">
        <f t="shared" ref="O9:O18" si="4">(I9-K9)*G9</f>
        <v>3511041.0317683192</v>
      </c>
      <c r="P9" s="54">
        <f>SUM(L9:O9)</f>
        <v>10446143.463185608</v>
      </c>
      <c r="Q9" s="50"/>
      <c r="R9" s="50"/>
      <c r="S9" s="50"/>
      <c r="T9" s="27"/>
    </row>
    <row r="10" spans="1:20" s="19" customFormat="1" ht="27" customHeight="1">
      <c r="A10" s="51" t="s">
        <v>15</v>
      </c>
      <c r="B10" s="65" t="s">
        <v>22</v>
      </c>
      <c r="C10" s="56" t="s">
        <v>23</v>
      </c>
      <c r="D10" s="53">
        <v>631.45000000000005</v>
      </c>
      <c r="E10" s="53">
        <v>631.45000000000005</v>
      </c>
      <c r="F10" s="53">
        <v>3318.55</v>
      </c>
      <c r="G10" s="53">
        <v>3318.55</v>
      </c>
      <c r="H10" s="53">
        <f t="shared" si="0"/>
        <v>7900.0000000000009</v>
      </c>
      <c r="I10" s="50">
        <f>3028*(3028/2863)</f>
        <v>3202.5092560251483</v>
      </c>
      <c r="J10" s="50">
        <v>905</v>
      </c>
      <c r="K10" s="50">
        <v>938</v>
      </c>
      <c r="L10" s="50">
        <f t="shared" si="1"/>
        <v>1450762.21971708</v>
      </c>
      <c r="M10" s="50">
        <f t="shared" si="2"/>
        <v>1450762.21971708</v>
      </c>
      <c r="N10" s="50">
        <f t="shared" si="3"/>
        <v>7514887.191582256</v>
      </c>
      <c r="O10" s="50">
        <f t="shared" si="4"/>
        <v>7514887.191582256</v>
      </c>
      <c r="P10" s="54">
        <f t="shared" ref="P10:P73" si="5">SUM(L10:O10)</f>
        <v>17931298.822598673</v>
      </c>
      <c r="Q10" s="50"/>
      <c r="R10" s="50"/>
      <c r="S10" s="50"/>
      <c r="T10" s="27"/>
    </row>
    <row r="11" spans="1:20" s="19" customFormat="1" ht="28.5" customHeight="1">
      <c r="A11" s="51" t="s">
        <v>15</v>
      </c>
      <c r="B11" s="66" t="s">
        <v>140</v>
      </c>
      <c r="C11" s="56" t="s">
        <v>23</v>
      </c>
      <c r="D11" s="53">
        <v>2098.75</v>
      </c>
      <c r="E11" s="53">
        <v>3314.2</v>
      </c>
      <c r="F11" s="53">
        <v>3288.65</v>
      </c>
      <c r="G11" s="53">
        <v>3405</v>
      </c>
      <c r="H11" s="53">
        <f t="shared" si="0"/>
        <v>12106.6</v>
      </c>
      <c r="I11" s="50">
        <f>2792*2792/2679</f>
        <v>2909.766330720418</v>
      </c>
      <c r="J11" s="50">
        <v>905</v>
      </c>
      <c r="K11" s="50">
        <v>938</v>
      </c>
      <c r="L11" s="50">
        <f t="shared" si="1"/>
        <v>4207503.3365994776</v>
      </c>
      <c r="M11" s="50">
        <f t="shared" si="2"/>
        <v>6644196.5732736085</v>
      </c>
      <c r="N11" s="50">
        <f t="shared" si="3"/>
        <v>6484449.3435237026</v>
      </c>
      <c r="O11" s="50">
        <f t="shared" si="4"/>
        <v>6713864.3561030235</v>
      </c>
      <c r="P11" s="54">
        <f t="shared" si="5"/>
        <v>24050013.609499812</v>
      </c>
      <c r="Q11" s="50"/>
      <c r="R11" s="50"/>
      <c r="S11" s="50"/>
      <c r="T11" s="27"/>
    </row>
    <row r="12" spans="1:20" s="19" customFormat="1" ht="27" customHeight="1">
      <c r="A12" s="51" t="s">
        <v>4</v>
      </c>
      <c r="B12" s="65" t="s">
        <v>58</v>
      </c>
      <c r="C12" s="56" t="s">
        <v>23</v>
      </c>
      <c r="D12" s="53">
        <v>536.54999999999995</v>
      </c>
      <c r="E12" s="53">
        <v>224.65</v>
      </c>
      <c r="F12" s="53">
        <v>500.05</v>
      </c>
      <c r="G12" s="53">
        <v>405.15000000000003</v>
      </c>
      <c r="H12" s="53">
        <f t="shared" si="0"/>
        <v>1666.4</v>
      </c>
      <c r="I12" s="50">
        <f>1885*1885/1679</f>
        <v>2116.2745681953543</v>
      </c>
      <c r="J12" s="50">
        <v>905</v>
      </c>
      <c r="K12" s="50">
        <v>938</v>
      </c>
      <c r="L12" s="50">
        <f t="shared" si="1"/>
        <v>649909.36956521729</v>
      </c>
      <c r="M12" s="50">
        <f t="shared" si="2"/>
        <v>272112.83174508635</v>
      </c>
      <c r="N12" s="50">
        <f t="shared" si="3"/>
        <v>589196.19782608689</v>
      </c>
      <c r="O12" s="50">
        <f t="shared" si="4"/>
        <v>477377.94130434783</v>
      </c>
      <c r="P12" s="54">
        <f t="shared" si="5"/>
        <v>1988596.3404407385</v>
      </c>
      <c r="Q12" s="50"/>
      <c r="R12" s="50"/>
      <c r="S12" s="50"/>
      <c r="T12" s="27"/>
    </row>
    <row r="13" spans="1:20" s="19" customFormat="1" ht="27" customHeight="1">
      <c r="A13" s="51" t="s">
        <v>28</v>
      </c>
      <c r="B13" s="65" t="s">
        <v>58</v>
      </c>
      <c r="C13" s="56" t="s">
        <v>23</v>
      </c>
      <c r="D13" s="53">
        <v>1753.89</v>
      </c>
      <c r="E13" s="53">
        <v>1724.9670000000001</v>
      </c>
      <c r="F13" s="53">
        <v>2381.7399999999998</v>
      </c>
      <c r="G13" s="53">
        <v>2017.3550000000005</v>
      </c>
      <c r="H13" s="53">
        <f t="shared" si="0"/>
        <v>7877.9520000000002</v>
      </c>
      <c r="I13" s="50">
        <f>2682*2682/2582</f>
        <v>2785.8729666924864</v>
      </c>
      <c r="J13" s="50">
        <v>905</v>
      </c>
      <c r="K13" s="50">
        <v>938</v>
      </c>
      <c r="L13" s="50">
        <f t="shared" si="1"/>
        <v>3298844.287552285</v>
      </c>
      <c r="M13" s="50">
        <f t="shared" si="2"/>
        <v>3244443.7987366384</v>
      </c>
      <c r="N13" s="50">
        <f t="shared" si="3"/>
        <v>4401152.959690162</v>
      </c>
      <c r="O13" s="50">
        <f t="shared" si="4"/>
        <v>3727815.7687219218</v>
      </c>
      <c r="P13" s="54">
        <f t="shared" si="5"/>
        <v>14672256.814701008</v>
      </c>
      <c r="Q13" s="50"/>
      <c r="R13" s="50"/>
      <c r="S13" s="50"/>
      <c r="T13" s="27"/>
    </row>
    <row r="14" spans="1:20" s="18" customFormat="1" ht="27" customHeight="1">
      <c r="A14" s="52" t="s">
        <v>37</v>
      </c>
      <c r="B14" s="65" t="s">
        <v>58</v>
      </c>
      <c r="C14" s="70" t="s">
        <v>23</v>
      </c>
      <c r="D14" s="53">
        <v>1230.05</v>
      </c>
      <c r="E14" s="53">
        <v>1427.15</v>
      </c>
      <c r="F14" s="53">
        <v>3034.61</v>
      </c>
      <c r="G14" s="53">
        <v>2708.2999999999997</v>
      </c>
      <c r="H14" s="53">
        <f t="shared" si="0"/>
        <v>8400.1099999999988</v>
      </c>
      <c r="I14" s="50">
        <f>2440*2440/2306</f>
        <v>2581.7866435385949</v>
      </c>
      <c r="J14" s="50">
        <v>905</v>
      </c>
      <c r="K14" s="50">
        <v>938</v>
      </c>
      <c r="L14" s="50">
        <f t="shared" si="1"/>
        <v>2062531.4108846486</v>
      </c>
      <c r="M14" s="50">
        <f t="shared" si="2"/>
        <v>2393026.0583261061</v>
      </c>
      <c r="N14" s="50">
        <f t="shared" si="3"/>
        <v>4988251.3863486554</v>
      </c>
      <c r="O14" s="50">
        <f t="shared" si="4"/>
        <v>4451867.3666955763</v>
      </c>
      <c r="P14" s="54">
        <f t="shared" si="5"/>
        <v>13895676.222254988</v>
      </c>
      <c r="Q14" s="50"/>
      <c r="R14" s="50"/>
      <c r="S14" s="50"/>
      <c r="T14" s="17"/>
    </row>
    <row r="15" spans="1:20" s="18" customFormat="1" ht="27" customHeight="1">
      <c r="A15" s="52" t="s">
        <v>71</v>
      </c>
      <c r="B15" s="65" t="s">
        <v>58</v>
      </c>
      <c r="C15" s="70" t="s">
        <v>23</v>
      </c>
      <c r="D15" s="53">
        <v>285</v>
      </c>
      <c r="E15" s="53">
        <v>660</v>
      </c>
      <c r="F15" s="53">
        <v>2077.5</v>
      </c>
      <c r="G15" s="53">
        <v>2077.5</v>
      </c>
      <c r="H15" s="53">
        <f t="shared" si="0"/>
        <v>5100</v>
      </c>
      <c r="I15" s="50">
        <f>1832*1832/1786</f>
        <v>1879.1847704367301</v>
      </c>
      <c r="J15" s="50">
        <v>905</v>
      </c>
      <c r="K15" s="50">
        <v>938</v>
      </c>
      <c r="L15" s="50">
        <f t="shared" si="1"/>
        <v>277642.6595744681</v>
      </c>
      <c r="M15" s="50">
        <f t="shared" si="2"/>
        <v>642961.94848824188</v>
      </c>
      <c r="N15" s="50">
        <f t="shared" si="3"/>
        <v>1955311.3605823067</v>
      </c>
      <c r="O15" s="50">
        <f t="shared" si="4"/>
        <v>1955311.3605823067</v>
      </c>
      <c r="P15" s="54">
        <f t="shared" si="5"/>
        <v>4831227.3292273236</v>
      </c>
      <c r="Q15" s="50"/>
      <c r="R15" s="50"/>
      <c r="S15" s="50"/>
      <c r="T15" s="17"/>
    </row>
    <row r="16" spans="1:20" s="18" customFormat="1" ht="27" customHeight="1">
      <c r="A16" s="52" t="s">
        <v>74</v>
      </c>
      <c r="B16" s="65" t="s">
        <v>58</v>
      </c>
      <c r="C16" s="70" t="s">
        <v>23</v>
      </c>
      <c r="D16" s="63">
        <v>448</v>
      </c>
      <c r="E16" s="63">
        <v>580</v>
      </c>
      <c r="F16" s="63">
        <v>482</v>
      </c>
      <c r="G16" s="63">
        <v>482</v>
      </c>
      <c r="H16" s="53">
        <f t="shared" si="0"/>
        <v>1992</v>
      </c>
      <c r="I16" s="50">
        <f>2461*2461/2421</f>
        <v>2501.6608839322594</v>
      </c>
      <c r="J16" s="50">
        <v>905</v>
      </c>
      <c r="K16" s="50">
        <v>938</v>
      </c>
      <c r="L16" s="50">
        <f t="shared" si="1"/>
        <v>715304.07600165217</v>
      </c>
      <c r="M16" s="50">
        <f t="shared" si="2"/>
        <v>926063.31268071046</v>
      </c>
      <c r="N16" s="50">
        <f t="shared" si="3"/>
        <v>753684.54605534906</v>
      </c>
      <c r="O16" s="50">
        <f t="shared" si="4"/>
        <v>753684.54605534906</v>
      </c>
      <c r="P16" s="54">
        <f t="shared" si="5"/>
        <v>3148736.4807930607</v>
      </c>
      <c r="Q16" s="50"/>
      <c r="R16" s="50"/>
      <c r="S16" s="50"/>
      <c r="T16" s="17"/>
    </row>
    <row r="17" spans="1:20" s="18" customFormat="1" ht="27" customHeight="1">
      <c r="A17" s="52" t="s">
        <v>51</v>
      </c>
      <c r="B17" s="65" t="s">
        <v>58</v>
      </c>
      <c r="C17" s="70" t="s">
        <v>23</v>
      </c>
      <c r="D17" s="53">
        <v>954</v>
      </c>
      <c r="E17" s="53">
        <v>925</v>
      </c>
      <c r="F17" s="53">
        <v>1560.5</v>
      </c>
      <c r="G17" s="53">
        <v>1560.5</v>
      </c>
      <c r="H17" s="53">
        <f t="shared" si="0"/>
        <v>5000</v>
      </c>
      <c r="I17" s="50">
        <f>2425*1.046</f>
        <v>2536.5500000000002</v>
      </c>
      <c r="J17" s="50">
        <v>905</v>
      </c>
      <c r="K17" s="50">
        <v>938</v>
      </c>
      <c r="L17" s="50">
        <f t="shared" si="1"/>
        <v>1556498.7000000002</v>
      </c>
      <c r="M17" s="50">
        <f t="shared" si="2"/>
        <v>1509183.7500000002</v>
      </c>
      <c r="N17" s="50">
        <f t="shared" si="3"/>
        <v>2494537.2750000004</v>
      </c>
      <c r="O17" s="50">
        <f t="shared" si="4"/>
        <v>2494537.2750000004</v>
      </c>
      <c r="P17" s="54">
        <f t="shared" si="5"/>
        <v>8054757.0000000009</v>
      </c>
      <c r="Q17" s="50"/>
      <c r="R17" s="50"/>
      <c r="S17" s="50"/>
      <c r="T17" s="17"/>
    </row>
    <row r="18" spans="1:20" s="18" customFormat="1" ht="27" customHeight="1">
      <c r="A18" s="52" t="s">
        <v>97</v>
      </c>
      <c r="B18" s="65" t="s">
        <v>58</v>
      </c>
      <c r="C18" s="70" t="s">
        <v>23</v>
      </c>
      <c r="D18" s="53">
        <v>625</v>
      </c>
      <c r="E18" s="53">
        <v>625</v>
      </c>
      <c r="F18" s="53">
        <v>625</v>
      </c>
      <c r="G18" s="53">
        <v>625</v>
      </c>
      <c r="H18" s="53">
        <f t="shared" si="0"/>
        <v>2500</v>
      </c>
      <c r="I18" s="50">
        <f>2324*1.046</f>
        <v>2430.904</v>
      </c>
      <c r="J18" s="50">
        <v>905</v>
      </c>
      <c r="K18" s="50">
        <v>938</v>
      </c>
      <c r="L18" s="50">
        <f t="shared" si="1"/>
        <v>953690</v>
      </c>
      <c r="M18" s="50">
        <f t="shared" si="2"/>
        <v>953690</v>
      </c>
      <c r="N18" s="50">
        <f t="shared" si="3"/>
        <v>933065</v>
      </c>
      <c r="O18" s="50">
        <f t="shared" si="4"/>
        <v>933065</v>
      </c>
      <c r="P18" s="54">
        <f t="shared" si="5"/>
        <v>3773510</v>
      </c>
      <c r="Q18" s="50"/>
      <c r="R18" s="50"/>
      <c r="S18" s="50"/>
      <c r="T18" s="17"/>
    </row>
    <row r="19" spans="1:20" s="19" customFormat="1" ht="18.75" customHeight="1">
      <c r="A19" s="102" t="s">
        <v>5</v>
      </c>
      <c r="B19" s="103"/>
      <c r="C19" s="93"/>
      <c r="D19" s="105"/>
      <c r="E19" s="105"/>
      <c r="F19" s="105"/>
      <c r="G19" s="105"/>
      <c r="H19" s="107"/>
      <c r="I19" s="104"/>
      <c r="J19" s="104"/>
      <c r="K19" s="106"/>
      <c r="L19" s="106"/>
      <c r="M19" s="106"/>
      <c r="N19" s="106"/>
      <c r="O19" s="106"/>
      <c r="P19" s="108"/>
      <c r="Q19" s="104"/>
      <c r="R19" s="104"/>
      <c r="S19" s="104"/>
      <c r="T19" s="27"/>
    </row>
    <row r="20" spans="1:20" s="19" customFormat="1" ht="27" customHeight="1">
      <c r="A20" s="51" t="s">
        <v>14</v>
      </c>
      <c r="B20" s="65" t="s">
        <v>130</v>
      </c>
      <c r="C20" s="56" t="s">
        <v>25</v>
      </c>
      <c r="D20" s="53">
        <v>250</v>
      </c>
      <c r="E20" s="53">
        <v>0</v>
      </c>
      <c r="F20" s="53">
        <v>100</v>
      </c>
      <c r="G20" s="53">
        <v>100</v>
      </c>
      <c r="H20" s="53">
        <f t="shared" ref="H20:H25" si="6">SUM(D20:G20)</f>
        <v>450</v>
      </c>
      <c r="I20" s="50">
        <f>739*1.046</f>
        <v>772.99400000000003</v>
      </c>
      <c r="J20" s="50">
        <v>450</v>
      </c>
      <c r="K20" s="50">
        <v>466</v>
      </c>
      <c r="L20" s="50">
        <f>(I20-J20)*D20</f>
        <v>80748.5</v>
      </c>
      <c r="M20" s="50">
        <f>(I20-J20)*E20</f>
        <v>0</v>
      </c>
      <c r="N20" s="50">
        <f>(I20-K20)*F20</f>
        <v>30699.4</v>
      </c>
      <c r="O20" s="50">
        <f>(I20-K20)*G20</f>
        <v>30699.4</v>
      </c>
      <c r="P20" s="54">
        <f t="shared" si="5"/>
        <v>142147.29999999999</v>
      </c>
      <c r="Q20" s="56"/>
      <c r="R20" s="50"/>
      <c r="S20" s="50"/>
      <c r="T20" s="27"/>
    </row>
    <row r="21" spans="1:20" s="19" customFormat="1" ht="27" customHeight="1">
      <c r="A21" s="51" t="s">
        <v>14</v>
      </c>
      <c r="B21" s="65" t="s">
        <v>48</v>
      </c>
      <c r="C21" s="56" t="s">
        <v>24</v>
      </c>
      <c r="D21" s="53">
        <v>328</v>
      </c>
      <c r="E21" s="53">
        <v>36</v>
      </c>
      <c r="F21" s="53">
        <v>93</v>
      </c>
      <c r="G21" s="53">
        <v>93</v>
      </c>
      <c r="H21" s="53">
        <f t="shared" si="6"/>
        <v>550</v>
      </c>
      <c r="I21" s="50">
        <f>888*1.046</f>
        <v>928.84800000000007</v>
      </c>
      <c r="J21" s="50">
        <v>535</v>
      </c>
      <c r="K21" s="50">
        <v>554</v>
      </c>
      <c r="L21" s="50">
        <f>(I21-J21)*D21</f>
        <v>129182.14400000003</v>
      </c>
      <c r="M21" s="50">
        <f>(I21-J21)*E21</f>
        <v>14178.528000000002</v>
      </c>
      <c r="N21" s="50">
        <f>(I21-K21)*F21</f>
        <v>34860.864000000009</v>
      </c>
      <c r="O21" s="50">
        <f>(I21-K21)*G21</f>
        <v>34860.864000000009</v>
      </c>
      <c r="P21" s="54">
        <f t="shared" si="5"/>
        <v>213082.40000000002</v>
      </c>
      <c r="Q21" s="56"/>
      <c r="R21" s="50"/>
      <c r="S21" s="50"/>
      <c r="T21" s="27"/>
    </row>
    <row r="22" spans="1:20" s="19" customFormat="1" ht="27" customHeight="1">
      <c r="A22" s="51" t="s">
        <v>14</v>
      </c>
      <c r="B22" s="65" t="s">
        <v>129</v>
      </c>
      <c r="C22" s="56" t="s">
        <v>25</v>
      </c>
      <c r="D22" s="53">
        <v>15</v>
      </c>
      <c r="E22" s="53">
        <v>15</v>
      </c>
      <c r="F22" s="53">
        <v>15</v>
      </c>
      <c r="G22" s="53">
        <v>15</v>
      </c>
      <c r="H22" s="53">
        <f t="shared" si="6"/>
        <v>60</v>
      </c>
      <c r="I22" s="50">
        <f>I20</f>
        <v>772.99400000000003</v>
      </c>
      <c r="J22" s="50">
        <f>J20</f>
        <v>450</v>
      </c>
      <c r="K22" s="50">
        <f>K20</f>
        <v>466</v>
      </c>
      <c r="L22" s="50">
        <f>(I22-J22)*D22</f>
        <v>4844.9100000000008</v>
      </c>
      <c r="M22" s="50">
        <f>(I22-J22)*E22</f>
        <v>4844.9100000000008</v>
      </c>
      <c r="N22" s="50">
        <f>(I22-K22)*F22</f>
        <v>4604.9100000000008</v>
      </c>
      <c r="O22" s="50">
        <f>(I22-K22)*G22</f>
        <v>4604.9100000000008</v>
      </c>
      <c r="P22" s="54">
        <f t="shared" si="5"/>
        <v>18899.640000000003</v>
      </c>
      <c r="Q22" s="56"/>
      <c r="R22" s="50"/>
      <c r="S22" s="50"/>
      <c r="T22" s="27"/>
    </row>
    <row r="23" spans="1:20" s="19" customFormat="1" ht="27" customHeight="1">
      <c r="A23" s="51" t="s">
        <v>14</v>
      </c>
      <c r="B23" s="65" t="s">
        <v>131</v>
      </c>
      <c r="C23" s="56" t="s">
        <v>25</v>
      </c>
      <c r="D23" s="53">
        <v>27</v>
      </c>
      <c r="E23" s="53">
        <v>27</v>
      </c>
      <c r="F23" s="53">
        <v>27</v>
      </c>
      <c r="G23" s="53">
        <v>27</v>
      </c>
      <c r="H23" s="53">
        <f t="shared" si="6"/>
        <v>108</v>
      </c>
      <c r="I23" s="50">
        <f>I22</f>
        <v>772.99400000000003</v>
      </c>
      <c r="J23" s="50">
        <f>J22</f>
        <v>450</v>
      </c>
      <c r="K23" s="50">
        <f>K22</f>
        <v>466</v>
      </c>
      <c r="L23" s="50">
        <f>(I23-J23)*D23</f>
        <v>8720.8380000000016</v>
      </c>
      <c r="M23" s="50">
        <f>(I23-J23)*E23</f>
        <v>8720.8380000000016</v>
      </c>
      <c r="N23" s="50">
        <f>(I23-K23)*F23</f>
        <v>8288.8380000000016</v>
      </c>
      <c r="O23" s="50">
        <f>(I23-K23)*G23</f>
        <v>8288.8380000000016</v>
      </c>
      <c r="P23" s="54">
        <f t="shared" si="5"/>
        <v>34019.352000000006</v>
      </c>
      <c r="Q23" s="56"/>
      <c r="R23" s="50"/>
      <c r="S23" s="50"/>
      <c r="T23" s="27"/>
    </row>
    <row r="24" spans="1:20" s="19" customFormat="1" ht="27" customHeight="1">
      <c r="A24" s="51" t="s">
        <v>14</v>
      </c>
      <c r="B24" s="65" t="s">
        <v>132</v>
      </c>
      <c r="C24" s="56" t="s">
        <v>25</v>
      </c>
      <c r="D24" s="53">
        <v>10</v>
      </c>
      <c r="E24" s="53">
        <v>10</v>
      </c>
      <c r="F24" s="53">
        <v>10</v>
      </c>
      <c r="G24" s="53">
        <v>10</v>
      </c>
      <c r="H24" s="53">
        <f t="shared" si="6"/>
        <v>40</v>
      </c>
      <c r="I24" s="50">
        <f>I22</f>
        <v>772.99400000000003</v>
      </c>
      <c r="J24" s="50">
        <f>J23</f>
        <v>450</v>
      </c>
      <c r="K24" s="50">
        <f>K23</f>
        <v>466</v>
      </c>
      <c r="L24" s="50">
        <f>(I24-J24)*D24</f>
        <v>3229.9400000000005</v>
      </c>
      <c r="M24" s="50">
        <f>(I24-J24)*E24</f>
        <v>3229.9400000000005</v>
      </c>
      <c r="N24" s="50">
        <f>(I24-K24)*F24</f>
        <v>3069.9400000000005</v>
      </c>
      <c r="O24" s="50">
        <f>(I24-K24)*G24</f>
        <v>3069.9400000000005</v>
      </c>
      <c r="P24" s="54">
        <f t="shared" si="5"/>
        <v>12599.760000000002</v>
      </c>
      <c r="Q24" s="56"/>
      <c r="R24" s="50"/>
      <c r="S24" s="50"/>
      <c r="T24" s="27"/>
    </row>
    <row r="25" spans="1:20" s="19" customFormat="1" ht="24" customHeight="1">
      <c r="A25" s="102" t="s">
        <v>6</v>
      </c>
      <c r="B25" s="103"/>
      <c r="C25" s="93"/>
      <c r="D25" s="105"/>
      <c r="E25" s="105"/>
      <c r="F25" s="105"/>
      <c r="G25" s="105"/>
      <c r="H25" s="107">
        <f t="shared" si="6"/>
        <v>0</v>
      </c>
      <c r="I25" s="104"/>
      <c r="J25" s="104"/>
      <c r="K25" s="106"/>
      <c r="L25" s="106"/>
      <c r="M25" s="106"/>
      <c r="N25" s="106"/>
      <c r="O25" s="106"/>
      <c r="P25" s="108"/>
      <c r="Q25" s="104"/>
      <c r="R25" s="104"/>
      <c r="S25" s="104"/>
      <c r="T25" s="27"/>
    </row>
    <row r="26" spans="1:20" s="18" customFormat="1" ht="66" customHeight="1">
      <c r="A26" s="51" t="s">
        <v>98</v>
      </c>
      <c r="B26" s="65" t="s">
        <v>145</v>
      </c>
      <c r="C26" s="56" t="s">
        <v>25</v>
      </c>
      <c r="D26" s="63">
        <v>2575</v>
      </c>
      <c r="E26" s="63">
        <v>2575</v>
      </c>
      <c r="F26" s="63">
        <v>2575</v>
      </c>
      <c r="G26" s="63">
        <v>2575</v>
      </c>
      <c r="H26" s="53">
        <f>SUM(D26:G26)</f>
        <v>10300</v>
      </c>
      <c r="I26" s="50">
        <f>2013*1.046</f>
        <v>2105.598</v>
      </c>
      <c r="J26" s="50">
        <v>470</v>
      </c>
      <c r="K26" s="50">
        <v>487</v>
      </c>
      <c r="L26" s="50">
        <f>(I26-J26)*D26</f>
        <v>4211664.8499999996</v>
      </c>
      <c r="M26" s="50">
        <f>(I26-J26)*E26</f>
        <v>4211664.8499999996</v>
      </c>
      <c r="N26" s="50">
        <f>(I26-K26)*F26</f>
        <v>4167889.85</v>
      </c>
      <c r="O26" s="50">
        <f>(I26-K26)*G26</f>
        <v>4167889.85</v>
      </c>
      <c r="P26" s="54">
        <f t="shared" si="5"/>
        <v>16759109.399999999</v>
      </c>
      <c r="Q26" s="56"/>
      <c r="R26" s="50"/>
      <c r="S26" s="50"/>
      <c r="T26" s="17"/>
    </row>
    <row r="27" spans="1:20" s="18" customFormat="1" ht="27" customHeight="1">
      <c r="A27" s="52" t="s">
        <v>72</v>
      </c>
      <c r="B27" s="65" t="s">
        <v>146</v>
      </c>
      <c r="C27" s="70" t="s">
        <v>24</v>
      </c>
      <c r="D27" s="53">
        <v>2125</v>
      </c>
      <c r="E27" s="53">
        <v>2125</v>
      </c>
      <c r="F27" s="53">
        <v>2125</v>
      </c>
      <c r="G27" s="53">
        <v>2125</v>
      </c>
      <c r="H27" s="53">
        <f>SUM(D27:G27)</f>
        <v>8500</v>
      </c>
      <c r="I27" s="50">
        <f>2509*1.046</f>
        <v>2624.4140000000002</v>
      </c>
      <c r="J27" s="50">
        <v>620</v>
      </c>
      <c r="K27" s="50">
        <v>642</v>
      </c>
      <c r="L27" s="50">
        <f>(I27-J27)*D27</f>
        <v>4259379.75</v>
      </c>
      <c r="M27" s="50">
        <f>(I27-J27)*E27</f>
        <v>4259379.75</v>
      </c>
      <c r="N27" s="50">
        <f>(I27-K27)*F27</f>
        <v>4212629.75</v>
      </c>
      <c r="O27" s="50">
        <f>(I27-K27)*G27</f>
        <v>4212629.75</v>
      </c>
      <c r="P27" s="54">
        <f t="shared" si="5"/>
        <v>16944019</v>
      </c>
      <c r="Q27" s="56"/>
      <c r="R27" s="50"/>
      <c r="S27" s="50"/>
      <c r="T27" s="17"/>
    </row>
    <row r="28" spans="1:20" s="18" customFormat="1" ht="40.5" customHeight="1">
      <c r="A28" s="52" t="s">
        <v>144</v>
      </c>
      <c r="B28" s="65" t="s">
        <v>147</v>
      </c>
      <c r="C28" s="70" t="s">
        <v>24</v>
      </c>
      <c r="D28" s="53">
        <v>1125</v>
      </c>
      <c r="E28" s="53">
        <v>1125</v>
      </c>
      <c r="F28" s="53">
        <v>1125</v>
      </c>
      <c r="G28" s="53">
        <v>1125</v>
      </c>
      <c r="H28" s="53">
        <f>SUM(D28:G28)</f>
        <v>4500</v>
      </c>
      <c r="I28" s="50">
        <v>2600</v>
      </c>
      <c r="J28" s="50">
        <v>620</v>
      </c>
      <c r="K28" s="50">
        <v>642</v>
      </c>
      <c r="L28" s="50">
        <f>(I28-J28)*D28</f>
        <v>2227500</v>
      </c>
      <c r="M28" s="50">
        <f>(I28-J28)*E28</f>
        <v>2227500</v>
      </c>
      <c r="N28" s="50">
        <f>(I28-K28)*F28</f>
        <v>2202750</v>
      </c>
      <c r="O28" s="50">
        <f>(I28-K28)*G28</f>
        <v>2202750</v>
      </c>
      <c r="P28" s="54">
        <f t="shared" si="5"/>
        <v>8860500</v>
      </c>
      <c r="Q28" s="56"/>
      <c r="R28" s="50"/>
      <c r="S28" s="50"/>
      <c r="T28" s="17"/>
    </row>
    <row r="29" spans="1:20" s="24" customFormat="1" ht="24" customHeight="1">
      <c r="A29" s="102" t="s">
        <v>7</v>
      </c>
      <c r="B29" s="103"/>
      <c r="C29" s="93"/>
      <c r="D29" s="105"/>
      <c r="E29" s="105"/>
      <c r="F29" s="105"/>
      <c r="G29" s="105"/>
      <c r="H29" s="107"/>
      <c r="I29" s="104"/>
      <c r="J29" s="104"/>
      <c r="K29" s="106"/>
      <c r="L29" s="106"/>
      <c r="M29" s="106"/>
      <c r="N29" s="106"/>
      <c r="O29" s="106"/>
      <c r="P29" s="108"/>
      <c r="Q29" s="104"/>
      <c r="R29" s="104"/>
      <c r="S29" s="104"/>
      <c r="T29" s="85"/>
    </row>
    <row r="30" spans="1:20" s="24" customFormat="1" ht="57" customHeight="1">
      <c r="A30" s="52" t="s">
        <v>122</v>
      </c>
      <c r="B30" s="65" t="s">
        <v>123</v>
      </c>
      <c r="C30" s="70" t="s">
        <v>24</v>
      </c>
      <c r="D30" s="53">
        <v>500</v>
      </c>
      <c r="E30" s="53">
        <v>500</v>
      </c>
      <c r="F30" s="53">
        <v>500</v>
      </c>
      <c r="G30" s="53">
        <v>500</v>
      </c>
      <c r="H30" s="53">
        <f>SUM(D30:G30)</f>
        <v>2000</v>
      </c>
      <c r="I30" s="57">
        <v>2035</v>
      </c>
      <c r="J30" s="50">
        <v>900</v>
      </c>
      <c r="K30" s="50">
        <v>933</v>
      </c>
      <c r="L30" s="50">
        <f>(I30-J30)*D30</f>
        <v>567500</v>
      </c>
      <c r="M30" s="50">
        <f>(I30-J30)*E30</f>
        <v>567500</v>
      </c>
      <c r="N30" s="50">
        <f>(I30-K30)*F30</f>
        <v>551000</v>
      </c>
      <c r="O30" s="50">
        <f>(I30-K30)*G30</f>
        <v>551000</v>
      </c>
      <c r="P30" s="54">
        <f t="shared" si="5"/>
        <v>2237000</v>
      </c>
      <c r="Q30" s="56"/>
      <c r="R30" s="50"/>
      <c r="S30" s="50"/>
      <c r="T30" s="85"/>
    </row>
    <row r="31" spans="1:20" s="24" customFormat="1" ht="24" customHeight="1">
      <c r="A31" s="102" t="s">
        <v>8</v>
      </c>
      <c r="B31" s="103"/>
      <c r="C31" s="93"/>
      <c r="D31" s="109"/>
      <c r="E31" s="109"/>
      <c r="F31" s="109"/>
      <c r="G31" s="109"/>
      <c r="H31" s="107"/>
      <c r="I31" s="93"/>
      <c r="J31" s="93"/>
      <c r="K31" s="106"/>
      <c r="L31" s="106"/>
      <c r="M31" s="106"/>
      <c r="N31" s="106"/>
      <c r="O31" s="106"/>
      <c r="P31" s="108"/>
      <c r="Q31" s="93"/>
      <c r="R31" s="93"/>
      <c r="S31" s="104"/>
      <c r="T31" s="85"/>
    </row>
    <row r="32" spans="1:20" s="24" customFormat="1" ht="27" customHeight="1">
      <c r="A32" s="51" t="s">
        <v>12</v>
      </c>
      <c r="B32" s="65" t="s">
        <v>66</v>
      </c>
      <c r="C32" s="56" t="s">
        <v>24</v>
      </c>
      <c r="D32" s="53">
        <v>175</v>
      </c>
      <c r="E32" s="119">
        <v>108.33333333333333</v>
      </c>
      <c r="F32" s="119">
        <v>108.33333333333333</v>
      </c>
      <c r="G32" s="119">
        <v>108.33333333333333</v>
      </c>
      <c r="H32" s="53">
        <f>SUM(D32:G32)</f>
        <v>499.99999999999994</v>
      </c>
      <c r="I32" s="50">
        <f>947*1.046</f>
        <v>990.56200000000001</v>
      </c>
      <c r="J32" s="50">
        <v>820</v>
      </c>
      <c r="K32" s="50">
        <v>850</v>
      </c>
      <c r="L32" s="50">
        <f>(I32-J32)*D32</f>
        <v>29848.350000000002</v>
      </c>
      <c r="M32" s="50">
        <f>(I32-J32)*E32</f>
        <v>18477.55</v>
      </c>
      <c r="N32" s="50">
        <f>(I32-K32)*F32</f>
        <v>15227.550000000001</v>
      </c>
      <c r="O32" s="50">
        <f>(I32-K32)*G32</f>
        <v>15227.550000000001</v>
      </c>
      <c r="P32" s="54">
        <f t="shared" si="5"/>
        <v>78781</v>
      </c>
      <c r="Q32" s="56"/>
      <c r="R32" s="50"/>
      <c r="S32" s="50"/>
      <c r="T32" s="85"/>
    </row>
    <row r="33" spans="1:20" s="24" customFormat="1" ht="27" customHeight="1">
      <c r="A33" s="51" t="s">
        <v>12</v>
      </c>
      <c r="B33" s="65" t="s">
        <v>66</v>
      </c>
      <c r="C33" s="56" t="s">
        <v>67</v>
      </c>
      <c r="D33" s="53">
        <v>1611.6000000000001</v>
      </c>
      <c r="E33" s="119">
        <v>48.9</v>
      </c>
      <c r="F33" s="119">
        <v>659.6</v>
      </c>
      <c r="G33" s="119">
        <v>920.30000000000007</v>
      </c>
      <c r="H33" s="53">
        <f>SUM(D33:G33)</f>
        <v>3240.4000000000005</v>
      </c>
      <c r="I33" s="50">
        <f>791*1.046</f>
        <v>827.38600000000008</v>
      </c>
      <c r="J33" s="50">
        <v>727</v>
      </c>
      <c r="K33" s="50">
        <v>753</v>
      </c>
      <c r="L33" s="50">
        <f>(I33-J33)*D33</f>
        <v>161782.07760000014</v>
      </c>
      <c r="M33" s="50">
        <f>(I33-J33)*E33</f>
        <v>4908.8754000000035</v>
      </c>
      <c r="N33" s="50">
        <f>(I33-K33)*F33</f>
        <v>49065.005600000055</v>
      </c>
      <c r="O33" s="50">
        <f>(I33-K33)*G33</f>
        <v>68457.435800000079</v>
      </c>
      <c r="P33" s="54">
        <f t="shared" si="5"/>
        <v>284213.39440000028</v>
      </c>
      <c r="Q33" s="56"/>
      <c r="R33" s="50"/>
      <c r="S33" s="50"/>
      <c r="T33" s="85"/>
    </row>
    <row r="34" spans="1:20" s="24" customFormat="1" ht="27" customHeight="1">
      <c r="A34" s="51" t="s">
        <v>84</v>
      </c>
      <c r="B34" s="65" t="s">
        <v>133</v>
      </c>
      <c r="C34" s="56" t="s">
        <v>67</v>
      </c>
      <c r="D34" s="53">
        <v>1100</v>
      </c>
      <c r="E34" s="119">
        <v>1100</v>
      </c>
      <c r="F34" s="119">
        <v>1100</v>
      </c>
      <c r="G34" s="119">
        <v>1100</v>
      </c>
      <c r="H34" s="53">
        <f>SUM(D34:G34)</f>
        <v>4400</v>
      </c>
      <c r="I34" s="50">
        <f>664*1.046</f>
        <v>694.54399999999998</v>
      </c>
      <c r="J34" s="50">
        <f>727/1.2</f>
        <v>605.83333333333337</v>
      </c>
      <c r="K34" s="50">
        <f>753/1.2</f>
        <v>627.5</v>
      </c>
      <c r="L34" s="50">
        <f>(I34-J34)*D34</f>
        <v>97581.733333333279</v>
      </c>
      <c r="M34" s="50">
        <f>(I34-J34)*E34</f>
        <v>97581.733333333279</v>
      </c>
      <c r="N34" s="50">
        <f>(I34-K34)*F34</f>
        <v>73748.39999999998</v>
      </c>
      <c r="O34" s="50">
        <f>(I34-K34)*G34</f>
        <v>73748.39999999998</v>
      </c>
      <c r="P34" s="54">
        <f t="shared" si="5"/>
        <v>342660.26666666649</v>
      </c>
      <c r="Q34" s="56"/>
      <c r="R34" s="50"/>
      <c r="S34" s="50"/>
      <c r="T34" s="85"/>
    </row>
    <row r="35" spans="1:20" s="24" customFormat="1" ht="27" customHeight="1">
      <c r="A35" s="51" t="s">
        <v>84</v>
      </c>
      <c r="B35" s="65" t="s">
        <v>134</v>
      </c>
      <c r="C35" s="56" t="s">
        <v>67</v>
      </c>
      <c r="D35" s="53">
        <v>450</v>
      </c>
      <c r="E35" s="119">
        <v>450</v>
      </c>
      <c r="F35" s="119">
        <v>450</v>
      </c>
      <c r="G35" s="119">
        <v>450</v>
      </c>
      <c r="H35" s="53">
        <f>SUM(D35:G35)</f>
        <v>1800</v>
      </c>
      <c r="I35" s="50">
        <f>664*1.046</f>
        <v>694.54399999999998</v>
      </c>
      <c r="J35" s="50">
        <f>727/1.2</f>
        <v>605.83333333333337</v>
      </c>
      <c r="K35" s="50">
        <f>753/1.2</f>
        <v>627.5</v>
      </c>
      <c r="L35" s="50">
        <f>(I35-J35)*D35</f>
        <v>39919.799999999974</v>
      </c>
      <c r="M35" s="50">
        <f>(I35-J35)*E35</f>
        <v>39919.799999999974</v>
      </c>
      <c r="N35" s="50">
        <f>(I35-K35)*F35</f>
        <v>30169.799999999992</v>
      </c>
      <c r="O35" s="50">
        <f>(I35-K35)*G35</f>
        <v>30169.799999999992</v>
      </c>
      <c r="P35" s="54">
        <f t="shared" si="5"/>
        <v>140179.19999999992</v>
      </c>
      <c r="Q35" s="56"/>
      <c r="R35" s="50"/>
      <c r="S35" s="50"/>
      <c r="T35" s="85"/>
    </row>
    <row r="36" spans="1:20" s="24" customFormat="1" ht="31.5" customHeight="1">
      <c r="A36" s="51" t="s">
        <v>84</v>
      </c>
      <c r="B36" s="65" t="s">
        <v>135</v>
      </c>
      <c r="C36" s="56" t="s">
        <v>67</v>
      </c>
      <c r="D36" s="53">
        <v>625</v>
      </c>
      <c r="E36" s="119">
        <v>625</v>
      </c>
      <c r="F36" s="119">
        <v>625</v>
      </c>
      <c r="G36" s="119">
        <v>625</v>
      </c>
      <c r="H36" s="53">
        <f>SUM(D36:G36)</f>
        <v>2500</v>
      </c>
      <c r="I36" s="50">
        <f>664*1.046</f>
        <v>694.54399999999998</v>
      </c>
      <c r="J36" s="50">
        <f>727/1.2</f>
        <v>605.83333333333337</v>
      </c>
      <c r="K36" s="50">
        <f>753/1.2</f>
        <v>627.5</v>
      </c>
      <c r="L36" s="50">
        <f>(I36-J36)*D36</f>
        <v>55444.166666666635</v>
      </c>
      <c r="M36" s="50">
        <f>(I36-J36)*E36</f>
        <v>55444.166666666635</v>
      </c>
      <c r="N36" s="50">
        <f>(I36-K36)*F36</f>
        <v>41902.499999999993</v>
      </c>
      <c r="O36" s="50">
        <f>(I36-K36)*G36</f>
        <v>41902.499999999993</v>
      </c>
      <c r="P36" s="54">
        <f t="shared" si="5"/>
        <v>194693.33333333326</v>
      </c>
      <c r="Q36" s="56"/>
      <c r="R36" s="50"/>
      <c r="S36" s="50"/>
      <c r="T36" s="85"/>
    </row>
    <row r="37" spans="1:20" s="24" customFormat="1" ht="24" customHeight="1">
      <c r="A37" s="102" t="s">
        <v>9</v>
      </c>
      <c r="B37" s="103"/>
      <c r="C37" s="93"/>
      <c r="D37" s="105"/>
      <c r="E37" s="105"/>
      <c r="F37" s="105"/>
      <c r="G37" s="105"/>
      <c r="H37" s="107"/>
      <c r="I37" s="104"/>
      <c r="J37" s="104"/>
      <c r="K37" s="106"/>
      <c r="L37" s="106"/>
      <c r="M37" s="106"/>
      <c r="N37" s="106"/>
      <c r="O37" s="106"/>
      <c r="P37" s="108"/>
      <c r="Q37" s="104"/>
      <c r="R37" s="104"/>
      <c r="S37" s="104"/>
      <c r="T37" s="85"/>
    </row>
    <row r="38" spans="1:20" s="21" customFormat="1" ht="44.25" customHeight="1">
      <c r="A38" s="52" t="s">
        <v>2</v>
      </c>
      <c r="B38" s="65" t="s">
        <v>38</v>
      </c>
      <c r="C38" s="56" t="s">
        <v>24</v>
      </c>
      <c r="D38" s="53">
        <v>1348.1</v>
      </c>
      <c r="E38" s="119">
        <v>402.7</v>
      </c>
      <c r="F38" s="119">
        <v>68.31</v>
      </c>
      <c r="G38" s="119">
        <v>1018.24</v>
      </c>
      <c r="H38" s="53">
        <f>SUM(D38:G38)</f>
        <v>2837.35</v>
      </c>
      <c r="I38" s="50">
        <f>1451*1451/1366</f>
        <v>1541.2891654465593</v>
      </c>
      <c r="J38" s="50">
        <v>1050</v>
      </c>
      <c r="K38" s="50">
        <v>1088</v>
      </c>
      <c r="L38" s="50">
        <f>(I38-J38)*D38</f>
        <v>662306.92393850652</v>
      </c>
      <c r="M38" s="50">
        <f>(I38-J38)*E38</f>
        <v>197842.14692532943</v>
      </c>
      <c r="N38" s="50">
        <f>(I38-K38)*F38</f>
        <v>30964.182891654469</v>
      </c>
      <c r="O38" s="50">
        <f>(I38-K38)*G38</f>
        <v>461557.15982430457</v>
      </c>
      <c r="P38" s="54">
        <f t="shared" si="5"/>
        <v>1352670.413579795</v>
      </c>
      <c r="Q38" s="56"/>
      <c r="R38" s="50"/>
      <c r="S38" s="50"/>
      <c r="T38" s="20"/>
    </row>
    <row r="39" spans="1:20" s="24" customFormat="1" ht="24" customHeight="1">
      <c r="A39" s="102" t="s">
        <v>10</v>
      </c>
      <c r="B39" s="103"/>
      <c r="C39" s="93"/>
      <c r="D39" s="105"/>
      <c r="E39" s="105"/>
      <c r="F39" s="105"/>
      <c r="G39" s="105"/>
      <c r="H39" s="107"/>
      <c r="I39" s="104"/>
      <c r="J39" s="104"/>
      <c r="K39" s="106"/>
      <c r="L39" s="106"/>
      <c r="M39" s="106"/>
      <c r="N39" s="106"/>
      <c r="O39" s="106"/>
      <c r="P39" s="108"/>
      <c r="Q39" s="104"/>
      <c r="R39" s="104"/>
      <c r="S39" s="104"/>
      <c r="T39" s="85"/>
    </row>
    <row r="40" spans="1:20" s="23" customFormat="1" ht="27" customHeight="1">
      <c r="A40" s="52" t="s">
        <v>73</v>
      </c>
      <c r="B40" s="65" t="s">
        <v>34</v>
      </c>
      <c r="C40" s="56" t="s">
        <v>24</v>
      </c>
      <c r="D40" s="53">
        <v>1036</v>
      </c>
      <c r="E40" s="53">
        <v>231</v>
      </c>
      <c r="F40" s="53">
        <v>1591</v>
      </c>
      <c r="G40" s="53">
        <v>0</v>
      </c>
      <c r="H40" s="53">
        <f>SUM(D40:G40)</f>
        <v>2858</v>
      </c>
      <c r="I40" s="50">
        <f>2579*2579/2421</f>
        <v>2747.3114415530772</v>
      </c>
      <c r="J40" s="50">
        <v>1050</v>
      </c>
      <c r="K40" s="50">
        <v>1088</v>
      </c>
      <c r="L40" s="50">
        <f t="shared" ref="L40:L47" si="7">(I40-J40)*D40</f>
        <v>1758414.653448988</v>
      </c>
      <c r="M40" s="50">
        <f t="shared" ref="M40:M47" si="8">(I40-J40)*E40</f>
        <v>392078.94299876085</v>
      </c>
      <c r="N40" s="50">
        <f t="shared" ref="N40:N47" si="9">(I40-K40)*F40</f>
        <v>2639964.5035109459</v>
      </c>
      <c r="O40" s="50">
        <f t="shared" ref="O40:O47" si="10">(I40-K40)*G40</f>
        <v>0</v>
      </c>
      <c r="P40" s="54">
        <f t="shared" si="5"/>
        <v>4790458.0999586955</v>
      </c>
      <c r="Q40" s="56"/>
      <c r="R40" s="50"/>
      <c r="S40" s="50"/>
      <c r="T40" s="22"/>
    </row>
    <row r="41" spans="1:20" s="23" customFormat="1" ht="27" customHeight="1">
      <c r="A41" s="52" t="s">
        <v>73</v>
      </c>
      <c r="B41" s="66" t="s">
        <v>54</v>
      </c>
      <c r="C41" s="56" t="s">
        <v>24</v>
      </c>
      <c r="D41" s="53">
        <v>125</v>
      </c>
      <c r="E41" s="53">
        <v>125</v>
      </c>
      <c r="F41" s="53">
        <v>125</v>
      </c>
      <c r="G41" s="53">
        <v>125</v>
      </c>
      <c r="H41" s="53">
        <f>SUM(D41:G41)</f>
        <v>500</v>
      </c>
      <c r="I41" s="50">
        <f>2579*2579/2421</f>
        <v>2747.3114415530772</v>
      </c>
      <c r="J41" s="50">
        <v>1050</v>
      </c>
      <c r="K41" s="50">
        <v>1088</v>
      </c>
      <c r="L41" s="50">
        <f t="shared" si="7"/>
        <v>212163.93019413465</v>
      </c>
      <c r="M41" s="50">
        <f t="shared" si="8"/>
        <v>212163.93019413465</v>
      </c>
      <c r="N41" s="50">
        <f t="shared" si="9"/>
        <v>207413.93019413465</v>
      </c>
      <c r="O41" s="50">
        <f t="shared" si="10"/>
        <v>207413.93019413465</v>
      </c>
      <c r="P41" s="54">
        <f t="shared" si="5"/>
        <v>839155.7207765386</v>
      </c>
      <c r="Q41" s="56"/>
      <c r="R41" s="50"/>
      <c r="S41" s="50"/>
      <c r="T41" s="22"/>
    </row>
    <row r="42" spans="1:20" s="23" customFormat="1" ht="27" customHeight="1">
      <c r="A42" s="52" t="s">
        <v>55</v>
      </c>
      <c r="B42" s="65" t="s">
        <v>56</v>
      </c>
      <c r="C42" s="56" t="s">
        <v>24</v>
      </c>
      <c r="D42" s="53">
        <v>210.75</v>
      </c>
      <c r="E42" s="53">
        <v>210.75</v>
      </c>
      <c r="F42" s="53">
        <v>210.75</v>
      </c>
      <c r="G42" s="53">
        <v>210.75</v>
      </c>
      <c r="H42" s="53">
        <f t="shared" ref="H42:H47" si="11">SUM(D42:G42)</f>
        <v>843</v>
      </c>
      <c r="I42" s="50">
        <v>2300</v>
      </c>
      <c r="J42" s="50">
        <v>1050</v>
      </c>
      <c r="K42" s="50">
        <v>1088</v>
      </c>
      <c r="L42" s="50">
        <f t="shared" si="7"/>
        <v>263437.5</v>
      </c>
      <c r="M42" s="50">
        <f t="shared" si="8"/>
        <v>263437.5</v>
      </c>
      <c r="N42" s="50">
        <f t="shared" si="9"/>
        <v>255429</v>
      </c>
      <c r="O42" s="50">
        <f t="shared" si="10"/>
        <v>255429</v>
      </c>
      <c r="P42" s="54">
        <f t="shared" si="5"/>
        <v>1037733</v>
      </c>
      <c r="Q42" s="56"/>
      <c r="R42" s="50"/>
      <c r="S42" s="50"/>
      <c r="T42" s="22"/>
    </row>
    <row r="43" spans="1:20" s="23" customFormat="1" ht="27" customHeight="1">
      <c r="A43" s="52" t="s">
        <v>69</v>
      </c>
      <c r="B43" s="65" t="s">
        <v>70</v>
      </c>
      <c r="C43" s="56" t="s">
        <v>24</v>
      </c>
      <c r="D43" s="53">
        <v>512</v>
      </c>
      <c r="E43" s="53">
        <v>298.63</v>
      </c>
      <c r="F43" s="53">
        <v>0</v>
      </c>
      <c r="G43" s="53">
        <v>0</v>
      </c>
      <c r="H43" s="53">
        <f t="shared" si="11"/>
        <v>810.63</v>
      </c>
      <c r="I43" s="50">
        <f>2235*2235/2125</f>
        <v>2350.6941176470586</v>
      </c>
      <c r="J43" s="50">
        <v>1050</v>
      </c>
      <c r="K43" s="50">
        <v>1088</v>
      </c>
      <c r="L43" s="50">
        <f t="shared" si="7"/>
        <v>665955.38823529403</v>
      </c>
      <c r="M43" s="50">
        <f t="shared" si="8"/>
        <v>388426.28435294109</v>
      </c>
      <c r="N43" s="50">
        <f t="shared" si="9"/>
        <v>0</v>
      </c>
      <c r="O43" s="50">
        <f t="shared" si="10"/>
        <v>0</v>
      </c>
      <c r="P43" s="54">
        <f t="shared" si="5"/>
        <v>1054381.6725882352</v>
      </c>
      <c r="Q43" s="56"/>
      <c r="R43" s="50"/>
      <c r="S43" s="50"/>
      <c r="T43" s="22"/>
    </row>
    <row r="44" spans="1:20" s="24" customFormat="1" ht="65.25" customHeight="1">
      <c r="A44" s="52" t="s">
        <v>29</v>
      </c>
      <c r="B44" s="65" t="s">
        <v>124</v>
      </c>
      <c r="C44" s="56" t="s">
        <v>24</v>
      </c>
      <c r="D44" s="53">
        <v>6123</v>
      </c>
      <c r="E44" s="53">
        <v>5213</v>
      </c>
      <c r="F44" s="53">
        <v>3007</v>
      </c>
      <c r="G44" s="53">
        <v>3007</v>
      </c>
      <c r="H44" s="53">
        <f t="shared" si="11"/>
        <v>17350</v>
      </c>
      <c r="I44" s="50">
        <f>2620*1.046</f>
        <v>2740.52</v>
      </c>
      <c r="J44" s="50">
        <v>1050</v>
      </c>
      <c r="K44" s="50">
        <v>1088</v>
      </c>
      <c r="L44" s="50">
        <f t="shared" si="7"/>
        <v>10351053.959999999</v>
      </c>
      <c r="M44" s="50">
        <f t="shared" si="8"/>
        <v>8812680.7599999998</v>
      </c>
      <c r="N44" s="50">
        <f t="shared" si="9"/>
        <v>4969127.6399999997</v>
      </c>
      <c r="O44" s="50">
        <f t="shared" si="10"/>
        <v>4969127.6399999997</v>
      </c>
      <c r="P44" s="54">
        <f t="shared" si="5"/>
        <v>29101990</v>
      </c>
      <c r="Q44" s="56"/>
      <c r="R44" s="50"/>
      <c r="S44" s="50"/>
      <c r="T44" s="85"/>
    </row>
    <row r="45" spans="1:20" s="24" customFormat="1" ht="27" customHeight="1">
      <c r="A45" s="52" t="s">
        <v>29</v>
      </c>
      <c r="B45" s="65" t="s">
        <v>31</v>
      </c>
      <c r="C45" s="56" t="s">
        <v>24</v>
      </c>
      <c r="D45" s="53">
        <v>0</v>
      </c>
      <c r="E45" s="53">
        <v>255</v>
      </c>
      <c r="F45" s="53">
        <v>1223</v>
      </c>
      <c r="G45" s="53">
        <v>815</v>
      </c>
      <c r="H45" s="53">
        <f t="shared" si="11"/>
        <v>2293</v>
      </c>
      <c r="I45" s="50">
        <f>5221*1.046</f>
        <v>5461.1660000000002</v>
      </c>
      <c r="J45" s="50">
        <v>1050</v>
      </c>
      <c r="K45" s="50">
        <v>1088</v>
      </c>
      <c r="L45" s="50">
        <f t="shared" si="7"/>
        <v>0</v>
      </c>
      <c r="M45" s="50">
        <f t="shared" si="8"/>
        <v>1124847.33</v>
      </c>
      <c r="N45" s="50">
        <f t="shared" si="9"/>
        <v>5348382.0180000002</v>
      </c>
      <c r="O45" s="50">
        <f t="shared" si="10"/>
        <v>3564130.29</v>
      </c>
      <c r="P45" s="54">
        <f t="shared" si="5"/>
        <v>10037359.638</v>
      </c>
      <c r="Q45" s="56"/>
      <c r="R45" s="50"/>
      <c r="S45" s="50"/>
      <c r="T45" s="85"/>
    </row>
    <row r="46" spans="1:20" s="24" customFormat="1" ht="27" customHeight="1">
      <c r="A46" s="52" t="s">
        <v>35</v>
      </c>
      <c r="B46" s="65" t="s">
        <v>10</v>
      </c>
      <c r="C46" s="56" t="s">
        <v>24</v>
      </c>
      <c r="D46" s="53">
        <v>250</v>
      </c>
      <c r="E46" s="53">
        <v>250</v>
      </c>
      <c r="F46" s="53">
        <v>250</v>
      </c>
      <c r="G46" s="53">
        <v>250</v>
      </c>
      <c r="H46" s="53">
        <f t="shared" si="11"/>
        <v>1000</v>
      </c>
      <c r="I46" s="50">
        <v>2300</v>
      </c>
      <c r="J46" s="50">
        <v>1050</v>
      </c>
      <c r="K46" s="50">
        <v>1088</v>
      </c>
      <c r="L46" s="50">
        <f t="shared" si="7"/>
        <v>312500</v>
      </c>
      <c r="M46" s="50">
        <f t="shared" si="8"/>
        <v>312500</v>
      </c>
      <c r="N46" s="50">
        <f t="shared" si="9"/>
        <v>303000</v>
      </c>
      <c r="O46" s="50">
        <f t="shared" si="10"/>
        <v>303000</v>
      </c>
      <c r="P46" s="54">
        <f t="shared" si="5"/>
        <v>1231000</v>
      </c>
      <c r="Q46" s="56"/>
      <c r="R46" s="50"/>
      <c r="S46" s="50"/>
      <c r="T46" s="85"/>
    </row>
    <row r="47" spans="1:20" s="24" customFormat="1" ht="27" customHeight="1">
      <c r="A47" s="52" t="s">
        <v>125</v>
      </c>
      <c r="B47" s="65" t="s">
        <v>54</v>
      </c>
      <c r="C47" s="56" t="s">
        <v>24</v>
      </c>
      <c r="D47" s="53">
        <v>1000</v>
      </c>
      <c r="E47" s="53">
        <v>1000</v>
      </c>
      <c r="F47" s="53">
        <v>1000</v>
      </c>
      <c r="G47" s="53">
        <v>1000</v>
      </c>
      <c r="H47" s="53">
        <f t="shared" si="11"/>
        <v>4000</v>
      </c>
      <c r="I47" s="50">
        <f>I44</f>
        <v>2740.52</v>
      </c>
      <c r="J47" s="50">
        <v>1050</v>
      </c>
      <c r="K47" s="50">
        <v>1088</v>
      </c>
      <c r="L47" s="50">
        <f t="shared" si="7"/>
        <v>1690520</v>
      </c>
      <c r="M47" s="50">
        <f t="shared" si="8"/>
        <v>1690520</v>
      </c>
      <c r="N47" s="50">
        <f t="shared" si="9"/>
        <v>1652520</v>
      </c>
      <c r="O47" s="50">
        <f t="shared" si="10"/>
        <v>1652520</v>
      </c>
      <c r="P47" s="54">
        <f t="shared" si="5"/>
        <v>6686080</v>
      </c>
      <c r="Q47" s="56"/>
      <c r="R47" s="50"/>
      <c r="S47" s="50"/>
      <c r="T47" s="85"/>
    </row>
    <row r="48" spans="1:20" s="24" customFormat="1" ht="24" customHeight="1">
      <c r="A48" s="102" t="s">
        <v>59</v>
      </c>
      <c r="B48" s="103"/>
      <c r="C48" s="93"/>
      <c r="D48" s="105"/>
      <c r="E48" s="105"/>
      <c r="F48" s="105"/>
      <c r="G48" s="105"/>
      <c r="H48" s="107"/>
      <c r="I48" s="104"/>
      <c r="J48" s="104"/>
      <c r="K48" s="106"/>
      <c r="L48" s="106"/>
      <c r="M48" s="106"/>
      <c r="N48" s="106"/>
      <c r="O48" s="106"/>
      <c r="P48" s="108"/>
      <c r="Q48" s="104"/>
      <c r="R48" s="104"/>
      <c r="S48" s="104"/>
      <c r="T48" s="85"/>
    </row>
    <row r="49" spans="1:20" s="24" customFormat="1" ht="27" customHeight="1">
      <c r="A49" s="59" t="s">
        <v>107</v>
      </c>
      <c r="B49" s="67" t="s">
        <v>108</v>
      </c>
      <c r="C49" s="71" t="s">
        <v>25</v>
      </c>
      <c r="D49" s="53">
        <v>1250</v>
      </c>
      <c r="E49" s="53">
        <v>1250</v>
      </c>
      <c r="F49" s="53">
        <v>1250</v>
      </c>
      <c r="G49" s="53">
        <v>1250</v>
      </c>
      <c r="H49" s="53">
        <f>SUM(D49:G49)</f>
        <v>5000</v>
      </c>
      <c r="I49" s="50">
        <v>1100</v>
      </c>
      <c r="J49" s="50">
        <v>690</v>
      </c>
      <c r="K49" s="50">
        <v>715</v>
      </c>
      <c r="L49" s="50">
        <f>(I49-J49)*D49</f>
        <v>512500</v>
      </c>
      <c r="M49" s="50">
        <f>(I49-J49)*E49</f>
        <v>512500</v>
      </c>
      <c r="N49" s="50">
        <f>(I49-K49)*F49</f>
        <v>481250</v>
      </c>
      <c r="O49" s="50">
        <f>(I49-K49)*G49</f>
        <v>481250</v>
      </c>
      <c r="P49" s="54">
        <f t="shared" si="5"/>
        <v>1987500</v>
      </c>
      <c r="Q49" s="48"/>
      <c r="R49" s="48"/>
      <c r="S49" s="48"/>
      <c r="T49" s="85"/>
    </row>
    <row r="50" spans="1:20" s="24" customFormat="1" ht="24" customHeight="1">
      <c r="A50" s="102" t="s">
        <v>83</v>
      </c>
      <c r="B50" s="92"/>
      <c r="C50" s="110"/>
      <c r="D50" s="107"/>
      <c r="E50" s="107"/>
      <c r="F50" s="107"/>
      <c r="G50" s="107"/>
      <c r="H50" s="107"/>
      <c r="I50" s="106"/>
      <c r="J50" s="106"/>
      <c r="K50" s="106"/>
      <c r="L50" s="106"/>
      <c r="M50" s="106"/>
      <c r="N50" s="106"/>
      <c r="O50" s="106"/>
      <c r="P50" s="108"/>
      <c r="Q50" s="104"/>
      <c r="R50" s="104"/>
      <c r="S50" s="104"/>
      <c r="T50" s="85"/>
    </row>
    <row r="51" spans="1:20" s="24" customFormat="1" ht="27" customHeight="1">
      <c r="A51" s="51" t="s">
        <v>84</v>
      </c>
      <c r="B51" s="65" t="s">
        <v>85</v>
      </c>
      <c r="C51" s="56" t="s">
        <v>25</v>
      </c>
      <c r="D51" s="53">
        <v>150</v>
      </c>
      <c r="E51" s="53">
        <v>150</v>
      </c>
      <c r="F51" s="53">
        <v>150</v>
      </c>
      <c r="G51" s="53">
        <v>150</v>
      </c>
      <c r="H51" s="53">
        <f>SUM(D51:G51)</f>
        <v>600</v>
      </c>
      <c r="I51" s="50">
        <f>999/1.2</f>
        <v>832.5</v>
      </c>
      <c r="J51" s="50">
        <f>521/1.2</f>
        <v>434.16666666666669</v>
      </c>
      <c r="K51" s="50">
        <f>540/1.2</f>
        <v>450</v>
      </c>
      <c r="L51" s="50">
        <f>(I51-J51)*D51</f>
        <v>59750</v>
      </c>
      <c r="M51" s="50">
        <f>(I51-J51)*E51</f>
        <v>59750</v>
      </c>
      <c r="N51" s="50">
        <f>(I51-K51)*F51</f>
        <v>57375</v>
      </c>
      <c r="O51" s="50">
        <f>(I51-K51)*G51</f>
        <v>57375</v>
      </c>
      <c r="P51" s="54">
        <f t="shared" si="5"/>
        <v>234250</v>
      </c>
      <c r="Q51" s="48"/>
      <c r="R51" s="48"/>
      <c r="S51" s="48"/>
      <c r="T51" s="85"/>
    </row>
    <row r="52" spans="1:20" s="24" customFormat="1" ht="27" customHeight="1">
      <c r="A52" s="51" t="s">
        <v>84</v>
      </c>
      <c r="B52" s="65" t="s">
        <v>86</v>
      </c>
      <c r="C52" s="56" t="s">
        <v>25</v>
      </c>
      <c r="D52" s="53">
        <v>875</v>
      </c>
      <c r="E52" s="53">
        <v>875</v>
      </c>
      <c r="F52" s="53">
        <v>875</v>
      </c>
      <c r="G52" s="53">
        <v>875</v>
      </c>
      <c r="H52" s="53">
        <f>SUM(D52:G52)</f>
        <v>3500</v>
      </c>
      <c r="I52" s="50">
        <f>999/1.2</f>
        <v>832.5</v>
      </c>
      <c r="J52" s="50">
        <f>521/1.2</f>
        <v>434.16666666666669</v>
      </c>
      <c r="K52" s="50">
        <f>540/1.2</f>
        <v>450</v>
      </c>
      <c r="L52" s="50">
        <f>(I52-J52)*D52</f>
        <v>348541.66666666663</v>
      </c>
      <c r="M52" s="50">
        <f>(I52-J52)*E52</f>
        <v>348541.66666666663</v>
      </c>
      <c r="N52" s="50">
        <f>(I52-K52)*F52</f>
        <v>334687.5</v>
      </c>
      <c r="O52" s="50">
        <f>(I52-K52)*G52</f>
        <v>334687.5</v>
      </c>
      <c r="P52" s="54">
        <f t="shared" si="5"/>
        <v>1366458.3333333333</v>
      </c>
      <c r="Q52" s="48"/>
      <c r="R52" s="48"/>
      <c r="S52" s="48"/>
      <c r="T52" s="85"/>
    </row>
    <row r="53" spans="1:20" s="24" customFormat="1" ht="27" customHeight="1">
      <c r="A53" s="51" t="s">
        <v>84</v>
      </c>
      <c r="B53" s="65" t="s">
        <v>87</v>
      </c>
      <c r="C53" s="56" t="s">
        <v>25</v>
      </c>
      <c r="D53" s="53">
        <v>375</v>
      </c>
      <c r="E53" s="53">
        <v>375</v>
      </c>
      <c r="F53" s="53">
        <v>375</v>
      </c>
      <c r="G53" s="53">
        <v>375</v>
      </c>
      <c r="H53" s="53">
        <f>SUM(D53:G53)</f>
        <v>1500</v>
      </c>
      <c r="I53" s="50">
        <f>999/1.2</f>
        <v>832.5</v>
      </c>
      <c r="J53" s="50">
        <f>521/1.2</f>
        <v>434.16666666666669</v>
      </c>
      <c r="K53" s="50">
        <f>540/1.2</f>
        <v>450</v>
      </c>
      <c r="L53" s="50">
        <f>(I53-J53)*D53</f>
        <v>149375</v>
      </c>
      <c r="M53" s="50">
        <f>(I53-J53)*E53</f>
        <v>149375</v>
      </c>
      <c r="N53" s="50">
        <f>(I53-K53)*F53</f>
        <v>143437.5</v>
      </c>
      <c r="O53" s="50">
        <f>(I53-K53)*G53</f>
        <v>143437.5</v>
      </c>
      <c r="P53" s="54">
        <f t="shared" si="5"/>
        <v>585625</v>
      </c>
      <c r="Q53" s="48"/>
      <c r="R53" s="48"/>
      <c r="S53" s="48"/>
      <c r="T53" s="85"/>
    </row>
    <row r="54" spans="1:20" s="24" customFormat="1" ht="48" customHeight="1">
      <c r="A54" s="51" t="s">
        <v>126</v>
      </c>
      <c r="B54" s="65" t="s">
        <v>127</v>
      </c>
      <c r="C54" s="71" t="s">
        <v>128</v>
      </c>
      <c r="D54" s="53">
        <v>1125</v>
      </c>
      <c r="E54" s="53">
        <v>1125</v>
      </c>
      <c r="F54" s="53">
        <v>1125</v>
      </c>
      <c r="G54" s="53">
        <v>1125</v>
      </c>
      <c r="H54" s="53">
        <f>SUM(D54:G54)</f>
        <v>4500</v>
      </c>
      <c r="I54" s="50">
        <v>1750</v>
      </c>
      <c r="J54" s="50">
        <v>634</v>
      </c>
      <c r="K54" s="50">
        <v>657</v>
      </c>
      <c r="L54" s="50">
        <f>(I54-J54)*D54</f>
        <v>1255500</v>
      </c>
      <c r="M54" s="50">
        <f>(I54-J54)*E54</f>
        <v>1255500</v>
      </c>
      <c r="N54" s="50">
        <f>(I54-K54)*F54</f>
        <v>1229625</v>
      </c>
      <c r="O54" s="50">
        <f>(I54-K54)*G54</f>
        <v>1229625</v>
      </c>
      <c r="P54" s="54">
        <f t="shared" si="5"/>
        <v>4970250</v>
      </c>
      <c r="Q54" s="48"/>
      <c r="R54" s="48"/>
      <c r="S54" s="48"/>
      <c r="T54" s="85"/>
    </row>
    <row r="55" spans="1:20" s="24" customFormat="1" ht="24" customHeight="1">
      <c r="A55" s="102" t="s">
        <v>3</v>
      </c>
      <c r="B55" s="103"/>
      <c r="C55" s="93"/>
      <c r="D55" s="105"/>
      <c r="E55" s="105"/>
      <c r="F55" s="105"/>
      <c r="G55" s="105"/>
      <c r="H55" s="107"/>
      <c r="I55" s="104"/>
      <c r="J55" s="104"/>
      <c r="K55" s="106"/>
      <c r="L55" s="106"/>
      <c r="M55" s="106"/>
      <c r="N55" s="106"/>
      <c r="O55" s="106"/>
      <c r="P55" s="108"/>
      <c r="Q55" s="104"/>
      <c r="R55" s="104"/>
      <c r="S55" s="104"/>
      <c r="T55" s="85"/>
    </row>
    <row r="56" spans="1:20" s="24" customFormat="1" ht="27" customHeight="1">
      <c r="A56" s="52" t="s">
        <v>16</v>
      </c>
      <c r="B56" s="66" t="s">
        <v>60</v>
      </c>
      <c r="C56" s="56" t="s">
        <v>25</v>
      </c>
      <c r="D56" s="53">
        <v>102</v>
      </c>
      <c r="E56" s="53">
        <v>141</v>
      </c>
      <c r="F56" s="53">
        <v>261</v>
      </c>
      <c r="G56" s="53">
        <v>120</v>
      </c>
      <c r="H56" s="53">
        <f>SUM(D56:G56)</f>
        <v>624</v>
      </c>
      <c r="I56" s="50">
        <v>1725</v>
      </c>
      <c r="J56" s="50">
        <f>865/1.2</f>
        <v>720.83333333333337</v>
      </c>
      <c r="K56" s="50">
        <f>897/1.2</f>
        <v>747.5</v>
      </c>
      <c r="L56" s="50">
        <f>(I56-J56)*D56</f>
        <v>102425</v>
      </c>
      <c r="M56" s="50">
        <f>(I56-J56)*E56</f>
        <v>141587.5</v>
      </c>
      <c r="N56" s="50">
        <f>(I56-K56)*F56</f>
        <v>255127.5</v>
      </c>
      <c r="O56" s="50">
        <f>(I56-K56)*G56</f>
        <v>117300</v>
      </c>
      <c r="P56" s="54">
        <f t="shared" si="5"/>
        <v>616440</v>
      </c>
      <c r="Q56" s="56"/>
      <c r="R56" s="50"/>
      <c r="S56" s="50"/>
      <c r="T56" s="85"/>
    </row>
    <row r="57" spans="1:20" s="25" customFormat="1" ht="24" customHeight="1">
      <c r="A57" s="102" t="s">
        <v>11</v>
      </c>
      <c r="B57" s="103"/>
      <c r="C57" s="93"/>
      <c r="D57" s="105"/>
      <c r="E57" s="105"/>
      <c r="F57" s="105"/>
      <c r="G57" s="105"/>
      <c r="H57" s="107"/>
      <c r="I57" s="104"/>
      <c r="J57" s="104"/>
      <c r="K57" s="106"/>
      <c r="L57" s="106"/>
      <c r="M57" s="106"/>
      <c r="N57" s="106"/>
      <c r="O57" s="106"/>
      <c r="P57" s="108"/>
      <c r="Q57" s="104"/>
      <c r="R57" s="104"/>
      <c r="S57" s="104"/>
      <c r="T57" s="85"/>
    </row>
    <row r="58" spans="1:20" s="24" customFormat="1" ht="27" customHeight="1">
      <c r="A58" s="52" t="s">
        <v>19</v>
      </c>
      <c r="B58" s="65" t="s">
        <v>20</v>
      </c>
      <c r="C58" s="56" t="s">
        <v>24</v>
      </c>
      <c r="D58" s="53">
        <v>944.7</v>
      </c>
      <c r="E58" s="53">
        <v>2001.6</v>
      </c>
      <c r="F58" s="53">
        <v>774.6</v>
      </c>
      <c r="G58" s="53">
        <v>1701.5</v>
      </c>
      <c r="H58" s="53">
        <f t="shared" ref="H58:H66" si="12">SUM(D58:G58)</f>
        <v>5422.4</v>
      </c>
      <c r="I58" s="50">
        <f>2521*1.046</f>
        <v>2636.9659999999999</v>
      </c>
      <c r="J58" s="50">
        <v>1024</v>
      </c>
      <c r="K58" s="50">
        <v>1061</v>
      </c>
      <c r="L58" s="50">
        <f t="shared" ref="L58:L71" si="13">(I58-J58)*D58</f>
        <v>1523768.9801999999</v>
      </c>
      <c r="M58" s="50">
        <f t="shared" ref="M58:M71" si="14">(I58-J58)*E58</f>
        <v>3228512.7455999996</v>
      </c>
      <c r="N58" s="50">
        <f t="shared" ref="N58:N71" si="15">(I58-K58)*F58</f>
        <v>1220743.2635999999</v>
      </c>
      <c r="O58" s="50">
        <f t="shared" ref="O58:O71" si="16">(I58-K58)*G58</f>
        <v>2681506.1489999997</v>
      </c>
      <c r="P58" s="54">
        <f t="shared" si="5"/>
        <v>8654531.1383999996</v>
      </c>
      <c r="Q58" s="56"/>
      <c r="R58" s="50"/>
      <c r="S58" s="50"/>
      <c r="T58" s="85"/>
    </row>
    <row r="59" spans="1:20" s="24" customFormat="1" ht="27" customHeight="1">
      <c r="A59" s="52" t="s">
        <v>19</v>
      </c>
      <c r="B59" s="65" t="s">
        <v>78</v>
      </c>
      <c r="C59" s="56" t="s">
        <v>24</v>
      </c>
      <c r="D59" s="53">
        <v>0</v>
      </c>
      <c r="E59" s="53">
        <v>155</v>
      </c>
      <c r="F59" s="53">
        <v>0</v>
      </c>
      <c r="G59" s="53">
        <v>0</v>
      </c>
      <c r="H59" s="53">
        <f t="shared" si="12"/>
        <v>155</v>
      </c>
      <c r="I59" s="50">
        <f>2521*1.046</f>
        <v>2636.9659999999999</v>
      </c>
      <c r="J59" s="50">
        <v>1024</v>
      </c>
      <c r="K59" s="50">
        <v>1061</v>
      </c>
      <c r="L59" s="50">
        <f t="shared" si="13"/>
        <v>0</v>
      </c>
      <c r="M59" s="50">
        <f t="shared" si="14"/>
        <v>250009.72999999998</v>
      </c>
      <c r="N59" s="50">
        <f t="shared" si="15"/>
        <v>0</v>
      </c>
      <c r="O59" s="50">
        <f t="shared" si="16"/>
        <v>0</v>
      </c>
      <c r="P59" s="54">
        <f t="shared" si="5"/>
        <v>250009.72999999998</v>
      </c>
      <c r="Q59" s="56"/>
      <c r="R59" s="50"/>
      <c r="S59" s="50"/>
      <c r="T59" s="85"/>
    </row>
    <row r="60" spans="1:20" s="24" customFormat="1" ht="27" customHeight="1">
      <c r="A60" s="52" t="s">
        <v>19</v>
      </c>
      <c r="B60" s="65" t="s">
        <v>21</v>
      </c>
      <c r="C60" s="56" t="s">
        <v>24</v>
      </c>
      <c r="D60" s="53">
        <v>338.2</v>
      </c>
      <c r="E60" s="53">
        <v>615.4</v>
      </c>
      <c r="F60" s="53">
        <v>1573.2</v>
      </c>
      <c r="G60" s="53">
        <v>1573.2</v>
      </c>
      <c r="H60" s="53">
        <f t="shared" si="12"/>
        <v>4100</v>
      </c>
      <c r="I60" s="50">
        <f>2985*1.046</f>
        <v>3122.31</v>
      </c>
      <c r="J60" s="50">
        <v>1024</v>
      </c>
      <c r="K60" s="50">
        <v>1061</v>
      </c>
      <c r="L60" s="50">
        <f t="shared" si="13"/>
        <v>709648.44199999992</v>
      </c>
      <c r="M60" s="50">
        <f t="shared" si="14"/>
        <v>1291299.9739999999</v>
      </c>
      <c r="N60" s="50">
        <f t="shared" si="15"/>
        <v>3242852.892</v>
      </c>
      <c r="O60" s="50">
        <f t="shared" si="16"/>
        <v>3242852.892</v>
      </c>
      <c r="P60" s="54">
        <f t="shared" si="5"/>
        <v>8486654.1999999993</v>
      </c>
      <c r="Q60" s="56"/>
      <c r="R60" s="50"/>
      <c r="S60" s="50"/>
      <c r="T60" s="85"/>
    </row>
    <row r="61" spans="1:20" s="24" customFormat="1" ht="27" customHeight="1">
      <c r="A61" s="52" t="s">
        <v>19</v>
      </c>
      <c r="B61" s="65" t="s">
        <v>36</v>
      </c>
      <c r="C61" s="56" t="s">
        <v>24</v>
      </c>
      <c r="D61" s="53">
        <v>0</v>
      </c>
      <c r="E61" s="53">
        <v>340.2</v>
      </c>
      <c r="F61" s="53">
        <v>417.2</v>
      </c>
      <c r="G61" s="53">
        <v>0</v>
      </c>
      <c r="H61" s="53">
        <f t="shared" si="12"/>
        <v>757.4</v>
      </c>
      <c r="I61" s="50">
        <f>4805*1.046</f>
        <v>5026.03</v>
      </c>
      <c r="J61" s="50">
        <v>1024</v>
      </c>
      <c r="K61" s="50">
        <v>1061</v>
      </c>
      <c r="L61" s="50">
        <f t="shared" si="13"/>
        <v>0</v>
      </c>
      <c r="M61" s="50">
        <f t="shared" si="14"/>
        <v>1361490.6059999999</v>
      </c>
      <c r="N61" s="50">
        <f t="shared" si="15"/>
        <v>1654210.5159999998</v>
      </c>
      <c r="O61" s="50">
        <f t="shared" si="16"/>
        <v>0</v>
      </c>
      <c r="P61" s="54">
        <f t="shared" si="5"/>
        <v>3015701.1219999995</v>
      </c>
      <c r="Q61" s="56"/>
      <c r="R61" s="50"/>
      <c r="S61" s="50"/>
      <c r="T61" s="85"/>
    </row>
    <row r="62" spans="1:20" s="24" customFormat="1" ht="27" customHeight="1">
      <c r="A62" s="52" t="s">
        <v>19</v>
      </c>
      <c r="B62" s="65" t="s">
        <v>115</v>
      </c>
      <c r="C62" s="56" t="s">
        <v>24</v>
      </c>
      <c r="D62" s="53">
        <v>87.5</v>
      </c>
      <c r="E62" s="53">
        <v>87.5</v>
      </c>
      <c r="F62" s="53">
        <v>87.5</v>
      </c>
      <c r="G62" s="53">
        <v>87.5</v>
      </c>
      <c r="H62" s="53">
        <f t="shared" si="12"/>
        <v>350</v>
      </c>
      <c r="I62" s="50">
        <f>2613*1.046</f>
        <v>2733.1980000000003</v>
      </c>
      <c r="J62" s="50">
        <v>1024</v>
      </c>
      <c r="K62" s="50">
        <v>1061</v>
      </c>
      <c r="L62" s="50">
        <f t="shared" si="13"/>
        <v>149554.82500000004</v>
      </c>
      <c r="M62" s="50">
        <f t="shared" si="14"/>
        <v>149554.82500000004</v>
      </c>
      <c r="N62" s="50">
        <f t="shared" si="15"/>
        <v>146317.32500000004</v>
      </c>
      <c r="O62" s="50">
        <f t="shared" si="16"/>
        <v>146317.32500000004</v>
      </c>
      <c r="P62" s="54">
        <f t="shared" si="5"/>
        <v>591744.30000000016</v>
      </c>
      <c r="Q62" s="56"/>
      <c r="R62" s="50"/>
      <c r="S62" s="50"/>
      <c r="T62" s="85"/>
    </row>
    <row r="63" spans="1:20" s="24" customFormat="1" ht="27" customHeight="1">
      <c r="A63" s="52" t="s">
        <v>27</v>
      </c>
      <c r="B63" s="65" t="s">
        <v>116</v>
      </c>
      <c r="C63" s="56" t="s">
        <v>24</v>
      </c>
      <c r="D63" s="53">
        <v>250</v>
      </c>
      <c r="E63" s="53">
        <v>250</v>
      </c>
      <c r="F63" s="53">
        <v>250</v>
      </c>
      <c r="G63" s="53">
        <v>250</v>
      </c>
      <c r="H63" s="53">
        <f t="shared" si="12"/>
        <v>1000</v>
      </c>
      <c r="I63" s="50">
        <v>5450</v>
      </c>
      <c r="J63" s="50">
        <f>1024/1.2</f>
        <v>853.33333333333337</v>
      </c>
      <c r="K63" s="50">
        <f>1061/1.2</f>
        <v>884.16666666666674</v>
      </c>
      <c r="L63" s="50">
        <f t="shared" si="13"/>
        <v>1149166.6666666667</v>
      </c>
      <c r="M63" s="50">
        <f t="shared" si="14"/>
        <v>1149166.6666666667</v>
      </c>
      <c r="N63" s="50">
        <f t="shared" si="15"/>
        <v>1141458.3333333333</v>
      </c>
      <c r="O63" s="50">
        <f t="shared" si="16"/>
        <v>1141458.3333333333</v>
      </c>
      <c r="P63" s="54">
        <f t="shared" si="5"/>
        <v>4581250</v>
      </c>
      <c r="Q63" s="56"/>
      <c r="R63" s="50"/>
      <c r="S63" s="50"/>
      <c r="T63" s="85"/>
    </row>
    <row r="64" spans="1:20" s="25" customFormat="1" ht="27" customHeight="1">
      <c r="A64" s="52" t="s">
        <v>27</v>
      </c>
      <c r="B64" s="65" t="s">
        <v>36</v>
      </c>
      <c r="C64" s="56" t="s">
        <v>24</v>
      </c>
      <c r="D64" s="53">
        <v>282</v>
      </c>
      <c r="E64" s="53">
        <v>86.5</v>
      </c>
      <c r="F64" s="53">
        <v>416</v>
      </c>
      <c r="G64" s="53">
        <v>0</v>
      </c>
      <c r="H64" s="53">
        <f t="shared" si="12"/>
        <v>784.5</v>
      </c>
      <c r="I64" s="50">
        <f>2329*2329/2145</f>
        <v>2528.7836829836829</v>
      </c>
      <c r="J64" s="50">
        <f>1024/1.2</f>
        <v>853.33333333333337</v>
      </c>
      <c r="K64" s="50">
        <f>1061/1.2</f>
        <v>884.16666666666674</v>
      </c>
      <c r="L64" s="50">
        <f t="shared" si="13"/>
        <v>472476.99860139855</v>
      </c>
      <c r="M64" s="50">
        <f t="shared" si="14"/>
        <v>144926.45524475523</v>
      </c>
      <c r="N64" s="50">
        <f t="shared" si="15"/>
        <v>684160.67878787871</v>
      </c>
      <c r="O64" s="50">
        <f t="shared" si="16"/>
        <v>0</v>
      </c>
      <c r="P64" s="54">
        <f t="shared" si="5"/>
        <v>1301564.1326340325</v>
      </c>
      <c r="Q64" s="56"/>
      <c r="R64" s="50"/>
      <c r="S64" s="50"/>
      <c r="T64" s="85"/>
    </row>
    <row r="65" spans="1:20" s="25" customFormat="1" ht="81" customHeight="1">
      <c r="A65" s="52" t="s">
        <v>74</v>
      </c>
      <c r="B65" s="65" t="s">
        <v>118</v>
      </c>
      <c r="C65" s="56" t="s">
        <v>24</v>
      </c>
      <c r="D65" s="53">
        <v>113.95</v>
      </c>
      <c r="E65" s="53">
        <v>113.95</v>
      </c>
      <c r="F65" s="53">
        <v>113.95</v>
      </c>
      <c r="G65" s="53">
        <v>113.95</v>
      </c>
      <c r="H65" s="53">
        <f t="shared" si="12"/>
        <v>455.8</v>
      </c>
      <c r="I65" s="50">
        <f>I58</f>
        <v>2636.9659999999999</v>
      </c>
      <c r="J65" s="50">
        <v>1024</v>
      </c>
      <c r="K65" s="50">
        <v>1061</v>
      </c>
      <c r="L65" s="50">
        <f t="shared" si="13"/>
        <v>183797.47569999998</v>
      </c>
      <c r="M65" s="50">
        <f t="shared" si="14"/>
        <v>183797.47569999998</v>
      </c>
      <c r="N65" s="50">
        <f t="shared" si="15"/>
        <v>179581.32569999999</v>
      </c>
      <c r="O65" s="50">
        <f t="shared" si="16"/>
        <v>179581.32569999999</v>
      </c>
      <c r="P65" s="54">
        <f t="shared" si="5"/>
        <v>726757.60279999999</v>
      </c>
      <c r="Q65" s="56"/>
      <c r="R65" s="50"/>
      <c r="S65" s="50"/>
      <c r="T65" s="85"/>
    </row>
    <row r="66" spans="1:20" s="25" customFormat="1" ht="83.25" customHeight="1">
      <c r="A66" s="52" t="s">
        <v>117</v>
      </c>
      <c r="B66" s="65" t="s">
        <v>118</v>
      </c>
      <c r="C66" s="56" t="s">
        <v>24</v>
      </c>
      <c r="D66" s="53">
        <v>377</v>
      </c>
      <c r="E66" s="53">
        <v>377</v>
      </c>
      <c r="F66" s="53">
        <v>377</v>
      </c>
      <c r="G66" s="53">
        <v>377</v>
      </c>
      <c r="H66" s="53">
        <f t="shared" si="12"/>
        <v>1508</v>
      </c>
      <c r="I66" s="50">
        <f>I65</f>
        <v>2636.9659999999999</v>
      </c>
      <c r="J66" s="50">
        <v>1024</v>
      </c>
      <c r="K66" s="50">
        <v>1061</v>
      </c>
      <c r="L66" s="50">
        <f t="shared" si="13"/>
        <v>608088.18199999991</v>
      </c>
      <c r="M66" s="50">
        <f t="shared" si="14"/>
        <v>608088.18199999991</v>
      </c>
      <c r="N66" s="50">
        <f t="shared" si="15"/>
        <v>594139.18199999991</v>
      </c>
      <c r="O66" s="50">
        <f t="shared" si="16"/>
        <v>594139.18199999991</v>
      </c>
      <c r="P66" s="54">
        <f t="shared" si="5"/>
        <v>2404454.7279999997</v>
      </c>
      <c r="Q66" s="56"/>
      <c r="R66" s="50"/>
      <c r="S66" s="50"/>
      <c r="T66" s="85"/>
    </row>
    <row r="67" spans="1:20" s="24" customFormat="1" ht="24" customHeight="1">
      <c r="A67" s="42" t="s">
        <v>26</v>
      </c>
      <c r="B67" s="68"/>
      <c r="C67" s="56"/>
      <c r="D67" s="58"/>
      <c r="E67" s="58"/>
      <c r="F67" s="58"/>
      <c r="G67" s="58"/>
      <c r="H67" s="53"/>
      <c r="I67" s="84"/>
      <c r="J67" s="50"/>
      <c r="K67" s="50"/>
      <c r="L67" s="50">
        <f t="shared" si="13"/>
        <v>0</v>
      </c>
      <c r="M67" s="50">
        <f t="shared" si="14"/>
        <v>0</v>
      </c>
      <c r="N67" s="50">
        <f t="shared" si="15"/>
        <v>0</v>
      </c>
      <c r="O67" s="50">
        <f t="shared" si="16"/>
        <v>0</v>
      </c>
      <c r="P67" s="54">
        <f t="shared" si="5"/>
        <v>0</v>
      </c>
      <c r="Q67" s="44"/>
      <c r="R67" s="44"/>
      <c r="S67" s="48"/>
      <c r="T67" s="85"/>
    </row>
    <row r="68" spans="1:20" s="24" customFormat="1" ht="27" customHeight="1">
      <c r="A68" s="51" t="s">
        <v>109</v>
      </c>
      <c r="B68" s="65" t="s">
        <v>57</v>
      </c>
      <c r="C68" s="56" t="s">
        <v>25</v>
      </c>
      <c r="D68" s="53">
        <v>6000</v>
      </c>
      <c r="E68" s="53">
        <v>6000</v>
      </c>
      <c r="F68" s="53">
        <v>6000</v>
      </c>
      <c r="G68" s="53">
        <v>6000</v>
      </c>
      <c r="H68" s="53">
        <f>SUM(D68:G68)</f>
        <v>24000</v>
      </c>
      <c r="I68" s="50">
        <v>751</v>
      </c>
      <c r="J68" s="50">
        <f>777/1.2</f>
        <v>647.5</v>
      </c>
      <c r="K68" s="50">
        <f>805/1.2</f>
        <v>670.83333333333337</v>
      </c>
      <c r="L68" s="50">
        <f t="shared" si="13"/>
        <v>621000</v>
      </c>
      <c r="M68" s="50">
        <f t="shared" si="14"/>
        <v>621000</v>
      </c>
      <c r="N68" s="50">
        <f t="shared" si="15"/>
        <v>480999.99999999977</v>
      </c>
      <c r="O68" s="50">
        <f t="shared" si="16"/>
        <v>480999.99999999977</v>
      </c>
      <c r="P68" s="54">
        <f t="shared" si="5"/>
        <v>2203999.9999999995</v>
      </c>
      <c r="Q68" s="56"/>
      <c r="R68" s="50"/>
      <c r="S68" s="50"/>
      <c r="T68" s="85"/>
    </row>
    <row r="69" spans="1:20" s="24" customFormat="1" ht="24" customHeight="1">
      <c r="A69" s="42" t="s">
        <v>0</v>
      </c>
      <c r="B69" s="64"/>
      <c r="C69" s="44"/>
      <c r="D69" s="49"/>
      <c r="E69" s="49"/>
      <c r="F69" s="49"/>
      <c r="G69" s="49"/>
      <c r="H69" s="53"/>
      <c r="I69" s="55"/>
      <c r="J69" s="50"/>
      <c r="K69" s="50"/>
      <c r="L69" s="50">
        <f t="shared" si="13"/>
        <v>0</v>
      </c>
      <c r="M69" s="50">
        <f t="shared" si="14"/>
        <v>0</v>
      </c>
      <c r="N69" s="50">
        <f t="shared" si="15"/>
        <v>0</v>
      </c>
      <c r="O69" s="50">
        <f t="shared" si="16"/>
        <v>0</v>
      </c>
      <c r="P69" s="54">
        <f t="shared" si="5"/>
        <v>0</v>
      </c>
      <c r="Q69" s="48"/>
      <c r="R69" s="48"/>
      <c r="S69" s="48"/>
      <c r="T69" s="85"/>
    </row>
    <row r="70" spans="1:20" s="24" customFormat="1" ht="27" customHeight="1">
      <c r="A70" s="51" t="s">
        <v>18</v>
      </c>
      <c r="B70" s="66" t="s">
        <v>49</v>
      </c>
      <c r="C70" s="56" t="s">
        <v>24</v>
      </c>
      <c r="D70" s="53">
        <v>0</v>
      </c>
      <c r="E70" s="53">
        <v>215.8</v>
      </c>
      <c r="F70" s="53">
        <v>92.1</v>
      </c>
      <c r="G70" s="53">
        <v>92.1</v>
      </c>
      <c r="H70" s="53">
        <f>SUM(D70:G70)</f>
        <v>400</v>
      </c>
      <c r="I70" s="50">
        <f>1561*1561/1185</f>
        <v>2056.3046413502111</v>
      </c>
      <c r="J70" s="50">
        <v>1044</v>
      </c>
      <c r="K70" s="50">
        <v>1082</v>
      </c>
      <c r="L70" s="50">
        <f t="shared" si="13"/>
        <v>0</v>
      </c>
      <c r="M70" s="50">
        <f t="shared" si="14"/>
        <v>218455.34160337556</v>
      </c>
      <c r="N70" s="50">
        <f t="shared" si="15"/>
        <v>89733.457468354434</v>
      </c>
      <c r="O70" s="50">
        <f t="shared" si="16"/>
        <v>89733.457468354434</v>
      </c>
      <c r="P70" s="54">
        <f t="shared" si="5"/>
        <v>397922.25654008443</v>
      </c>
      <c r="Q70" s="56"/>
      <c r="R70" s="50"/>
      <c r="S70" s="50"/>
      <c r="T70" s="85"/>
    </row>
    <row r="71" spans="1:20" s="24" customFormat="1" ht="27" customHeight="1">
      <c r="A71" s="52" t="s">
        <v>18</v>
      </c>
      <c r="B71" s="66" t="s">
        <v>50</v>
      </c>
      <c r="C71" s="56" t="s">
        <v>24</v>
      </c>
      <c r="D71" s="53">
        <v>0</v>
      </c>
      <c r="E71" s="53">
        <v>130</v>
      </c>
      <c r="F71" s="53">
        <v>140</v>
      </c>
      <c r="G71" s="53">
        <v>140</v>
      </c>
      <c r="H71" s="53">
        <f>SUM(D71:G71)</f>
        <v>410</v>
      </c>
      <c r="I71" s="50">
        <f>1854*1854/1723</f>
        <v>1994.9599535693558</v>
      </c>
      <c r="J71" s="50">
        <v>1044</v>
      </c>
      <c r="K71" s="50">
        <v>1082</v>
      </c>
      <c r="L71" s="50">
        <f t="shared" si="13"/>
        <v>0</v>
      </c>
      <c r="M71" s="50">
        <f t="shared" si="14"/>
        <v>123624.79396401625</v>
      </c>
      <c r="N71" s="50">
        <f t="shared" si="15"/>
        <v>127814.39349970981</v>
      </c>
      <c r="O71" s="50">
        <f t="shared" si="16"/>
        <v>127814.39349970981</v>
      </c>
      <c r="P71" s="54">
        <f t="shared" si="5"/>
        <v>379253.58096343587</v>
      </c>
      <c r="Q71" s="60"/>
      <c r="R71" s="50"/>
      <c r="S71" s="50"/>
      <c r="T71" s="85"/>
    </row>
    <row r="72" spans="1:20" s="25" customFormat="1" ht="24" customHeight="1">
      <c r="A72" s="91" t="s">
        <v>39</v>
      </c>
      <c r="B72" s="111"/>
      <c r="C72" s="110"/>
      <c r="D72" s="105"/>
      <c r="E72" s="105"/>
      <c r="F72" s="105"/>
      <c r="G72" s="105"/>
      <c r="H72" s="107"/>
      <c r="I72" s="106"/>
      <c r="J72" s="106"/>
      <c r="K72" s="106"/>
      <c r="L72" s="106"/>
      <c r="M72" s="106"/>
      <c r="N72" s="106"/>
      <c r="O72" s="106"/>
      <c r="P72" s="108"/>
      <c r="Q72" s="104"/>
      <c r="R72" s="104"/>
      <c r="S72" s="104"/>
      <c r="T72" s="85"/>
    </row>
    <row r="73" spans="1:20" s="21" customFormat="1" ht="40.5" customHeight="1">
      <c r="A73" s="52" t="s">
        <v>98</v>
      </c>
      <c r="B73" s="65" t="s">
        <v>106</v>
      </c>
      <c r="C73" s="70" t="s">
        <v>105</v>
      </c>
      <c r="D73" s="53">
        <v>525</v>
      </c>
      <c r="E73" s="53">
        <v>525</v>
      </c>
      <c r="F73" s="53">
        <v>525</v>
      </c>
      <c r="G73" s="53">
        <v>525</v>
      </c>
      <c r="H73" s="53">
        <f>SUM(D73:G73)</f>
        <v>2100</v>
      </c>
      <c r="I73" s="50">
        <v>2136</v>
      </c>
      <c r="J73" s="50">
        <f>625</f>
        <v>625</v>
      </c>
      <c r="K73" s="50">
        <v>648</v>
      </c>
      <c r="L73" s="50">
        <f>(I73-J73)*D73</f>
        <v>793275</v>
      </c>
      <c r="M73" s="50">
        <f>(I73-J73)*E73</f>
        <v>793275</v>
      </c>
      <c r="N73" s="50">
        <f>(I73-K73)*F73</f>
        <v>781200</v>
      </c>
      <c r="O73" s="50">
        <f>(I73-K73)*G73</f>
        <v>781200</v>
      </c>
      <c r="P73" s="54">
        <f t="shared" si="5"/>
        <v>3148950</v>
      </c>
      <c r="Q73" s="56"/>
      <c r="R73" s="50"/>
      <c r="S73" s="50"/>
      <c r="T73" s="17"/>
    </row>
    <row r="74" spans="1:20" s="21" customFormat="1" ht="27" customHeight="1">
      <c r="A74" s="52" t="s">
        <v>79</v>
      </c>
      <c r="B74" s="65" t="s">
        <v>80</v>
      </c>
      <c r="C74" s="70" t="s">
        <v>24</v>
      </c>
      <c r="D74" s="53">
        <v>125</v>
      </c>
      <c r="E74" s="53">
        <v>125</v>
      </c>
      <c r="F74" s="53">
        <v>125</v>
      </c>
      <c r="G74" s="53">
        <v>125</v>
      </c>
      <c r="H74" s="53">
        <f>SUM(D74:G74)</f>
        <v>500</v>
      </c>
      <c r="I74" s="50">
        <f>1629*1.046</f>
        <v>1703.934</v>
      </c>
      <c r="J74" s="50">
        <v>757</v>
      </c>
      <c r="K74" s="50">
        <v>785</v>
      </c>
      <c r="L74" s="50">
        <f>(I74-J74)*D74</f>
        <v>118366.75</v>
      </c>
      <c r="M74" s="50">
        <f>(I74-J74)*E74</f>
        <v>118366.75</v>
      </c>
      <c r="N74" s="50">
        <f>(I74-K74)*F74</f>
        <v>114866.75</v>
      </c>
      <c r="O74" s="50">
        <f>(I74-K74)*G74</f>
        <v>114866.75</v>
      </c>
      <c r="P74" s="54">
        <f t="shared" ref="P74:P87" si="17">SUM(L74:O74)</f>
        <v>466467</v>
      </c>
      <c r="Q74" s="56"/>
      <c r="R74" s="50"/>
      <c r="S74" s="50"/>
      <c r="T74" s="17"/>
    </row>
    <row r="75" spans="1:20" s="21" customFormat="1" ht="24" customHeight="1">
      <c r="A75" s="91" t="s">
        <v>81</v>
      </c>
      <c r="B75" s="92"/>
      <c r="C75" s="112"/>
      <c r="D75" s="107"/>
      <c r="E75" s="107"/>
      <c r="F75" s="107"/>
      <c r="G75" s="107"/>
      <c r="H75" s="107"/>
      <c r="I75" s="106"/>
      <c r="J75" s="106"/>
      <c r="K75" s="106"/>
      <c r="L75" s="106"/>
      <c r="M75" s="106"/>
      <c r="N75" s="106"/>
      <c r="O75" s="106"/>
      <c r="P75" s="108"/>
      <c r="Q75" s="110"/>
      <c r="R75" s="106"/>
      <c r="S75" s="106"/>
      <c r="T75" s="17"/>
    </row>
    <row r="76" spans="1:20" s="21" customFormat="1" ht="51.75" customHeight="1">
      <c r="A76" s="52" t="s">
        <v>82</v>
      </c>
      <c r="B76" s="65" t="s">
        <v>88</v>
      </c>
      <c r="C76" s="56" t="s">
        <v>25</v>
      </c>
      <c r="D76" s="53">
        <v>1650</v>
      </c>
      <c r="E76" s="53">
        <v>1650</v>
      </c>
      <c r="F76" s="53">
        <v>1650</v>
      </c>
      <c r="G76" s="53">
        <v>1650</v>
      </c>
      <c r="H76" s="53">
        <f>SUM(D76:G76)</f>
        <v>6600</v>
      </c>
      <c r="I76" s="50">
        <f>572*1.046</f>
        <v>598.31200000000001</v>
      </c>
      <c r="J76" s="50">
        <f>660/1.2</f>
        <v>550</v>
      </c>
      <c r="K76" s="50">
        <f>684/1.2</f>
        <v>570</v>
      </c>
      <c r="L76" s="50">
        <f>(I76-J76)*D76</f>
        <v>79714.800000000017</v>
      </c>
      <c r="M76" s="50">
        <f>(I76-J76)*E76</f>
        <v>79714.800000000017</v>
      </c>
      <c r="N76" s="50">
        <f>(I76-K76)*F76</f>
        <v>46714.800000000017</v>
      </c>
      <c r="O76" s="50">
        <f>(I76-K76)*G76</f>
        <v>46714.800000000017</v>
      </c>
      <c r="P76" s="54">
        <f t="shared" si="17"/>
        <v>252859.20000000007</v>
      </c>
      <c r="Q76" s="56"/>
      <c r="R76" s="50"/>
      <c r="S76" s="50"/>
      <c r="T76" s="17"/>
    </row>
    <row r="77" spans="1:20" s="18" customFormat="1" ht="24" customHeight="1">
      <c r="A77" s="91" t="s">
        <v>61</v>
      </c>
      <c r="B77" s="92"/>
      <c r="C77" s="113"/>
      <c r="D77" s="107"/>
      <c r="E77" s="107"/>
      <c r="F77" s="107"/>
      <c r="G77" s="107"/>
      <c r="H77" s="107"/>
      <c r="I77" s="106"/>
      <c r="J77" s="106"/>
      <c r="K77" s="106"/>
      <c r="L77" s="106"/>
      <c r="M77" s="106"/>
      <c r="N77" s="106"/>
      <c r="O77" s="106"/>
      <c r="P77" s="108"/>
      <c r="Q77" s="110"/>
      <c r="R77" s="106"/>
      <c r="S77" s="106"/>
      <c r="T77" s="114"/>
    </row>
    <row r="78" spans="1:20" s="18" customFormat="1" ht="27" customHeight="1">
      <c r="A78" s="61" t="s">
        <v>62</v>
      </c>
      <c r="B78" s="69" t="s">
        <v>61</v>
      </c>
      <c r="C78" s="71" t="s">
        <v>25</v>
      </c>
      <c r="D78" s="53">
        <v>375</v>
      </c>
      <c r="E78" s="53">
        <v>375</v>
      </c>
      <c r="F78" s="53">
        <v>375</v>
      </c>
      <c r="G78" s="53">
        <v>375</v>
      </c>
      <c r="H78" s="53">
        <f>SUM(D78:G78)</f>
        <v>1500</v>
      </c>
      <c r="I78" s="50">
        <v>970</v>
      </c>
      <c r="J78" s="50">
        <v>634</v>
      </c>
      <c r="K78" s="50">
        <v>657</v>
      </c>
      <c r="L78" s="50">
        <f>(I78-J78)*D78</f>
        <v>126000</v>
      </c>
      <c r="M78" s="50">
        <f>(I78-J78)*E78</f>
        <v>126000</v>
      </c>
      <c r="N78" s="50">
        <f>(I78-K78)*F78</f>
        <v>117375</v>
      </c>
      <c r="O78" s="50">
        <f>(I78-K78)*G78</f>
        <v>117375</v>
      </c>
      <c r="P78" s="54">
        <f t="shared" si="17"/>
        <v>486750</v>
      </c>
      <c r="Q78" s="56"/>
      <c r="R78" s="50"/>
      <c r="S78" s="50"/>
      <c r="T78" s="17"/>
    </row>
    <row r="79" spans="1:20" s="21" customFormat="1" ht="24" customHeight="1">
      <c r="A79" s="91" t="s">
        <v>110</v>
      </c>
      <c r="B79" s="92"/>
      <c r="C79" s="112"/>
      <c r="D79" s="107"/>
      <c r="E79" s="107"/>
      <c r="F79" s="107"/>
      <c r="G79" s="107"/>
      <c r="H79" s="107"/>
      <c r="I79" s="106"/>
      <c r="J79" s="106"/>
      <c r="K79" s="106"/>
      <c r="L79" s="106"/>
      <c r="M79" s="106"/>
      <c r="N79" s="106"/>
      <c r="O79" s="106"/>
      <c r="P79" s="108"/>
      <c r="Q79" s="110"/>
      <c r="R79" s="106"/>
      <c r="S79" s="106"/>
      <c r="T79" s="17"/>
    </row>
    <row r="80" spans="1:20" s="21" customFormat="1" ht="66.75" customHeight="1">
      <c r="A80" s="52" t="s">
        <v>111</v>
      </c>
      <c r="B80" s="65" t="s">
        <v>113</v>
      </c>
      <c r="C80" s="56" t="s">
        <v>24</v>
      </c>
      <c r="D80" s="53">
        <v>1250</v>
      </c>
      <c r="E80" s="53">
        <v>1250</v>
      </c>
      <c r="F80" s="53">
        <v>1250</v>
      </c>
      <c r="G80" s="53">
        <v>1250</v>
      </c>
      <c r="H80" s="53">
        <f>SUM(D80:G80)</f>
        <v>5000</v>
      </c>
      <c r="I80" s="50">
        <f>1698*1.046</f>
        <v>1776.1080000000002</v>
      </c>
      <c r="J80" s="50">
        <f>921</f>
        <v>921</v>
      </c>
      <c r="K80" s="50">
        <v>955</v>
      </c>
      <c r="L80" s="50">
        <f>(I80-J80)*D80</f>
        <v>1068885.0000000002</v>
      </c>
      <c r="M80" s="50">
        <f>(I80-J80)*E80</f>
        <v>1068885.0000000002</v>
      </c>
      <c r="N80" s="50">
        <f>(I80-K80)*F80</f>
        <v>1026385.0000000002</v>
      </c>
      <c r="O80" s="50">
        <f>(I80-K80)*G80</f>
        <v>1026385.0000000002</v>
      </c>
      <c r="P80" s="54">
        <f t="shared" si="17"/>
        <v>4190540.0000000009</v>
      </c>
      <c r="Q80" s="56"/>
      <c r="R80" s="50"/>
      <c r="S80" s="50"/>
      <c r="T80" s="17"/>
    </row>
    <row r="81" spans="1:20" s="18" customFormat="1" ht="48.75" customHeight="1">
      <c r="A81" s="61" t="s">
        <v>112</v>
      </c>
      <c r="B81" s="65" t="s">
        <v>114</v>
      </c>
      <c r="C81" s="56" t="s">
        <v>24</v>
      </c>
      <c r="D81" s="53">
        <v>1250</v>
      </c>
      <c r="E81" s="53">
        <v>1250</v>
      </c>
      <c r="F81" s="53">
        <v>1250</v>
      </c>
      <c r="G81" s="53">
        <v>1250</v>
      </c>
      <c r="H81" s="53">
        <f>SUM(D81:G81)</f>
        <v>5000</v>
      </c>
      <c r="I81" s="50">
        <f>1749*1.046</f>
        <v>1829.4540000000002</v>
      </c>
      <c r="J81" s="50">
        <f>921</f>
        <v>921</v>
      </c>
      <c r="K81" s="50">
        <v>955</v>
      </c>
      <c r="L81" s="50">
        <f>(I81-J81)*D81</f>
        <v>1135567.5000000002</v>
      </c>
      <c r="M81" s="50">
        <f>(I81-J81)*E81</f>
        <v>1135567.5000000002</v>
      </c>
      <c r="N81" s="50">
        <f>(I81-K81)*F81</f>
        <v>1093067.5000000002</v>
      </c>
      <c r="O81" s="50">
        <f>(I81-K81)*G81</f>
        <v>1093067.5000000002</v>
      </c>
      <c r="P81" s="54">
        <f t="shared" si="17"/>
        <v>4457270.0000000009</v>
      </c>
      <c r="Q81" s="56"/>
      <c r="R81" s="50"/>
      <c r="S81" s="50"/>
      <c r="T81" s="17"/>
    </row>
    <row r="82" spans="1:20" s="18" customFormat="1" ht="24" customHeight="1">
      <c r="A82" s="91" t="s">
        <v>136</v>
      </c>
      <c r="B82" s="92"/>
      <c r="C82" s="110"/>
      <c r="D82" s="107"/>
      <c r="E82" s="107"/>
      <c r="F82" s="107"/>
      <c r="G82" s="107"/>
      <c r="H82" s="107"/>
      <c r="I82" s="106"/>
      <c r="J82" s="106"/>
      <c r="K82" s="106"/>
      <c r="L82" s="106"/>
      <c r="M82" s="106"/>
      <c r="N82" s="106"/>
      <c r="O82" s="106"/>
      <c r="P82" s="108"/>
      <c r="Q82" s="110"/>
      <c r="R82" s="106"/>
      <c r="S82" s="106"/>
      <c r="T82" s="17"/>
    </row>
    <row r="83" spans="1:20" s="18" customFormat="1" ht="36.75" customHeight="1">
      <c r="A83" s="61" t="s">
        <v>137</v>
      </c>
      <c r="B83" s="65"/>
      <c r="C83" s="56" t="s">
        <v>24</v>
      </c>
      <c r="D83" s="53">
        <v>150</v>
      </c>
      <c r="E83" s="53">
        <v>150</v>
      </c>
      <c r="F83" s="53">
        <v>150</v>
      </c>
      <c r="G83" s="53">
        <v>150</v>
      </c>
      <c r="H83" s="53">
        <f>SUM(D83:G83)</f>
        <v>600</v>
      </c>
      <c r="I83" s="50">
        <v>1000</v>
      </c>
      <c r="J83" s="50">
        <v>778</v>
      </c>
      <c r="K83" s="50">
        <v>805</v>
      </c>
      <c r="L83" s="50">
        <f>(I83-J83)*D83</f>
        <v>33300</v>
      </c>
      <c r="M83" s="50">
        <f>(I83-J83)*E83</f>
        <v>33300</v>
      </c>
      <c r="N83" s="50">
        <f>(I83-K83)*F83</f>
        <v>29250</v>
      </c>
      <c r="O83" s="50">
        <f>(I83-K83)*G83</f>
        <v>29250</v>
      </c>
      <c r="P83" s="54">
        <f t="shared" si="17"/>
        <v>125100</v>
      </c>
      <c r="Q83" s="56"/>
      <c r="R83" s="50"/>
      <c r="S83" s="50"/>
      <c r="T83" s="17"/>
    </row>
    <row r="84" spans="1:20" s="18" customFormat="1" ht="27" customHeight="1">
      <c r="A84" s="91" t="s">
        <v>142</v>
      </c>
      <c r="B84" s="92"/>
      <c r="C84" s="110"/>
      <c r="D84" s="107"/>
      <c r="E84" s="107"/>
      <c r="F84" s="107"/>
      <c r="G84" s="107"/>
      <c r="H84" s="107"/>
      <c r="I84" s="106"/>
      <c r="J84" s="106"/>
      <c r="K84" s="106"/>
      <c r="L84" s="106"/>
      <c r="M84" s="106"/>
      <c r="N84" s="106"/>
      <c r="O84" s="106"/>
      <c r="P84" s="108"/>
      <c r="Q84" s="110"/>
      <c r="R84" s="106"/>
      <c r="S84" s="106"/>
      <c r="T84" s="17"/>
    </row>
    <row r="85" spans="1:20" s="18" customFormat="1" ht="36.75" customHeight="1">
      <c r="A85" s="61" t="s">
        <v>143</v>
      </c>
      <c r="B85" s="65"/>
      <c r="C85" s="71" t="s">
        <v>25</v>
      </c>
      <c r="D85" s="53">
        <v>550</v>
      </c>
      <c r="E85" s="53">
        <v>550</v>
      </c>
      <c r="F85" s="53">
        <v>550</v>
      </c>
      <c r="G85" s="53">
        <v>550</v>
      </c>
      <c r="H85" s="53">
        <f>SUM(D85:G85)</f>
        <v>2200</v>
      </c>
      <c r="I85" s="50">
        <v>1696.45</v>
      </c>
      <c r="J85" s="50">
        <v>716</v>
      </c>
      <c r="K85" s="50">
        <v>742</v>
      </c>
      <c r="L85" s="50">
        <f>(I85-J85)*D85</f>
        <v>539247.5</v>
      </c>
      <c r="M85" s="50">
        <f>(I85-J85)*E85</f>
        <v>539247.5</v>
      </c>
      <c r="N85" s="50">
        <f>(I85-K85)*F85</f>
        <v>524947.5</v>
      </c>
      <c r="O85" s="50">
        <f>(I85-K85)*G85</f>
        <v>524947.5</v>
      </c>
      <c r="P85" s="54">
        <f t="shared" si="17"/>
        <v>2128390</v>
      </c>
      <c r="Q85" s="56"/>
      <c r="R85" s="50"/>
      <c r="S85" s="50"/>
      <c r="T85" s="17"/>
    </row>
    <row r="86" spans="1:20" s="18" customFormat="1" ht="24" customHeight="1">
      <c r="A86" s="91" t="s">
        <v>119</v>
      </c>
      <c r="B86" s="92"/>
      <c r="C86" s="110"/>
      <c r="D86" s="107"/>
      <c r="E86" s="107"/>
      <c r="F86" s="107"/>
      <c r="G86" s="107"/>
      <c r="H86" s="107"/>
      <c r="I86" s="106"/>
      <c r="J86" s="106"/>
      <c r="K86" s="106"/>
      <c r="L86" s="106"/>
      <c r="M86" s="106"/>
      <c r="N86" s="106"/>
      <c r="O86" s="106"/>
      <c r="P86" s="108"/>
      <c r="Q86" s="110"/>
      <c r="R86" s="106"/>
      <c r="S86" s="106"/>
      <c r="T86" s="17"/>
    </row>
    <row r="87" spans="1:20" s="18" customFormat="1" ht="30.75" customHeight="1">
      <c r="A87" s="52" t="s">
        <v>120</v>
      </c>
      <c r="B87" s="65" t="s">
        <v>121</v>
      </c>
      <c r="C87" s="56" t="s">
        <v>24</v>
      </c>
      <c r="D87" s="53">
        <v>850</v>
      </c>
      <c r="E87" s="53">
        <v>850</v>
      </c>
      <c r="F87" s="53">
        <v>850</v>
      </c>
      <c r="G87" s="53">
        <v>850</v>
      </c>
      <c r="H87" s="53">
        <f>SUM(D87:G87)</f>
        <v>3400</v>
      </c>
      <c r="I87" s="50">
        <f>2727*1.046</f>
        <v>2852.442</v>
      </c>
      <c r="J87" s="50">
        <v>740</v>
      </c>
      <c r="K87" s="50">
        <v>767</v>
      </c>
      <c r="L87" s="50">
        <f>(I87-J87)*D87</f>
        <v>1795575.7</v>
      </c>
      <c r="M87" s="50">
        <f>(I87-J87)*E87</f>
        <v>1795575.7</v>
      </c>
      <c r="N87" s="50">
        <f>(I87-K87)*F87</f>
        <v>1772625.7</v>
      </c>
      <c r="O87" s="50">
        <f>(I87-K87)*G87</f>
        <v>1772625.7</v>
      </c>
      <c r="P87" s="54">
        <f t="shared" si="17"/>
        <v>7136402.7999999998</v>
      </c>
      <c r="Q87" s="56"/>
      <c r="R87" s="50"/>
      <c r="S87" s="50"/>
      <c r="T87" s="17"/>
    </row>
    <row r="88" spans="1:20" s="19" customFormat="1" ht="24" customHeight="1">
      <c r="A88" s="91" t="s">
        <v>33</v>
      </c>
      <c r="B88" s="92"/>
      <c r="C88" s="88"/>
      <c r="D88" s="109">
        <f>SUM(D9:D87)</f>
        <v>49999.289999999994</v>
      </c>
      <c r="E88" s="109">
        <f>SUM(E9:E87)</f>
        <v>48879.680333333337</v>
      </c>
      <c r="F88" s="109">
        <f>SUM(F9:F87)</f>
        <v>57288.243333333317</v>
      </c>
      <c r="G88" s="109">
        <f>SUM(G9:G87)</f>
        <v>55783.328333333324</v>
      </c>
      <c r="H88" s="109">
        <f>SUM(H9:H87)</f>
        <v>211950.54199999999</v>
      </c>
      <c r="I88" s="93"/>
      <c r="J88" s="93"/>
      <c r="K88" s="93"/>
      <c r="L88" s="93">
        <f>SUM(L9:L87)</f>
        <v>58123834.783032835</v>
      </c>
      <c r="M88" s="93">
        <f>SUM(M9:M87)</f>
        <v>62233539.120046727</v>
      </c>
      <c r="N88" s="93">
        <f>SUM(N9:N87)</f>
        <v>78028230.491962835</v>
      </c>
      <c r="O88" s="93">
        <f>SUM(O9:O87)</f>
        <v>71946439.403632924</v>
      </c>
      <c r="P88" s="93">
        <f>SUM(P9:P87)</f>
        <v>270332043.79867536</v>
      </c>
      <c r="Q88" s="93">
        <v>28882105.138019994</v>
      </c>
      <c r="R88" s="93">
        <f>P88*0.1</f>
        <v>27033204.379867539</v>
      </c>
      <c r="S88" s="93">
        <f>P88+Q88-R88</f>
        <v>272180944.55682778</v>
      </c>
      <c r="T88" s="27"/>
    </row>
    <row r="89" spans="1:20" s="30" customFormat="1" ht="45.75" hidden="1" customHeight="1">
      <c r="A89" s="29"/>
      <c r="B89" s="29"/>
      <c r="C89" s="72"/>
    </row>
    <row r="90" spans="1:20" s="30" customFormat="1" ht="28.5" hidden="1" customHeight="1">
      <c r="A90" s="29"/>
      <c r="B90" s="29"/>
      <c r="C90" s="72"/>
    </row>
    <row r="91" spans="1:20" s="32" customFormat="1" ht="21.75" hidden="1" customHeight="1">
      <c r="A91" s="9"/>
      <c r="B91" s="9"/>
      <c r="C91" s="73"/>
      <c r="D91" s="6"/>
      <c r="E91" s="153" t="s">
        <v>63</v>
      </c>
      <c r="F91" s="153"/>
      <c r="G91" s="153"/>
      <c r="H91" s="31"/>
      <c r="I91" s="31"/>
      <c r="J91" s="31"/>
      <c r="K91" s="6"/>
      <c r="L91" s="6"/>
      <c r="M91" s="6"/>
      <c r="N91" s="6"/>
      <c r="O91" s="6"/>
      <c r="P91" s="9"/>
      <c r="Q91" s="6"/>
      <c r="R91" s="11"/>
      <c r="S91" s="12"/>
    </row>
    <row r="92" spans="1:20" s="30" customFormat="1" ht="15" hidden="1" customHeight="1">
      <c r="A92" s="33"/>
      <c r="B92" s="29"/>
      <c r="C92" s="72"/>
    </row>
    <row r="93" spans="1:20" s="32" customFormat="1" ht="15" hidden="1" customHeight="1">
      <c r="A93" s="9"/>
      <c r="B93" s="9"/>
      <c r="C93" s="73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9"/>
      <c r="Q93" s="6"/>
      <c r="R93" s="11"/>
      <c r="S93" s="12"/>
    </row>
    <row r="94" spans="1:20" s="32" customFormat="1" ht="21" hidden="1" customHeight="1">
      <c r="A94" s="9"/>
      <c r="B94" s="9"/>
      <c r="C94" s="73"/>
      <c r="D94" s="6"/>
      <c r="F94" s="10"/>
      <c r="G94" s="10"/>
      <c r="H94" s="13"/>
      <c r="I94" s="13"/>
      <c r="J94" s="13"/>
      <c r="K94" s="7"/>
      <c r="L94" s="7"/>
      <c r="M94" s="7"/>
      <c r="N94" s="7"/>
      <c r="O94" s="7"/>
      <c r="P94" s="9"/>
      <c r="Q94" s="7"/>
      <c r="R94" s="14"/>
      <c r="S94" s="11"/>
    </row>
    <row r="95" spans="1:20" s="32" customFormat="1" ht="42.75" hidden="1" customHeight="1">
      <c r="A95" s="8"/>
      <c r="B95" s="34"/>
      <c r="C95" s="74"/>
      <c r="E95" s="154" t="s">
        <v>100</v>
      </c>
      <c r="F95" s="154"/>
      <c r="G95" s="154"/>
      <c r="H95" s="15"/>
      <c r="I95" s="16"/>
      <c r="J95" s="116" t="s">
        <v>75</v>
      </c>
      <c r="K95" s="36"/>
      <c r="L95" s="37"/>
      <c r="Q95" s="6"/>
      <c r="R95" s="6"/>
      <c r="S95" s="6"/>
    </row>
    <row r="96" spans="1:20" s="35" customFormat="1" ht="15" hidden="1" customHeight="1">
      <c r="A96" s="8"/>
      <c r="B96" s="34"/>
      <c r="C96" s="74"/>
      <c r="H96" s="36"/>
      <c r="I96" s="36"/>
      <c r="J96" s="32"/>
      <c r="K96" s="38"/>
      <c r="L96" s="39"/>
      <c r="Q96" s="8"/>
      <c r="R96" s="8"/>
      <c r="S96" s="8"/>
    </row>
    <row r="97" spans="1:12" s="35" customFormat="1" ht="15" hidden="1" customHeight="1">
      <c r="C97" s="74"/>
      <c r="H97" s="36"/>
      <c r="I97" s="36"/>
      <c r="J97" s="32"/>
      <c r="K97" s="38"/>
      <c r="L97" s="39"/>
    </row>
    <row r="98" spans="1:12" s="30" customFormat="1" ht="15" hidden="1" customHeight="1">
      <c r="A98" s="29"/>
      <c r="B98" s="29"/>
      <c r="C98" s="72"/>
      <c r="E98" s="29"/>
      <c r="F98" s="29"/>
      <c r="G98" s="29"/>
    </row>
    <row r="99" spans="1:12" s="30" customFormat="1" ht="15" hidden="1" customHeight="1">
      <c r="A99" s="29"/>
      <c r="B99" s="29"/>
      <c r="C99" s="72"/>
      <c r="E99" s="29"/>
      <c r="F99" s="29"/>
      <c r="G99" s="29"/>
    </row>
    <row r="100" spans="1:12" s="32" customFormat="1" ht="15" hidden="1" customHeight="1">
      <c r="A100" s="35"/>
      <c r="B100" s="35"/>
      <c r="C100" s="74"/>
      <c r="E100" s="35"/>
      <c r="F100" s="35"/>
      <c r="G100" s="35"/>
      <c r="H100" s="36"/>
      <c r="I100" s="36"/>
      <c r="K100" s="36"/>
    </row>
    <row r="101" spans="1:12" s="32" customFormat="1" ht="26.25" hidden="1" customHeight="1">
      <c r="A101" s="35"/>
      <c r="B101" s="35"/>
      <c r="C101" s="74"/>
      <c r="E101" s="150" t="s">
        <v>64</v>
      </c>
      <c r="F101" s="150"/>
      <c r="G101" s="150"/>
      <c r="H101" s="40"/>
      <c r="I101" s="40"/>
      <c r="J101" s="117" t="s">
        <v>65</v>
      </c>
    </row>
    <row r="102" spans="1:12" s="32" customFormat="1" ht="15" hidden="1" customHeight="1">
      <c r="A102" s="35"/>
      <c r="B102" s="35"/>
      <c r="C102" s="74"/>
    </row>
    <row r="103" spans="1:12" s="30" customFormat="1" hidden="1">
      <c r="A103" s="29"/>
      <c r="B103" s="29"/>
      <c r="C103" s="72"/>
    </row>
    <row r="104" spans="1:12" s="30" customFormat="1" hidden="1">
      <c r="A104" s="29"/>
      <c r="B104" s="29"/>
      <c r="C104" s="75"/>
    </row>
    <row r="105" spans="1:12" s="30" customFormat="1" hidden="1">
      <c r="A105" s="29"/>
      <c r="B105" s="29"/>
      <c r="C105" s="75"/>
    </row>
    <row r="106" spans="1:12" hidden="1">
      <c r="A106" s="29"/>
    </row>
    <row r="107" spans="1:12" hidden="1"/>
  </sheetData>
  <autoFilter ref="A7:S7"/>
  <mergeCells count="14">
    <mergeCell ref="R5:R6"/>
    <mergeCell ref="S5:S6"/>
    <mergeCell ref="Q5:Q6"/>
    <mergeCell ref="E91:G91"/>
    <mergeCell ref="E95:G95"/>
    <mergeCell ref="D5:H5"/>
    <mergeCell ref="J5:K5"/>
    <mergeCell ref="I5:I6"/>
    <mergeCell ref="L5:P5"/>
    <mergeCell ref="A5:A6"/>
    <mergeCell ref="B5:B6"/>
    <mergeCell ref="C5:C6"/>
    <mergeCell ref="D3:H3"/>
    <mergeCell ref="E101:G101"/>
  </mergeCells>
  <phoneticPr fontId="1" type="noConversion"/>
  <pageMargins left="0.19685039370078741" right="0.19685039370078741" top="0.82677165354330717" bottom="0.47244094488188981" header="0" footer="0.19685039370078741"/>
  <pageSetup paperSize="9" scale="67" fitToHeight="0" orientation="landscape" r:id="rId1"/>
  <headerFooter scaleWithDoc="0">
    <oddFooter>&amp;C&amp;P</oddFooter>
    <firstHeader>&amp;RПриложение 6</firstHeader>
  </headerFooter>
  <colBreaks count="1" manualBreakCount="1">
    <brk id="11" max="10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1"/>
  <sheetViews>
    <sheetView view="pageBreakPreview" zoomScale="90" zoomScaleNormal="85" zoomScaleSheetLayoutView="90" workbookViewId="0">
      <pane xSplit="2" ySplit="6" topLeftCell="C70" activePane="bottomRight" state="frozen"/>
      <selection pane="topRight" activeCell="C1" sqref="C1"/>
      <selection pane="bottomLeft" activeCell="A5" sqref="A5"/>
      <selection pane="bottomRight" activeCell="I1" sqref="I1"/>
    </sheetView>
  </sheetViews>
  <sheetFormatPr defaultRowHeight="12.75"/>
  <cols>
    <col min="1" max="1" width="42.85546875" style="28" customWidth="1"/>
    <col min="2" max="2" width="27" style="41" customWidth="1"/>
    <col min="3" max="3" width="17.42578125" style="76" customWidth="1"/>
    <col min="4" max="8" width="14" style="26" customWidth="1"/>
    <col min="9" max="9" width="16.5703125" style="26" customWidth="1"/>
    <col min="10" max="11" width="13.28515625" style="26" customWidth="1"/>
    <col min="12" max="14" width="16" style="26" customWidth="1"/>
    <col min="15" max="15" width="15.7109375" style="26" customWidth="1"/>
    <col min="16" max="16" width="16.28515625" style="26" customWidth="1"/>
    <col min="17" max="18" width="15.85546875" style="26" customWidth="1"/>
    <col min="19" max="19" width="18" style="26" bestFit="1" customWidth="1"/>
    <col min="20" max="20" width="13.85546875" style="26" bestFit="1" customWidth="1"/>
    <col min="21" max="16384" width="9.140625" style="26"/>
  </cols>
  <sheetData>
    <row r="1" spans="1:20" ht="10.5" customHeight="1">
      <c r="I1" s="139"/>
    </row>
    <row r="2" spans="1:20" ht="92.25" customHeight="1">
      <c r="A2" s="26"/>
      <c r="B2" s="82"/>
      <c r="C2" s="82"/>
      <c r="D2" s="149" t="s">
        <v>94</v>
      </c>
      <c r="E2" s="155"/>
      <c r="F2" s="149"/>
      <c r="G2" s="149"/>
      <c r="H2" s="149"/>
      <c r="I2" s="149"/>
      <c r="J2" s="149"/>
      <c r="K2" s="82"/>
      <c r="L2" s="82"/>
      <c r="M2" s="82"/>
      <c r="N2" s="82"/>
      <c r="O2" s="82"/>
      <c r="P2" s="82"/>
      <c r="Q2" s="82"/>
      <c r="R2" s="82"/>
      <c r="S2" s="82"/>
    </row>
    <row r="3" spans="1:20" ht="3.7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20" s="86" customFormat="1" ht="42" customHeight="1">
      <c r="A4" s="147" t="s">
        <v>32</v>
      </c>
      <c r="B4" s="148" t="s">
        <v>17</v>
      </c>
      <c r="C4" s="146" t="s">
        <v>13</v>
      </c>
      <c r="D4" s="146" t="s">
        <v>101</v>
      </c>
      <c r="E4" s="146"/>
      <c r="F4" s="146"/>
      <c r="G4" s="146"/>
      <c r="H4" s="146"/>
      <c r="I4" s="146" t="s">
        <v>138</v>
      </c>
      <c r="J4" s="146" t="s">
        <v>30</v>
      </c>
      <c r="K4" s="146"/>
      <c r="L4" s="146" t="s">
        <v>47</v>
      </c>
      <c r="M4" s="146"/>
      <c r="N4" s="146"/>
      <c r="O4" s="146"/>
      <c r="P4" s="146"/>
      <c r="Q4" s="152" t="s">
        <v>76</v>
      </c>
      <c r="R4" s="151" t="s">
        <v>99</v>
      </c>
      <c r="S4" s="152" t="s">
        <v>77</v>
      </c>
    </row>
    <row r="5" spans="1:20" s="87" customFormat="1" ht="24.75" customHeight="1">
      <c r="A5" s="147"/>
      <c r="B5" s="148"/>
      <c r="C5" s="146"/>
      <c r="D5" s="89" t="s">
        <v>89</v>
      </c>
      <c r="E5" s="89" t="s">
        <v>90</v>
      </c>
      <c r="F5" s="89" t="s">
        <v>91</v>
      </c>
      <c r="G5" s="89" t="s">
        <v>92</v>
      </c>
      <c r="H5" s="89" t="s">
        <v>44</v>
      </c>
      <c r="I5" s="146"/>
      <c r="J5" s="89" t="s">
        <v>45</v>
      </c>
      <c r="K5" s="89" t="s">
        <v>46</v>
      </c>
      <c r="L5" s="89" t="s">
        <v>40</v>
      </c>
      <c r="M5" s="89" t="s">
        <v>41</v>
      </c>
      <c r="N5" s="89" t="s">
        <v>42</v>
      </c>
      <c r="O5" s="89" t="s">
        <v>43</v>
      </c>
      <c r="P5" s="90" t="s">
        <v>33</v>
      </c>
      <c r="Q5" s="152"/>
      <c r="R5" s="151"/>
      <c r="S5" s="152"/>
    </row>
    <row r="6" spans="1:20" s="1" customFormat="1" ht="11.25" customHeight="1">
      <c r="A6" s="42"/>
      <c r="B6" s="43"/>
      <c r="C6" s="83"/>
      <c r="D6" s="46"/>
      <c r="E6" s="46"/>
      <c r="F6" s="46"/>
      <c r="G6" s="46"/>
      <c r="H6" s="46"/>
      <c r="I6" s="83"/>
      <c r="J6" s="46"/>
      <c r="K6" s="46"/>
      <c r="L6" s="46"/>
      <c r="M6" s="46"/>
      <c r="N6" s="46"/>
      <c r="O6" s="46"/>
      <c r="P6" s="47"/>
      <c r="Q6" s="44"/>
      <c r="R6" s="45"/>
      <c r="S6" s="44"/>
    </row>
    <row r="7" spans="1:20" s="19" customFormat="1" ht="18.75" customHeight="1">
      <c r="A7" s="102" t="s">
        <v>1</v>
      </c>
      <c r="B7" s="102"/>
      <c r="C7" s="93"/>
      <c r="D7" s="105"/>
      <c r="E7" s="105"/>
      <c r="F7" s="105"/>
      <c r="G7" s="105"/>
      <c r="H7" s="105"/>
      <c r="I7" s="106"/>
      <c r="J7" s="106"/>
      <c r="K7" s="106"/>
      <c r="L7" s="104"/>
      <c r="M7" s="104"/>
      <c r="N7" s="104"/>
      <c r="O7" s="104"/>
      <c r="P7" s="104"/>
      <c r="Q7" s="104"/>
      <c r="R7" s="104"/>
      <c r="S7" s="104"/>
      <c r="T7" s="27"/>
    </row>
    <row r="8" spans="1:20" s="19" customFormat="1" ht="27" customHeight="1">
      <c r="A8" s="51" t="s">
        <v>68</v>
      </c>
      <c r="B8" s="52" t="s">
        <v>58</v>
      </c>
      <c r="C8" s="140" t="s">
        <v>23</v>
      </c>
      <c r="D8" s="53">
        <v>919.8</v>
      </c>
      <c r="E8" s="53">
        <v>1022</v>
      </c>
      <c r="F8" s="53">
        <v>2029.1</v>
      </c>
      <c r="G8" s="53">
        <v>2029.1</v>
      </c>
      <c r="H8" s="53">
        <f>SUM(D8:G8)</f>
        <v>6000</v>
      </c>
      <c r="I8" s="50">
        <f>'2021'!I9*1.048</f>
        <v>2796.4245230364195</v>
      </c>
      <c r="J8" s="50">
        <f>'2021'!K9</f>
        <v>938</v>
      </c>
      <c r="K8" s="50">
        <v>975</v>
      </c>
      <c r="L8" s="50">
        <f t="shared" ref="L8:L17" si="0">(I8-J8)*D8</f>
        <v>1709378.8762888985</v>
      </c>
      <c r="M8" s="50">
        <f t="shared" ref="M8:M17" si="1">(I8-J8)*E8</f>
        <v>1899309.8625432206</v>
      </c>
      <c r="N8" s="50">
        <f t="shared" ref="N8:N17" si="2">(I8-K8)*F8</f>
        <v>3695852.4996931986</v>
      </c>
      <c r="O8" s="50">
        <f t="shared" ref="O8:O17" si="3">(I8-K8)*G8</f>
        <v>3695852.4996931986</v>
      </c>
      <c r="P8" s="54">
        <f>SUM(L8:O8)</f>
        <v>11000393.738218516</v>
      </c>
      <c r="Q8" s="50"/>
      <c r="R8" s="50"/>
      <c r="S8" s="50"/>
      <c r="T8" s="27"/>
    </row>
    <row r="9" spans="1:20" s="19" customFormat="1" ht="27" customHeight="1">
      <c r="A9" s="51" t="s">
        <v>15</v>
      </c>
      <c r="B9" s="52" t="s">
        <v>22</v>
      </c>
      <c r="C9" s="140" t="s">
        <v>23</v>
      </c>
      <c r="D9" s="53">
        <v>631.45000000000005</v>
      </c>
      <c r="E9" s="53">
        <v>631.45000000000005</v>
      </c>
      <c r="F9" s="53">
        <v>3318.55</v>
      </c>
      <c r="G9" s="53">
        <v>3318.55</v>
      </c>
      <c r="H9" s="53">
        <f t="shared" ref="H9:H73" si="4">SUM(D9:G9)</f>
        <v>7900.0000000000009</v>
      </c>
      <c r="I9" s="50">
        <f>'2021'!I10*1.048</f>
        <v>3356.2297003143553</v>
      </c>
      <c r="J9" s="50">
        <f>'2021'!K10</f>
        <v>938</v>
      </c>
      <c r="K9" s="50">
        <v>975</v>
      </c>
      <c r="L9" s="50">
        <f t="shared" si="0"/>
        <v>1526991.1442634999</v>
      </c>
      <c r="M9" s="50">
        <f t="shared" si="1"/>
        <v>1526991.1442634999</v>
      </c>
      <c r="N9" s="50">
        <f t="shared" si="2"/>
        <v>7902229.821978204</v>
      </c>
      <c r="O9" s="50">
        <f t="shared" si="3"/>
        <v>7902229.821978204</v>
      </c>
      <c r="P9" s="54">
        <f t="shared" ref="P9:P72" si="5">SUM(L9:O9)</f>
        <v>18858441.932483409</v>
      </c>
      <c r="Q9" s="50"/>
      <c r="R9" s="50"/>
      <c r="S9" s="50"/>
      <c r="T9" s="27"/>
    </row>
    <row r="10" spans="1:20" s="19" customFormat="1" ht="27" customHeight="1">
      <c r="A10" s="51" t="s">
        <v>15</v>
      </c>
      <c r="B10" s="51" t="s">
        <v>140</v>
      </c>
      <c r="C10" s="140" t="s">
        <v>23</v>
      </c>
      <c r="D10" s="53">
        <v>2098.75</v>
      </c>
      <c r="E10" s="53">
        <v>3314.2</v>
      </c>
      <c r="F10" s="53">
        <v>3288.65</v>
      </c>
      <c r="G10" s="53">
        <v>3405</v>
      </c>
      <c r="H10" s="53">
        <f t="shared" si="4"/>
        <v>12106.6</v>
      </c>
      <c r="I10" s="50">
        <f>'2021'!I11*1.048</f>
        <v>3049.4351145949981</v>
      </c>
      <c r="J10" s="50">
        <f>'2021'!K11</f>
        <v>938</v>
      </c>
      <c r="K10" s="50">
        <v>975</v>
      </c>
      <c r="L10" s="50">
        <f t="shared" si="0"/>
        <v>4431374.4467562521</v>
      </c>
      <c r="M10" s="50">
        <f t="shared" si="1"/>
        <v>6997718.2567907423</v>
      </c>
      <c r="N10" s="50">
        <f t="shared" si="2"/>
        <v>6822091.0396128409</v>
      </c>
      <c r="O10" s="50">
        <f t="shared" si="3"/>
        <v>7063451.5651959684</v>
      </c>
      <c r="P10" s="54">
        <f t="shared" si="5"/>
        <v>25314635.308355801</v>
      </c>
      <c r="Q10" s="50"/>
      <c r="R10" s="50"/>
      <c r="S10" s="50"/>
      <c r="T10" s="27"/>
    </row>
    <row r="11" spans="1:20" s="19" customFormat="1" ht="27" customHeight="1">
      <c r="A11" s="51" t="s">
        <v>4</v>
      </c>
      <c r="B11" s="52" t="s">
        <v>58</v>
      </c>
      <c r="C11" s="140" t="s">
        <v>23</v>
      </c>
      <c r="D11" s="53">
        <v>536.54999999999995</v>
      </c>
      <c r="E11" s="53">
        <v>224.65</v>
      </c>
      <c r="F11" s="53">
        <v>500.05</v>
      </c>
      <c r="G11" s="53">
        <v>405.15000000000003</v>
      </c>
      <c r="H11" s="53">
        <f t="shared" si="4"/>
        <v>1666.4</v>
      </c>
      <c r="I11" s="50">
        <f>'2021'!I12*1.048</f>
        <v>2217.8557474687314</v>
      </c>
      <c r="J11" s="50">
        <f>'2021'!K12</f>
        <v>938</v>
      </c>
      <c r="K11" s="50">
        <v>975</v>
      </c>
      <c r="L11" s="50">
        <f t="shared" si="0"/>
        <v>686706.60130434774</v>
      </c>
      <c r="M11" s="50">
        <f t="shared" si="1"/>
        <v>287519.59366885049</v>
      </c>
      <c r="N11" s="50">
        <f t="shared" si="2"/>
        <v>621490.01652173907</v>
      </c>
      <c r="O11" s="50">
        <f t="shared" si="3"/>
        <v>503543.00608695654</v>
      </c>
      <c r="P11" s="54">
        <f t="shared" si="5"/>
        <v>2099259.2175818938</v>
      </c>
      <c r="Q11" s="50"/>
      <c r="R11" s="50"/>
      <c r="S11" s="50"/>
      <c r="T11" s="27"/>
    </row>
    <row r="12" spans="1:20" s="19" customFormat="1" ht="27" customHeight="1">
      <c r="A12" s="51" t="s">
        <v>28</v>
      </c>
      <c r="B12" s="52" t="s">
        <v>58</v>
      </c>
      <c r="C12" s="140" t="s">
        <v>23</v>
      </c>
      <c r="D12" s="53">
        <v>1753.89</v>
      </c>
      <c r="E12" s="53">
        <v>1724.9670000000001</v>
      </c>
      <c r="F12" s="53">
        <v>2381.7399999999998</v>
      </c>
      <c r="G12" s="53">
        <v>2017.3550000000005</v>
      </c>
      <c r="H12" s="53">
        <f t="shared" si="4"/>
        <v>7877.9520000000002</v>
      </c>
      <c r="I12" s="50">
        <f>'2021'!I13*1.048</f>
        <v>2919.5948690937257</v>
      </c>
      <c r="J12" s="50">
        <f>'2021'!K13</f>
        <v>938</v>
      </c>
      <c r="K12" s="50">
        <v>975</v>
      </c>
      <c r="L12" s="50">
        <f t="shared" si="0"/>
        <v>3475499.4249547948</v>
      </c>
      <c r="M12" s="50">
        <f t="shared" si="1"/>
        <v>3418185.7565559968</v>
      </c>
      <c r="N12" s="50">
        <f t="shared" si="2"/>
        <v>4631519.38351529</v>
      </c>
      <c r="O12" s="50">
        <f t="shared" si="3"/>
        <v>3922938.1821405739</v>
      </c>
      <c r="P12" s="54">
        <f t="shared" si="5"/>
        <v>15448142.747166656</v>
      </c>
      <c r="Q12" s="50"/>
      <c r="R12" s="50"/>
      <c r="S12" s="50"/>
      <c r="T12" s="27"/>
    </row>
    <row r="13" spans="1:20" s="18" customFormat="1" ht="27" customHeight="1">
      <c r="A13" s="52" t="s">
        <v>37</v>
      </c>
      <c r="B13" s="52" t="s">
        <v>58</v>
      </c>
      <c r="C13" s="52" t="s">
        <v>23</v>
      </c>
      <c r="D13" s="53">
        <v>1230.05</v>
      </c>
      <c r="E13" s="53">
        <v>1427.15</v>
      </c>
      <c r="F13" s="53">
        <v>3034.61</v>
      </c>
      <c r="G13" s="53">
        <v>2708.2999999999997</v>
      </c>
      <c r="H13" s="53">
        <f t="shared" si="4"/>
        <v>8400.1099999999988</v>
      </c>
      <c r="I13" s="50">
        <f>'2021'!I14*1.048</f>
        <v>2705.7124024284476</v>
      </c>
      <c r="J13" s="50">
        <f>'2021'!K14</f>
        <v>938</v>
      </c>
      <c r="K13" s="50">
        <v>975</v>
      </c>
      <c r="L13" s="50">
        <f t="shared" si="0"/>
        <v>2174374.6406071121</v>
      </c>
      <c r="M13" s="50">
        <f t="shared" si="1"/>
        <v>2522790.7551257592</v>
      </c>
      <c r="N13" s="50">
        <f t="shared" si="2"/>
        <v>5252037.1635333914</v>
      </c>
      <c r="O13" s="50">
        <f t="shared" si="3"/>
        <v>4687288.3994969642</v>
      </c>
      <c r="P13" s="54">
        <f t="shared" si="5"/>
        <v>14636490.958763227</v>
      </c>
      <c r="Q13" s="50"/>
      <c r="R13" s="50"/>
      <c r="S13" s="50"/>
      <c r="T13" s="17"/>
    </row>
    <row r="14" spans="1:20" s="18" customFormat="1" ht="27" customHeight="1">
      <c r="A14" s="52" t="s">
        <v>71</v>
      </c>
      <c r="B14" s="52" t="s">
        <v>58</v>
      </c>
      <c r="C14" s="52" t="s">
        <v>23</v>
      </c>
      <c r="D14" s="53">
        <v>285</v>
      </c>
      <c r="E14" s="53">
        <v>660</v>
      </c>
      <c r="F14" s="53">
        <v>2077.5</v>
      </c>
      <c r="G14" s="53">
        <v>2077.5</v>
      </c>
      <c r="H14" s="53">
        <f t="shared" si="4"/>
        <v>5100</v>
      </c>
      <c r="I14" s="50">
        <f>'2021'!I15*1.048</f>
        <v>1969.3856394176933</v>
      </c>
      <c r="J14" s="50">
        <f>'2021'!K15</f>
        <v>938</v>
      </c>
      <c r="K14" s="50">
        <v>975</v>
      </c>
      <c r="L14" s="50">
        <f t="shared" si="0"/>
        <v>293944.90723404259</v>
      </c>
      <c r="M14" s="50">
        <f t="shared" si="1"/>
        <v>680714.52201567753</v>
      </c>
      <c r="N14" s="50">
        <f t="shared" si="2"/>
        <v>2065836.1658902578</v>
      </c>
      <c r="O14" s="50">
        <f t="shared" si="3"/>
        <v>2065836.1658902578</v>
      </c>
      <c r="P14" s="54">
        <f t="shared" si="5"/>
        <v>5106331.7610302363</v>
      </c>
      <c r="Q14" s="50"/>
      <c r="R14" s="50"/>
      <c r="S14" s="50"/>
      <c r="T14" s="17"/>
    </row>
    <row r="15" spans="1:20" s="18" customFormat="1" ht="27" customHeight="1">
      <c r="A15" s="52" t="s">
        <v>74</v>
      </c>
      <c r="B15" s="52" t="s">
        <v>58</v>
      </c>
      <c r="C15" s="52" t="s">
        <v>23</v>
      </c>
      <c r="D15" s="63">
        <v>448</v>
      </c>
      <c r="E15" s="63">
        <v>580</v>
      </c>
      <c r="F15" s="63">
        <v>482</v>
      </c>
      <c r="G15" s="63">
        <v>482</v>
      </c>
      <c r="H15" s="53">
        <f t="shared" si="4"/>
        <v>1992</v>
      </c>
      <c r="I15" s="50">
        <f>'2021'!I16*1.048</f>
        <v>2621.7406063610078</v>
      </c>
      <c r="J15" s="50">
        <f>'2021'!K16</f>
        <v>938</v>
      </c>
      <c r="K15" s="50">
        <v>975</v>
      </c>
      <c r="L15" s="50">
        <f t="shared" si="0"/>
        <v>754315.79164973157</v>
      </c>
      <c r="M15" s="50">
        <f t="shared" si="1"/>
        <v>976569.55168938451</v>
      </c>
      <c r="N15" s="50">
        <f t="shared" si="2"/>
        <v>793728.97226600582</v>
      </c>
      <c r="O15" s="50">
        <f t="shared" si="3"/>
        <v>793728.97226600582</v>
      </c>
      <c r="P15" s="54">
        <f t="shared" si="5"/>
        <v>3318343.2878711275</v>
      </c>
      <c r="Q15" s="50"/>
      <c r="R15" s="50"/>
      <c r="S15" s="50"/>
      <c r="T15" s="17"/>
    </row>
    <row r="16" spans="1:20" s="18" customFormat="1" ht="27" customHeight="1">
      <c r="A16" s="52" t="s">
        <v>51</v>
      </c>
      <c r="B16" s="52" t="s">
        <v>58</v>
      </c>
      <c r="C16" s="52" t="s">
        <v>23</v>
      </c>
      <c r="D16" s="53">
        <v>954</v>
      </c>
      <c r="E16" s="53">
        <v>925</v>
      </c>
      <c r="F16" s="53">
        <v>1560.5</v>
      </c>
      <c r="G16" s="53">
        <v>1560.5</v>
      </c>
      <c r="H16" s="53">
        <f t="shared" si="4"/>
        <v>5000</v>
      </c>
      <c r="I16" s="50">
        <f>'2021'!I17*1.048</f>
        <v>2658.3044000000004</v>
      </c>
      <c r="J16" s="50">
        <f>'2021'!K17</f>
        <v>938</v>
      </c>
      <c r="K16" s="50">
        <v>975</v>
      </c>
      <c r="L16" s="50">
        <f t="shared" si="0"/>
        <v>1641170.3976000005</v>
      </c>
      <c r="M16" s="50">
        <f t="shared" si="1"/>
        <v>1591281.5700000003</v>
      </c>
      <c r="N16" s="50">
        <f t="shared" si="2"/>
        <v>2626796.5162000009</v>
      </c>
      <c r="O16" s="50">
        <f t="shared" si="3"/>
        <v>2626796.5162000009</v>
      </c>
      <c r="P16" s="54">
        <f t="shared" si="5"/>
        <v>8486045.0000000019</v>
      </c>
      <c r="Q16" s="50"/>
      <c r="R16" s="50"/>
      <c r="S16" s="50"/>
      <c r="T16" s="17"/>
    </row>
    <row r="17" spans="1:20" s="19" customFormat="1" ht="27" customHeight="1">
      <c r="A17" s="52" t="s">
        <v>97</v>
      </c>
      <c r="B17" s="52" t="s">
        <v>58</v>
      </c>
      <c r="C17" s="52" t="s">
        <v>23</v>
      </c>
      <c r="D17" s="53">
        <v>625</v>
      </c>
      <c r="E17" s="53">
        <v>625</v>
      </c>
      <c r="F17" s="53">
        <v>625</v>
      </c>
      <c r="G17" s="53">
        <v>625</v>
      </c>
      <c r="H17" s="53">
        <f t="shared" si="4"/>
        <v>2500</v>
      </c>
      <c r="I17" s="50">
        <f>'2021'!I18*1.048</f>
        <v>2547.5873919999999</v>
      </c>
      <c r="J17" s="50">
        <f>'2021'!K18</f>
        <v>938</v>
      </c>
      <c r="K17" s="50">
        <v>975</v>
      </c>
      <c r="L17" s="50">
        <f t="shared" si="0"/>
        <v>1005992.12</v>
      </c>
      <c r="M17" s="50">
        <f t="shared" si="1"/>
        <v>1005992.12</v>
      </c>
      <c r="N17" s="50">
        <f t="shared" si="2"/>
        <v>982867.12</v>
      </c>
      <c r="O17" s="50">
        <f t="shared" si="3"/>
        <v>982867.12</v>
      </c>
      <c r="P17" s="54">
        <f t="shared" si="5"/>
        <v>3977718.48</v>
      </c>
      <c r="Q17" s="48"/>
      <c r="R17" s="48"/>
      <c r="S17" s="48"/>
      <c r="T17" s="27"/>
    </row>
    <row r="18" spans="1:20" s="19" customFormat="1" ht="19.5" customHeight="1">
      <c r="A18" s="102" t="s">
        <v>5</v>
      </c>
      <c r="B18" s="102"/>
      <c r="C18" s="141"/>
      <c r="D18" s="107"/>
      <c r="E18" s="107"/>
      <c r="F18" s="107"/>
      <c r="G18" s="107"/>
      <c r="H18" s="107">
        <f t="shared" si="4"/>
        <v>0</v>
      </c>
      <c r="I18" s="106"/>
      <c r="J18" s="106"/>
      <c r="K18" s="106"/>
      <c r="L18" s="106"/>
      <c r="M18" s="106"/>
      <c r="N18" s="106"/>
      <c r="O18" s="106"/>
      <c r="P18" s="108"/>
      <c r="Q18" s="110"/>
      <c r="R18" s="106"/>
      <c r="S18" s="106"/>
      <c r="T18" s="27"/>
    </row>
    <row r="19" spans="1:20" s="19" customFormat="1" ht="27" customHeight="1">
      <c r="A19" s="51" t="s">
        <v>14</v>
      </c>
      <c r="B19" s="52" t="str">
        <f>'2021'!B20</f>
        <v>МО "Усть-Шоношское", СП "Хозьминское"</v>
      </c>
      <c r="C19" s="140" t="s">
        <v>25</v>
      </c>
      <c r="D19" s="53">
        <v>250</v>
      </c>
      <c r="E19" s="53">
        <v>0</v>
      </c>
      <c r="F19" s="53">
        <v>100</v>
      </c>
      <c r="G19" s="53">
        <v>100</v>
      </c>
      <c r="H19" s="53">
        <f t="shared" si="4"/>
        <v>450</v>
      </c>
      <c r="I19" s="50">
        <f>'2021'!I20*1.048</f>
        <v>810.09771200000012</v>
      </c>
      <c r="J19" s="50">
        <f>'2021'!K20</f>
        <v>466</v>
      </c>
      <c r="K19" s="50">
        <v>484</v>
      </c>
      <c r="L19" s="50">
        <f>(I19-J19)*D19</f>
        <v>86024.428000000029</v>
      </c>
      <c r="M19" s="50">
        <f>(I19-J19)*E19</f>
        <v>0</v>
      </c>
      <c r="N19" s="50">
        <f>(I19-K19)*F19</f>
        <v>32609.77120000001</v>
      </c>
      <c r="O19" s="50">
        <f>(I19-K19)*G19</f>
        <v>32609.77120000001</v>
      </c>
      <c r="P19" s="54">
        <f t="shared" si="5"/>
        <v>151243.97040000005</v>
      </c>
      <c r="Q19" s="56"/>
      <c r="R19" s="50"/>
      <c r="S19" s="50"/>
      <c r="T19" s="27"/>
    </row>
    <row r="20" spans="1:20" s="19" customFormat="1" ht="27" customHeight="1">
      <c r="A20" s="51" t="s">
        <v>14</v>
      </c>
      <c r="B20" s="52" t="str">
        <f>'2021'!B21</f>
        <v>МО "Усть-Шоношское", МО "хозьминское"</v>
      </c>
      <c r="C20" s="140" t="s">
        <v>24</v>
      </c>
      <c r="D20" s="53">
        <v>328</v>
      </c>
      <c r="E20" s="53">
        <v>36</v>
      </c>
      <c r="F20" s="53">
        <v>93</v>
      </c>
      <c r="G20" s="53">
        <v>93</v>
      </c>
      <c r="H20" s="53">
        <f t="shared" si="4"/>
        <v>550</v>
      </c>
      <c r="I20" s="50">
        <f>'2021'!I21*1.048</f>
        <v>973.43270400000006</v>
      </c>
      <c r="J20" s="50">
        <f>'2021'!K21</f>
        <v>554</v>
      </c>
      <c r="K20" s="50">
        <v>576</v>
      </c>
      <c r="L20" s="50">
        <f>(I20-J20)*D20</f>
        <v>137573.92691200002</v>
      </c>
      <c r="M20" s="50">
        <f>(I20-J20)*E20</f>
        <v>15099.577344000001</v>
      </c>
      <c r="N20" s="50">
        <f>(I20-K20)*F20</f>
        <v>36961.241472000009</v>
      </c>
      <c r="O20" s="50">
        <f>(I20-K20)*G20</f>
        <v>36961.241472000009</v>
      </c>
      <c r="P20" s="54">
        <f t="shared" si="5"/>
        <v>226595.98720000003</v>
      </c>
      <c r="Q20" s="48"/>
      <c r="R20" s="48"/>
      <c r="S20" s="48"/>
      <c r="T20" s="27"/>
    </row>
    <row r="21" spans="1:20" s="19" customFormat="1" ht="27" customHeight="1">
      <c r="A21" s="51" t="s">
        <v>14</v>
      </c>
      <c r="B21" s="52" t="str">
        <f>'2021'!B22</f>
        <v>СП "Усть-Шоношское"</v>
      </c>
      <c r="C21" s="140" t="str">
        <f>'2021'!C22</f>
        <v>круглые длиной более 1 м</v>
      </c>
      <c r="D21" s="53">
        <v>15</v>
      </c>
      <c r="E21" s="53">
        <v>15</v>
      </c>
      <c r="F21" s="53">
        <v>15</v>
      </c>
      <c r="G21" s="53">
        <v>15</v>
      </c>
      <c r="H21" s="53">
        <f t="shared" si="4"/>
        <v>60</v>
      </c>
      <c r="I21" s="50">
        <f>'2021'!I22*1.048</f>
        <v>810.09771200000012</v>
      </c>
      <c r="J21" s="50">
        <f>'2021'!K22</f>
        <v>466</v>
      </c>
      <c r="K21" s="50">
        <v>576</v>
      </c>
      <c r="L21" s="50">
        <f>(I21-J21)*D21</f>
        <v>5161.4656800000021</v>
      </c>
      <c r="M21" s="50">
        <f>(I21-J21)*E21</f>
        <v>5161.4656800000021</v>
      </c>
      <c r="N21" s="50">
        <f>(I21-K21)*F21</f>
        <v>3511.4656800000016</v>
      </c>
      <c r="O21" s="50">
        <f>(I21-K21)*G21</f>
        <v>3511.4656800000016</v>
      </c>
      <c r="P21" s="54">
        <f t="shared" si="5"/>
        <v>17345.862720000008</v>
      </c>
      <c r="Q21" s="48"/>
      <c r="R21" s="48"/>
      <c r="S21" s="48"/>
      <c r="T21" s="27"/>
    </row>
    <row r="22" spans="1:20" s="19" customFormat="1" ht="27" customHeight="1">
      <c r="A22" s="51" t="s">
        <v>14</v>
      </c>
      <c r="B22" s="52" t="str">
        <f>'2021'!B23</f>
        <v>СП "Верхнешоношское"</v>
      </c>
      <c r="C22" s="140" t="str">
        <f>'2021'!C23</f>
        <v>круглые длиной более 1 м</v>
      </c>
      <c r="D22" s="53">
        <v>27</v>
      </c>
      <c r="E22" s="53">
        <v>27</v>
      </c>
      <c r="F22" s="53">
        <v>27</v>
      </c>
      <c r="G22" s="53">
        <v>27</v>
      </c>
      <c r="H22" s="53">
        <f t="shared" si="4"/>
        <v>108</v>
      </c>
      <c r="I22" s="50">
        <f>'2021'!I23*1.048</f>
        <v>810.09771200000012</v>
      </c>
      <c r="J22" s="50">
        <f>'2021'!K23</f>
        <v>466</v>
      </c>
      <c r="K22" s="50">
        <v>576</v>
      </c>
      <c r="L22" s="50">
        <f>(I22-J22)*D22</f>
        <v>9290.6382240000039</v>
      </c>
      <c r="M22" s="50">
        <f>(I22-J22)*E22</f>
        <v>9290.6382240000039</v>
      </c>
      <c r="N22" s="50">
        <f>(I22-K22)*F22</f>
        <v>6320.638224000003</v>
      </c>
      <c r="O22" s="50">
        <f>(I22-K22)*G22</f>
        <v>6320.638224000003</v>
      </c>
      <c r="P22" s="54">
        <f t="shared" si="5"/>
        <v>31222.552896000012</v>
      </c>
      <c r="Q22" s="48"/>
      <c r="R22" s="48"/>
      <c r="S22" s="48"/>
      <c r="T22" s="27"/>
    </row>
    <row r="23" spans="1:20" s="19" customFormat="1" ht="27" customHeight="1">
      <c r="A23" s="51" t="s">
        <v>14</v>
      </c>
      <c r="B23" s="52" t="str">
        <f>'2021'!B24</f>
        <v>СП "Шадреньгское"</v>
      </c>
      <c r="C23" s="140" t="str">
        <f>'2021'!C24</f>
        <v>круглые длиной более 1 м</v>
      </c>
      <c r="D23" s="53">
        <v>10</v>
      </c>
      <c r="E23" s="53">
        <v>10</v>
      </c>
      <c r="F23" s="53">
        <v>10</v>
      </c>
      <c r="G23" s="53">
        <v>10</v>
      </c>
      <c r="H23" s="53">
        <f t="shared" si="4"/>
        <v>40</v>
      </c>
      <c r="I23" s="50">
        <f>'2021'!I24*1.048</f>
        <v>810.09771200000012</v>
      </c>
      <c r="J23" s="50">
        <f>'2021'!K24</f>
        <v>466</v>
      </c>
      <c r="K23" s="50">
        <v>576</v>
      </c>
      <c r="L23" s="50">
        <f>(I23-J23)*D23</f>
        <v>3440.9771200000014</v>
      </c>
      <c r="M23" s="50">
        <f>(I23-J23)*E23</f>
        <v>3440.9771200000014</v>
      </c>
      <c r="N23" s="50">
        <f>(I23-K23)*F23</f>
        <v>2340.9771200000014</v>
      </c>
      <c r="O23" s="50">
        <f>(I23-K23)*G23</f>
        <v>2340.9771200000014</v>
      </c>
      <c r="P23" s="54">
        <f t="shared" si="5"/>
        <v>11563.908480000006</v>
      </c>
      <c r="Q23" s="48"/>
      <c r="R23" s="48"/>
      <c r="S23" s="48"/>
      <c r="T23" s="27"/>
    </row>
    <row r="24" spans="1:20" s="18" customFormat="1" ht="18" customHeight="1">
      <c r="A24" s="102" t="s">
        <v>6</v>
      </c>
      <c r="B24" s="102"/>
      <c r="C24" s="141"/>
      <c r="D24" s="107"/>
      <c r="E24" s="107"/>
      <c r="F24" s="107"/>
      <c r="G24" s="107"/>
      <c r="H24" s="107">
        <f t="shared" si="4"/>
        <v>0</v>
      </c>
      <c r="I24" s="106"/>
      <c r="J24" s="106"/>
      <c r="K24" s="106"/>
      <c r="L24" s="106"/>
      <c r="M24" s="106"/>
      <c r="N24" s="106"/>
      <c r="O24" s="106"/>
      <c r="P24" s="108"/>
      <c r="Q24" s="110"/>
      <c r="R24" s="106"/>
      <c r="S24" s="106"/>
      <c r="T24" s="17"/>
    </row>
    <row r="25" spans="1:20" s="18" customFormat="1" ht="64.5" customHeight="1">
      <c r="A25" s="51" t="s">
        <v>98</v>
      </c>
      <c r="B25" s="52" t="str">
        <f>'2021'!B26</f>
        <v>МО "Пучужское", 
МО "Афанасьевское", 
МО "Верхнетоемское", 
МО "Сефтренское", 
МО "Двинское</v>
      </c>
      <c r="C25" s="140" t="s">
        <v>25</v>
      </c>
      <c r="D25" s="53">
        <v>2575</v>
      </c>
      <c r="E25" s="53">
        <v>2575</v>
      </c>
      <c r="F25" s="53">
        <v>2575</v>
      </c>
      <c r="G25" s="53">
        <v>2575</v>
      </c>
      <c r="H25" s="53">
        <f t="shared" si="4"/>
        <v>10300</v>
      </c>
      <c r="I25" s="50">
        <f>'2021'!I26*1.048</f>
        <v>2206.6667040000002</v>
      </c>
      <c r="J25" s="50">
        <f>'2021'!K26</f>
        <v>487</v>
      </c>
      <c r="K25" s="50">
        <v>506</v>
      </c>
      <c r="L25" s="50">
        <f>(I25-J25)*D25</f>
        <v>4428141.7628000006</v>
      </c>
      <c r="M25" s="50">
        <f>(I25-J25)*E25</f>
        <v>4428141.7628000006</v>
      </c>
      <c r="N25" s="50">
        <f>(I25-K25)*F25</f>
        <v>4379216.7628000006</v>
      </c>
      <c r="O25" s="50">
        <f>(I25-K25)*G25</f>
        <v>4379216.7628000006</v>
      </c>
      <c r="P25" s="54">
        <f t="shared" si="5"/>
        <v>17614717.051200002</v>
      </c>
      <c r="Q25" s="56"/>
      <c r="R25" s="50"/>
      <c r="S25" s="50"/>
      <c r="T25" s="17"/>
    </row>
    <row r="26" spans="1:20" s="18" customFormat="1" ht="35.25" customHeight="1">
      <c r="A26" s="52" t="s">
        <v>72</v>
      </c>
      <c r="B26" s="52" t="str">
        <f>'2021'!B27</f>
        <v>МО "Верхнетоемское", 
МО "Двинское"</v>
      </c>
      <c r="C26" s="52" t="s">
        <v>24</v>
      </c>
      <c r="D26" s="53">
        <v>2125</v>
      </c>
      <c r="E26" s="53">
        <v>2125</v>
      </c>
      <c r="F26" s="53">
        <v>2125</v>
      </c>
      <c r="G26" s="53">
        <v>2125</v>
      </c>
      <c r="H26" s="53">
        <f t="shared" si="4"/>
        <v>8500</v>
      </c>
      <c r="I26" s="50">
        <f>'2021'!I27*1.048</f>
        <v>2750.3858720000003</v>
      </c>
      <c r="J26" s="50">
        <f>'2021'!K27</f>
        <v>642</v>
      </c>
      <c r="K26" s="50">
        <v>667</v>
      </c>
      <c r="L26" s="50">
        <f>(I26-J26)*D26</f>
        <v>4480319.9780000011</v>
      </c>
      <c r="M26" s="50">
        <f>(I26-J26)*E26</f>
        <v>4480319.9780000011</v>
      </c>
      <c r="N26" s="50">
        <f>(I26-K26)*F26</f>
        <v>4427194.9780000011</v>
      </c>
      <c r="O26" s="50">
        <f>(I26-K26)*G26</f>
        <v>4427194.9780000011</v>
      </c>
      <c r="P26" s="54">
        <f t="shared" si="5"/>
        <v>17815029.912000004</v>
      </c>
      <c r="Q26" s="56"/>
      <c r="R26" s="50"/>
      <c r="S26" s="50"/>
      <c r="T26" s="17"/>
    </row>
    <row r="27" spans="1:20" s="18" customFormat="1" ht="39" customHeight="1">
      <c r="A27" s="52" t="str">
        <f>'2021'!A28</f>
        <v>ИП Котельников М.А.</v>
      </c>
      <c r="B27" s="145" t="str">
        <f>'2021'!B28</f>
        <v xml:space="preserve">
МО "Сефтренское", 
МО "Двинское</v>
      </c>
      <c r="C27" s="52" t="s">
        <v>24</v>
      </c>
      <c r="D27" s="53">
        <v>1125</v>
      </c>
      <c r="E27" s="53">
        <v>1125</v>
      </c>
      <c r="F27" s="53">
        <v>1125</v>
      </c>
      <c r="G27" s="53">
        <v>1125</v>
      </c>
      <c r="H27" s="53">
        <f>'2021'!H28</f>
        <v>4500</v>
      </c>
      <c r="I27" s="50">
        <f>'2021'!I28*1.048</f>
        <v>2724.8</v>
      </c>
      <c r="J27" s="50">
        <f>'2021'!K28</f>
        <v>642</v>
      </c>
      <c r="K27" s="50">
        <v>667</v>
      </c>
      <c r="L27" s="50">
        <f>(I27-J27)*D27</f>
        <v>2343150</v>
      </c>
      <c r="M27" s="50">
        <f>(I27-J27)*E27</f>
        <v>2343150</v>
      </c>
      <c r="N27" s="50">
        <f>(I27-K27)*F27</f>
        <v>2315025</v>
      </c>
      <c r="O27" s="50">
        <f>(I27-K27)*G27</f>
        <v>2315025</v>
      </c>
      <c r="P27" s="54">
        <f t="shared" si="5"/>
        <v>9316350</v>
      </c>
      <c r="Q27" s="56"/>
      <c r="R27" s="50"/>
      <c r="S27" s="50"/>
      <c r="T27" s="17"/>
    </row>
    <row r="28" spans="1:20" s="19" customFormat="1" ht="18.75" customHeight="1">
      <c r="A28" s="102" t="s">
        <v>7</v>
      </c>
      <c r="B28" s="102"/>
      <c r="C28" s="141"/>
      <c r="D28" s="107"/>
      <c r="E28" s="107"/>
      <c r="F28" s="107"/>
      <c r="G28" s="107"/>
      <c r="H28" s="107">
        <f t="shared" si="4"/>
        <v>0</v>
      </c>
      <c r="I28" s="106"/>
      <c r="J28" s="106"/>
      <c r="K28" s="106"/>
      <c r="L28" s="106"/>
      <c r="M28" s="106"/>
      <c r="N28" s="106"/>
      <c r="O28" s="106"/>
      <c r="P28" s="108"/>
      <c r="Q28" s="104"/>
      <c r="R28" s="104"/>
      <c r="S28" s="104"/>
      <c r="T28" s="27"/>
    </row>
    <row r="29" spans="1:20" s="19" customFormat="1" ht="55.5" customHeight="1">
      <c r="A29" s="52" t="s">
        <v>122</v>
      </c>
      <c r="B29" s="52" t="s">
        <v>123</v>
      </c>
      <c r="C29" s="52" t="s">
        <v>24</v>
      </c>
      <c r="D29" s="53">
        <v>500</v>
      </c>
      <c r="E29" s="53">
        <v>500</v>
      </c>
      <c r="F29" s="53">
        <v>500</v>
      </c>
      <c r="G29" s="53">
        <v>500</v>
      </c>
      <c r="H29" s="53">
        <f t="shared" si="4"/>
        <v>2000</v>
      </c>
      <c r="I29" s="50">
        <f>'2021'!I30*1.048</f>
        <v>2132.6800000000003</v>
      </c>
      <c r="J29" s="50">
        <f>'2021'!K30</f>
        <v>933</v>
      </c>
      <c r="K29" s="50">
        <v>970</v>
      </c>
      <c r="L29" s="50">
        <f>(I29-J29)*D29</f>
        <v>599840.00000000012</v>
      </c>
      <c r="M29" s="50">
        <f>(I29-J29)*E29</f>
        <v>599840.00000000012</v>
      </c>
      <c r="N29" s="50">
        <f>(I29-K29)*F29</f>
        <v>581340.00000000012</v>
      </c>
      <c r="O29" s="50">
        <f>(I29-K29)*G29</f>
        <v>581340.00000000012</v>
      </c>
      <c r="P29" s="54">
        <f t="shared" si="5"/>
        <v>2362360.0000000005</v>
      </c>
      <c r="Q29" s="44"/>
      <c r="R29" s="44"/>
      <c r="S29" s="48"/>
      <c r="T29" s="27"/>
    </row>
    <row r="30" spans="1:20" s="19" customFormat="1" ht="19.5" customHeight="1">
      <c r="A30" s="102" t="s">
        <v>8</v>
      </c>
      <c r="B30" s="102"/>
      <c r="C30" s="141"/>
      <c r="D30" s="107"/>
      <c r="E30" s="107"/>
      <c r="F30" s="107"/>
      <c r="G30" s="107"/>
      <c r="H30" s="107">
        <f t="shared" si="4"/>
        <v>0</v>
      </c>
      <c r="I30" s="106"/>
      <c r="J30" s="106"/>
      <c r="K30" s="106"/>
      <c r="L30" s="106"/>
      <c r="M30" s="106"/>
      <c r="N30" s="106"/>
      <c r="O30" s="106"/>
      <c r="P30" s="108"/>
      <c r="Q30" s="110"/>
      <c r="R30" s="106"/>
      <c r="S30" s="106"/>
      <c r="T30" s="27"/>
    </row>
    <row r="31" spans="1:20" s="19" customFormat="1" ht="35.25" customHeight="1">
      <c r="A31" s="51" t="s">
        <v>12</v>
      </c>
      <c r="B31" s="52" t="s">
        <v>66</v>
      </c>
      <c r="C31" s="140" t="s">
        <v>24</v>
      </c>
      <c r="D31" s="53">
        <v>175</v>
      </c>
      <c r="E31" s="119">
        <v>108.33333333333333</v>
      </c>
      <c r="F31" s="119">
        <v>108.33333333333333</v>
      </c>
      <c r="G31" s="119">
        <v>108.33333333333333</v>
      </c>
      <c r="H31" s="53">
        <f t="shared" si="4"/>
        <v>499.99999999999994</v>
      </c>
      <c r="I31" s="50">
        <f>'2021'!I32*1.048</f>
        <v>1038.108976</v>
      </c>
      <c r="J31" s="50">
        <f>'2021'!K32</f>
        <v>850</v>
      </c>
      <c r="K31" s="50">
        <v>884</v>
      </c>
      <c r="L31" s="50">
        <f>(I31-J31)*D31</f>
        <v>32919.070799999994</v>
      </c>
      <c r="M31" s="50">
        <f>(I31-J31)*E31</f>
        <v>20378.472399999999</v>
      </c>
      <c r="N31" s="50">
        <f>(I31-K31)*F31</f>
        <v>16695.139066666663</v>
      </c>
      <c r="O31" s="50">
        <f>(I31-K31)*G31</f>
        <v>16695.139066666663</v>
      </c>
      <c r="P31" s="54">
        <f t="shared" si="5"/>
        <v>86687.821333333326</v>
      </c>
      <c r="Q31" s="56"/>
      <c r="R31" s="50"/>
      <c r="S31" s="50"/>
      <c r="T31" s="27"/>
    </row>
    <row r="32" spans="1:20" s="19" customFormat="1" ht="34.5" customHeight="1">
      <c r="A32" s="51" t="s">
        <v>12</v>
      </c>
      <c r="B32" s="52" t="s">
        <v>66</v>
      </c>
      <c r="C32" s="140" t="s">
        <v>67</v>
      </c>
      <c r="D32" s="53">
        <v>1611.6000000000001</v>
      </c>
      <c r="E32" s="119">
        <v>48.9</v>
      </c>
      <c r="F32" s="119">
        <v>659.6</v>
      </c>
      <c r="G32" s="119">
        <v>920.30000000000007</v>
      </c>
      <c r="H32" s="53">
        <f t="shared" si="4"/>
        <v>3240.4000000000005</v>
      </c>
      <c r="I32" s="50">
        <f>'2021'!I33*1.048</f>
        <v>867.10052800000017</v>
      </c>
      <c r="J32" s="50">
        <f>'2021'!K33</f>
        <v>753</v>
      </c>
      <c r="K32" s="50">
        <v>783</v>
      </c>
      <c r="L32" s="50">
        <f>(I32-J32)*D32</f>
        <v>183884.41092480029</v>
      </c>
      <c r="M32" s="50">
        <f>(I32-J32)*E32</f>
        <v>5579.5158192000081</v>
      </c>
      <c r="N32" s="50">
        <f>(I32-K32)*F32</f>
        <v>55472.70826880011</v>
      </c>
      <c r="O32" s="50">
        <f>(I32-K32)*G32</f>
        <v>77397.715918400165</v>
      </c>
      <c r="P32" s="54">
        <f t="shared" si="5"/>
        <v>322334.35093120055</v>
      </c>
      <c r="Q32" s="56"/>
      <c r="R32" s="50"/>
      <c r="S32" s="50"/>
      <c r="T32" s="27"/>
    </row>
    <row r="33" spans="1:20" s="19" customFormat="1" ht="27" customHeight="1">
      <c r="A33" s="51" t="str">
        <f>'2021'!A34</f>
        <v>АО "Группа "Илим"</v>
      </c>
      <c r="B33" s="51" t="str">
        <f>'2021'!B34</f>
        <v>МО "Приводинское"</v>
      </c>
      <c r="C33" s="52" t="str">
        <f>'2021'!C34</f>
        <v>круглые длиной 1 м и более</v>
      </c>
      <c r="D33" s="53">
        <v>1100</v>
      </c>
      <c r="E33" s="119">
        <v>1100</v>
      </c>
      <c r="F33" s="119">
        <v>1100</v>
      </c>
      <c r="G33" s="119">
        <v>1100</v>
      </c>
      <c r="H33" s="53">
        <f t="shared" si="4"/>
        <v>4400</v>
      </c>
      <c r="I33" s="50">
        <f>'2021'!I34</f>
        <v>694.54399999999998</v>
      </c>
      <c r="J33" s="50">
        <f>'2021'!K34</f>
        <v>627.5</v>
      </c>
      <c r="K33" s="50">
        <f>783/1.2</f>
        <v>652.5</v>
      </c>
      <c r="L33" s="50">
        <f>(I33-J33)*D33</f>
        <v>73748.39999999998</v>
      </c>
      <c r="M33" s="50">
        <f>(I33-J33)*E33</f>
        <v>73748.39999999998</v>
      </c>
      <c r="N33" s="50">
        <f>(I33-K33)*F33</f>
        <v>46248.39999999998</v>
      </c>
      <c r="O33" s="50">
        <f>(I33-K33)*G33</f>
        <v>46248.39999999998</v>
      </c>
      <c r="P33" s="54">
        <f t="shared" si="5"/>
        <v>239993.59999999992</v>
      </c>
      <c r="Q33" s="56"/>
      <c r="R33" s="50"/>
      <c r="S33" s="50"/>
      <c r="T33" s="27"/>
    </row>
    <row r="34" spans="1:20" s="19" customFormat="1" ht="27" customHeight="1">
      <c r="A34" s="51" t="str">
        <f>'2021'!A35</f>
        <v>АО "Группа "Илим"</v>
      </c>
      <c r="B34" s="51" t="str">
        <f>'2021'!B35</f>
        <v>МО "Черемушское"</v>
      </c>
      <c r="C34" s="52" t="str">
        <f>'2021'!C35</f>
        <v>круглые длиной 1 м и более</v>
      </c>
      <c r="D34" s="53">
        <v>450</v>
      </c>
      <c r="E34" s="119">
        <v>450</v>
      </c>
      <c r="F34" s="119">
        <v>450</v>
      </c>
      <c r="G34" s="119">
        <v>450</v>
      </c>
      <c r="H34" s="53">
        <f t="shared" si="4"/>
        <v>1800</v>
      </c>
      <c r="I34" s="50">
        <f>'2021'!I35</f>
        <v>694.54399999999998</v>
      </c>
      <c r="J34" s="50">
        <f>'2021'!K35</f>
        <v>627.5</v>
      </c>
      <c r="K34" s="50">
        <f>783/1.2</f>
        <v>652.5</v>
      </c>
      <c r="L34" s="50">
        <f>(I34-J34)*D34</f>
        <v>30169.799999999992</v>
      </c>
      <c r="M34" s="50">
        <f>(I34-J34)*E34</f>
        <v>30169.799999999992</v>
      </c>
      <c r="N34" s="50">
        <f>(I34-K34)*F34</f>
        <v>18919.799999999992</v>
      </c>
      <c r="O34" s="50">
        <f>(I34-K34)*G34</f>
        <v>18919.799999999992</v>
      </c>
      <c r="P34" s="54">
        <f t="shared" si="5"/>
        <v>98179.199999999968</v>
      </c>
      <c r="Q34" s="56"/>
      <c r="R34" s="50"/>
      <c r="S34" s="50"/>
      <c r="T34" s="27"/>
    </row>
    <row r="35" spans="1:20" s="19" customFormat="1" ht="27" customHeight="1">
      <c r="A35" s="51" t="str">
        <f>'2021'!A36</f>
        <v>АО "Группа "Илим"</v>
      </c>
      <c r="B35" s="51" t="str">
        <f>'2021'!B36</f>
        <v>МО "Сольвычегодское"</v>
      </c>
      <c r="C35" s="52" t="str">
        <f>'2021'!C36</f>
        <v>круглые длиной 1 м и более</v>
      </c>
      <c r="D35" s="53">
        <v>625</v>
      </c>
      <c r="E35" s="119">
        <v>625</v>
      </c>
      <c r="F35" s="119">
        <v>625</v>
      </c>
      <c r="G35" s="119">
        <v>625</v>
      </c>
      <c r="H35" s="53">
        <f t="shared" si="4"/>
        <v>2500</v>
      </c>
      <c r="I35" s="50">
        <f>'2021'!I36</f>
        <v>694.54399999999998</v>
      </c>
      <c r="J35" s="50">
        <f>'2021'!K36</f>
        <v>627.5</v>
      </c>
      <c r="K35" s="50">
        <f>783/1.2</f>
        <v>652.5</v>
      </c>
      <c r="L35" s="50">
        <f>(I35-J35)*D35</f>
        <v>41902.499999999993</v>
      </c>
      <c r="M35" s="50">
        <f>(I35-J35)*E35</f>
        <v>41902.499999999993</v>
      </c>
      <c r="N35" s="50">
        <f>(I35-K35)*F35</f>
        <v>26277.499999999989</v>
      </c>
      <c r="O35" s="50">
        <f>(I35-K35)*G35</f>
        <v>26277.499999999989</v>
      </c>
      <c r="P35" s="54">
        <f t="shared" si="5"/>
        <v>136359.99999999997</v>
      </c>
      <c r="Q35" s="56"/>
      <c r="R35" s="50"/>
      <c r="S35" s="50"/>
      <c r="T35" s="27"/>
    </row>
    <row r="36" spans="1:20" s="19" customFormat="1" ht="19.5" customHeight="1">
      <c r="A36" s="102" t="s">
        <v>9</v>
      </c>
      <c r="B36" s="102"/>
      <c r="C36" s="141"/>
      <c r="D36" s="107"/>
      <c r="E36" s="107"/>
      <c r="F36" s="107"/>
      <c r="G36" s="107"/>
      <c r="H36" s="107">
        <f t="shared" si="4"/>
        <v>0</v>
      </c>
      <c r="I36" s="106"/>
      <c r="J36" s="106"/>
      <c r="K36" s="106"/>
      <c r="L36" s="106"/>
      <c r="M36" s="106"/>
      <c r="N36" s="106"/>
      <c r="O36" s="106"/>
      <c r="P36" s="108"/>
      <c r="Q36" s="104"/>
      <c r="R36" s="104"/>
      <c r="S36" s="104"/>
      <c r="T36" s="27"/>
    </row>
    <row r="37" spans="1:20" s="21" customFormat="1" ht="48" customHeight="1">
      <c r="A37" s="52" t="s">
        <v>2</v>
      </c>
      <c r="B37" s="52" t="s">
        <v>38</v>
      </c>
      <c r="C37" s="140" t="s">
        <v>24</v>
      </c>
      <c r="D37" s="53">
        <v>1348.1</v>
      </c>
      <c r="E37" s="53">
        <v>402.7</v>
      </c>
      <c r="F37" s="53">
        <v>68.31</v>
      </c>
      <c r="G37" s="53">
        <v>1018.24</v>
      </c>
      <c r="H37" s="53">
        <f t="shared" si="4"/>
        <v>2837.35</v>
      </c>
      <c r="I37" s="50">
        <f>'2021'!I38*1.048</f>
        <v>1615.2710453879943</v>
      </c>
      <c r="J37" s="50">
        <f>'2021'!K38</f>
        <v>1088</v>
      </c>
      <c r="K37" s="50">
        <v>1131</v>
      </c>
      <c r="L37" s="50">
        <f>(I37-J37)*D37</f>
        <v>710814.09628755506</v>
      </c>
      <c r="M37" s="50">
        <f>(I37-J37)*E37</f>
        <v>212332.04997774528</v>
      </c>
      <c r="N37" s="50">
        <f>(I37-K37)*F37</f>
        <v>33080.55511045389</v>
      </c>
      <c r="O37" s="50">
        <f>(I37-K37)*G37</f>
        <v>493104.14925587131</v>
      </c>
      <c r="P37" s="54">
        <f t="shared" si="5"/>
        <v>1449330.8506316254</v>
      </c>
      <c r="Q37" s="56"/>
      <c r="R37" s="50"/>
      <c r="S37" s="50"/>
      <c r="T37" s="20"/>
    </row>
    <row r="38" spans="1:20" s="21" customFormat="1" ht="18.75" customHeight="1">
      <c r="A38" s="102" t="s">
        <v>10</v>
      </c>
      <c r="B38" s="102"/>
      <c r="C38" s="141"/>
      <c r="D38" s="107"/>
      <c r="E38" s="107"/>
      <c r="F38" s="107"/>
      <c r="G38" s="107"/>
      <c r="H38" s="107">
        <f t="shared" si="4"/>
        <v>0</v>
      </c>
      <c r="I38" s="106"/>
      <c r="J38" s="106"/>
      <c r="K38" s="106"/>
      <c r="L38" s="106"/>
      <c r="M38" s="106"/>
      <c r="N38" s="106"/>
      <c r="O38" s="106"/>
      <c r="P38" s="108"/>
      <c r="Q38" s="110"/>
      <c r="R38" s="106"/>
      <c r="S38" s="106"/>
      <c r="T38" s="20"/>
    </row>
    <row r="39" spans="1:20" s="19" customFormat="1" ht="27" customHeight="1">
      <c r="A39" s="52" t="s">
        <v>73</v>
      </c>
      <c r="B39" s="52" t="s">
        <v>34</v>
      </c>
      <c r="C39" s="140" t="s">
        <v>24</v>
      </c>
      <c r="D39" s="53">
        <v>1036</v>
      </c>
      <c r="E39" s="53">
        <v>231</v>
      </c>
      <c r="F39" s="53">
        <v>1591</v>
      </c>
      <c r="G39" s="53">
        <v>0</v>
      </c>
      <c r="H39" s="53">
        <f t="shared" si="4"/>
        <v>2858</v>
      </c>
      <c r="I39" s="50">
        <f>'2021'!I40*1.048</f>
        <v>2879.182390747625</v>
      </c>
      <c r="J39" s="50">
        <f>'2021'!K40</f>
        <v>1088</v>
      </c>
      <c r="K39" s="50">
        <v>1131</v>
      </c>
      <c r="L39" s="50">
        <f t="shared" ref="L39:L46" si="6">(I39-J39)*D39</f>
        <v>1855664.9568145396</v>
      </c>
      <c r="M39" s="50">
        <f t="shared" ref="M39:M46" si="7">(I39-J39)*E39</f>
        <v>413763.1322627014</v>
      </c>
      <c r="N39" s="50">
        <f t="shared" ref="N39:N46" si="8">(I39-K39)*F39</f>
        <v>2781358.1836794713</v>
      </c>
      <c r="O39" s="50">
        <f t="shared" ref="O39:O46" si="9">(I39-K39)*G39</f>
        <v>0</v>
      </c>
      <c r="P39" s="54">
        <f t="shared" si="5"/>
        <v>5050786.2727567125</v>
      </c>
      <c r="Q39" s="48"/>
      <c r="R39" s="48"/>
      <c r="S39" s="48"/>
      <c r="T39" s="27"/>
    </row>
    <row r="40" spans="1:20" s="23" customFormat="1" ht="27" customHeight="1">
      <c r="A40" s="52" t="s">
        <v>73</v>
      </c>
      <c r="B40" s="51" t="s">
        <v>54</v>
      </c>
      <c r="C40" s="140" t="s">
        <v>24</v>
      </c>
      <c r="D40" s="53">
        <v>125</v>
      </c>
      <c r="E40" s="53">
        <v>125</v>
      </c>
      <c r="F40" s="53">
        <v>125</v>
      </c>
      <c r="G40" s="53">
        <v>125</v>
      </c>
      <c r="H40" s="53">
        <f t="shared" si="4"/>
        <v>500</v>
      </c>
      <c r="I40" s="50">
        <f>'2021'!I41*1.048</f>
        <v>2879.182390747625</v>
      </c>
      <c r="J40" s="50">
        <f>'2021'!K41</f>
        <v>1088</v>
      </c>
      <c r="K40" s="50">
        <v>1131</v>
      </c>
      <c r="L40" s="50">
        <f t="shared" si="6"/>
        <v>223897.79884345314</v>
      </c>
      <c r="M40" s="50">
        <f t="shared" si="7"/>
        <v>223897.79884345314</v>
      </c>
      <c r="N40" s="50">
        <f t="shared" si="8"/>
        <v>218522.79884345314</v>
      </c>
      <c r="O40" s="50">
        <f t="shared" si="9"/>
        <v>218522.79884345314</v>
      </c>
      <c r="P40" s="54">
        <f t="shared" si="5"/>
        <v>884841.19537381257</v>
      </c>
      <c r="Q40" s="56"/>
      <c r="R40" s="50"/>
      <c r="S40" s="50"/>
      <c r="T40" s="22"/>
    </row>
    <row r="41" spans="1:20" s="23" customFormat="1" ht="27" customHeight="1">
      <c r="A41" s="52" t="s">
        <v>55</v>
      </c>
      <c r="B41" s="52" t="s">
        <v>56</v>
      </c>
      <c r="C41" s="140" t="s">
        <v>24</v>
      </c>
      <c r="D41" s="53">
        <v>210.75</v>
      </c>
      <c r="E41" s="53">
        <v>210.75</v>
      </c>
      <c r="F41" s="53">
        <v>210.75</v>
      </c>
      <c r="G41" s="53">
        <v>210.75</v>
      </c>
      <c r="H41" s="53">
        <f t="shared" si="4"/>
        <v>843</v>
      </c>
      <c r="I41" s="50">
        <f>'2021'!I42*1.048</f>
        <v>2410.4</v>
      </c>
      <c r="J41" s="50">
        <f>'2021'!K42</f>
        <v>1088</v>
      </c>
      <c r="K41" s="50">
        <v>1131</v>
      </c>
      <c r="L41" s="50">
        <f t="shared" si="6"/>
        <v>278695.80000000005</v>
      </c>
      <c r="M41" s="50">
        <f t="shared" si="7"/>
        <v>278695.80000000005</v>
      </c>
      <c r="N41" s="50">
        <f t="shared" si="8"/>
        <v>269633.55000000005</v>
      </c>
      <c r="O41" s="50">
        <f t="shared" si="9"/>
        <v>269633.55000000005</v>
      </c>
      <c r="P41" s="54">
        <f t="shared" si="5"/>
        <v>1096658.7000000002</v>
      </c>
      <c r="Q41" s="56"/>
      <c r="R41" s="50"/>
      <c r="S41" s="50"/>
      <c r="T41" s="22"/>
    </row>
    <row r="42" spans="1:20" s="23" customFormat="1" ht="34.5" customHeight="1">
      <c r="A42" s="52" t="s">
        <v>69</v>
      </c>
      <c r="B42" s="52" t="s">
        <v>70</v>
      </c>
      <c r="C42" s="140" t="s">
        <v>24</v>
      </c>
      <c r="D42" s="53">
        <v>512</v>
      </c>
      <c r="E42" s="53">
        <v>298.63</v>
      </c>
      <c r="F42" s="53">
        <v>0</v>
      </c>
      <c r="G42" s="53">
        <v>0</v>
      </c>
      <c r="H42" s="53">
        <f t="shared" si="4"/>
        <v>810.63</v>
      </c>
      <c r="I42" s="50">
        <f>'2021'!I43*1.048</f>
        <v>2463.5274352941174</v>
      </c>
      <c r="J42" s="50">
        <f>'2021'!K43</f>
        <v>1088</v>
      </c>
      <c r="K42" s="50">
        <v>1131</v>
      </c>
      <c r="L42" s="50">
        <f t="shared" si="6"/>
        <v>704270.04687058809</v>
      </c>
      <c r="M42" s="50">
        <f t="shared" si="7"/>
        <v>410773.75800188229</v>
      </c>
      <c r="N42" s="50">
        <f t="shared" si="8"/>
        <v>0</v>
      </c>
      <c r="O42" s="50">
        <f t="shared" si="9"/>
        <v>0</v>
      </c>
      <c r="P42" s="54">
        <f t="shared" si="5"/>
        <v>1115043.8048724704</v>
      </c>
      <c r="Q42" s="56"/>
      <c r="R42" s="50"/>
      <c r="S42" s="50"/>
      <c r="T42" s="22"/>
    </row>
    <row r="43" spans="1:20" s="23" customFormat="1" ht="68.25" customHeight="1">
      <c r="A43" s="52" t="s">
        <v>29</v>
      </c>
      <c r="B43" s="52" t="s">
        <v>124</v>
      </c>
      <c r="C43" s="140" t="s">
        <v>24</v>
      </c>
      <c r="D43" s="53">
        <v>6123</v>
      </c>
      <c r="E43" s="53">
        <v>5213</v>
      </c>
      <c r="F43" s="53">
        <v>3007</v>
      </c>
      <c r="G43" s="53">
        <v>3007</v>
      </c>
      <c r="H43" s="53">
        <f t="shared" si="4"/>
        <v>17350</v>
      </c>
      <c r="I43" s="50">
        <f>'2021'!I44*1.048</f>
        <v>2872.0649600000002</v>
      </c>
      <c r="J43" s="50">
        <f>'2021'!K44</f>
        <v>1088</v>
      </c>
      <c r="K43" s="50">
        <v>1131</v>
      </c>
      <c r="L43" s="50">
        <f t="shared" si="6"/>
        <v>10923829.750080001</v>
      </c>
      <c r="M43" s="50">
        <f t="shared" si="7"/>
        <v>9300330.6364800017</v>
      </c>
      <c r="N43" s="50">
        <f t="shared" si="8"/>
        <v>5235382.3347200006</v>
      </c>
      <c r="O43" s="50">
        <f t="shared" si="9"/>
        <v>5235382.3347200006</v>
      </c>
      <c r="P43" s="54">
        <f t="shared" si="5"/>
        <v>30694925.056000002</v>
      </c>
      <c r="Q43" s="56"/>
      <c r="R43" s="50"/>
      <c r="S43" s="50"/>
      <c r="T43" s="22"/>
    </row>
    <row r="44" spans="1:20" s="23" customFormat="1" ht="27" customHeight="1">
      <c r="A44" s="52" t="s">
        <v>29</v>
      </c>
      <c r="B44" s="52" t="s">
        <v>31</v>
      </c>
      <c r="C44" s="140" t="s">
        <v>24</v>
      </c>
      <c r="D44" s="53">
        <v>0</v>
      </c>
      <c r="E44" s="53">
        <v>255</v>
      </c>
      <c r="F44" s="53">
        <v>1223</v>
      </c>
      <c r="G44" s="53">
        <v>815</v>
      </c>
      <c r="H44" s="53">
        <f t="shared" si="4"/>
        <v>2293</v>
      </c>
      <c r="I44" s="50">
        <f>'2021'!I45*1.048</f>
        <v>5723.3019680000007</v>
      </c>
      <c r="J44" s="50">
        <f>'2021'!K45</f>
        <v>1088</v>
      </c>
      <c r="K44" s="50">
        <v>1131</v>
      </c>
      <c r="L44" s="50">
        <f t="shared" si="6"/>
        <v>0</v>
      </c>
      <c r="M44" s="50">
        <f t="shared" si="7"/>
        <v>1182002.0018400003</v>
      </c>
      <c r="N44" s="50">
        <f t="shared" si="8"/>
        <v>5616385.3068640009</v>
      </c>
      <c r="O44" s="50">
        <f t="shared" si="9"/>
        <v>3742726.1039200006</v>
      </c>
      <c r="P44" s="54">
        <f t="shared" si="5"/>
        <v>10541113.412624002</v>
      </c>
      <c r="Q44" s="56"/>
      <c r="R44" s="50"/>
      <c r="S44" s="50"/>
      <c r="T44" s="22"/>
    </row>
    <row r="45" spans="1:20" s="19" customFormat="1" ht="27" customHeight="1">
      <c r="A45" s="52" t="s">
        <v>35</v>
      </c>
      <c r="B45" s="52" t="s">
        <v>10</v>
      </c>
      <c r="C45" s="140" t="s">
        <v>24</v>
      </c>
      <c r="D45" s="53">
        <v>250</v>
      </c>
      <c r="E45" s="53">
        <v>250</v>
      </c>
      <c r="F45" s="53">
        <v>250</v>
      </c>
      <c r="G45" s="53">
        <v>250</v>
      </c>
      <c r="H45" s="53">
        <f t="shared" si="4"/>
        <v>1000</v>
      </c>
      <c r="I45" s="50">
        <f>'2021'!I46*1.048</f>
        <v>2410.4</v>
      </c>
      <c r="J45" s="50">
        <f>'2021'!K46</f>
        <v>1088</v>
      </c>
      <c r="K45" s="50">
        <v>1131</v>
      </c>
      <c r="L45" s="50">
        <f t="shared" si="6"/>
        <v>330600</v>
      </c>
      <c r="M45" s="50">
        <f t="shared" si="7"/>
        <v>330600</v>
      </c>
      <c r="N45" s="50">
        <f t="shared" si="8"/>
        <v>319850</v>
      </c>
      <c r="O45" s="50">
        <f t="shared" si="9"/>
        <v>319850</v>
      </c>
      <c r="P45" s="54">
        <f t="shared" si="5"/>
        <v>1300900</v>
      </c>
      <c r="Q45" s="56"/>
      <c r="R45" s="50"/>
      <c r="S45" s="50"/>
      <c r="T45" s="27"/>
    </row>
    <row r="46" spans="1:20" s="19" customFormat="1" ht="27" customHeight="1">
      <c r="A46" s="61" t="s">
        <v>125</v>
      </c>
      <c r="B46" s="61" t="s">
        <v>54</v>
      </c>
      <c r="C46" s="142" t="s">
        <v>24</v>
      </c>
      <c r="D46" s="120">
        <v>1000</v>
      </c>
      <c r="E46" s="120">
        <v>1000</v>
      </c>
      <c r="F46" s="120">
        <v>1000</v>
      </c>
      <c r="G46" s="120">
        <v>1000</v>
      </c>
      <c r="H46" s="120">
        <f t="shared" si="4"/>
        <v>4000</v>
      </c>
      <c r="I46" s="62">
        <f>'2021'!I47*1.048</f>
        <v>2872.0649600000002</v>
      </c>
      <c r="J46" s="62">
        <f>'2021'!K47</f>
        <v>1088</v>
      </c>
      <c r="K46" s="62">
        <v>1131</v>
      </c>
      <c r="L46" s="50">
        <f t="shared" si="6"/>
        <v>1784064.9600000002</v>
      </c>
      <c r="M46" s="50">
        <f t="shared" si="7"/>
        <v>1784064.9600000002</v>
      </c>
      <c r="N46" s="50">
        <f t="shared" si="8"/>
        <v>1741064.9600000002</v>
      </c>
      <c r="O46" s="50">
        <f t="shared" si="9"/>
        <v>1741064.9600000002</v>
      </c>
      <c r="P46" s="54">
        <f t="shared" si="5"/>
        <v>7050259.8400000008</v>
      </c>
      <c r="Q46" s="71"/>
      <c r="R46" s="62"/>
      <c r="S46" s="62"/>
      <c r="T46" s="27"/>
    </row>
    <row r="47" spans="1:20" s="19" customFormat="1" ht="24" customHeight="1">
      <c r="A47" s="102" t="s">
        <v>59</v>
      </c>
      <c r="B47" s="102"/>
      <c r="C47" s="141"/>
      <c r="D47" s="107"/>
      <c r="E47" s="107"/>
      <c r="F47" s="107"/>
      <c r="G47" s="107"/>
      <c r="H47" s="107">
        <f t="shared" si="4"/>
        <v>0</v>
      </c>
      <c r="I47" s="106"/>
      <c r="J47" s="106"/>
      <c r="K47" s="106"/>
      <c r="L47" s="106"/>
      <c r="M47" s="106"/>
      <c r="N47" s="106"/>
      <c r="O47" s="106"/>
      <c r="P47" s="108"/>
      <c r="Q47" s="110"/>
      <c r="R47" s="106"/>
      <c r="S47" s="106"/>
      <c r="T47" s="27"/>
    </row>
    <row r="48" spans="1:20" s="25" customFormat="1" ht="27" customHeight="1">
      <c r="A48" s="59" t="s">
        <v>107</v>
      </c>
      <c r="B48" s="59" t="s">
        <v>108</v>
      </c>
      <c r="C48" s="142" t="s">
        <v>25</v>
      </c>
      <c r="D48" s="53">
        <v>1250</v>
      </c>
      <c r="E48" s="53">
        <v>1250</v>
      </c>
      <c r="F48" s="53">
        <v>1250</v>
      </c>
      <c r="G48" s="53">
        <v>1250</v>
      </c>
      <c r="H48" s="53">
        <f t="shared" si="4"/>
        <v>5000</v>
      </c>
      <c r="I48" s="50">
        <f>'2021'!I49*1.048</f>
        <v>1152.8</v>
      </c>
      <c r="J48" s="50">
        <f>'2021'!K49</f>
        <v>715</v>
      </c>
      <c r="K48" s="50">
        <v>743</v>
      </c>
      <c r="L48" s="50">
        <f>(I48-J48)*D48</f>
        <v>547250</v>
      </c>
      <c r="M48" s="50">
        <f>(I48-J48)*E48</f>
        <v>547250</v>
      </c>
      <c r="N48" s="50">
        <f>(I48-K48)*F48</f>
        <v>512249.99999999994</v>
      </c>
      <c r="O48" s="50">
        <f>(I48-K48)*G48</f>
        <v>512249.99999999994</v>
      </c>
      <c r="P48" s="54">
        <f t="shared" si="5"/>
        <v>2119000</v>
      </c>
      <c r="Q48" s="48"/>
      <c r="R48" s="48"/>
      <c r="S48" s="48"/>
      <c r="T48" s="27"/>
    </row>
    <row r="49" spans="1:20" s="19" customFormat="1" ht="24" customHeight="1">
      <c r="A49" s="102" t="s">
        <v>83</v>
      </c>
      <c r="B49" s="118"/>
      <c r="C49" s="143"/>
      <c r="D49" s="107"/>
      <c r="E49" s="107"/>
      <c r="F49" s="107"/>
      <c r="G49" s="107"/>
      <c r="H49" s="107">
        <f t="shared" si="4"/>
        <v>0</v>
      </c>
      <c r="I49" s="106"/>
      <c r="J49" s="106"/>
      <c r="K49" s="106"/>
      <c r="L49" s="106"/>
      <c r="M49" s="106"/>
      <c r="N49" s="106"/>
      <c r="O49" s="106"/>
      <c r="P49" s="108"/>
      <c r="Q49" s="110"/>
      <c r="R49" s="106"/>
      <c r="S49" s="106"/>
      <c r="T49" s="27"/>
    </row>
    <row r="50" spans="1:20" s="19" customFormat="1" ht="27" customHeight="1">
      <c r="A50" s="51" t="s">
        <v>84</v>
      </c>
      <c r="B50" s="52" t="s">
        <v>85</v>
      </c>
      <c r="C50" s="140" t="s">
        <v>25</v>
      </c>
      <c r="D50" s="53">
        <v>150</v>
      </c>
      <c r="E50" s="53">
        <v>150</v>
      </c>
      <c r="F50" s="53">
        <v>150</v>
      </c>
      <c r="G50" s="53">
        <v>150</v>
      </c>
      <c r="H50" s="53">
        <f t="shared" si="4"/>
        <v>600</v>
      </c>
      <c r="I50" s="50">
        <f>'2021'!I51*1.048</f>
        <v>872.46</v>
      </c>
      <c r="J50" s="50">
        <f>'2021'!K51</f>
        <v>450</v>
      </c>
      <c r="K50" s="50">
        <f>561/1.2</f>
        <v>467.5</v>
      </c>
      <c r="L50" s="50">
        <f>(I50-J50)*D50</f>
        <v>63369.000000000007</v>
      </c>
      <c r="M50" s="50">
        <f>(I50-J50)*E50</f>
        <v>63369.000000000007</v>
      </c>
      <c r="N50" s="50">
        <f>(I50-K50)*F50</f>
        <v>60744.000000000007</v>
      </c>
      <c r="O50" s="50">
        <f>(I50-K50)*G50</f>
        <v>60744.000000000007</v>
      </c>
      <c r="P50" s="54">
        <f t="shared" si="5"/>
        <v>248226.00000000003</v>
      </c>
      <c r="Q50" s="60"/>
      <c r="R50" s="50"/>
      <c r="S50" s="50"/>
      <c r="T50" s="27"/>
    </row>
    <row r="51" spans="1:20" s="25" customFormat="1" ht="27" customHeight="1">
      <c r="A51" s="51" t="s">
        <v>84</v>
      </c>
      <c r="B51" s="52" t="s">
        <v>86</v>
      </c>
      <c r="C51" s="140" t="s">
        <v>25</v>
      </c>
      <c r="D51" s="53">
        <v>875</v>
      </c>
      <c r="E51" s="53">
        <v>875</v>
      </c>
      <c r="F51" s="53">
        <v>875</v>
      </c>
      <c r="G51" s="53">
        <v>875</v>
      </c>
      <c r="H51" s="53">
        <f t="shared" si="4"/>
        <v>3500</v>
      </c>
      <c r="I51" s="50">
        <f>'2021'!I52*1.048</f>
        <v>872.46</v>
      </c>
      <c r="J51" s="50">
        <f>'2021'!K52</f>
        <v>450</v>
      </c>
      <c r="K51" s="50">
        <f>561/1.2</f>
        <v>467.5</v>
      </c>
      <c r="L51" s="50">
        <f>(I51-J51)*D51</f>
        <v>369652.50000000006</v>
      </c>
      <c r="M51" s="50">
        <f>(I51-J51)*E51</f>
        <v>369652.50000000006</v>
      </c>
      <c r="N51" s="50">
        <f>(I51-K51)*F51</f>
        <v>354340.00000000006</v>
      </c>
      <c r="O51" s="50">
        <f>(I51-K51)*G51</f>
        <v>354340.00000000006</v>
      </c>
      <c r="P51" s="54">
        <f t="shared" si="5"/>
        <v>1447985.0000000002</v>
      </c>
      <c r="Q51" s="48"/>
      <c r="R51" s="48"/>
      <c r="S51" s="48"/>
      <c r="T51" s="27"/>
    </row>
    <row r="52" spans="1:20" s="21" customFormat="1" ht="27" customHeight="1">
      <c r="A52" s="51" t="s">
        <v>84</v>
      </c>
      <c r="B52" s="52" t="s">
        <v>87</v>
      </c>
      <c r="C52" s="140" t="s">
        <v>25</v>
      </c>
      <c r="D52" s="53">
        <v>375</v>
      </c>
      <c r="E52" s="53">
        <v>375</v>
      </c>
      <c r="F52" s="53">
        <v>375</v>
      </c>
      <c r="G52" s="53">
        <v>375</v>
      </c>
      <c r="H52" s="53">
        <f t="shared" si="4"/>
        <v>1500</v>
      </c>
      <c r="I52" s="50">
        <f>'2021'!I53*1.048</f>
        <v>872.46</v>
      </c>
      <c r="J52" s="50">
        <f>'2021'!K53</f>
        <v>450</v>
      </c>
      <c r="K52" s="50">
        <f>561/1.2</f>
        <v>467.5</v>
      </c>
      <c r="L52" s="50">
        <f>(I52-J52)*D52</f>
        <v>158422.5</v>
      </c>
      <c r="M52" s="50">
        <f>(I52-J52)*E52</f>
        <v>158422.5</v>
      </c>
      <c r="N52" s="50">
        <f>(I52-K52)*F52</f>
        <v>151860</v>
      </c>
      <c r="O52" s="50">
        <f>(I52-K52)*G52</f>
        <v>151860</v>
      </c>
      <c r="P52" s="54">
        <f t="shared" si="5"/>
        <v>620565</v>
      </c>
      <c r="Q52" s="56"/>
      <c r="R52" s="50"/>
      <c r="S52" s="50"/>
      <c r="T52" s="17"/>
    </row>
    <row r="53" spans="1:20" s="21" customFormat="1" ht="45" customHeight="1">
      <c r="A53" s="51" t="str">
        <f>'2021'!A54</f>
        <v>ИП Юрьев Алексей Анатольевич</v>
      </c>
      <c r="B53" s="52" t="str">
        <f>'2021'!B54</f>
        <v>МО "Алексеевское", "Пермогорское", "Телеговское", "Черевковское"</v>
      </c>
      <c r="C53" s="52" t="str">
        <f>'2021'!C54</f>
        <v>круглые  длиной  1 м и менее</v>
      </c>
      <c r="D53" s="53">
        <v>1125</v>
      </c>
      <c r="E53" s="53">
        <v>1125</v>
      </c>
      <c r="F53" s="53">
        <v>1125</v>
      </c>
      <c r="G53" s="53">
        <v>1125</v>
      </c>
      <c r="H53" s="53">
        <f t="shared" si="4"/>
        <v>4500</v>
      </c>
      <c r="I53" s="50">
        <f>'2021'!I54*1.048</f>
        <v>1834</v>
      </c>
      <c r="J53" s="50">
        <f>'2021'!K54</f>
        <v>657</v>
      </c>
      <c r="K53" s="50">
        <v>683</v>
      </c>
      <c r="L53" s="50">
        <f>(I53-J53)*D53</f>
        <v>1324125</v>
      </c>
      <c r="M53" s="50">
        <f>(I53-J53)*E53</f>
        <v>1324125</v>
      </c>
      <c r="N53" s="50">
        <f>(I53-K53)*F53</f>
        <v>1294875</v>
      </c>
      <c r="O53" s="50">
        <f>(I53-K53)*G53</f>
        <v>1294875</v>
      </c>
      <c r="P53" s="54">
        <f t="shared" si="5"/>
        <v>5238000</v>
      </c>
      <c r="Q53" s="56"/>
      <c r="R53" s="50"/>
      <c r="S53" s="50"/>
      <c r="T53" s="17"/>
    </row>
    <row r="54" spans="1:20" s="21" customFormat="1" ht="24" customHeight="1">
      <c r="A54" s="102" t="s">
        <v>3</v>
      </c>
      <c r="B54" s="102"/>
      <c r="C54" s="141"/>
      <c r="D54" s="107"/>
      <c r="E54" s="107"/>
      <c r="F54" s="107"/>
      <c r="G54" s="107"/>
      <c r="H54" s="107">
        <f t="shared" si="4"/>
        <v>0</v>
      </c>
      <c r="I54" s="106"/>
      <c r="J54" s="106"/>
      <c r="K54" s="106"/>
      <c r="L54" s="106"/>
      <c r="M54" s="106"/>
      <c r="N54" s="106"/>
      <c r="O54" s="106"/>
      <c r="P54" s="108"/>
      <c r="Q54" s="110"/>
      <c r="R54" s="106"/>
      <c r="S54" s="106"/>
      <c r="T54" s="17"/>
    </row>
    <row r="55" spans="1:20" s="21" customFormat="1" ht="27" customHeight="1">
      <c r="A55" s="52" t="s">
        <v>16</v>
      </c>
      <c r="B55" s="51" t="s">
        <v>60</v>
      </c>
      <c r="C55" s="140" t="s">
        <v>25</v>
      </c>
      <c r="D55" s="53">
        <v>102</v>
      </c>
      <c r="E55" s="53">
        <v>141</v>
      </c>
      <c r="F55" s="53">
        <v>261</v>
      </c>
      <c r="G55" s="53">
        <v>120</v>
      </c>
      <c r="H55" s="53">
        <f t="shared" si="4"/>
        <v>624</v>
      </c>
      <c r="I55" s="50">
        <f>'2021'!I56*1.048</f>
        <v>1807.8000000000002</v>
      </c>
      <c r="J55" s="50">
        <f>897/1.2</f>
        <v>747.5</v>
      </c>
      <c r="K55" s="50">
        <f>932/1.2</f>
        <v>776.66666666666674</v>
      </c>
      <c r="L55" s="50">
        <f>(I55-J55)*D55</f>
        <v>108150.60000000002</v>
      </c>
      <c r="M55" s="50">
        <f>(I55-J55)*E55</f>
        <v>149502.30000000002</v>
      </c>
      <c r="N55" s="50">
        <f>(I55-K55)*F55</f>
        <v>269125.80000000005</v>
      </c>
      <c r="O55" s="50">
        <f>(I55-K55)*G55</f>
        <v>123736.00000000001</v>
      </c>
      <c r="P55" s="54">
        <f t="shared" si="5"/>
        <v>650514.70000000007</v>
      </c>
      <c r="Q55" s="56"/>
      <c r="R55" s="50"/>
      <c r="S55" s="50"/>
      <c r="T55" s="17"/>
    </row>
    <row r="56" spans="1:20" s="21" customFormat="1" ht="24" customHeight="1">
      <c r="A56" s="102" t="s">
        <v>11</v>
      </c>
      <c r="B56" s="102"/>
      <c r="C56" s="141"/>
      <c r="D56" s="107"/>
      <c r="E56" s="107"/>
      <c r="F56" s="107"/>
      <c r="G56" s="107"/>
      <c r="H56" s="107">
        <f t="shared" si="4"/>
        <v>0</v>
      </c>
      <c r="I56" s="106"/>
      <c r="J56" s="106"/>
      <c r="K56" s="106"/>
      <c r="L56" s="106"/>
      <c r="M56" s="106"/>
      <c r="N56" s="106"/>
      <c r="O56" s="106"/>
      <c r="P56" s="108"/>
      <c r="Q56" s="110"/>
      <c r="R56" s="106"/>
      <c r="S56" s="106"/>
      <c r="T56" s="17"/>
    </row>
    <row r="57" spans="1:20" s="21" customFormat="1" ht="27" customHeight="1">
      <c r="A57" s="52" t="s">
        <v>19</v>
      </c>
      <c r="B57" s="52" t="s">
        <v>20</v>
      </c>
      <c r="C57" s="140" t="s">
        <v>24</v>
      </c>
      <c r="D57" s="53">
        <v>944.7</v>
      </c>
      <c r="E57" s="53">
        <v>2001.6</v>
      </c>
      <c r="F57" s="53">
        <v>774.6</v>
      </c>
      <c r="G57" s="53">
        <v>1701.5</v>
      </c>
      <c r="H57" s="53">
        <f t="shared" si="4"/>
        <v>5422.4</v>
      </c>
      <c r="I57" s="50">
        <f>'2021'!I58*1.048</f>
        <v>2763.5403679999999</v>
      </c>
      <c r="J57" s="50">
        <f>'2021'!K58</f>
        <v>1061</v>
      </c>
      <c r="K57" s="50">
        <v>1103</v>
      </c>
      <c r="L57" s="50">
        <f t="shared" ref="L57:L65" si="10">(I57-J57)*D57</f>
        <v>1608389.8856496001</v>
      </c>
      <c r="M57" s="50">
        <f t="shared" ref="M57:M65" si="11">(I57-J57)*E57</f>
        <v>3407804.8005887996</v>
      </c>
      <c r="N57" s="50">
        <f t="shared" ref="N57:N65" si="12">(I57-K57)*F57</f>
        <v>1286254.5690528001</v>
      </c>
      <c r="O57" s="50">
        <f t="shared" ref="O57:O65" si="13">(I57-K57)*G57</f>
        <v>2825409.436152</v>
      </c>
      <c r="P57" s="54">
        <f t="shared" si="5"/>
        <v>9127858.6914431993</v>
      </c>
      <c r="Q57" s="56"/>
      <c r="R57" s="50"/>
      <c r="S57" s="50"/>
      <c r="T57" s="17"/>
    </row>
    <row r="58" spans="1:20" s="21" customFormat="1" ht="27" customHeight="1">
      <c r="A58" s="52" t="s">
        <v>19</v>
      </c>
      <c r="B58" s="52" t="s">
        <v>78</v>
      </c>
      <c r="C58" s="140" t="s">
        <v>24</v>
      </c>
      <c r="D58" s="53">
        <v>0</v>
      </c>
      <c r="E58" s="53">
        <v>155</v>
      </c>
      <c r="F58" s="53">
        <v>0</v>
      </c>
      <c r="G58" s="53">
        <v>0</v>
      </c>
      <c r="H58" s="53">
        <f t="shared" si="4"/>
        <v>155</v>
      </c>
      <c r="I58" s="50">
        <f>'2021'!I59*1.048</f>
        <v>2763.5403679999999</v>
      </c>
      <c r="J58" s="50">
        <f>'2021'!K59</f>
        <v>1061</v>
      </c>
      <c r="K58" s="50">
        <v>1103</v>
      </c>
      <c r="L58" s="50">
        <f t="shared" si="10"/>
        <v>0</v>
      </c>
      <c r="M58" s="50">
        <f t="shared" si="11"/>
        <v>263893.75704</v>
      </c>
      <c r="N58" s="50">
        <f t="shared" si="12"/>
        <v>0</v>
      </c>
      <c r="O58" s="50">
        <f t="shared" si="13"/>
        <v>0</v>
      </c>
      <c r="P58" s="54">
        <f t="shared" si="5"/>
        <v>263893.75704</v>
      </c>
      <c r="Q58" s="56"/>
      <c r="R58" s="50"/>
      <c r="S58" s="50"/>
      <c r="T58" s="17"/>
    </row>
    <row r="59" spans="1:20" s="21" customFormat="1" ht="27" customHeight="1">
      <c r="A59" s="52" t="s">
        <v>19</v>
      </c>
      <c r="B59" s="52" t="s">
        <v>21</v>
      </c>
      <c r="C59" s="140" t="s">
        <v>24</v>
      </c>
      <c r="D59" s="53">
        <v>338.2</v>
      </c>
      <c r="E59" s="53">
        <v>615.4</v>
      </c>
      <c r="F59" s="53">
        <v>1573.2</v>
      </c>
      <c r="G59" s="53">
        <v>1573.2</v>
      </c>
      <c r="H59" s="53">
        <f t="shared" si="4"/>
        <v>4100</v>
      </c>
      <c r="I59" s="50">
        <f>'2021'!I60*1.048</f>
        <v>3272.1808799999999</v>
      </c>
      <c r="J59" s="50">
        <f>'2021'!K60</f>
        <v>1061</v>
      </c>
      <c r="K59" s="50">
        <v>1103</v>
      </c>
      <c r="L59" s="50">
        <f t="shared" si="10"/>
        <v>747821.37361599994</v>
      </c>
      <c r="M59" s="50">
        <f t="shared" si="11"/>
        <v>1360760.7135519998</v>
      </c>
      <c r="N59" s="50">
        <f t="shared" si="12"/>
        <v>3412555.3604159998</v>
      </c>
      <c r="O59" s="50">
        <f t="shared" si="13"/>
        <v>3412555.3604159998</v>
      </c>
      <c r="P59" s="54">
        <f t="shared" si="5"/>
        <v>8933692.8079999983</v>
      </c>
      <c r="Q59" s="56"/>
      <c r="R59" s="50"/>
      <c r="S59" s="50"/>
      <c r="T59" s="17"/>
    </row>
    <row r="60" spans="1:20" s="21" customFormat="1" ht="27" customHeight="1">
      <c r="A60" s="52" t="s">
        <v>19</v>
      </c>
      <c r="B60" s="52" t="s">
        <v>36</v>
      </c>
      <c r="C60" s="140" t="s">
        <v>24</v>
      </c>
      <c r="D60" s="53">
        <v>0</v>
      </c>
      <c r="E60" s="53">
        <v>340.2</v>
      </c>
      <c r="F60" s="53">
        <v>417.2</v>
      </c>
      <c r="G60" s="53">
        <v>0</v>
      </c>
      <c r="H60" s="53">
        <f t="shared" si="4"/>
        <v>757.4</v>
      </c>
      <c r="I60" s="50">
        <f>'2021'!I61*1.048</f>
        <v>5267.2794400000002</v>
      </c>
      <c r="J60" s="50">
        <f>'2021'!K61</f>
        <v>1061</v>
      </c>
      <c r="K60" s="50">
        <v>1103</v>
      </c>
      <c r="L60" s="50">
        <f t="shared" si="10"/>
        <v>0</v>
      </c>
      <c r="M60" s="50">
        <f t="shared" si="11"/>
        <v>1430976.2654880001</v>
      </c>
      <c r="N60" s="50">
        <f t="shared" si="12"/>
        <v>1737337.382368</v>
      </c>
      <c r="O60" s="50">
        <f t="shared" si="13"/>
        <v>0</v>
      </c>
      <c r="P60" s="54">
        <f t="shared" si="5"/>
        <v>3168313.6478559999</v>
      </c>
      <c r="Q60" s="56"/>
      <c r="R60" s="50"/>
      <c r="S60" s="50"/>
      <c r="T60" s="17"/>
    </row>
    <row r="61" spans="1:20" s="21" customFormat="1" ht="27" customHeight="1">
      <c r="A61" s="52" t="s">
        <v>19</v>
      </c>
      <c r="B61" s="52" t="s">
        <v>115</v>
      </c>
      <c r="C61" s="140" t="s">
        <v>24</v>
      </c>
      <c r="D61" s="53">
        <v>87.5</v>
      </c>
      <c r="E61" s="53">
        <v>87.5</v>
      </c>
      <c r="F61" s="53">
        <v>87.5</v>
      </c>
      <c r="G61" s="53">
        <v>87.5</v>
      </c>
      <c r="H61" s="53">
        <f t="shared" si="4"/>
        <v>350</v>
      </c>
      <c r="I61" s="50">
        <f>'2021'!I62*1.048</f>
        <v>2864.3915040000006</v>
      </c>
      <c r="J61" s="50">
        <f>'2021'!K62</f>
        <v>1061</v>
      </c>
      <c r="K61" s="50">
        <v>1103</v>
      </c>
      <c r="L61" s="50">
        <f t="shared" si="10"/>
        <v>157796.75660000005</v>
      </c>
      <c r="M61" s="50">
        <f t="shared" si="11"/>
        <v>157796.75660000005</v>
      </c>
      <c r="N61" s="50">
        <f t="shared" si="12"/>
        <v>154121.75660000005</v>
      </c>
      <c r="O61" s="50">
        <f t="shared" si="13"/>
        <v>154121.75660000005</v>
      </c>
      <c r="P61" s="54">
        <f t="shared" si="5"/>
        <v>623837.02640000021</v>
      </c>
      <c r="Q61" s="56"/>
      <c r="R61" s="50"/>
      <c r="S61" s="50"/>
      <c r="T61" s="17"/>
    </row>
    <row r="62" spans="1:20" s="21" customFormat="1" ht="27" customHeight="1">
      <c r="A62" s="52" t="s">
        <v>27</v>
      </c>
      <c r="B62" s="52" t="s">
        <v>116</v>
      </c>
      <c r="C62" s="140" t="s">
        <v>24</v>
      </c>
      <c r="D62" s="53">
        <v>250</v>
      </c>
      <c r="E62" s="53">
        <v>250</v>
      </c>
      <c r="F62" s="53">
        <v>250</v>
      </c>
      <c r="G62" s="53">
        <v>250</v>
      </c>
      <c r="H62" s="53">
        <f t="shared" si="4"/>
        <v>1000</v>
      </c>
      <c r="I62" s="50">
        <f>'2021'!I63*1.048</f>
        <v>5711.6</v>
      </c>
      <c r="J62" s="50">
        <f>'2021'!K63</f>
        <v>884.16666666666674</v>
      </c>
      <c r="K62" s="50">
        <f>1103/1.2</f>
        <v>919.16666666666674</v>
      </c>
      <c r="L62" s="50">
        <f t="shared" si="10"/>
        <v>1206858.3333333333</v>
      </c>
      <c r="M62" s="50">
        <f t="shared" si="11"/>
        <v>1206858.3333333333</v>
      </c>
      <c r="N62" s="50">
        <f t="shared" si="12"/>
        <v>1198108.3333333333</v>
      </c>
      <c r="O62" s="50">
        <f t="shared" si="13"/>
        <v>1198108.3333333333</v>
      </c>
      <c r="P62" s="54">
        <f t="shared" si="5"/>
        <v>4809933.333333333</v>
      </c>
      <c r="Q62" s="56"/>
      <c r="R62" s="50"/>
      <c r="S62" s="50"/>
      <c r="T62" s="17"/>
    </row>
    <row r="63" spans="1:20" s="21" customFormat="1" ht="27" customHeight="1">
      <c r="A63" s="52" t="s">
        <v>27</v>
      </c>
      <c r="B63" s="52" t="s">
        <v>36</v>
      </c>
      <c r="C63" s="140" t="s">
        <v>24</v>
      </c>
      <c r="D63" s="53">
        <v>282</v>
      </c>
      <c r="E63" s="53">
        <v>86.5</v>
      </c>
      <c r="F63" s="53">
        <v>416</v>
      </c>
      <c r="G63" s="53">
        <v>0</v>
      </c>
      <c r="H63" s="53">
        <f t="shared" si="4"/>
        <v>784.5</v>
      </c>
      <c r="I63" s="50">
        <f>'2021'!I64*1.048</f>
        <v>2650.1652997668998</v>
      </c>
      <c r="J63" s="50">
        <f>'2021'!K64</f>
        <v>884.16666666666674</v>
      </c>
      <c r="K63" s="50">
        <f>1103/1.2</f>
        <v>919.16666666666674</v>
      </c>
      <c r="L63" s="50">
        <f t="shared" si="10"/>
        <v>498011.61453426571</v>
      </c>
      <c r="M63" s="50">
        <f t="shared" si="11"/>
        <v>152758.88176317015</v>
      </c>
      <c r="N63" s="50">
        <f t="shared" si="12"/>
        <v>720095.43136969698</v>
      </c>
      <c r="O63" s="50">
        <f t="shared" si="13"/>
        <v>0</v>
      </c>
      <c r="P63" s="54">
        <f t="shared" si="5"/>
        <v>1370865.9276671328</v>
      </c>
      <c r="Q63" s="56"/>
      <c r="R63" s="50"/>
      <c r="S63" s="50"/>
      <c r="T63" s="17"/>
    </row>
    <row r="64" spans="1:20" s="21" customFormat="1" ht="77.25" customHeight="1">
      <c r="A64" s="52" t="s">
        <v>74</v>
      </c>
      <c r="B64" s="52" t="s">
        <v>118</v>
      </c>
      <c r="C64" s="140" t="s">
        <v>24</v>
      </c>
      <c r="D64" s="53">
        <v>113.95</v>
      </c>
      <c r="E64" s="53">
        <v>113.95</v>
      </c>
      <c r="F64" s="53">
        <v>113.95</v>
      </c>
      <c r="G64" s="53">
        <v>113.95</v>
      </c>
      <c r="H64" s="53">
        <f t="shared" si="4"/>
        <v>455.8</v>
      </c>
      <c r="I64" s="50">
        <f>'2021'!I65*1.048</f>
        <v>2763.5403679999999</v>
      </c>
      <c r="J64" s="50">
        <f>'2021'!K65</f>
        <v>1061</v>
      </c>
      <c r="K64" s="50">
        <v>1103</v>
      </c>
      <c r="L64" s="50">
        <f t="shared" si="10"/>
        <v>194004.47493359999</v>
      </c>
      <c r="M64" s="50">
        <f t="shared" si="11"/>
        <v>194004.47493359999</v>
      </c>
      <c r="N64" s="50">
        <f t="shared" si="12"/>
        <v>189218.5749336</v>
      </c>
      <c r="O64" s="50">
        <f t="shared" si="13"/>
        <v>189218.5749336</v>
      </c>
      <c r="P64" s="54">
        <f t="shared" si="5"/>
        <v>766446.09973440005</v>
      </c>
      <c r="Q64" s="56"/>
      <c r="R64" s="50"/>
      <c r="S64" s="50"/>
      <c r="T64" s="17"/>
    </row>
    <row r="65" spans="1:20" s="21" customFormat="1" ht="81.75" customHeight="1">
      <c r="A65" s="61" t="s">
        <v>117</v>
      </c>
      <c r="B65" s="61" t="s">
        <v>118</v>
      </c>
      <c r="C65" s="142" t="s">
        <v>24</v>
      </c>
      <c r="D65" s="120">
        <v>377</v>
      </c>
      <c r="E65" s="120">
        <v>377</v>
      </c>
      <c r="F65" s="120">
        <v>377</v>
      </c>
      <c r="G65" s="120">
        <v>377</v>
      </c>
      <c r="H65" s="120">
        <f t="shared" si="4"/>
        <v>1508</v>
      </c>
      <c r="I65" s="62">
        <f>'2021'!I66*1.048</f>
        <v>2763.5403679999999</v>
      </c>
      <c r="J65" s="62">
        <f>'2021'!K66</f>
        <v>1061</v>
      </c>
      <c r="K65" s="62">
        <v>1103</v>
      </c>
      <c r="L65" s="50">
        <f t="shared" si="10"/>
        <v>641857.71873600001</v>
      </c>
      <c r="M65" s="50">
        <f t="shared" si="11"/>
        <v>641857.71873600001</v>
      </c>
      <c r="N65" s="50">
        <f t="shared" si="12"/>
        <v>626023.71873600001</v>
      </c>
      <c r="O65" s="50">
        <f t="shared" si="13"/>
        <v>626023.71873600001</v>
      </c>
      <c r="P65" s="54">
        <f t="shared" si="5"/>
        <v>2535762.874944</v>
      </c>
      <c r="Q65" s="71"/>
      <c r="R65" s="62"/>
      <c r="S65" s="62"/>
      <c r="T65" s="17"/>
    </row>
    <row r="66" spans="1:20" s="21" customFormat="1" ht="24" customHeight="1">
      <c r="A66" s="102" t="s">
        <v>26</v>
      </c>
      <c r="B66" s="91"/>
      <c r="C66" s="143"/>
      <c r="D66" s="107"/>
      <c r="E66" s="107"/>
      <c r="F66" s="107"/>
      <c r="G66" s="107"/>
      <c r="H66" s="107">
        <f t="shared" si="4"/>
        <v>0</v>
      </c>
      <c r="I66" s="106"/>
      <c r="J66" s="106"/>
      <c r="K66" s="106"/>
      <c r="L66" s="106"/>
      <c r="M66" s="106"/>
      <c r="N66" s="106"/>
      <c r="O66" s="106"/>
      <c r="P66" s="108"/>
      <c r="Q66" s="110"/>
      <c r="R66" s="106"/>
      <c r="S66" s="106"/>
      <c r="T66" s="17"/>
    </row>
    <row r="67" spans="1:20" s="21" customFormat="1" ht="27" customHeight="1">
      <c r="A67" s="51" t="s">
        <v>109</v>
      </c>
      <c r="B67" s="52" t="s">
        <v>57</v>
      </c>
      <c r="C67" s="140" t="s">
        <v>25</v>
      </c>
      <c r="D67" s="53">
        <v>6000</v>
      </c>
      <c r="E67" s="53">
        <v>6000</v>
      </c>
      <c r="F67" s="53">
        <v>6000</v>
      </c>
      <c r="G67" s="53">
        <v>6000</v>
      </c>
      <c r="H67" s="53">
        <f t="shared" si="4"/>
        <v>24000</v>
      </c>
      <c r="I67" s="50">
        <f>'2021'!I68*1.048</f>
        <v>787.048</v>
      </c>
      <c r="J67" s="50">
        <f>805/1.2</f>
        <v>670.83333333333337</v>
      </c>
      <c r="K67" s="50">
        <f>837/1.2</f>
        <v>697.5</v>
      </c>
      <c r="L67" s="50">
        <f>(I67-J67)*D67</f>
        <v>697287.99999999977</v>
      </c>
      <c r="M67" s="50">
        <f>(I67-J67)*E67</f>
        <v>697287.99999999977</v>
      </c>
      <c r="N67" s="50">
        <f>(I67-K67)*F67</f>
        <v>537288</v>
      </c>
      <c r="O67" s="50">
        <f>(I67-K67)*G67</f>
        <v>537288</v>
      </c>
      <c r="P67" s="54">
        <f t="shared" si="5"/>
        <v>2469151.9999999995</v>
      </c>
      <c r="Q67" s="56"/>
      <c r="R67" s="50"/>
      <c r="S67" s="50"/>
      <c r="T67" s="17"/>
    </row>
    <row r="68" spans="1:20" s="21" customFormat="1" ht="24" customHeight="1">
      <c r="A68" s="102" t="s">
        <v>0</v>
      </c>
      <c r="B68" s="102"/>
      <c r="C68" s="141"/>
      <c r="D68" s="107"/>
      <c r="E68" s="107"/>
      <c r="F68" s="107"/>
      <c r="G68" s="107"/>
      <c r="H68" s="107">
        <f t="shared" si="4"/>
        <v>0</v>
      </c>
      <c r="I68" s="106"/>
      <c r="J68" s="106"/>
      <c r="K68" s="106"/>
      <c r="L68" s="106"/>
      <c r="M68" s="106"/>
      <c r="N68" s="106"/>
      <c r="O68" s="106"/>
      <c r="P68" s="108"/>
      <c r="Q68" s="110"/>
      <c r="R68" s="106"/>
      <c r="S68" s="106"/>
      <c r="T68" s="17"/>
    </row>
    <row r="69" spans="1:20" s="21" customFormat="1" ht="27" customHeight="1">
      <c r="A69" s="51" t="s">
        <v>18</v>
      </c>
      <c r="B69" s="51" t="s">
        <v>49</v>
      </c>
      <c r="C69" s="140" t="s">
        <v>24</v>
      </c>
      <c r="D69" s="53">
        <v>0</v>
      </c>
      <c r="E69" s="53">
        <v>215.8</v>
      </c>
      <c r="F69" s="53">
        <v>92.1</v>
      </c>
      <c r="G69" s="53">
        <v>92.1</v>
      </c>
      <c r="H69" s="53">
        <f t="shared" si="4"/>
        <v>400</v>
      </c>
      <c r="I69" s="50">
        <f>'2021'!I70*1.048</f>
        <v>2155.0072641350212</v>
      </c>
      <c r="J69" s="50">
        <f>'2021'!K70</f>
        <v>1082</v>
      </c>
      <c r="K69" s="50">
        <v>1125</v>
      </c>
      <c r="L69" s="50">
        <f>(I69-J69)*D69</f>
        <v>0</v>
      </c>
      <c r="M69" s="50">
        <f>(I69-J69)*E69</f>
        <v>231554.96760033758</v>
      </c>
      <c r="N69" s="50">
        <f>(I69-K69)*F69</f>
        <v>94863.669026835443</v>
      </c>
      <c r="O69" s="50">
        <f>(I69-K69)*G69</f>
        <v>94863.669026835443</v>
      </c>
      <c r="P69" s="54">
        <f t="shared" si="5"/>
        <v>421282.30565400852</v>
      </c>
      <c r="Q69" s="56"/>
      <c r="R69" s="50"/>
      <c r="S69" s="50"/>
      <c r="T69" s="17"/>
    </row>
    <row r="70" spans="1:20" s="18" customFormat="1" ht="27" customHeight="1">
      <c r="A70" s="52" t="s">
        <v>18</v>
      </c>
      <c r="B70" s="51" t="s">
        <v>50</v>
      </c>
      <c r="C70" s="140" t="s">
        <v>24</v>
      </c>
      <c r="D70" s="53">
        <v>0</v>
      </c>
      <c r="E70" s="53">
        <v>130</v>
      </c>
      <c r="F70" s="53">
        <v>140</v>
      </c>
      <c r="G70" s="53">
        <v>140</v>
      </c>
      <c r="H70" s="53">
        <f t="shared" si="4"/>
        <v>410</v>
      </c>
      <c r="I70" s="50">
        <f>'2021'!I71*1.048</f>
        <v>2090.7180313406848</v>
      </c>
      <c r="J70" s="50">
        <f>'2021'!K71</f>
        <v>1082</v>
      </c>
      <c r="K70" s="50">
        <v>1125</v>
      </c>
      <c r="L70" s="50">
        <f>(I70-J70)*D70</f>
        <v>0</v>
      </c>
      <c r="M70" s="50">
        <f>(I70-J70)*E70</f>
        <v>131133.34407428902</v>
      </c>
      <c r="N70" s="50">
        <f>(I70-K70)*F70</f>
        <v>135200.52438769586</v>
      </c>
      <c r="O70" s="50">
        <f>(I70-K70)*G70</f>
        <v>135200.52438769586</v>
      </c>
      <c r="P70" s="54">
        <f t="shared" si="5"/>
        <v>401534.39284968073</v>
      </c>
      <c r="Q70" s="56"/>
      <c r="R70" s="50"/>
      <c r="S70" s="50"/>
      <c r="T70" s="17"/>
    </row>
    <row r="71" spans="1:20" s="18" customFormat="1" ht="21.75" customHeight="1">
      <c r="A71" s="91" t="s">
        <v>39</v>
      </c>
      <c r="B71" s="91"/>
      <c r="C71" s="143"/>
      <c r="D71" s="107"/>
      <c r="E71" s="107"/>
      <c r="F71" s="107"/>
      <c r="G71" s="107"/>
      <c r="H71" s="107">
        <f t="shared" si="4"/>
        <v>0</v>
      </c>
      <c r="I71" s="106"/>
      <c r="J71" s="106"/>
      <c r="K71" s="106"/>
      <c r="L71" s="106"/>
      <c r="M71" s="106"/>
      <c r="N71" s="106"/>
      <c r="O71" s="106"/>
      <c r="P71" s="108"/>
      <c r="Q71" s="110"/>
      <c r="R71" s="106"/>
      <c r="S71" s="106"/>
      <c r="T71" s="17"/>
    </row>
    <row r="72" spans="1:20" ht="48.75" customHeight="1">
      <c r="A72" s="52" t="s">
        <v>98</v>
      </c>
      <c r="B72" s="52" t="s">
        <v>106</v>
      </c>
      <c r="C72" s="52" t="s">
        <v>25</v>
      </c>
      <c r="D72" s="53">
        <v>525</v>
      </c>
      <c r="E72" s="53">
        <v>525</v>
      </c>
      <c r="F72" s="53">
        <v>525</v>
      </c>
      <c r="G72" s="53">
        <v>525</v>
      </c>
      <c r="H72" s="53">
        <f t="shared" si="4"/>
        <v>2100</v>
      </c>
      <c r="I72" s="50">
        <f>'2021'!I73*1.048</f>
        <v>2238.5280000000002</v>
      </c>
      <c r="J72" s="50">
        <f>'2021'!K73</f>
        <v>648</v>
      </c>
      <c r="K72" s="50">
        <v>673</v>
      </c>
      <c r="L72" s="50">
        <f>(I72-J72)*D72</f>
        <v>835027.20000000019</v>
      </c>
      <c r="M72" s="50">
        <f>(I72-J72)*E72</f>
        <v>835027.20000000019</v>
      </c>
      <c r="N72" s="50">
        <f>(I72-K72)*F72</f>
        <v>821902.20000000019</v>
      </c>
      <c r="O72" s="50">
        <f>(I72-K72)*G72</f>
        <v>821902.20000000019</v>
      </c>
      <c r="P72" s="54">
        <f t="shared" si="5"/>
        <v>3313858.8000000007</v>
      </c>
      <c r="Q72" s="77"/>
      <c r="R72" s="60"/>
      <c r="S72" s="50"/>
      <c r="T72" s="122"/>
    </row>
    <row r="73" spans="1:20" s="30" customFormat="1" ht="24.75" customHeight="1">
      <c r="A73" s="52" t="s">
        <v>79</v>
      </c>
      <c r="B73" s="52" t="s">
        <v>80</v>
      </c>
      <c r="C73" s="52" t="s">
        <v>24</v>
      </c>
      <c r="D73" s="53">
        <v>125</v>
      </c>
      <c r="E73" s="53">
        <v>125</v>
      </c>
      <c r="F73" s="53">
        <v>125</v>
      </c>
      <c r="G73" s="53">
        <v>125</v>
      </c>
      <c r="H73" s="53">
        <f t="shared" si="4"/>
        <v>500</v>
      </c>
      <c r="I73" s="50">
        <f>'2021'!I74*1.048</f>
        <v>1785.7228320000002</v>
      </c>
      <c r="J73" s="50">
        <f>'2021'!K74</f>
        <v>785</v>
      </c>
      <c r="K73" s="50">
        <v>816</v>
      </c>
      <c r="L73" s="50">
        <f>(I73-J73)*D73</f>
        <v>125090.35400000002</v>
      </c>
      <c r="M73" s="50">
        <f>(I73-J73)*E73</f>
        <v>125090.35400000002</v>
      </c>
      <c r="N73" s="50">
        <f>(I73-K73)*F73</f>
        <v>121215.35400000002</v>
      </c>
      <c r="O73" s="50">
        <f>(I73-K73)*G73</f>
        <v>121215.35400000002</v>
      </c>
      <c r="P73" s="54">
        <f t="shared" ref="P73:P86" si="14">SUM(L73:O73)</f>
        <v>492611.41600000008</v>
      </c>
      <c r="Q73" s="78"/>
      <c r="R73" s="78"/>
      <c r="S73" s="78"/>
    </row>
    <row r="74" spans="1:20" s="30" customFormat="1" ht="19.5" customHeight="1">
      <c r="A74" s="91" t="s">
        <v>81</v>
      </c>
      <c r="B74" s="118"/>
      <c r="C74" s="118"/>
      <c r="D74" s="107"/>
      <c r="E74" s="107"/>
      <c r="F74" s="107"/>
      <c r="G74" s="107"/>
      <c r="H74" s="107">
        <f t="shared" ref="H74:H86" si="15">SUM(D74:G74)</f>
        <v>0</v>
      </c>
      <c r="I74" s="106"/>
      <c r="J74" s="106"/>
      <c r="K74" s="106"/>
      <c r="L74" s="106"/>
      <c r="M74" s="106"/>
      <c r="N74" s="106"/>
      <c r="O74" s="106"/>
      <c r="P74" s="108"/>
      <c r="Q74" s="121"/>
      <c r="R74" s="121"/>
      <c r="S74" s="121"/>
    </row>
    <row r="75" spans="1:20" ht="43.5" customHeight="1">
      <c r="A75" s="52" t="s">
        <v>82</v>
      </c>
      <c r="B75" s="52" t="s">
        <v>88</v>
      </c>
      <c r="C75" s="140" t="s">
        <v>25</v>
      </c>
      <c r="D75" s="53">
        <v>1650</v>
      </c>
      <c r="E75" s="53">
        <v>1650</v>
      </c>
      <c r="F75" s="53">
        <v>1650</v>
      </c>
      <c r="G75" s="53">
        <v>1650</v>
      </c>
      <c r="H75" s="53">
        <f t="shared" si="15"/>
        <v>6600</v>
      </c>
      <c r="I75" s="50">
        <f>'2021'!I76*1.048</f>
        <v>627.03097600000001</v>
      </c>
      <c r="J75" s="50">
        <f>684/1.2</f>
        <v>570</v>
      </c>
      <c r="K75" s="50">
        <f>711/1.2</f>
        <v>592.5</v>
      </c>
      <c r="L75" s="50">
        <f>(I75-J75)*D75</f>
        <v>94101.11040000002</v>
      </c>
      <c r="M75" s="50">
        <f>(I75-J75)*E75</f>
        <v>94101.11040000002</v>
      </c>
      <c r="N75" s="50">
        <f>(I75-K75)*F75</f>
        <v>56976.11040000002</v>
      </c>
      <c r="O75" s="50">
        <f>(I75-K75)*G75</f>
        <v>56976.11040000002</v>
      </c>
      <c r="P75" s="54">
        <f t="shared" si="14"/>
        <v>302154.44160000008</v>
      </c>
      <c r="Q75" s="79"/>
      <c r="R75" s="79"/>
      <c r="S75" s="79"/>
    </row>
    <row r="76" spans="1:20" ht="24" customHeight="1">
      <c r="A76" s="91" t="s">
        <v>61</v>
      </c>
      <c r="B76" s="118"/>
      <c r="C76" s="144"/>
      <c r="D76" s="107"/>
      <c r="E76" s="107"/>
      <c r="F76" s="107"/>
      <c r="G76" s="107"/>
      <c r="H76" s="107">
        <f t="shared" si="15"/>
        <v>0</v>
      </c>
      <c r="I76" s="106"/>
      <c r="J76" s="106"/>
      <c r="K76" s="106"/>
      <c r="L76" s="106"/>
      <c r="M76" s="106"/>
      <c r="N76" s="106"/>
      <c r="O76" s="106"/>
      <c r="P76" s="108"/>
      <c r="Q76" s="121"/>
      <c r="R76" s="121"/>
      <c r="S76" s="121"/>
    </row>
    <row r="77" spans="1:20" ht="22.5">
      <c r="A77" s="61" t="s">
        <v>62</v>
      </c>
      <c r="B77" s="61" t="s">
        <v>61</v>
      </c>
      <c r="C77" s="142" t="s">
        <v>25</v>
      </c>
      <c r="D77" s="53">
        <v>375</v>
      </c>
      <c r="E77" s="53">
        <v>375</v>
      </c>
      <c r="F77" s="53">
        <v>375</v>
      </c>
      <c r="G77" s="53">
        <v>375</v>
      </c>
      <c r="H77" s="53">
        <f t="shared" si="15"/>
        <v>1500</v>
      </c>
      <c r="I77" s="50">
        <f>'2021'!I78*1.048</f>
        <v>1016.5600000000001</v>
      </c>
      <c r="J77" s="50">
        <f>'2021'!K78</f>
        <v>657</v>
      </c>
      <c r="K77" s="50">
        <v>683</v>
      </c>
      <c r="L77" s="50">
        <f>(I77-J77)*D77</f>
        <v>134835.00000000003</v>
      </c>
      <c r="M77" s="50">
        <f>(I77-J77)*E77</f>
        <v>134835.00000000003</v>
      </c>
      <c r="N77" s="50">
        <f>(I77-K77)*F77</f>
        <v>125085.00000000003</v>
      </c>
      <c r="O77" s="50">
        <f>(I77-K77)*G77</f>
        <v>125085.00000000003</v>
      </c>
      <c r="P77" s="54">
        <f t="shared" si="14"/>
        <v>519840.00000000012</v>
      </c>
      <c r="Q77" s="79"/>
      <c r="R77" s="79"/>
      <c r="S77" s="79"/>
    </row>
    <row r="78" spans="1:20" ht="18.75" customHeight="1">
      <c r="A78" s="91" t="s">
        <v>110</v>
      </c>
      <c r="B78" s="118"/>
      <c r="C78" s="118"/>
      <c r="D78" s="107"/>
      <c r="E78" s="107"/>
      <c r="F78" s="107"/>
      <c r="G78" s="107"/>
      <c r="H78" s="107">
        <f t="shared" si="15"/>
        <v>0</v>
      </c>
      <c r="I78" s="106"/>
      <c r="J78" s="106"/>
      <c r="K78" s="106"/>
      <c r="L78" s="106"/>
      <c r="M78" s="106"/>
      <c r="N78" s="106"/>
      <c r="O78" s="106"/>
      <c r="P78" s="108"/>
      <c r="Q78" s="121"/>
      <c r="R78" s="121"/>
      <c r="S78" s="121"/>
    </row>
    <row r="79" spans="1:20" ht="66.75" customHeight="1">
      <c r="A79" s="52" t="s">
        <v>111</v>
      </c>
      <c r="B79" s="52" t="s">
        <v>113</v>
      </c>
      <c r="C79" s="140" t="s">
        <v>24</v>
      </c>
      <c r="D79" s="53">
        <v>1250</v>
      </c>
      <c r="E79" s="53">
        <v>1250</v>
      </c>
      <c r="F79" s="53">
        <v>1250</v>
      </c>
      <c r="G79" s="53">
        <v>1250</v>
      </c>
      <c r="H79" s="53">
        <f t="shared" si="15"/>
        <v>5000</v>
      </c>
      <c r="I79" s="50">
        <f>'2021'!I80*1.048</f>
        <v>1861.3611840000003</v>
      </c>
      <c r="J79" s="50">
        <f>'2021'!K80</f>
        <v>955</v>
      </c>
      <c r="K79" s="50">
        <v>993</v>
      </c>
      <c r="L79" s="50">
        <f>(I79-J79)*D79</f>
        <v>1132951.4800000004</v>
      </c>
      <c r="M79" s="50">
        <f>(I79-J79)*E79</f>
        <v>1132951.4800000004</v>
      </c>
      <c r="N79" s="50">
        <f>(I79-K79)*F79</f>
        <v>1085451.4800000004</v>
      </c>
      <c r="O79" s="50">
        <f>(I79-K79)*G79</f>
        <v>1085451.4800000004</v>
      </c>
      <c r="P79" s="54">
        <f t="shared" si="14"/>
        <v>4436805.9200000018</v>
      </c>
      <c r="Q79" s="79"/>
      <c r="R79" s="79"/>
      <c r="S79" s="79"/>
    </row>
    <row r="80" spans="1:20" ht="61.5" customHeight="1">
      <c r="A80" s="61" t="s">
        <v>112</v>
      </c>
      <c r="B80" s="52" t="s">
        <v>114</v>
      </c>
      <c r="C80" s="140" t="s">
        <v>24</v>
      </c>
      <c r="D80" s="53">
        <v>1250</v>
      </c>
      <c r="E80" s="53">
        <v>1250</v>
      </c>
      <c r="F80" s="53">
        <v>1250</v>
      </c>
      <c r="G80" s="53">
        <v>1250</v>
      </c>
      <c r="H80" s="53">
        <f t="shared" si="15"/>
        <v>5000</v>
      </c>
      <c r="I80" s="50">
        <f>'2021'!I81*1.048</f>
        <v>1917.2677920000003</v>
      </c>
      <c r="J80" s="50">
        <f>'2021'!K81</f>
        <v>955</v>
      </c>
      <c r="K80" s="50">
        <v>993</v>
      </c>
      <c r="L80" s="50">
        <f>(I80-J80)*D80</f>
        <v>1202834.7400000005</v>
      </c>
      <c r="M80" s="50">
        <f>(I80-J80)*E80</f>
        <v>1202834.7400000005</v>
      </c>
      <c r="N80" s="50">
        <f>(I80-K80)*F80</f>
        <v>1155334.7400000005</v>
      </c>
      <c r="O80" s="50">
        <f>(I80-K80)*G80</f>
        <v>1155334.7400000005</v>
      </c>
      <c r="P80" s="54">
        <f t="shared" si="14"/>
        <v>4716338.9600000018</v>
      </c>
      <c r="Q80" s="79"/>
      <c r="R80" s="79"/>
      <c r="S80" s="79"/>
    </row>
    <row r="81" spans="1:20" ht="18.75" customHeight="1">
      <c r="A81" s="91" t="str">
        <f>'2021'!A82</f>
        <v>МО "Плесецкий муниципальный район"</v>
      </c>
      <c r="B81" s="118"/>
      <c r="C81" s="143"/>
      <c r="D81" s="107"/>
      <c r="E81" s="107"/>
      <c r="F81" s="107"/>
      <c r="G81" s="107"/>
      <c r="H81" s="107">
        <f t="shared" si="15"/>
        <v>0</v>
      </c>
      <c r="I81" s="106"/>
      <c r="J81" s="106"/>
      <c r="K81" s="106"/>
      <c r="L81" s="106"/>
      <c r="M81" s="106"/>
      <c r="N81" s="106"/>
      <c r="O81" s="106"/>
      <c r="P81" s="108"/>
      <c r="Q81" s="121"/>
      <c r="R81" s="121"/>
      <c r="S81" s="121"/>
    </row>
    <row r="82" spans="1:20" ht="30.75" customHeight="1">
      <c r="A82" s="61" t="str">
        <f>'2021'!A83</f>
        <v>ООО "Природа"</v>
      </c>
      <c r="B82" s="52"/>
      <c r="C82" s="140" t="str">
        <f>'2021'!C83</f>
        <v>круглые длиной 1 м и менее</v>
      </c>
      <c r="D82" s="53">
        <v>150</v>
      </c>
      <c r="E82" s="53">
        <v>150</v>
      </c>
      <c r="F82" s="53">
        <v>150</v>
      </c>
      <c r="G82" s="53">
        <v>150</v>
      </c>
      <c r="H82" s="53">
        <f t="shared" si="15"/>
        <v>600</v>
      </c>
      <c r="I82" s="50">
        <f>'2021'!I83*1.048</f>
        <v>1048</v>
      </c>
      <c r="J82" s="50">
        <f>'2021'!K83</f>
        <v>805</v>
      </c>
      <c r="K82" s="50">
        <v>830</v>
      </c>
      <c r="L82" s="50">
        <f>(I82-J82)*D82</f>
        <v>36450</v>
      </c>
      <c r="M82" s="50">
        <f>(I82-J82)*E82</f>
        <v>36450</v>
      </c>
      <c r="N82" s="50">
        <f>(I82-K82)*F82</f>
        <v>32700</v>
      </c>
      <c r="O82" s="50">
        <f>(I82-K82)*G82</f>
        <v>32700</v>
      </c>
      <c r="P82" s="54">
        <f t="shared" si="14"/>
        <v>138300</v>
      </c>
      <c r="Q82" s="79"/>
      <c r="R82" s="79"/>
      <c r="S82" s="79"/>
    </row>
    <row r="83" spans="1:20" ht="18" customHeight="1">
      <c r="A83" s="91" t="str">
        <f>'2021'!A84</f>
        <v>МО "Холмогорский муниципальный район"</v>
      </c>
      <c r="B83" s="118"/>
      <c r="C83" s="143"/>
      <c r="D83" s="107"/>
      <c r="E83" s="107"/>
      <c r="F83" s="107"/>
      <c r="G83" s="107"/>
      <c r="H83" s="107"/>
      <c r="I83" s="106"/>
      <c r="J83" s="106"/>
      <c r="K83" s="106"/>
      <c r="L83" s="106"/>
      <c r="M83" s="106"/>
      <c r="N83" s="106"/>
      <c r="O83" s="106"/>
      <c r="P83" s="108"/>
      <c r="Q83" s="121"/>
      <c r="R83" s="121"/>
      <c r="S83" s="121"/>
    </row>
    <row r="84" spans="1:20" ht="30.75" customHeight="1">
      <c r="A84" s="61" t="str">
        <f>'2021'!A85</f>
        <v>ООО "Север-лес"</v>
      </c>
      <c r="B84" s="61"/>
      <c r="C84" s="61" t="str">
        <f>'2021'!C85</f>
        <v>круглые длиной более 1 м</v>
      </c>
      <c r="D84" s="53">
        <v>550</v>
      </c>
      <c r="E84" s="53">
        <v>550</v>
      </c>
      <c r="F84" s="53">
        <v>550</v>
      </c>
      <c r="G84" s="53">
        <v>550</v>
      </c>
      <c r="H84" s="53">
        <f t="shared" si="15"/>
        <v>2200</v>
      </c>
      <c r="I84" s="50">
        <f>'2021'!I85*1.048</f>
        <v>1777.8796000000002</v>
      </c>
      <c r="J84" s="50">
        <f>'2021'!K85</f>
        <v>742</v>
      </c>
      <c r="K84" s="50">
        <v>771</v>
      </c>
      <c r="L84" s="50">
        <f>(I84-J84)*D84</f>
        <v>569733.78000000014</v>
      </c>
      <c r="M84" s="50">
        <f>(I84-J84)*E84</f>
        <v>569733.78000000014</v>
      </c>
      <c r="N84" s="50">
        <f>(I84-K84)*F84</f>
        <v>553783.78000000014</v>
      </c>
      <c r="O84" s="50">
        <f>(I84-K84)*G84</f>
        <v>553783.78000000014</v>
      </c>
      <c r="P84" s="54">
        <f t="shared" si="14"/>
        <v>2247035.1200000006</v>
      </c>
      <c r="Q84" s="79"/>
      <c r="R84" s="79"/>
      <c r="S84" s="79"/>
    </row>
    <row r="85" spans="1:20" ht="18.75" customHeight="1">
      <c r="A85" s="91" t="s">
        <v>119</v>
      </c>
      <c r="B85" s="118"/>
      <c r="C85" s="143"/>
      <c r="D85" s="107"/>
      <c r="E85" s="107"/>
      <c r="F85" s="107"/>
      <c r="G85" s="107"/>
      <c r="H85" s="107">
        <f t="shared" si="15"/>
        <v>0</v>
      </c>
      <c r="I85" s="106"/>
      <c r="J85" s="106"/>
      <c r="K85" s="106"/>
      <c r="L85" s="106"/>
      <c r="M85" s="106"/>
      <c r="N85" s="106"/>
      <c r="O85" s="106"/>
      <c r="P85" s="108"/>
      <c r="Q85" s="121"/>
      <c r="R85" s="121"/>
      <c r="S85" s="121"/>
    </row>
    <row r="86" spans="1:20" ht="32.25" customHeight="1">
      <c r="A86" s="61" t="s">
        <v>120</v>
      </c>
      <c r="B86" s="61" t="s">
        <v>121</v>
      </c>
      <c r="C86" s="142" t="s">
        <v>24</v>
      </c>
      <c r="D86" s="120">
        <v>850</v>
      </c>
      <c r="E86" s="120">
        <v>850</v>
      </c>
      <c r="F86" s="120">
        <v>850</v>
      </c>
      <c r="G86" s="120">
        <v>850</v>
      </c>
      <c r="H86" s="120">
        <f t="shared" si="15"/>
        <v>3400</v>
      </c>
      <c r="I86" s="62">
        <f>'2021'!I87*1.048</f>
        <v>2989.3592160000003</v>
      </c>
      <c r="J86" s="62">
        <f>'2021'!K87</f>
        <v>767</v>
      </c>
      <c r="K86" s="62">
        <v>797</v>
      </c>
      <c r="L86" s="50">
        <f>(I86-J86)*D86</f>
        <v>1889005.3336000002</v>
      </c>
      <c r="M86" s="50">
        <f>(I86-J86)*E86</f>
        <v>1889005.3336000002</v>
      </c>
      <c r="N86" s="50">
        <f>(I86-K86)*F86</f>
        <v>1863505.3336000002</v>
      </c>
      <c r="O86" s="50">
        <f>(I86-K86)*G86</f>
        <v>1863505.3336000002</v>
      </c>
      <c r="P86" s="54">
        <f t="shared" si="14"/>
        <v>7505021.334400001</v>
      </c>
      <c r="Q86" s="78"/>
      <c r="R86" s="78"/>
      <c r="S86" s="78"/>
    </row>
    <row r="87" spans="1:20" s="19" customFormat="1" ht="27" customHeight="1">
      <c r="A87" s="91" t="s">
        <v>33</v>
      </c>
      <c r="B87" s="118"/>
      <c r="C87" s="91"/>
      <c r="D87" s="109">
        <f>SUM(D8:D86)</f>
        <v>49999.289999999994</v>
      </c>
      <c r="E87" s="109">
        <f>SUM(E8:E86)</f>
        <v>48879.680333333337</v>
      </c>
      <c r="F87" s="109">
        <f>SUM(F8:F86)</f>
        <v>57288.243333333317</v>
      </c>
      <c r="G87" s="109">
        <f>SUM(G8:G86)</f>
        <v>55783.328333333324</v>
      </c>
      <c r="H87" s="109">
        <f>SUM(H8:H86)</f>
        <v>211950.54199999999</v>
      </c>
      <c r="I87" s="93"/>
      <c r="J87" s="93"/>
      <c r="K87" s="93"/>
      <c r="L87" s="93">
        <f>SUM(L8:L86)</f>
        <v>61310179.873418428</v>
      </c>
      <c r="M87" s="93">
        <f>SUM(M8:M86)</f>
        <v>65608794.669155635</v>
      </c>
      <c r="N87" s="93">
        <f>SUM(N8:N86)</f>
        <v>82108076.888483718</v>
      </c>
      <c r="O87" s="93">
        <f>SUM(O8:O86)</f>
        <v>75721423.906753987</v>
      </c>
      <c r="P87" s="93">
        <f>SUM(P8:P86)</f>
        <v>284748475.33781177</v>
      </c>
      <c r="Q87" s="93">
        <f>'2021'!R88</f>
        <v>27033204.379867539</v>
      </c>
      <c r="R87" s="93">
        <f>P87*0.1</f>
        <v>28474847.533781178</v>
      </c>
      <c r="S87" s="93">
        <f>P87+Q87-R87</f>
        <v>283306832.18389815</v>
      </c>
      <c r="T87" s="27"/>
    </row>
    <row r="88" spans="1:20" ht="27.75" hidden="1" customHeight="1">
      <c r="B88" s="2"/>
      <c r="C88" s="80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4"/>
      <c r="R88" s="5"/>
      <c r="S88" s="3"/>
      <c r="T88" s="122"/>
    </row>
    <row r="89" spans="1:20" s="30" customFormat="1" ht="24.75" hidden="1" customHeight="1">
      <c r="A89" s="29"/>
      <c r="B89" s="29"/>
      <c r="C89" s="72"/>
    </row>
    <row r="90" spans="1:20" s="32" customFormat="1" ht="21.75" hidden="1" customHeight="1">
      <c r="A90" s="9"/>
      <c r="B90" s="9"/>
      <c r="C90" s="73"/>
      <c r="D90" s="6"/>
      <c r="E90" s="153" t="s">
        <v>63</v>
      </c>
      <c r="F90" s="153"/>
      <c r="G90" s="153"/>
      <c r="H90" s="31"/>
      <c r="I90" s="31"/>
      <c r="J90" s="31"/>
      <c r="K90" s="6"/>
      <c r="L90" s="6"/>
      <c r="M90" s="6"/>
      <c r="N90" s="6"/>
      <c r="O90" s="6"/>
      <c r="P90" s="9"/>
      <c r="Q90" s="6"/>
      <c r="R90" s="11"/>
      <c r="S90" s="12"/>
    </row>
    <row r="91" spans="1:20" s="30" customFormat="1" ht="15" hidden="1" customHeight="1">
      <c r="A91" s="33"/>
      <c r="B91" s="29"/>
      <c r="C91" s="72"/>
    </row>
    <row r="92" spans="1:20" s="32" customFormat="1" ht="15" hidden="1" customHeight="1">
      <c r="A92" s="9"/>
      <c r="B92" s="9"/>
      <c r="C92" s="73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9"/>
      <c r="Q92" s="6"/>
      <c r="R92" s="11"/>
      <c r="S92" s="12"/>
    </row>
    <row r="93" spans="1:20" s="32" customFormat="1" ht="21" hidden="1" customHeight="1">
      <c r="A93" s="9"/>
      <c r="B93" s="9"/>
      <c r="C93" s="73"/>
      <c r="D93" s="6"/>
      <c r="F93" s="10"/>
      <c r="G93" s="10"/>
      <c r="H93" s="13"/>
      <c r="I93" s="13"/>
      <c r="J93" s="13"/>
      <c r="K93" s="7"/>
      <c r="L93" s="7"/>
      <c r="M93" s="7"/>
      <c r="N93" s="7"/>
      <c r="O93" s="7"/>
      <c r="P93" s="9"/>
      <c r="Q93" s="7"/>
      <c r="R93" s="14"/>
      <c r="S93" s="11"/>
    </row>
    <row r="94" spans="1:20" s="32" customFormat="1" ht="42.75" hidden="1" customHeight="1">
      <c r="A94" s="8"/>
      <c r="B94" s="34"/>
      <c r="C94" s="74"/>
      <c r="E94" s="154" t="s">
        <v>100</v>
      </c>
      <c r="F94" s="154"/>
      <c r="G94" s="154"/>
      <c r="H94" s="123"/>
      <c r="I94" s="124"/>
      <c r="J94" s="116" t="s">
        <v>75</v>
      </c>
      <c r="K94" s="125"/>
      <c r="L94" s="37"/>
      <c r="Q94" s="6"/>
      <c r="R94" s="6"/>
      <c r="S94" s="6"/>
    </row>
    <row r="95" spans="1:20" s="35" customFormat="1" ht="15" hidden="1" customHeight="1">
      <c r="A95" s="8"/>
      <c r="B95" s="34"/>
      <c r="C95" s="74"/>
      <c r="E95" s="126"/>
      <c r="F95" s="126"/>
      <c r="G95" s="126"/>
      <c r="H95" s="125"/>
      <c r="I95" s="125"/>
      <c r="J95" s="127"/>
      <c r="K95" s="128"/>
      <c r="L95" s="39"/>
      <c r="Q95" s="8"/>
      <c r="R95" s="8"/>
      <c r="S95" s="8"/>
    </row>
    <row r="96" spans="1:20" s="35" customFormat="1" ht="15" hidden="1" customHeight="1">
      <c r="C96" s="74"/>
      <c r="E96" s="126"/>
      <c r="F96" s="126"/>
      <c r="G96" s="126"/>
      <c r="H96" s="125"/>
      <c r="I96" s="125"/>
      <c r="J96" s="127"/>
      <c r="K96" s="128"/>
      <c r="L96" s="39"/>
    </row>
    <row r="97" spans="1:11" s="30" customFormat="1" ht="15" hidden="1" customHeight="1">
      <c r="A97" s="29"/>
      <c r="B97" s="29"/>
      <c r="C97" s="72"/>
      <c r="E97" s="129"/>
      <c r="F97" s="129"/>
      <c r="G97" s="129"/>
      <c r="H97" s="130"/>
      <c r="I97" s="130"/>
      <c r="J97" s="130"/>
      <c r="K97" s="130"/>
    </row>
    <row r="98" spans="1:11" s="30" customFormat="1" ht="15" hidden="1" customHeight="1">
      <c r="A98" s="29"/>
      <c r="B98" s="29"/>
      <c r="C98" s="72"/>
      <c r="E98" s="129"/>
      <c r="F98" s="129"/>
      <c r="G98" s="129"/>
      <c r="H98" s="130"/>
      <c r="I98" s="130"/>
      <c r="J98" s="130"/>
      <c r="K98" s="130"/>
    </row>
    <row r="99" spans="1:11" s="32" customFormat="1" ht="15" hidden="1" customHeight="1">
      <c r="A99" s="35"/>
      <c r="B99" s="35"/>
      <c r="C99" s="74"/>
      <c r="E99" s="126"/>
      <c r="F99" s="126"/>
      <c r="G99" s="126"/>
      <c r="H99" s="125"/>
      <c r="I99" s="125"/>
      <c r="J99" s="127"/>
      <c r="K99" s="125"/>
    </row>
    <row r="100" spans="1:11" s="32" customFormat="1" ht="26.25" hidden="1" customHeight="1">
      <c r="A100" s="35"/>
      <c r="B100" s="35"/>
      <c r="C100" s="74"/>
      <c r="E100" s="150" t="s">
        <v>64</v>
      </c>
      <c r="F100" s="150"/>
      <c r="G100" s="150"/>
      <c r="H100" s="131"/>
      <c r="I100" s="131"/>
      <c r="J100" s="117" t="s">
        <v>65</v>
      </c>
      <c r="K100" s="127"/>
    </row>
    <row r="101" spans="1:11" ht="20.25" hidden="1">
      <c r="E101" s="132"/>
      <c r="F101" s="132"/>
      <c r="G101" s="132"/>
      <c r="H101" s="132"/>
      <c r="I101" s="132"/>
      <c r="J101" s="132"/>
      <c r="K101" s="132"/>
    </row>
  </sheetData>
  <autoFilter ref="A6:S71"/>
  <mergeCells count="14">
    <mergeCell ref="D2:J2"/>
    <mergeCell ref="A4:A5"/>
    <mergeCell ref="B4:B5"/>
    <mergeCell ref="C4:C5"/>
    <mergeCell ref="D4:H4"/>
    <mergeCell ref="I4:I5"/>
    <mergeCell ref="J4:K4"/>
    <mergeCell ref="E100:G100"/>
    <mergeCell ref="L4:P4"/>
    <mergeCell ref="Q4:Q5"/>
    <mergeCell ref="R4:R5"/>
    <mergeCell ref="S4:S5"/>
    <mergeCell ref="E90:G90"/>
    <mergeCell ref="E94:G94"/>
  </mergeCells>
  <phoneticPr fontId="1" type="noConversion"/>
  <pageMargins left="0.39370078740157483" right="0.19685039370078741" top="0.62992125984251968" bottom="0.39370078740157483" header="0" footer="0.19685039370078741"/>
  <pageSetup paperSize="9" scale="56" fitToHeight="0" orientation="landscape" r:id="rId1"/>
  <headerFooter scaleWithDoc="0">
    <oddFooter>&amp;C&amp;P</oddFooter>
    <firstHeader>&amp;RПриложение 6</firstHeader>
  </headerFooter>
  <colBreaks count="1" manualBreakCount="1">
    <brk id="11" max="10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00"/>
  <sheetViews>
    <sheetView view="pageBreakPreview" zoomScale="90" zoomScaleNormal="85" zoomScaleSheetLayoutView="9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D2" sqref="D2:J2"/>
    </sheetView>
  </sheetViews>
  <sheetFormatPr defaultRowHeight="12.75"/>
  <cols>
    <col min="1" max="1" width="44.140625" style="28" customWidth="1"/>
    <col min="2" max="2" width="27" style="41" bestFit="1" customWidth="1"/>
    <col min="3" max="3" width="18.140625" style="76" customWidth="1"/>
    <col min="4" max="8" width="14" style="26" customWidth="1"/>
    <col min="9" max="9" width="16" style="26" customWidth="1"/>
    <col min="10" max="11" width="13.7109375" style="26" customWidth="1"/>
    <col min="12" max="14" width="16" style="26" customWidth="1"/>
    <col min="15" max="15" width="15.7109375" style="26" customWidth="1"/>
    <col min="16" max="16" width="16.28515625" style="26" customWidth="1"/>
    <col min="17" max="18" width="15.85546875" style="26" customWidth="1"/>
    <col min="19" max="19" width="18" style="26" bestFit="1" customWidth="1"/>
    <col min="20" max="20" width="13.85546875" style="26" bestFit="1" customWidth="1"/>
    <col min="21" max="16384" width="9.140625" style="26"/>
  </cols>
  <sheetData>
    <row r="1" spans="1:20" ht="9.75" customHeight="1">
      <c r="I1" s="139"/>
    </row>
    <row r="2" spans="1:20" ht="84" customHeight="1">
      <c r="A2" s="26"/>
      <c r="B2" s="82"/>
      <c r="C2" s="82"/>
      <c r="D2" s="149" t="s">
        <v>95</v>
      </c>
      <c r="E2" s="149"/>
      <c r="F2" s="149"/>
      <c r="G2" s="149"/>
      <c r="H2" s="149"/>
      <c r="I2" s="149"/>
      <c r="J2" s="149"/>
      <c r="K2" s="82"/>
      <c r="L2" s="82"/>
      <c r="M2" s="82"/>
      <c r="N2" s="82"/>
      <c r="O2" s="82"/>
      <c r="P2" s="82"/>
      <c r="Q2" s="82"/>
      <c r="R2" s="82"/>
      <c r="S2" s="82"/>
    </row>
    <row r="3" spans="1:20" ht="5.2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20" s="86" customFormat="1" ht="42" customHeight="1">
      <c r="A4" s="147" t="s">
        <v>32</v>
      </c>
      <c r="B4" s="148" t="s">
        <v>17</v>
      </c>
      <c r="C4" s="146" t="s">
        <v>13</v>
      </c>
      <c r="D4" s="146" t="s">
        <v>101</v>
      </c>
      <c r="E4" s="146"/>
      <c r="F4" s="146"/>
      <c r="G4" s="146"/>
      <c r="H4" s="146"/>
      <c r="I4" s="146" t="s">
        <v>141</v>
      </c>
      <c r="J4" s="146" t="s">
        <v>30</v>
      </c>
      <c r="K4" s="146"/>
      <c r="L4" s="146" t="s">
        <v>47</v>
      </c>
      <c r="M4" s="146"/>
      <c r="N4" s="146"/>
      <c r="O4" s="146"/>
      <c r="P4" s="146"/>
      <c r="Q4" s="152" t="s">
        <v>102</v>
      </c>
      <c r="R4" s="151" t="s">
        <v>103</v>
      </c>
      <c r="S4" s="152" t="s">
        <v>104</v>
      </c>
    </row>
    <row r="5" spans="1:20" s="87" customFormat="1" ht="24.75" customHeight="1">
      <c r="A5" s="147"/>
      <c r="B5" s="148"/>
      <c r="C5" s="146"/>
      <c r="D5" s="89" t="s">
        <v>89</v>
      </c>
      <c r="E5" s="89" t="s">
        <v>90</v>
      </c>
      <c r="F5" s="89" t="s">
        <v>91</v>
      </c>
      <c r="G5" s="89" t="s">
        <v>92</v>
      </c>
      <c r="H5" s="89" t="s">
        <v>44</v>
      </c>
      <c r="I5" s="146"/>
      <c r="J5" s="89" t="s">
        <v>45</v>
      </c>
      <c r="K5" s="89" t="s">
        <v>46</v>
      </c>
      <c r="L5" s="89" t="s">
        <v>40</v>
      </c>
      <c r="M5" s="89" t="s">
        <v>41</v>
      </c>
      <c r="N5" s="89" t="s">
        <v>42</v>
      </c>
      <c r="O5" s="89" t="s">
        <v>43</v>
      </c>
      <c r="P5" s="90" t="s">
        <v>33</v>
      </c>
      <c r="Q5" s="152"/>
      <c r="R5" s="151"/>
      <c r="S5" s="152"/>
    </row>
    <row r="6" spans="1:20" s="1" customFormat="1" ht="11.25" customHeight="1">
      <c r="A6" s="42"/>
      <c r="B6" s="43"/>
      <c r="C6" s="83"/>
      <c r="D6" s="46"/>
      <c r="E6" s="46"/>
      <c r="F6" s="46"/>
      <c r="G6" s="46"/>
      <c r="H6" s="46"/>
      <c r="I6" s="83"/>
      <c r="J6" s="46"/>
      <c r="K6" s="46"/>
      <c r="L6" s="46"/>
      <c r="M6" s="46"/>
      <c r="N6" s="46"/>
      <c r="O6" s="46"/>
      <c r="P6" s="47"/>
      <c r="Q6" s="44"/>
      <c r="R6" s="45"/>
      <c r="S6" s="44"/>
    </row>
    <row r="7" spans="1:20" s="19" customFormat="1" ht="24.75" customHeight="1">
      <c r="A7" s="102" t="s">
        <v>1</v>
      </c>
      <c r="B7" s="102"/>
      <c r="C7" s="93"/>
      <c r="D7" s="105"/>
      <c r="E7" s="104"/>
      <c r="F7" s="104"/>
      <c r="G7" s="104"/>
      <c r="H7" s="104"/>
      <c r="I7" s="106"/>
      <c r="J7" s="106"/>
      <c r="K7" s="106"/>
      <c r="L7" s="104"/>
      <c r="M7" s="104"/>
      <c r="N7" s="104"/>
      <c r="O7" s="104"/>
      <c r="P7" s="104"/>
      <c r="Q7" s="104"/>
      <c r="R7" s="104"/>
      <c r="S7" s="104"/>
      <c r="T7" s="27"/>
    </row>
    <row r="8" spans="1:20" s="19" customFormat="1" ht="27" customHeight="1">
      <c r="A8" s="51" t="s">
        <v>68</v>
      </c>
      <c r="B8" s="52" t="s">
        <v>58</v>
      </c>
      <c r="C8" s="56" t="s">
        <v>23</v>
      </c>
      <c r="D8" s="53">
        <v>919.8</v>
      </c>
      <c r="E8" s="53">
        <v>1022</v>
      </c>
      <c r="F8" s="53">
        <v>2029.1</v>
      </c>
      <c r="G8" s="53">
        <v>2029.1</v>
      </c>
      <c r="H8" s="53">
        <f>SUM(D8:G8)</f>
        <v>6000</v>
      </c>
      <c r="I8" s="50">
        <f>'2022'!I8*1.05</f>
        <v>2936.2457491882406</v>
      </c>
      <c r="J8" s="50">
        <f>'2022'!K8</f>
        <v>975</v>
      </c>
      <c r="K8" s="50">
        <v>1014</v>
      </c>
      <c r="L8" s="50">
        <f t="shared" ref="L8:L17" si="0">(I8-J8)*D8</f>
        <v>1803953.8401033436</v>
      </c>
      <c r="M8" s="50">
        <f t="shared" ref="M8:M17" si="1">(I8-J8)*E8</f>
        <v>2004393.1556703818</v>
      </c>
      <c r="N8" s="50">
        <f t="shared" ref="N8:N17" si="2">(I8-K8)*F8</f>
        <v>3900428.8496778589</v>
      </c>
      <c r="O8" s="50">
        <f t="shared" ref="O8:O17" si="3">(I8-K8)*G8</f>
        <v>3900428.8496778589</v>
      </c>
      <c r="P8" s="137">
        <f>SUM(L8:O8)</f>
        <v>11609204.695129443</v>
      </c>
      <c r="Q8" s="50"/>
      <c r="R8" s="50"/>
      <c r="S8" s="50"/>
      <c r="T8" s="27"/>
    </row>
    <row r="9" spans="1:20" s="19" customFormat="1" ht="27" customHeight="1">
      <c r="A9" s="51" t="s">
        <v>15</v>
      </c>
      <c r="B9" s="52" t="s">
        <v>22</v>
      </c>
      <c r="C9" s="56" t="s">
        <v>23</v>
      </c>
      <c r="D9" s="53">
        <v>631.45000000000005</v>
      </c>
      <c r="E9" s="53">
        <v>631.45000000000005</v>
      </c>
      <c r="F9" s="53">
        <v>3318.55</v>
      </c>
      <c r="G9" s="53">
        <v>3318.55</v>
      </c>
      <c r="H9" s="53">
        <f t="shared" ref="H9:H73" si="4">SUM(D9:G9)</f>
        <v>7900.0000000000009</v>
      </c>
      <c r="I9" s="50">
        <f>'2022'!I9*1.05</f>
        <v>3524.0411853300734</v>
      </c>
      <c r="J9" s="50">
        <f>'2022'!K9</f>
        <v>975</v>
      </c>
      <c r="K9" s="50">
        <v>1014</v>
      </c>
      <c r="L9" s="50">
        <f t="shared" si="0"/>
        <v>1609592.056476675</v>
      </c>
      <c r="M9" s="50">
        <f t="shared" si="1"/>
        <v>1609592.056476675</v>
      </c>
      <c r="N9" s="50">
        <f t="shared" si="2"/>
        <v>8329697.1755771153</v>
      </c>
      <c r="O9" s="50">
        <f t="shared" si="3"/>
        <v>8329697.1755771153</v>
      </c>
      <c r="P9" s="137">
        <f t="shared" ref="P9:P72" si="5">SUM(L9:O9)</f>
        <v>19878578.46410758</v>
      </c>
      <c r="Q9" s="50"/>
      <c r="R9" s="50"/>
      <c r="S9" s="50"/>
      <c r="T9" s="27"/>
    </row>
    <row r="10" spans="1:20" s="19" customFormat="1" ht="27" customHeight="1">
      <c r="A10" s="51" t="s">
        <v>15</v>
      </c>
      <c r="B10" s="51" t="s">
        <v>139</v>
      </c>
      <c r="C10" s="56" t="s">
        <v>23</v>
      </c>
      <c r="D10" s="53">
        <v>2098.75</v>
      </c>
      <c r="E10" s="53">
        <v>3314.2</v>
      </c>
      <c r="F10" s="53">
        <v>3288.65</v>
      </c>
      <c r="G10" s="53">
        <v>3405</v>
      </c>
      <c r="H10" s="53">
        <f t="shared" si="4"/>
        <v>12106.6</v>
      </c>
      <c r="I10" s="50">
        <f>'2022'!I10*1.05</f>
        <v>3201.9068703247481</v>
      </c>
      <c r="J10" s="50">
        <f>'2022'!K10</f>
        <v>975</v>
      </c>
      <c r="K10" s="50">
        <v>1014</v>
      </c>
      <c r="L10" s="50">
        <f t="shared" si="0"/>
        <v>4673720.7940940652</v>
      </c>
      <c r="M10" s="50">
        <f t="shared" si="1"/>
        <v>7380414.7496302798</v>
      </c>
      <c r="N10" s="50">
        <f t="shared" si="2"/>
        <v>7195259.9290934829</v>
      </c>
      <c r="O10" s="50">
        <f t="shared" si="3"/>
        <v>7449822.8934557671</v>
      </c>
      <c r="P10" s="137">
        <f t="shared" si="5"/>
        <v>26699218.366273593</v>
      </c>
      <c r="Q10" s="50"/>
      <c r="R10" s="50"/>
      <c r="S10" s="50"/>
      <c r="T10" s="27"/>
    </row>
    <row r="11" spans="1:20" s="19" customFormat="1" ht="27" customHeight="1">
      <c r="A11" s="51" t="s">
        <v>4</v>
      </c>
      <c r="B11" s="52" t="s">
        <v>58</v>
      </c>
      <c r="C11" s="56" t="s">
        <v>23</v>
      </c>
      <c r="D11" s="53">
        <v>536.54999999999995</v>
      </c>
      <c r="E11" s="53">
        <v>224.65</v>
      </c>
      <c r="F11" s="53">
        <v>500.05</v>
      </c>
      <c r="G11" s="53">
        <v>405.15000000000003</v>
      </c>
      <c r="H11" s="53">
        <f t="shared" si="4"/>
        <v>1666.4</v>
      </c>
      <c r="I11" s="50">
        <f>'2022'!I11*1.05</f>
        <v>2328.7485348421678</v>
      </c>
      <c r="J11" s="50">
        <f>'2022'!K11</f>
        <v>975</v>
      </c>
      <c r="K11" s="50">
        <v>1014</v>
      </c>
      <c r="L11" s="50">
        <f t="shared" si="0"/>
        <v>726353.77636956505</v>
      </c>
      <c r="M11" s="50">
        <f t="shared" si="1"/>
        <v>304119.60835229303</v>
      </c>
      <c r="N11" s="50">
        <f t="shared" si="2"/>
        <v>657440.00484782609</v>
      </c>
      <c r="O11" s="50">
        <f t="shared" si="3"/>
        <v>532670.36889130436</v>
      </c>
      <c r="P11" s="137">
        <f t="shared" si="5"/>
        <v>2220583.7584609883</v>
      </c>
      <c r="Q11" s="50"/>
      <c r="R11" s="50"/>
      <c r="S11" s="50"/>
      <c r="T11" s="27"/>
    </row>
    <row r="12" spans="1:20" s="19" customFormat="1" ht="27" customHeight="1">
      <c r="A12" s="51" t="s">
        <v>28</v>
      </c>
      <c r="B12" s="52" t="s">
        <v>58</v>
      </c>
      <c r="C12" s="56" t="s">
        <v>23</v>
      </c>
      <c r="D12" s="53">
        <v>1753.89</v>
      </c>
      <c r="E12" s="53">
        <v>1724.9670000000001</v>
      </c>
      <c r="F12" s="53">
        <v>2381.7399999999998</v>
      </c>
      <c r="G12" s="53">
        <v>2017.3550000000005</v>
      </c>
      <c r="H12" s="53">
        <f t="shared" si="4"/>
        <v>7877.9520000000002</v>
      </c>
      <c r="I12" s="50">
        <f>'2022'!I12*1.05</f>
        <v>3065.574612548412</v>
      </c>
      <c r="J12" s="50">
        <f>'2022'!K12</f>
        <v>975</v>
      </c>
      <c r="K12" s="50">
        <v>1014</v>
      </c>
      <c r="L12" s="50">
        <f t="shared" si="0"/>
        <v>3666637.9072025344</v>
      </c>
      <c r="M12" s="50">
        <f t="shared" si="1"/>
        <v>3606172.2176837968</v>
      </c>
      <c r="N12" s="50">
        <f t="shared" si="2"/>
        <v>4886317.3176910542</v>
      </c>
      <c r="O12" s="50">
        <f t="shared" si="3"/>
        <v>4138754.3024976025</v>
      </c>
      <c r="P12" s="137">
        <f t="shared" si="5"/>
        <v>16297881.745074987</v>
      </c>
      <c r="Q12" s="50"/>
      <c r="R12" s="50"/>
      <c r="S12" s="50"/>
      <c r="T12" s="27"/>
    </row>
    <row r="13" spans="1:20" s="18" customFormat="1" ht="27" customHeight="1">
      <c r="A13" s="52" t="s">
        <v>37</v>
      </c>
      <c r="B13" s="52" t="s">
        <v>58</v>
      </c>
      <c r="C13" s="70" t="s">
        <v>23</v>
      </c>
      <c r="D13" s="53">
        <v>1230.05</v>
      </c>
      <c r="E13" s="53">
        <v>1427.15</v>
      </c>
      <c r="F13" s="53">
        <v>3034.61</v>
      </c>
      <c r="G13" s="53">
        <v>2708.2999999999997</v>
      </c>
      <c r="H13" s="53">
        <f t="shared" si="4"/>
        <v>8400.1099999999988</v>
      </c>
      <c r="I13" s="50">
        <f>'2022'!I13*1.05</f>
        <v>2840.9980225498703</v>
      </c>
      <c r="J13" s="50">
        <f>'2022'!K13</f>
        <v>975</v>
      </c>
      <c r="K13" s="50">
        <v>1014</v>
      </c>
      <c r="L13" s="50">
        <f t="shared" si="0"/>
        <v>2295270.867637468</v>
      </c>
      <c r="M13" s="50">
        <f t="shared" si="1"/>
        <v>2663059.0778820473</v>
      </c>
      <c r="N13" s="50">
        <f t="shared" si="2"/>
        <v>5544226.4692100622</v>
      </c>
      <c r="O13" s="50">
        <f t="shared" si="3"/>
        <v>4948058.7444718136</v>
      </c>
      <c r="P13" s="137">
        <f t="shared" si="5"/>
        <v>15450615.159201391</v>
      </c>
      <c r="Q13" s="50"/>
      <c r="R13" s="50"/>
      <c r="S13" s="50"/>
      <c r="T13" s="17"/>
    </row>
    <row r="14" spans="1:20" s="18" customFormat="1" ht="27" customHeight="1">
      <c r="A14" s="52" t="s">
        <v>71</v>
      </c>
      <c r="B14" s="52" t="s">
        <v>58</v>
      </c>
      <c r="C14" s="70" t="s">
        <v>23</v>
      </c>
      <c r="D14" s="53">
        <v>285</v>
      </c>
      <c r="E14" s="53">
        <v>660</v>
      </c>
      <c r="F14" s="53">
        <v>2077.5</v>
      </c>
      <c r="G14" s="53">
        <v>2077.5</v>
      </c>
      <c r="H14" s="53">
        <f t="shared" si="4"/>
        <v>5100</v>
      </c>
      <c r="I14" s="50">
        <f>'2022'!I14*1.05</f>
        <v>2067.8549213885781</v>
      </c>
      <c r="J14" s="50">
        <f>'2022'!K14</f>
        <v>975</v>
      </c>
      <c r="K14" s="50">
        <v>1014</v>
      </c>
      <c r="L14" s="50">
        <f t="shared" si="0"/>
        <v>311463.65259574476</v>
      </c>
      <c r="M14" s="50">
        <f t="shared" si="1"/>
        <v>721284.24811646156</v>
      </c>
      <c r="N14" s="50">
        <f t="shared" si="2"/>
        <v>2189383.5991847711</v>
      </c>
      <c r="O14" s="50">
        <f t="shared" si="3"/>
        <v>2189383.5991847711</v>
      </c>
      <c r="P14" s="137">
        <f t="shared" si="5"/>
        <v>5411515.0990817482</v>
      </c>
      <c r="Q14" s="50"/>
      <c r="R14" s="50"/>
      <c r="S14" s="50"/>
      <c r="T14" s="17"/>
    </row>
    <row r="15" spans="1:20" s="18" customFormat="1" ht="27" customHeight="1">
      <c r="A15" s="52" t="s">
        <v>74</v>
      </c>
      <c r="B15" s="52" t="s">
        <v>58</v>
      </c>
      <c r="C15" s="70" t="s">
        <v>23</v>
      </c>
      <c r="D15" s="53">
        <v>448</v>
      </c>
      <c r="E15" s="53">
        <v>580</v>
      </c>
      <c r="F15" s="53">
        <v>482</v>
      </c>
      <c r="G15" s="53">
        <v>482</v>
      </c>
      <c r="H15" s="53">
        <f t="shared" si="4"/>
        <v>1992</v>
      </c>
      <c r="I15" s="50">
        <f>'2022'!I15*1.05</f>
        <v>2752.8276366790583</v>
      </c>
      <c r="J15" s="50">
        <f>'2022'!K15</f>
        <v>975</v>
      </c>
      <c r="K15" s="50">
        <v>1014</v>
      </c>
      <c r="L15" s="50">
        <f t="shared" si="0"/>
        <v>796466.78123221814</v>
      </c>
      <c r="M15" s="50">
        <f t="shared" si="1"/>
        <v>1031140.0292738538</v>
      </c>
      <c r="N15" s="50">
        <f t="shared" si="2"/>
        <v>838114.92087930604</v>
      </c>
      <c r="O15" s="50">
        <f t="shared" si="3"/>
        <v>838114.92087930604</v>
      </c>
      <c r="P15" s="137">
        <f t="shared" si="5"/>
        <v>3503836.6522646844</v>
      </c>
      <c r="Q15" s="50"/>
      <c r="R15" s="50"/>
      <c r="S15" s="50"/>
      <c r="T15" s="17"/>
    </row>
    <row r="16" spans="1:20" s="18" customFormat="1" ht="27" customHeight="1">
      <c r="A16" s="52" t="s">
        <v>51</v>
      </c>
      <c r="B16" s="52" t="s">
        <v>58</v>
      </c>
      <c r="C16" s="70" t="s">
        <v>23</v>
      </c>
      <c r="D16" s="53">
        <v>954</v>
      </c>
      <c r="E16" s="53">
        <v>925</v>
      </c>
      <c r="F16" s="53">
        <v>1560.5</v>
      </c>
      <c r="G16" s="53">
        <v>1560.5</v>
      </c>
      <c r="H16" s="53">
        <f t="shared" si="4"/>
        <v>5000</v>
      </c>
      <c r="I16" s="50">
        <f>'2022'!I16*1.05</f>
        <v>2791.2196200000008</v>
      </c>
      <c r="J16" s="50">
        <f>'2022'!K16</f>
        <v>975</v>
      </c>
      <c r="K16" s="50">
        <v>1014</v>
      </c>
      <c r="L16" s="50">
        <f t="shared" si="0"/>
        <v>1732673.5174800006</v>
      </c>
      <c r="M16" s="50">
        <f t="shared" si="1"/>
        <v>1680003.1485000006</v>
      </c>
      <c r="N16" s="50">
        <f t="shared" si="2"/>
        <v>2773351.2170100012</v>
      </c>
      <c r="O16" s="50">
        <f t="shared" si="3"/>
        <v>2773351.2170100012</v>
      </c>
      <c r="P16" s="137">
        <f t="shared" si="5"/>
        <v>8959379.1000000034</v>
      </c>
      <c r="Q16" s="50"/>
      <c r="R16" s="50"/>
      <c r="S16" s="50"/>
      <c r="T16" s="17"/>
    </row>
    <row r="17" spans="1:20" s="19" customFormat="1" ht="27" customHeight="1">
      <c r="A17" s="52" t="s">
        <v>97</v>
      </c>
      <c r="B17" s="52" t="s">
        <v>58</v>
      </c>
      <c r="C17" s="70" t="s">
        <v>23</v>
      </c>
      <c r="D17" s="53">
        <v>625</v>
      </c>
      <c r="E17" s="53">
        <v>625</v>
      </c>
      <c r="F17" s="53">
        <v>625</v>
      </c>
      <c r="G17" s="53">
        <v>625</v>
      </c>
      <c r="H17" s="53">
        <f t="shared" si="4"/>
        <v>2500</v>
      </c>
      <c r="I17" s="50">
        <f>'2022'!I17*1.05</f>
        <v>2674.9667616000002</v>
      </c>
      <c r="J17" s="50">
        <f>'2022'!K17</f>
        <v>975</v>
      </c>
      <c r="K17" s="50">
        <v>1014</v>
      </c>
      <c r="L17" s="50">
        <f t="shared" si="0"/>
        <v>1062479.226</v>
      </c>
      <c r="M17" s="50">
        <f t="shared" si="1"/>
        <v>1062479.226</v>
      </c>
      <c r="N17" s="50">
        <f t="shared" si="2"/>
        <v>1038104.2260000001</v>
      </c>
      <c r="O17" s="50">
        <f t="shared" si="3"/>
        <v>1038104.2260000001</v>
      </c>
      <c r="P17" s="137">
        <f t="shared" si="5"/>
        <v>4201166.9040000001</v>
      </c>
      <c r="Q17" s="48"/>
      <c r="R17" s="48"/>
      <c r="S17" s="48"/>
      <c r="T17" s="27"/>
    </row>
    <row r="18" spans="1:20" s="19" customFormat="1" ht="24.75" customHeight="1">
      <c r="A18" s="102" t="s">
        <v>5</v>
      </c>
      <c r="B18" s="102"/>
      <c r="C18" s="93"/>
      <c r="D18" s="107"/>
      <c r="E18" s="107"/>
      <c r="F18" s="107"/>
      <c r="G18" s="107"/>
      <c r="H18" s="107"/>
      <c r="I18" s="106"/>
      <c r="J18" s="106"/>
      <c r="K18" s="106"/>
      <c r="L18" s="106"/>
      <c r="M18" s="106"/>
      <c r="N18" s="106"/>
      <c r="O18" s="106"/>
      <c r="P18" s="138"/>
      <c r="Q18" s="110"/>
      <c r="R18" s="106"/>
      <c r="S18" s="106"/>
      <c r="T18" s="27"/>
    </row>
    <row r="19" spans="1:20" s="19" customFormat="1" ht="27" customHeight="1">
      <c r="A19" s="51" t="s">
        <v>14</v>
      </c>
      <c r="B19" s="52" t="str">
        <f>'2022'!B19</f>
        <v>МО "Усть-Шоношское", СП "Хозьминское"</v>
      </c>
      <c r="C19" s="70" t="str">
        <f>'2022'!C19</f>
        <v>круглые длиной более 1 м</v>
      </c>
      <c r="D19" s="53">
        <v>250</v>
      </c>
      <c r="E19" s="53">
        <v>0</v>
      </c>
      <c r="F19" s="53">
        <v>100</v>
      </c>
      <c r="G19" s="53">
        <v>100</v>
      </c>
      <c r="H19" s="53">
        <f t="shared" si="4"/>
        <v>450</v>
      </c>
      <c r="I19" s="50">
        <f>'2022'!I19*1.05</f>
        <v>850.60259760000019</v>
      </c>
      <c r="J19" s="50">
        <f>'2022'!K19</f>
        <v>484</v>
      </c>
      <c r="K19" s="50">
        <v>503</v>
      </c>
      <c r="L19" s="50">
        <f>(I19-J19)*D19</f>
        <v>91650.649400000053</v>
      </c>
      <c r="M19" s="50">
        <f>(I19-J19)*E19</f>
        <v>0</v>
      </c>
      <c r="N19" s="50">
        <f>(I19-K19)*F19</f>
        <v>34760.259760000023</v>
      </c>
      <c r="O19" s="50">
        <f>(I19-K19)*G19</f>
        <v>34760.259760000023</v>
      </c>
      <c r="P19" s="137">
        <f t="shared" si="5"/>
        <v>161171.16892000008</v>
      </c>
      <c r="Q19" s="56"/>
      <c r="R19" s="50"/>
      <c r="S19" s="50"/>
      <c r="T19" s="27"/>
    </row>
    <row r="20" spans="1:20" s="19" customFormat="1" ht="27" customHeight="1">
      <c r="A20" s="51" t="s">
        <v>14</v>
      </c>
      <c r="B20" s="52" t="str">
        <f>'2022'!B20</f>
        <v>МО "Усть-Шоношское", МО "хозьминское"</v>
      </c>
      <c r="C20" s="70" t="str">
        <f>'2022'!C20</f>
        <v>круглые длиной 1 м и менее</v>
      </c>
      <c r="D20" s="53">
        <v>328</v>
      </c>
      <c r="E20" s="53">
        <v>36</v>
      </c>
      <c r="F20" s="53">
        <v>93</v>
      </c>
      <c r="G20" s="53">
        <v>93</v>
      </c>
      <c r="H20" s="53">
        <f t="shared" si="4"/>
        <v>550</v>
      </c>
      <c r="I20" s="50">
        <f>'2022'!I20*1.05</f>
        <v>1022.1043392000001</v>
      </c>
      <c r="J20" s="50">
        <f>'2022'!K20</f>
        <v>576</v>
      </c>
      <c r="K20" s="50">
        <v>599</v>
      </c>
      <c r="L20" s="50">
        <f>(I20-J20)*D20</f>
        <v>146322.22325760004</v>
      </c>
      <c r="M20" s="50">
        <f>(I20-J20)*E20</f>
        <v>16059.756211200005</v>
      </c>
      <c r="N20" s="50">
        <f>(I20-K20)*F20</f>
        <v>39348.703545600016</v>
      </c>
      <c r="O20" s="50">
        <f>(I20-K20)*G20</f>
        <v>39348.703545600016</v>
      </c>
      <c r="P20" s="137">
        <f t="shared" si="5"/>
        <v>241079.38656000007</v>
      </c>
      <c r="Q20" s="48"/>
      <c r="R20" s="48"/>
      <c r="S20" s="48"/>
      <c r="T20" s="27"/>
    </row>
    <row r="21" spans="1:20" s="19" customFormat="1" ht="27" customHeight="1">
      <c r="A21" s="51" t="s">
        <v>14</v>
      </c>
      <c r="B21" s="52" t="str">
        <f>'2022'!B21</f>
        <v>СП "Усть-Шоношское"</v>
      </c>
      <c r="C21" s="70" t="str">
        <f>'2022'!C21</f>
        <v>круглые длиной более 1 м</v>
      </c>
      <c r="D21" s="53">
        <v>15</v>
      </c>
      <c r="E21" s="53">
        <v>15</v>
      </c>
      <c r="F21" s="53">
        <v>15</v>
      </c>
      <c r="G21" s="53">
        <v>15</v>
      </c>
      <c r="H21" s="53">
        <f t="shared" si="4"/>
        <v>60</v>
      </c>
      <c r="I21" s="50">
        <f>'2022'!I21*1.05</f>
        <v>850.60259760000019</v>
      </c>
      <c r="J21" s="50">
        <f>'2022'!K21</f>
        <v>576</v>
      </c>
      <c r="K21" s="50">
        <v>599</v>
      </c>
      <c r="L21" s="50">
        <f>(I21-J21)*D21</f>
        <v>4119.038964000003</v>
      </c>
      <c r="M21" s="50">
        <f>(I21-J21)*E21</f>
        <v>4119.038964000003</v>
      </c>
      <c r="N21" s="50">
        <f>(I21-K21)*F21</f>
        <v>3774.038964000003</v>
      </c>
      <c r="O21" s="50">
        <f>(I21-K21)*G21</f>
        <v>3774.038964000003</v>
      </c>
      <c r="P21" s="137">
        <f t="shared" si="5"/>
        <v>15786.155856000012</v>
      </c>
      <c r="Q21" s="48"/>
      <c r="R21" s="48"/>
      <c r="S21" s="48"/>
      <c r="T21" s="27"/>
    </row>
    <row r="22" spans="1:20" s="19" customFormat="1" ht="27" customHeight="1">
      <c r="A22" s="51" t="s">
        <v>14</v>
      </c>
      <c r="B22" s="52" t="str">
        <f>'2022'!B22</f>
        <v>СП "Верхнешоношское"</v>
      </c>
      <c r="C22" s="70" t="str">
        <f>'2022'!C22</f>
        <v>круглые длиной более 1 м</v>
      </c>
      <c r="D22" s="53">
        <v>27</v>
      </c>
      <c r="E22" s="53">
        <v>27</v>
      </c>
      <c r="F22" s="53">
        <v>27</v>
      </c>
      <c r="G22" s="53">
        <v>27</v>
      </c>
      <c r="H22" s="53">
        <f t="shared" si="4"/>
        <v>108</v>
      </c>
      <c r="I22" s="50">
        <f>'2022'!I22*1.05</f>
        <v>850.60259760000019</v>
      </c>
      <c r="J22" s="50">
        <f>'2022'!K22</f>
        <v>576</v>
      </c>
      <c r="K22" s="50">
        <v>599</v>
      </c>
      <c r="L22" s="50">
        <f>(I22-J22)*D22</f>
        <v>7414.2701352000049</v>
      </c>
      <c r="M22" s="50">
        <f>(I22-J22)*E22</f>
        <v>7414.2701352000049</v>
      </c>
      <c r="N22" s="50">
        <f>(I22-K22)*F22</f>
        <v>6793.2701352000049</v>
      </c>
      <c r="O22" s="50">
        <f>(I22-K22)*G22</f>
        <v>6793.2701352000049</v>
      </c>
      <c r="P22" s="137">
        <f t="shared" si="5"/>
        <v>28415.08054080002</v>
      </c>
      <c r="Q22" s="48"/>
      <c r="R22" s="48"/>
      <c r="S22" s="48"/>
      <c r="T22" s="27"/>
    </row>
    <row r="23" spans="1:20" s="19" customFormat="1" ht="27" customHeight="1">
      <c r="A23" s="51" t="s">
        <v>14</v>
      </c>
      <c r="B23" s="52" t="str">
        <f>'2022'!B23</f>
        <v>СП "Шадреньгское"</v>
      </c>
      <c r="C23" s="70" t="str">
        <f>'2022'!C23</f>
        <v>круглые длиной более 1 м</v>
      </c>
      <c r="D23" s="53">
        <v>10</v>
      </c>
      <c r="E23" s="53">
        <v>10</v>
      </c>
      <c r="F23" s="53">
        <v>10</v>
      </c>
      <c r="G23" s="53">
        <v>10</v>
      </c>
      <c r="H23" s="53">
        <f t="shared" si="4"/>
        <v>40</v>
      </c>
      <c r="I23" s="50">
        <f>'2022'!I23*1.05</f>
        <v>850.60259760000019</v>
      </c>
      <c r="J23" s="50">
        <f>'2022'!K23</f>
        <v>576</v>
      </c>
      <c r="K23" s="50">
        <v>599</v>
      </c>
      <c r="L23" s="50">
        <f>(I23-J23)*D23</f>
        <v>2746.0259760000017</v>
      </c>
      <c r="M23" s="50">
        <f>(I23-J23)*E23</f>
        <v>2746.0259760000017</v>
      </c>
      <c r="N23" s="50">
        <f>(I23-K23)*F23</f>
        <v>2516.0259760000017</v>
      </c>
      <c r="O23" s="50">
        <f>(I23-K23)*G23</f>
        <v>2516.0259760000017</v>
      </c>
      <c r="P23" s="137">
        <f t="shared" si="5"/>
        <v>10524.103904000007</v>
      </c>
      <c r="Q23" s="48"/>
      <c r="R23" s="48"/>
      <c r="S23" s="48"/>
      <c r="T23" s="27"/>
    </row>
    <row r="24" spans="1:20" s="18" customFormat="1" ht="24.75" customHeight="1">
      <c r="A24" s="102" t="s">
        <v>6</v>
      </c>
      <c r="B24" s="102"/>
      <c r="C24" s="93"/>
      <c r="D24" s="107"/>
      <c r="E24" s="107"/>
      <c r="F24" s="107"/>
      <c r="G24" s="107"/>
      <c r="H24" s="107"/>
      <c r="I24" s="106"/>
      <c r="J24" s="106"/>
      <c r="K24" s="106"/>
      <c r="L24" s="106"/>
      <c r="M24" s="106"/>
      <c r="N24" s="106"/>
      <c r="O24" s="106"/>
      <c r="P24" s="138"/>
      <c r="Q24" s="110"/>
      <c r="R24" s="106"/>
      <c r="S24" s="106"/>
      <c r="T24" s="17"/>
    </row>
    <row r="25" spans="1:20" s="18" customFormat="1" ht="33.75" customHeight="1">
      <c r="A25" s="51" t="s">
        <v>98</v>
      </c>
      <c r="B25" s="52" t="str">
        <f>'2022'!B25</f>
        <v>МО "Пучужское", 
МО "Афанасьевское", 
МО "Верхнетоемское", 
МО "Сефтренское", 
МО "Двинское</v>
      </c>
      <c r="C25" s="56" t="s">
        <v>25</v>
      </c>
      <c r="D25" s="53">
        <v>2575</v>
      </c>
      <c r="E25" s="53">
        <v>2575</v>
      </c>
      <c r="F25" s="53">
        <v>2575</v>
      </c>
      <c r="G25" s="53">
        <v>2575</v>
      </c>
      <c r="H25" s="53">
        <f t="shared" si="4"/>
        <v>10300</v>
      </c>
      <c r="I25" s="50">
        <f>'2022'!I25*1.05</f>
        <v>2317.0000392000002</v>
      </c>
      <c r="J25" s="50">
        <f>'2022'!K25</f>
        <v>506</v>
      </c>
      <c r="K25" s="50">
        <v>526</v>
      </c>
      <c r="L25" s="50">
        <f>(I25-J25)*D25</f>
        <v>4663325.1009400003</v>
      </c>
      <c r="M25" s="50">
        <f>(I25-J25)*E25</f>
        <v>4663325.1009400003</v>
      </c>
      <c r="N25" s="50">
        <f>(I25-K25)*F25</f>
        <v>4611825.1009400003</v>
      </c>
      <c r="O25" s="50">
        <f>(I25-K25)*G25</f>
        <v>4611825.1009400003</v>
      </c>
      <c r="P25" s="137">
        <f t="shared" si="5"/>
        <v>18550300.403760001</v>
      </c>
      <c r="Q25" s="56"/>
      <c r="R25" s="50"/>
      <c r="S25" s="50"/>
      <c r="T25" s="17"/>
    </row>
    <row r="26" spans="1:20" s="18" customFormat="1" ht="27" customHeight="1">
      <c r="A26" s="52" t="s">
        <v>72</v>
      </c>
      <c r="B26" s="52" t="str">
        <f>'2022'!B26</f>
        <v>МО "Верхнетоемское", 
МО "Двинское"</v>
      </c>
      <c r="C26" s="70" t="s">
        <v>24</v>
      </c>
      <c r="D26" s="53">
        <v>2125</v>
      </c>
      <c r="E26" s="53">
        <v>2125</v>
      </c>
      <c r="F26" s="53">
        <v>2125</v>
      </c>
      <c r="G26" s="53">
        <v>2125</v>
      </c>
      <c r="H26" s="53">
        <f t="shared" si="4"/>
        <v>8500</v>
      </c>
      <c r="I26" s="50">
        <f>'2022'!I26*1.05</f>
        <v>2887.9051656000006</v>
      </c>
      <c r="J26" s="50">
        <f>'2022'!K26</f>
        <v>667</v>
      </c>
      <c r="K26" s="50">
        <v>693</v>
      </c>
      <c r="L26" s="50">
        <f>(I26-J26)*D26</f>
        <v>4719423.4769000011</v>
      </c>
      <c r="M26" s="50">
        <f>(I26-J26)*E26</f>
        <v>4719423.4769000011</v>
      </c>
      <c r="N26" s="50">
        <f>(I26-K26)*F26</f>
        <v>4664173.4769000011</v>
      </c>
      <c r="O26" s="50">
        <f>(I26-K26)*G26</f>
        <v>4664173.4769000011</v>
      </c>
      <c r="P26" s="137">
        <f t="shared" si="5"/>
        <v>18767193.907600004</v>
      </c>
      <c r="Q26" s="56"/>
      <c r="R26" s="50"/>
      <c r="S26" s="50"/>
      <c r="T26" s="17"/>
    </row>
    <row r="27" spans="1:20" s="18" customFormat="1" ht="27" customHeight="1">
      <c r="A27" s="52" t="str">
        <f>'2022'!A27</f>
        <v>ИП Котельников М.А.</v>
      </c>
      <c r="B27" s="52" t="str">
        <f>'2022'!B27</f>
        <v xml:space="preserve">
МО "Сефтренское", 
МО "Двинское</v>
      </c>
      <c r="C27" s="52" t="str">
        <f>'2022'!C27</f>
        <v>круглые длиной 1 м и менее</v>
      </c>
      <c r="D27" s="53">
        <v>1125</v>
      </c>
      <c r="E27" s="53">
        <v>1125</v>
      </c>
      <c r="F27" s="53">
        <v>1125</v>
      </c>
      <c r="G27" s="53">
        <v>1125</v>
      </c>
      <c r="H27" s="53">
        <f>'2022'!H27</f>
        <v>4500</v>
      </c>
      <c r="I27" s="50">
        <f>'2022'!I27*1.05</f>
        <v>2861.0400000000004</v>
      </c>
      <c r="J27" s="50">
        <f>'2022'!K27</f>
        <v>667</v>
      </c>
      <c r="K27" s="50">
        <v>693</v>
      </c>
      <c r="L27" s="50">
        <f>(I27-J27)*D27</f>
        <v>2468295.0000000005</v>
      </c>
      <c r="M27" s="50">
        <f>(I27-J27)*E27</f>
        <v>2468295.0000000005</v>
      </c>
      <c r="N27" s="50">
        <f>(I27-K27)*F27</f>
        <v>2439045.0000000005</v>
      </c>
      <c r="O27" s="50">
        <f>(I27-K27)*G27</f>
        <v>2439045.0000000005</v>
      </c>
      <c r="P27" s="137">
        <f t="shared" si="5"/>
        <v>9814680.0000000019</v>
      </c>
      <c r="Q27" s="56"/>
      <c r="R27" s="50"/>
      <c r="S27" s="50"/>
      <c r="T27" s="17"/>
    </row>
    <row r="28" spans="1:20" s="19" customFormat="1" ht="24.75" customHeight="1">
      <c r="A28" s="102" t="s">
        <v>7</v>
      </c>
      <c r="B28" s="102"/>
      <c r="C28" s="93"/>
      <c r="D28" s="107"/>
      <c r="E28" s="107"/>
      <c r="F28" s="107"/>
      <c r="G28" s="107"/>
      <c r="H28" s="107"/>
      <c r="I28" s="106"/>
      <c r="J28" s="106"/>
      <c r="K28" s="106"/>
      <c r="L28" s="106"/>
      <c r="M28" s="106"/>
      <c r="N28" s="106"/>
      <c r="O28" s="106"/>
      <c r="P28" s="138"/>
      <c r="Q28" s="104"/>
      <c r="R28" s="104"/>
      <c r="S28" s="104"/>
      <c r="T28" s="27"/>
    </row>
    <row r="29" spans="1:20" s="19" customFormat="1" ht="57" customHeight="1">
      <c r="A29" s="52" t="s">
        <v>122</v>
      </c>
      <c r="B29" s="52" t="s">
        <v>123</v>
      </c>
      <c r="C29" s="70" t="s">
        <v>24</v>
      </c>
      <c r="D29" s="53">
        <v>500</v>
      </c>
      <c r="E29" s="53">
        <v>500</v>
      </c>
      <c r="F29" s="53">
        <v>500</v>
      </c>
      <c r="G29" s="53">
        <v>500</v>
      </c>
      <c r="H29" s="53">
        <f t="shared" si="4"/>
        <v>2000</v>
      </c>
      <c r="I29" s="50">
        <f>'2022'!I29*1.05</f>
        <v>2239.3140000000003</v>
      </c>
      <c r="J29" s="50">
        <f>'2022'!K29</f>
        <v>970</v>
      </c>
      <c r="K29" s="50">
        <v>1008</v>
      </c>
      <c r="L29" s="50">
        <f>(I29-J29)*D29</f>
        <v>634657.00000000012</v>
      </c>
      <c r="M29" s="50">
        <f>(I29-J29)*E29</f>
        <v>634657.00000000012</v>
      </c>
      <c r="N29" s="50">
        <f>(I29-K29)*F29</f>
        <v>615657.00000000012</v>
      </c>
      <c r="O29" s="50">
        <f>(I29-K29)*G29</f>
        <v>615657.00000000012</v>
      </c>
      <c r="P29" s="137">
        <f t="shared" si="5"/>
        <v>2500628.0000000005</v>
      </c>
      <c r="Q29" s="44"/>
      <c r="R29" s="44"/>
      <c r="S29" s="48"/>
      <c r="T29" s="27"/>
    </row>
    <row r="30" spans="1:20" s="19" customFormat="1" ht="24.75" customHeight="1">
      <c r="A30" s="102" t="s">
        <v>8</v>
      </c>
      <c r="B30" s="102"/>
      <c r="C30" s="93"/>
      <c r="D30" s="107"/>
      <c r="E30" s="107"/>
      <c r="F30" s="107"/>
      <c r="G30" s="107"/>
      <c r="H30" s="107"/>
      <c r="I30" s="106"/>
      <c r="J30" s="106"/>
      <c r="K30" s="106"/>
      <c r="L30" s="106"/>
      <c r="M30" s="106"/>
      <c r="N30" s="106"/>
      <c r="O30" s="106"/>
      <c r="P30" s="138"/>
      <c r="Q30" s="110"/>
      <c r="R30" s="106"/>
      <c r="S30" s="106"/>
      <c r="T30" s="27"/>
    </row>
    <row r="31" spans="1:20" s="19" customFormat="1" ht="27" customHeight="1">
      <c r="A31" s="51" t="s">
        <v>12</v>
      </c>
      <c r="B31" s="52" t="s">
        <v>66</v>
      </c>
      <c r="C31" s="56" t="s">
        <v>24</v>
      </c>
      <c r="D31" s="53">
        <v>175</v>
      </c>
      <c r="E31" s="53">
        <v>108.33333333333333</v>
      </c>
      <c r="F31" s="53">
        <v>108.33333333333333</v>
      </c>
      <c r="G31" s="53">
        <v>108.33333333333333</v>
      </c>
      <c r="H31" s="53">
        <f t="shared" si="4"/>
        <v>499.99999999999994</v>
      </c>
      <c r="I31" s="50">
        <f>'2022'!I31*1.05</f>
        <v>1090.0144248000001</v>
      </c>
      <c r="J31" s="50">
        <f>'2022'!K31</f>
        <v>884</v>
      </c>
      <c r="K31" s="50">
        <v>919</v>
      </c>
      <c r="L31" s="50">
        <f>(I31-J31)*D31</f>
        <v>36052.524340000025</v>
      </c>
      <c r="M31" s="50">
        <f>(I31-J31)*E31</f>
        <v>22318.229353333347</v>
      </c>
      <c r="N31" s="50">
        <f>(I31-K31)*F31</f>
        <v>18526.562686666683</v>
      </c>
      <c r="O31" s="50">
        <f>(I31-K31)*G31</f>
        <v>18526.562686666683</v>
      </c>
      <c r="P31" s="137">
        <f t="shared" si="5"/>
        <v>95423.879066666748</v>
      </c>
      <c r="Q31" s="56"/>
      <c r="R31" s="50"/>
      <c r="S31" s="50"/>
      <c r="T31" s="27"/>
    </row>
    <row r="32" spans="1:20" s="19" customFormat="1" ht="27" customHeight="1">
      <c r="A32" s="51" t="s">
        <v>12</v>
      </c>
      <c r="B32" s="52" t="s">
        <v>66</v>
      </c>
      <c r="C32" s="56" t="s">
        <v>67</v>
      </c>
      <c r="D32" s="53">
        <v>1611.6000000000001</v>
      </c>
      <c r="E32" s="53">
        <v>48.9</v>
      </c>
      <c r="F32" s="53">
        <v>659.6</v>
      </c>
      <c r="G32" s="53">
        <v>920.30000000000007</v>
      </c>
      <c r="H32" s="53">
        <f t="shared" si="4"/>
        <v>3240.4000000000005</v>
      </c>
      <c r="I32" s="50">
        <f>'2022'!I32*1.05</f>
        <v>910.45555440000021</v>
      </c>
      <c r="J32" s="50">
        <f>'2022'!K32</f>
        <v>783</v>
      </c>
      <c r="K32" s="50">
        <v>814</v>
      </c>
      <c r="L32" s="50">
        <f>(I32-J32)*D32</f>
        <v>205407.37147104036</v>
      </c>
      <c r="M32" s="50">
        <f>(I32-J32)*E32</f>
        <v>6232.5766101600102</v>
      </c>
      <c r="N32" s="50">
        <f>(I32-K32)*F32</f>
        <v>63622.08368224014</v>
      </c>
      <c r="O32" s="50">
        <f>(I32-K32)*G32</f>
        <v>88768.046714320197</v>
      </c>
      <c r="P32" s="137">
        <f t="shared" si="5"/>
        <v>364030.07847776072</v>
      </c>
      <c r="Q32" s="56"/>
      <c r="R32" s="50"/>
      <c r="S32" s="50"/>
      <c r="T32" s="27"/>
    </row>
    <row r="33" spans="1:20" s="19" customFormat="1" ht="27" customHeight="1">
      <c r="A33" s="51" t="str">
        <f>'2022'!A33</f>
        <v>АО "Группа "Илим"</v>
      </c>
      <c r="B33" s="51" t="str">
        <f>'2022'!B33</f>
        <v>МО "Приводинское"</v>
      </c>
      <c r="C33" s="70" t="str">
        <f>'2022'!C33</f>
        <v>круглые длиной 1 м и более</v>
      </c>
      <c r="D33" s="53">
        <v>1100</v>
      </c>
      <c r="E33" s="53">
        <v>1100</v>
      </c>
      <c r="F33" s="53">
        <v>1100</v>
      </c>
      <c r="G33" s="53">
        <v>1100</v>
      </c>
      <c r="H33" s="53">
        <f t="shared" si="4"/>
        <v>4400</v>
      </c>
      <c r="I33" s="50">
        <f>'2022'!I33*1.05</f>
        <v>729.27120000000002</v>
      </c>
      <c r="J33" s="50">
        <f>'2022'!K33</f>
        <v>652.5</v>
      </c>
      <c r="K33" s="50">
        <f>814/1.2</f>
        <v>678.33333333333337</v>
      </c>
      <c r="L33" s="50">
        <f>(I33-J33)*D33</f>
        <v>84448.320000000022</v>
      </c>
      <c r="M33" s="50">
        <f>(I33-J33)*E33</f>
        <v>84448.320000000022</v>
      </c>
      <c r="N33" s="50">
        <f>(I33-K33)*F33</f>
        <v>56031.653333333314</v>
      </c>
      <c r="O33" s="50">
        <f>(I33-K33)*G33</f>
        <v>56031.653333333314</v>
      </c>
      <c r="P33" s="137">
        <f t="shared" si="5"/>
        <v>280959.94666666666</v>
      </c>
      <c r="Q33" s="56"/>
      <c r="R33" s="50"/>
      <c r="S33" s="50"/>
      <c r="T33" s="27"/>
    </row>
    <row r="34" spans="1:20" s="19" customFormat="1" ht="27" customHeight="1">
      <c r="A34" s="51" t="str">
        <f>'2022'!A34</f>
        <v>АО "Группа "Илим"</v>
      </c>
      <c r="B34" s="51" t="str">
        <f>'2022'!B34</f>
        <v>МО "Черемушское"</v>
      </c>
      <c r="C34" s="70" t="str">
        <f>'2022'!C34</f>
        <v>круглые длиной 1 м и более</v>
      </c>
      <c r="D34" s="53">
        <v>450</v>
      </c>
      <c r="E34" s="53">
        <v>450</v>
      </c>
      <c r="F34" s="53">
        <v>450</v>
      </c>
      <c r="G34" s="53">
        <v>450</v>
      </c>
      <c r="H34" s="53">
        <f t="shared" si="4"/>
        <v>1800</v>
      </c>
      <c r="I34" s="50">
        <f>'2022'!I34*1.05</f>
        <v>729.27120000000002</v>
      </c>
      <c r="J34" s="50">
        <f>'2022'!K34</f>
        <v>652.5</v>
      </c>
      <c r="K34" s="50">
        <f>814/1.2</f>
        <v>678.33333333333337</v>
      </c>
      <c r="L34" s="50">
        <f>(I34-J34)*D34</f>
        <v>34547.040000000008</v>
      </c>
      <c r="M34" s="50">
        <f>(I34-J34)*E34</f>
        <v>34547.040000000008</v>
      </c>
      <c r="N34" s="50">
        <f>(I34-K34)*F34</f>
        <v>22922.039999999994</v>
      </c>
      <c r="O34" s="50">
        <f>(I34-K34)*G34</f>
        <v>22922.039999999994</v>
      </c>
      <c r="P34" s="137">
        <f t="shared" si="5"/>
        <v>114938.16</v>
      </c>
      <c r="Q34" s="56"/>
      <c r="R34" s="50"/>
      <c r="S34" s="50"/>
      <c r="T34" s="27"/>
    </row>
    <row r="35" spans="1:20" s="19" customFormat="1" ht="27" customHeight="1">
      <c r="A35" s="51" t="str">
        <f>'2022'!A35</f>
        <v>АО "Группа "Илим"</v>
      </c>
      <c r="B35" s="51" t="str">
        <f>'2022'!B35</f>
        <v>МО "Сольвычегодское"</v>
      </c>
      <c r="C35" s="70" t="str">
        <f>'2022'!C35</f>
        <v>круглые длиной 1 м и более</v>
      </c>
      <c r="D35" s="53">
        <v>625</v>
      </c>
      <c r="E35" s="53">
        <v>625</v>
      </c>
      <c r="F35" s="53">
        <v>625</v>
      </c>
      <c r="G35" s="53">
        <v>625</v>
      </c>
      <c r="H35" s="53">
        <f t="shared" si="4"/>
        <v>2500</v>
      </c>
      <c r="I35" s="50">
        <f>'2022'!I35*1.05</f>
        <v>729.27120000000002</v>
      </c>
      <c r="J35" s="50">
        <f>'2022'!K35</f>
        <v>652.5</v>
      </c>
      <c r="K35" s="50">
        <f>814/1.2</f>
        <v>678.33333333333337</v>
      </c>
      <c r="L35" s="50">
        <f>(I35-J35)*D35</f>
        <v>47982.000000000015</v>
      </c>
      <c r="M35" s="50">
        <f>(I35-J35)*E35</f>
        <v>47982.000000000015</v>
      </c>
      <c r="N35" s="50">
        <f>(I35-K35)*F35</f>
        <v>31836.166666666657</v>
      </c>
      <c r="O35" s="50">
        <f>(I35-K35)*G35</f>
        <v>31836.166666666657</v>
      </c>
      <c r="P35" s="137">
        <f t="shared" si="5"/>
        <v>159636.33333333334</v>
      </c>
      <c r="Q35" s="56"/>
      <c r="R35" s="50"/>
      <c r="S35" s="50"/>
      <c r="T35" s="27"/>
    </row>
    <row r="36" spans="1:20" s="19" customFormat="1" ht="24.75" customHeight="1">
      <c r="A36" s="102" t="s">
        <v>9</v>
      </c>
      <c r="B36" s="102"/>
      <c r="C36" s="93"/>
      <c r="D36" s="107"/>
      <c r="E36" s="107"/>
      <c r="F36" s="107"/>
      <c r="G36" s="107"/>
      <c r="H36" s="107"/>
      <c r="I36" s="106"/>
      <c r="J36" s="106"/>
      <c r="K36" s="106"/>
      <c r="L36" s="106"/>
      <c r="M36" s="106"/>
      <c r="N36" s="106"/>
      <c r="O36" s="106"/>
      <c r="P36" s="138"/>
      <c r="Q36" s="104"/>
      <c r="R36" s="104"/>
      <c r="S36" s="104"/>
      <c r="T36" s="27"/>
    </row>
    <row r="37" spans="1:20" s="21" customFormat="1" ht="41.25" customHeight="1">
      <c r="A37" s="52" t="s">
        <v>2</v>
      </c>
      <c r="B37" s="52" t="s">
        <v>38</v>
      </c>
      <c r="C37" s="56" t="s">
        <v>24</v>
      </c>
      <c r="D37" s="53">
        <v>1348.1</v>
      </c>
      <c r="E37" s="53">
        <v>402.7</v>
      </c>
      <c r="F37" s="53">
        <v>68.31</v>
      </c>
      <c r="G37" s="53">
        <v>1018.24</v>
      </c>
      <c r="H37" s="53">
        <f t="shared" si="4"/>
        <v>2837.35</v>
      </c>
      <c r="I37" s="50">
        <f>'2022'!I37*1.05</f>
        <v>1696.034597657394</v>
      </c>
      <c r="J37" s="50">
        <f>'2022'!K37</f>
        <v>1131</v>
      </c>
      <c r="K37" s="50">
        <v>1176</v>
      </c>
      <c r="L37" s="50">
        <f>(I37-J37)*D37</f>
        <v>761723.14110193274</v>
      </c>
      <c r="M37" s="50">
        <f>(I37-J37)*E37</f>
        <v>227539.43247663256</v>
      </c>
      <c r="N37" s="50">
        <f>(I37-K37)*F37</f>
        <v>35523.563365976588</v>
      </c>
      <c r="O37" s="50">
        <f>(I37-K37)*G37</f>
        <v>529520.02871866489</v>
      </c>
      <c r="P37" s="137">
        <f t="shared" si="5"/>
        <v>1554306.1656632067</v>
      </c>
      <c r="Q37" s="56"/>
      <c r="R37" s="50"/>
      <c r="S37" s="50"/>
      <c r="T37" s="20"/>
    </row>
    <row r="38" spans="1:20" s="21" customFormat="1" ht="24.75" customHeight="1">
      <c r="A38" s="102" t="s">
        <v>10</v>
      </c>
      <c r="B38" s="102"/>
      <c r="C38" s="93"/>
      <c r="D38" s="107"/>
      <c r="E38" s="107"/>
      <c r="F38" s="107"/>
      <c r="G38" s="107"/>
      <c r="H38" s="107"/>
      <c r="I38" s="106"/>
      <c r="J38" s="106"/>
      <c r="K38" s="106"/>
      <c r="L38" s="106"/>
      <c r="M38" s="106"/>
      <c r="N38" s="106"/>
      <c r="O38" s="106"/>
      <c r="P38" s="138"/>
      <c r="Q38" s="110"/>
      <c r="R38" s="106"/>
      <c r="S38" s="106"/>
      <c r="T38" s="20"/>
    </row>
    <row r="39" spans="1:20" s="19" customFormat="1" ht="27" customHeight="1">
      <c r="A39" s="52" t="s">
        <v>73</v>
      </c>
      <c r="B39" s="52" t="s">
        <v>34</v>
      </c>
      <c r="C39" s="56" t="s">
        <v>24</v>
      </c>
      <c r="D39" s="53">
        <v>1036</v>
      </c>
      <c r="E39" s="53">
        <v>231</v>
      </c>
      <c r="F39" s="53">
        <v>1591</v>
      </c>
      <c r="G39" s="53">
        <v>0</v>
      </c>
      <c r="H39" s="53">
        <f t="shared" si="4"/>
        <v>2858</v>
      </c>
      <c r="I39" s="50">
        <f>'2022'!I39*1.05</f>
        <v>3023.1415102850065</v>
      </c>
      <c r="J39" s="50">
        <f>'2022'!K39</f>
        <v>1131</v>
      </c>
      <c r="K39" s="50">
        <v>1176</v>
      </c>
      <c r="L39" s="50">
        <f t="shared" ref="L39:L46" si="6">(I39-J39)*D39</f>
        <v>1960258.6046552667</v>
      </c>
      <c r="M39" s="50">
        <f t="shared" ref="M39:M46" si="7">(I39-J39)*E39</f>
        <v>437084.68887583649</v>
      </c>
      <c r="N39" s="50">
        <f t="shared" ref="N39:N46" si="8">(I39-K39)*F39</f>
        <v>2938802.1428634454</v>
      </c>
      <c r="O39" s="50">
        <f t="shared" ref="O39:O46" si="9">(I39-K39)*G39</f>
        <v>0</v>
      </c>
      <c r="P39" s="137">
        <f t="shared" si="5"/>
        <v>5336145.436394548</v>
      </c>
      <c r="Q39" s="48"/>
      <c r="R39" s="48"/>
      <c r="S39" s="48"/>
      <c r="T39" s="27"/>
    </row>
    <row r="40" spans="1:20" s="23" customFormat="1" ht="27" customHeight="1">
      <c r="A40" s="52" t="s">
        <v>73</v>
      </c>
      <c r="B40" s="51" t="s">
        <v>54</v>
      </c>
      <c r="C40" s="56" t="s">
        <v>24</v>
      </c>
      <c r="D40" s="53">
        <v>125</v>
      </c>
      <c r="E40" s="53">
        <v>125</v>
      </c>
      <c r="F40" s="53">
        <v>125</v>
      </c>
      <c r="G40" s="53">
        <v>125</v>
      </c>
      <c r="H40" s="53">
        <f t="shared" si="4"/>
        <v>500</v>
      </c>
      <c r="I40" s="50">
        <f>'2022'!I40*1.05</f>
        <v>3023.1415102850065</v>
      </c>
      <c r="J40" s="50">
        <f>'2022'!K40</f>
        <v>1131</v>
      </c>
      <c r="K40" s="50">
        <v>1176</v>
      </c>
      <c r="L40" s="50">
        <f t="shared" si="6"/>
        <v>236517.6887856258</v>
      </c>
      <c r="M40" s="50">
        <f t="shared" si="7"/>
        <v>236517.6887856258</v>
      </c>
      <c r="N40" s="50">
        <f t="shared" si="8"/>
        <v>230892.6887856258</v>
      </c>
      <c r="O40" s="50">
        <f t="shared" si="9"/>
        <v>230892.6887856258</v>
      </c>
      <c r="P40" s="137">
        <f t="shared" si="5"/>
        <v>934820.75514250319</v>
      </c>
      <c r="Q40" s="56"/>
      <c r="R40" s="50"/>
      <c r="S40" s="50"/>
      <c r="T40" s="22"/>
    </row>
    <row r="41" spans="1:20" s="23" customFormat="1" ht="27" customHeight="1">
      <c r="A41" s="52" t="s">
        <v>55</v>
      </c>
      <c r="B41" s="52" t="s">
        <v>56</v>
      </c>
      <c r="C41" s="56" t="s">
        <v>24</v>
      </c>
      <c r="D41" s="53">
        <v>210.75</v>
      </c>
      <c r="E41" s="53">
        <v>210.75</v>
      </c>
      <c r="F41" s="53">
        <v>210.75</v>
      </c>
      <c r="G41" s="53">
        <v>210.75</v>
      </c>
      <c r="H41" s="53">
        <f t="shared" si="4"/>
        <v>843</v>
      </c>
      <c r="I41" s="50">
        <f>'2022'!I41*1.05</f>
        <v>2530.92</v>
      </c>
      <c r="J41" s="50">
        <f>'2022'!K41</f>
        <v>1131</v>
      </c>
      <c r="K41" s="50">
        <v>1176</v>
      </c>
      <c r="L41" s="50">
        <f t="shared" si="6"/>
        <v>295033.14</v>
      </c>
      <c r="M41" s="50">
        <f t="shared" si="7"/>
        <v>295033.14</v>
      </c>
      <c r="N41" s="50">
        <f t="shared" si="8"/>
        <v>285549.39</v>
      </c>
      <c r="O41" s="50">
        <f t="shared" si="9"/>
        <v>285549.39</v>
      </c>
      <c r="P41" s="137">
        <f t="shared" si="5"/>
        <v>1161165.06</v>
      </c>
      <c r="Q41" s="56"/>
      <c r="R41" s="50"/>
      <c r="S41" s="50"/>
      <c r="T41" s="22"/>
    </row>
    <row r="42" spans="1:20" s="23" customFormat="1" ht="37.5" customHeight="1">
      <c r="A42" s="52" t="s">
        <v>69</v>
      </c>
      <c r="B42" s="52" t="s">
        <v>70</v>
      </c>
      <c r="C42" s="56" t="s">
        <v>24</v>
      </c>
      <c r="D42" s="53">
        <v>512</v>
      </c>
      <c r="E42" s="53">
        <v>298.63</v>
      </c>
      <c r="F42" s="53">
        <v>0</v>
      </c>
      <c r="G42" s="53">
        <v>0</v>
      </c>
      <c r="H42" s="53">
        <f t="shared" si="4"/>
        <v>810.63</v>
      </c>
      <c r="I42" s="50">
        <f>'2022'!I42*1.05</f>
        <v>2586.7038070588233</v>
      </c>
      <c r="J42" s="50">
        <f>'2022'!K42</f>
        <v>1131</v>
      </c>
      <c r="K42" s="50">
        <v>1176</v>
      </c>
      <c r="L42" s="50">
        <f t="shared" si="6"/>
        <v>745320.34921411751</v>
      </c>
      <c r="M42" s="50">
        <f t="shared" si="7"/>
        <v>434716.82790197636</v>
      </c>
      <c r="N42" s="50">
        <f t="shared" si="8"/>
        <v>0</v>
      </c>
      <c r="O42" s="50">
        <f t="shared" si="9"/>
        <v>0</v>
      </c>
      <c r="P42" s="137">
        <f t="shared" si="5"/>
        <v>1180037.1771160939</v>
      </c>
      <c r="Q42" s="56"/>
      <c r="R42" s="50"/>
      <c r="S42" s="50"/>
      <c r="T42" s="22"/>
    </row>
    <row r="43" spans="1:20" s="23" customFormat="1" ht="66" customHeight="1">
      <c r="A43" s="52" t="s">
        <v>29</v>
      </c>
      <c r="B43" s="52" t="s">
        <v>124</v>
      </c>
      <c r="C43" s="56" t="s">
        <v>24</v>
      </c>
      <c r="D43" s="53">
        <v>6123</v>
      </c>
      <c r="E43" s="53">
        <v>5213</v>
      </c>
      <c r="F43" s="53">
        <v>3007</v>
      </c>
      <c r="G43" s="53">
        <v>3007</v>
      </c>
      <c r="H43" s="53">
        <f t="shared" si="4"/>
        <v>17350</v>
      </c>
      <c r="I43" s="50">
        <f>'2022'!I43*1.05</f>
        <v>3015.6682080000005</v>
      </c>
      <c r="J43" s="50">
        <f>'2022'!K43</f>
        <v>1131</v>
      </c>
      <c r="K43" s="50">
        <v>1176</v>
      </c>
      <c r="L43" s="50">
        <f t="shared" si="6"/>
        <v>11539823.437584003</v>
      </c>
      <c r="M43" s="50">
        <f t="shared" si="7"/>
        <v>9824775.368304003</v>
      </c>
      <c r="N43" s="50">
        <f t="shared" si="8"/>
        <v>5531882.3014560016</v>
      </c>
      <c r="O43" s="50">
        <f t="shared" si="9"/>
        <v>5531882.3014560016</v>
      </c>
      <c r="P43" s="137">
        <f t="shared" si="5"/>
        <v>32428363.408800006</v>
      </c>
      <c r="Q43" s="56"/>
      <c r="R43" s="50"/>
      <c r="S43" s="50"/>
      <c r="T43" s="22"/>
    </row>
    <row r="44" spans="1:20" s="23" customFormat="1" ht="27" customHeight="1">
      <c r="A44" s="52" t="s">
        <v>29</v>
      </c>
      <c r="B44" s="52" t="s">
        <v>31</v>
      </c>
      <c r="C44" s="56" t="s">
        <v>24</v>
      </c>
      <c r="D44" s="53">
        <v>0</v>
      </c>
      <c r="E44" s="53">
        <v>255</v>
      </c>
      <c r="F44" s="53">
        <v>1223</v>
      </c>
      <c r="G44" s="53">
        <v>815</v>
      </c>
      <c r="H44" s="53">
        <f t="shared" si="4"/>
        <v>2293</v>
      </c>
      <c r="I44" s="50">
        <f>'2022'!I44*1.05</f>
        <v>6009.4670664000014</v>
      </c>
      <c r="J44" s="50">
        <f>'2022'!K44</f>
        <v>1131</v>
      </c>
      <c r="K44" s="50">
        <v>1176</v>
      </c>
      <c r="L44" s="50">
        <f t="shared" si="6"/>
        <v>0</v>
      </c>
      <c r="M44" s="50">
        <f t="shared" si="7"/>
        <v>1244009.1019320004</v>
      </c>
      <c r="N44" s="50">
        <f t="shared" si="8"/>
        <v>5911330.2222072016</v>
      </c>
      <c r="O44" s="50">
        <f t="shared" si="9"/>
        <v>3939275.6591160013</v>
      </c>
      <c r="P44" s="137">
        <f t="shared" si="5"/>
        <v>11094614.983255204</v>
      </c>
      <c r="Q44" s="56"/>
      <c r="R44" s="50"/>
      <c r="S44" s="50"/>
      <c r="T44" s="22"/>
    </row>
    <row r="45" spans="1:20" s="19" customFormat="1" ht="27" customHeight="1">
      <c r="A45" s="52" t="s">
        <v>35</v>
      </c>
      <c r="B45" s="52" t="s">
        <v>10</v>
      </c>
      <c r="C45" s="56" t="s">
        <v>24</v>
      </c>
      <c r="D45" s="53">
        <v>250</v>
      </c>
      <c r="E45" s="53">
        <v>250</v>
      </c>
      <c r="F45" s="53">
        <v>250</v>
      </c>
      <c r="G45" s="53">
        <v>250</v>
      </c>
      <c r="H45" s="53">
        <f t="shared" si="4"/>
        <v>1000</v>
      </c>
      <c r="I45" s="50">
        <f>'2022'!I45*1.05</f>
        <v>2530.92</v>
      </c>
      <c r="J45" s="50">
        <f>'2022'!K45</f>
        <v>1131</v>
      </c>
      <c r="K45" s="50">
        <v>1176</v>
      </c>
      <c r="L45" s="50">
        <f t="shared" si="6"/>
        <v>349980</v>
      </c>
      <c r="M45" s="50">
        <f t="shared" si="7"/>
        <v>349980</v>
      </c>
      <c r="N45" s="50">
        <f t="shared" si="8"/>
        <v>338730</v>
      </c>
      <c r="O45" s="50">
        <f t="shared" si="9"/>
        <v>338730</v>
      </c>
      <c r="P45" s="137">
        <f t="shared" si="5"/>
        <v>1377420</v>
      </c>
      <c r="Q45" s="56"/>
      <c r="R45" s="50"/>
      <c r="S45" s="50"/>
      <c r="T45" s="27"/>
    </row>
    <row r="46" spans="1:20" s="19" customFormat="1" ht="27" customHeight="1">
      <c r="A46" s="52" t="s">
        <v>125</v>
      </c>
      <c r="B46" s="52" t="s">
        <v>54</v>
      </c>
      <c r="C46" s="56" t="s">
        <v>24</v>
      </c>
      <c r="D46" s="53">
        <v>1000</v>
      </c>
      <c r="E46" s="53">
        <v>1000</v>
      </c>
      <c r="F46" s="53">
        <v>1000</v>
      </c>
      <c r="G46" s="53">
        <v>1000</v>
      </c>
      <c r="H46" s="53">
        <f t="shared" si="4"/>
        <v>4000</v>
      </c>
      <c r="I46" s="50">
        <f>'2022'!I46*1.05</f>
        <v>3015.6682080000005</v>
      </c>
      <c r="J46" s="50">
        <f>'2022'!K46</f>
        <v>1131</v>
      </c>
      <c r="K46" s="50">
        <v>1176</v>
      </c>
      <c r="L46" s="50">
        <f t="shared" si="6"/>
        <v>1884668.2080000006</v>
      </c>
      <c r="M46" s="50">
        <f t="shared" si="7"/>
        <v>1884668.2080000006</v>
      </c>
      <c r="N46" s="50">
        <f t="shared" si="8"/>
        <v>1839668.2080000006</v>
      </c>
      <c r="O46" s="50">
        <f t="shared" si="9"/>
        <v>1839668.2080000006</v>
      </c>
      <c r="P46" s="137">
        <f t="shared" si="5"/>
        <v>7448672.8320000023</v>
      </c>
      <c r="Q46" s="56"/>
      <c r="R46" s="50"/>
      <c r="S46" s="50"/>
      <c r="T46" s="27"/>
    </row>
    <row r="47" spans="1:20" s="19" customFormat="1" ht="24.75" customHeight="1">
      <c r="A47" s="102" t="s">
        <v>59</v>
      </c>
      <c r="B47" s="102"/>
      <c r="C47" s="93"/>
      <c r="D47" s="107"/>
      <c r="E47" s="107"/>
      <c r="F47" s="107"/>
      <c r="G47" s="107"/>
      <c r="H47" s="107"/>
      <c r="I47" s="106"/>
      <c r="J47" s="106"/>
      <c r="K47" s="106"/>
      <c r="L47" s="106"/>
      <c r="M47" s="106"/>
      <c r="N47" s="106"/>
      <c r="O47" s="106"/>
      <c r="P47" s="138"/>
      <c r="Q47" s="110"/>
      <c r="R47" s="106"/>
      <c r="S47" s="106"/>
      <c r="T47" s="27"/>
    </row>
    <row r="48" spans="1:20" s="25" customFormat="1" ht="27" customHeight="1">
      <c r="A48" s="59" t="s">
        <v>107</v>
      </c>
      <c r="B48" s="59" t="s">
        <v>108</v>
      </c>
      <c r="C48" s="71" t="s">
        <v>25</v>
      </c>
      <c r="D48" s="53">
        <v>1250</v>
      </c>
      <c r="E48" s="53">
        <v>1250</v>
      </c>
      <c r="F48" s="53">
        <v>1250</v>
      </c>
      <c r="G48" s="53">
        <v>1250</v>
      </c>
      <c r="H48" s="53">
        <f t="shared" si="4"/>
        <v>5000</v>
      </c>
      <c r="I48" s="50">
        <f>'2022'!I48*1.05</f>
        <v>1210.44</v>
      </c>
      <c r="J48" s="50">
        <f>'2022'!K48</f>
        <v>743</v>
      </c>
      <c r="K48" s="50">
        <v>772</v>
      </c>
      <c r="L48" s="50">
        <f>(I48-J48)*D48</f>
        <v>584300.00000000012</v>
      </c>
      <c r="M48" s="50">
        <f>(I48-J48)*E48</f>
        <v>584300.00000000012</v>
      </c>
      <c r="N48" s="50">
        <f>(I48-K48)*F48</f>
        <v>548050.00000000012</v>
      </c>
      <c r="O48" s="50">
        <f>(I48-K48)*G48</f>
        <v>548050.00000000012</v>
      </c>
      <c r="P48" s="137">
        <f t="shared" si="5"/>
        <v>2264700.0000000005</v>
      </c>
      <c r="Q48" s="48"/>
      <c r="R48" s="48"/>
      <c r="S48" s="48"/>
      <c r="T48" s="27"/>
    </row>
    <row r="49" spans="1:20" s="19" customFormat="1" ht="24.75" customHeight="1">
      <c r="A49" s="102" t="s">
        <v>83</v>
      </c>
      <c r="B49" s="118"/>
      <c r="C49" s="110"/>
      <c r="D49" s="107"/>
      <c r="E49" s="107"/>
      <c r="F49" s="107"/>
      <c r="G49" s="107"/>
      <c r="H49" s="107"/>
      <c r="I49" s="106"/>
      <c r="J49" s="106"/>
      <c r="K49" s="106"/>
      <c r="L49" s="106"/>
      <c r="M49" s="106"/>
      <c r="N49" s="106"/>
      <c r="O49" s="106"/>
      <c r="P49" s="138"/>
      <c r="Q49" s="110"/>
      <c r="R49" s="106"/>
      <c r="S49" s="106"/>
      <c r="T49" s="27"/>
    </row>
    <row r="50" spans="1:20" s="19" customFormat="1" ht="27" customHeight="1">
      <c r="A50" s="51" t="s">
        <v>84</v>
      </c>
      <c r="B50" s="52" t="s">
        <v>85</v>
      </c>
      <c r="C50" s="56" t="s">
        <v>25</v>
      </c>
      <c r="D50" s="53">
        <v>150</v>
      </c>
      <c r="E50" s="53">
        <v>150</v>
      </c>
      <c r="F50" s="53">
        <v>150</v>
      </c>
      <c r="G50" s="53">
        <v>150</v>
      </c>
      <c r="H50" s="53">
        <f t="shared" si="4"/>
        <v>600</v>
      </c>
      <c r="I50" s="50">
        <f>'2022'!I50*1.05</f>
        <v>916.08300000000008</v>
      </c>
      <c r="J50" s="50">
        <f>561/1.2</f>
        <v>467.5</v>
      </c>
      <c r="K50" s="50">
        <f>583/1.2</f>
        <v>485.83333333333337</v>
      </c>
      <c r="L50" s="50">
        <f>(I50-J50)*D50</f>
        <v>67287.450000000012</v>
      </c>
      <c r="M50" s="50">
        <f>(I50-J50)*E50</f>
        <v>67287.450000000012</v>
      </c>
      <c r="N50" s="50">
        <f>(I50-K50)*F50</f>
        <v>64537.450000000004</v>
      </c>
      <c r="O50" s="50">
        <f>(I50-K50)*G50</f>
        <v>64537.450000000004</v>
      </c>
      <c r="P50" s="137">
        <f t="shared" si="5"/>
        <v>263649.80000000005</v>
      </c>
      <c r="Q50" s="60"/>
      <c r="R50" s="50"/>
      <c r="S50" s="50"/>
      <c r="T50" s="27"/>
    </row>
    <row r="51" spans="1:20" s="25" customFormat="1" ht="27" customHeight="1">
      <c r="A51" s="51" t="s">
        <v>84</v>
      </c>
      <c r="B51" s="52" t="s">
        <v>86</v>
      </c>
      <c r="C51" s="56" t="s">
        <v>25</v>
      </c>
      <c r="D51" s="53">
        <v>875</v>
      </c>
      <c r="E51" s="53">
        <v>875</v>
      </c>
      <c r="F51" s="53">
        <v>875</v>
      </c>
      <c r="G51" s="53">
        <v>875</v>
      </c>
      <c r="H51" s="53">
        <f t="shared" si="4"/>
        <v>3500</v>
      </c>
      <c r="I51" s="50">
        <f>'2022'!I51*1.05</f>
        <v>916.08300000000008</v>
      </c>
      <c r="J51" s="50">
        <f>'2022'!K51</f>
        <v>467.5</v>
      </c>
      <c r="K51" s="50">
        <f>583/1.2</f>
        <v>485.83333333333337</v>
      </c>
      <c r="L51" s="50">
        <f>(I51-J51)*D51</f>
        <v>392510.12500000006</v>
      </c>
      <c r="M51" s="50">
        <f>(I51-J51)*E51</f>
        <v>392510.12500000006</v>
      </c>
      <c r="N51" s="50">
        <f>(I51-K51)*F51</f>
        <v>376468.45833333337</v>
      </c>
      <c r="O51" s="50">
        <f>(I51-K51)*G51</f>
        <v>376468.45833333337</v>
      </c>
      <c r="P51" s="137">
        <f t="shared" si="5"/>
        <v>1537957.166666667</v>
      </c>
      <c r="Q51" s="48"/>
      <c r="R51" s="48"/>
      <c r="S51" s="48"/>
      <c r="T51" s="27"/>
    </row>
    <row r="52" spans="1:20" s="21" customFormat="1" ht="27" customHeight="1">
      <c r="A52" s="51" t="s">
        <v>84</v>
      </c>
      <c r="B52" s="52" t="s">
        <v>87</v>
      </c>
      <c r="C52" s="56" t="s">
        <v>25</v>
      </c>
      <c r="D52" s="53">
        <v>375</v>
      </c>
      <c r="E52" s="53">
        <v>375</v>
      </c>
      <c r="F52" s="53">
        <v>375</v>
      </c>
      <c r="G52" s="53">
        <v>375</v>
      </c>
      <c r="H52" s="53">
        <f t="shared" si="4"/>
        <v>1500</v>
      </c>
      <c r="I52" s="50">
        <f>'2022'!I52*1.05</f>
        <v>916.08300000000008</v>
      </c>
      <c r="J52" s="50">
        <f>'2022'!K52</f>
        <v>467.5</v>
      </c>
      <c r="K52" s="50">
        <f>583/1.2</f>
        <v>485.83333333333337</v>
      </c>
      <c r="L52" s="50">
        <f>(I52-J52)*D52</f>
        <v>168218.62500000003</v>
      </c>
      <c r="M52" s="50">
        <f>(I52-J52)*E52</f>
        <v>168218.62500000003</v>
      </c>
      <c r="N52" s="50">
        <f>(I52-K52)*F52</f>
        <v>161343.62500000003</v>
      </c>
      <c r="O52" s="50">
        <f>(I52-K52)*G52</f>
        <v>161343.62500000003</v>
      </c>
      <c r="P52" s="137">
        <f t="shared" si="5"/>
        <v>659124.50000000012</v>
      </c>
      <c r="Q52" s="56"/>
      <c r="R52" s="50"/>
      <c r="S52" s="50"/>
      <c r="T52" s="17"/>
    </row>
    <row r="53" spans="1:20" s="21" customFormat="1" ht="27" customHeight="1">
      <c r="A53" s="51" t="str">
        <f>'2022'!A53</f>
        <v>ИП Юрьев Алексей Анатольевич</v>
      </c>
      <c r="B53" s="51" t="str">
        <f>'2022'!B53</f>
        <v>МО "Алексеевское", "Пермогорское", "Телеговское", "Черевковское"</v>
      </c>
      <c r="C53" s="60" t="str">
        <f>'2022'!C53</f>
        <v>круглые  длиной  1 м и менее</v>
      </c>
      <c r="D53" s="53">
        <v>1125</v>
      </c>
      <c r="E53" s="53">
        <v>1125</v>
      </c>
      <c r="F53" s="53">
        <v>1125</v>
      </c>
      <c r="G53" s="53">
        <v>1125</v>
      </c>
      <c r="H53" s="53">
        <f t="shared" si="4"/>
        <v>4500</v>
      </c>
      <c r="I53" s="50">
        <f>'2022'!I53*1.05</f>
        <v>1925.7</v>
      </c>
      <c r="J53" s="50">
        <f>'2022'!K53</f>
        <v>683</v>
      </c>
      <c r="K53" s="50">
        <v>710</v>
      </c>
      <c r="L53" s="50">
        <f>(I53-J53)*D53</f>
        <v>1398037.5</v>
      </c>
      <c r="M53" s="50">
        <f>(I53-J53)*E53</f>
        <v>1398037.5</v>
      </c>
      <c r="N53" s="50">
        <f>(I53-K53)*F53</f>
        <v>1367662.5</v>
      </c>
      <c r="O53" s="50">
        <f>(I53-K53)*G53</f>
        <v>1367662.5</v>
      </c>
      <c r="P53" s="137">
        <f t="shared" si="5"/>
        <v>5531400</v>
      </c>
      <c r="Q53" s="56"/>
      <c r="R53" s="50"/>
      <c r="S53" s="50"/>
      <c r="T53" s="17"/>
    </row>
    <row r="54" spans="1:20" s="21" customFormat="1" ht="24.75" customHeight="1">
      <c r="A54" s="102" t="s">
        <v>3</v>
      </c>
      <c r="B54" s="102"/>
      <c r="C54" s="93"/>
      <c r="D54" s="107"/>
      <c r="E54" s="107"/>
      <c r="F54" s="107"/>
      <c r="G54" s="107"/>
      <c r="H54" s="107"/>
      <c r="I54" s="106"/>
      <c r="J54" s="106"/>
      <c r="K54" s="106"/>
      <c r="L54" s="106"/>
      <c r="M54" s="106"/>
      <c r="N54" s="106"/>
      <c r="O54" s="106"/>
      <c r="P54" s="138"/>
      <c r="Q54" s="110"/>
      <c r="R54" s="106"/>
      <c r="S54" s="106"/>
      <c r="T54" s="17"/>
    </row>
    <row r="55" spans="1:20" s="21" customFormat="1" ht="27" customHeight="1">
      <c r="A55" s="52" t="s">
        <v>16</v>
      </c>
      <c r="B55" s="51" t="s">
        <v>60</v>
      </c>
      <c r="C55" s="56" t="s">
        <v>25</v>
      </c>
      <c r="D55" s="53">
        <v>102</v>
      </c>
      <c r="E55" s="53">
        <v>141</v>
      </c>
      <c r="F55" s="53">
        <v>261</v>
      </c>
      <c r="G55" s="53">
        <v>120</v>
      </c>
      <c r="H55" s="53">
        <f t="shared" si="4"/>
        <v>624</v>
      </c>
      <c r="I55" s="50">
        <f>'2022'!I55*1.05</f>
        <v>1898.1900000000003</v>
      </c>
      <c r="J55" s="50">
        <f>932/1.2</f>
        <v>776.66666666666674</v>
      </c>
      <c r="K55" s="50">
        <f>969/1.2</f>
        <v>807.5</v>
      </c>
      <c r="L55" s="50">
        <f>(I55-J55)*D55</f>
        <v>114395.38000000002</v>
      </c>
      <c r="M55" s="50">
        <f>(I55-J55)*E55</f>
        <v>158134.79000000004</v>
      </c>
      <c r="N55" s="50">
        <f>(I55-K55)*F55</f>
        <v>284670.09000000008</v>
      </c>
      <c r="O55" s="50">
        <f>(I55-K55)*G55</f>
        <v>130882.80000000003</v>
      </c>
      <c r="P55" s="137">
        <f t="shared" si="5"/>
        <v>688083.06000000017</v>
      </c>
      <c r="Q55" s="56"/>
      <c r="R55" s="50"/>
      <c r="S55" s="50"/>
      <c r="T55" s="17"/>
    </row>
    <row r="56" spans="1:20" s="21" customFormat="1" ht="24.75" customHeight="1">
      <c r="A56" s="102" t="s">
        <v>11</v>
      </c>
      <c r="B56" s="102"/>
      <c r="C56" s="93"/>
      <c r="D56" s="107"/>
      <c r="E56" s="107"/>
      <c r="F56" s="107"/>
      <c r="G56" s="107"/>
      <c r="H56" s="107"/>
      <c r="I56" s="106"/>
      <c r="J56" s="106"/>
      <c r="K56" s="106"/>
      <c r="L56" s="106"/>
      <c r="M56" s="106"/>
      <c r="N56" s="106"/>
      <c r="O56" s="106"/>
      <c r="P56" s="138"/>
      <c r="Q56" s="110"/>
      <c r="R56" s="106"/>
      <c r="S56" s="106"/>
      <c r="T56" s="17"/>
    </row>
    <row r="57" spans="1:20" s="21" customFormat="1" ht="27" customHeight="1">
      <c r="A57" s="52" t="s">
        <v>19</v>
      </c>
      <c r="B57" s="52" t="s">
        <v>20</v>
      </c>
      <c r="C57" s="56" t="s">
        <v>24</v>
      </c>
      <c r="D57" s="53">
        <v>944.7</v>
      </c>
      <c r="E57" s="53">
        <v>2001.6</v>
      </c>
      <c r="F57" s="53">
        <v>774.6</v>
      </c>
      <c r="G57" s="53">
        <v>1701.5</v>
      </c>
      <c r="H57" s="53">
        <f t="shared" si="4"/>
        <v>5422.4</v>
      </c>
      <c r="I57" s="50">
        <f>'2022'!I57*1.05</f>
        <v>2901.7173864000001</v>
      </c>
      <c r="J57" s="50">
        <f>'2022'!K57</f>
        <v>1103</v>
      </c>
      <c r="K57" s="50">
        <v>1147</v>
      </c>
      <c r="L57" s="50">
        <f t="shared" ref="L57:L65" si="10">(I57-J57)*D57</f>
        <v>1699248.3149320802</v>
      </c>
      <c r="M57" s="50">
        <f t="shared" ref="M57:M65" si="11">(I57-J57)*E57</f>
        <v>3600312.7206182401</v>
      </c>
      <c r="N57" s="50">
        <f t="shared" ref="N57:N65" si="12">(I57-K57)*F57</f>
        <v>1359204.0875054402</v>
      </c>
      <c r="O57" s="50">
        <f t="shared" ref="O57:O65" si="13">(I57-K57)*G57</f>
        <v>2985651.6329596001</v>
      </c>
      <c r="P57" s="137">
        <f t="shared" si="5"/>
        <v>9644416.7560153604</v>
      </c>
      <c r="Q57" s="56"/>
      <c r="R57" s="50"/>
      <c r="S57" s="50"/>
      <c r="T57" s="17"/>
    </row>
    <row r="58" spans="1:20" s="21" customFormat="1" ht="27" customHeight="1">
      <c r="A58" s="52" t="s">
        <v>19</v>
      </c>
      <c r="B58" s="52" t="s">
        <v>78</v>
      </c>
      <c r="C58" s="56" t="s">
        <v>24</v>
      </c>
      <c r="D58" s="53">
        <v>0</v>
      </c>
      <c r="E58" s="53">
        <v>155</v>
      </c>
      <c r="F58" s="53">
        <v>0</v>
      </c>
      <c r="G58" s="53">
        <v>0</v>
      </c>
      <c r="H58" s="53">
        <f t="shared" si="4"/>
        <v>155</v>
      </c>
      <c r="I58" s="50">
        <f>'2022'!I58*1.05</f>
        <v>2901.7173864000001</v>
      </c>
      <c r="J58" s="50">
        <f>'2022'!K58</f>
        <v>1103</v>
      </c>
      <c r="K58" s="50">
        <v>1147</v>
      </c>
      <c r="L58" s="50">
        <f t="shared" si="10"/>
        <v>0</v>
      </c>
      <c r="M58" s="50">
        <f t="shared" si="11"/>
        <v>278801.194892</v>
      </c>
      <c r="N58" s="50">
        <f t="shared" si="12"/>
        <v>0</v>
      </c>
      <c r="O58" s="50">
        <f t="shared" si="13"/>
        <v>0</v>
      </c>
      <c r="P58" s="137">
        <f t="shared" si="5"/>
        <v>278801.194892</v>
      </c>
      <c r="Q58" s="56"/>
      <c r="R58" s="50"/>
      <c r="S58" s="50"/>
      <c r="T58" s="17"/>
    </row>
    <row r="59" spans="1:20" s="21" customFormat="1" ht="27" customHeight="1">
      <c r="A59" s="52" t="s">
        <v>19</v>
      </c>
      <c r="B59" s="52" t="s">
        <v>21</v>
      </c>
      <c r="C59" s="56" t="s">
        <v>24</v>
      </c>
      <c r="D59" s="53">
        <v>338.2</v>
      </c>
      <c r="E59" s="53">
        <v>615.4</v>
      </c>
      <c r="F59" s="53">
        <v>1573.2</v>
      </c>
      <c r="G59" s="53">
        <v>1573.2</v>
      </c>
      <c r="H59" s="53">
        <f t="shared" si="4"/>
        <v>4100</v>
      </c>
      <c r="I59" s="50">
        <f>'2022'!I59*1.05</f>
        <v>3435.7899240000002</v>
      </c>
      <c r="J59" s="50">
        <f>'2022'!K59</f>
        <v>1103</v>
      </c>
      <c r="K59" s="50">
        <v>1147</v>
      </c>
      <c r="L59" s="50">
        <f t="shared" si="10"/>
        <v>788949.55229680007</v>
      </c>
      <c r="M59" s="50">
        <f t="shared" si="11"/>
        <v>1435598.9192296001</v>
      </c>
      <c r="N59" s="50">
        <f t="shared" si="12"/>
        <v>3600724.3084368003</v>
      </c>
      <c r="O59" s="50">
        <f t="shared" si="13"/>
        <v>3600724.3084368003</v>
      </c>
      <c r="P59" s="137">
        <f t="shared" si="5"/>
        <v>9425997.0884000007</v>
      </c>
      <c r="Q59" s="56"/>
      <c r="R59" s="50"/>
      <c r="S59" s="50"/>
      <c r="T59" s="17"/>
    </row>
    <row r="60" spans="1:20" s="21" customFormat="1" ht="27" customHeight="1">
      <c r="A60" s="52" t="s">
        <v>19</v>
      </c>
      <c r="B60" s="52" t="s">
        <v>36</v>
      </c>
      <c r="C60" s="56" t="s">
        <v>24</v>
      </c>
      <c r="D60" s="53">
        <v>0</v>
      </c>
      <c r="E60" s="53">
        <v>340.2</v>
      </c>
      <c r="F60" s="53">
        <v>417.2</v>
      </c>
      <c r="G60" s="53">
        <v>0</v>
      </c>
      <c r="H60" s="53">
        <f t="shared" si="4"/>
        <v>757.4</v>
      </c>
      <c r="I60" s="50">
        <f>'2022'!I60*1.05</f>
        <v>5530.6434120000004</v>
      </c>
      <c r="J60" s="50">
        <f>'2022'!K60</f>
        <v>1103</v>
      </c>
      <c r="K60" s="50">
        <v>1147</v>
      </c>
      <c r="L60" s="50">
        <f t="shared" si="10"/>
        <v>0</v>
      </c>
      <c r="M60" s="50">
        <f t="shared" si="11"/>
        <v>1506284.2887624002</v>
      </c>
      <c r="N60" s="50">
        <f t="shared" si="12"/>
        <v>1828856.0314864002</v>
      </c>
      <c r="O60" s="50">
        <f t="shared" si="13"/>
        <v>0</v>
      </c>
      <c r="P60" s="137">
        <f t="shared" si="5"/>
        <v>3335140.3202488003</v>
      </c>
      <c r="Q60" s="56"/>
      <c r="R60" s="50"/>
      <c r="S60" s="50"/>
      <c r="T60" s="17"/>
    </row>
    <row r="61" spans="1:20" s="21" customFormat="1" ht="27" customHeight="1">
      <c r="A61" s="52" t="s">
        <v>19</v>
      </c>
      <c r="B61" s="52" t="s">
        <v>115</v>
      </c>
      <c r="C61" s="56" t="s">
        <v>24</v>
      </c>
      <c r="D61" s="53">
        <v>87.5</v>
      </c>
      <c r="E61" s="53">
        <v>87.5</v>
      </c>
      <c r="F61" s="53">
        <v>87.5</v>
      </c>
      <c r="G61" s="53">
        <v>87.5</v>
      </c>
      <c r="H61" s="53">
        <f t="shared" si="4"/>
        <v>350</v>
      </c>
      <c r="I61" s="50">
        <f>'2022'!I61*1.05</f>
        <v>3007.6110792000009</v>
      </c>
      <c r="J61" s="50">
        <f>'2022'!K61</f>
        <v>1103</v>
      </c>
      <c r="K61" s="50">
        <v>1147</v>
      </c>
      <c r="L61" s="50">
        <f t="shared" si="10"/>
        <v>166653.46943000008</v>
      </c>
      <c r="M61" s="50">
        <f t="shared" si="11"/>
        <v>166653.46943000008</v>
      </c>
      <c r="N61" s="50">
        <f t="shared" si="12"/>
        <v>162803.46943000008</v>
      </c>
      <c r="O61" s="50">
        <f t="shared" si="13"/>
        <v>162803.46943000008</v>
      </c>
      <c r="P61" s="137">
        <f t="shared" si="5"/>
        <v>658913.87772000034</v>
      </c>
      <c r="Q61" s="56"/>
      <c r="R61" s="50"/>
      <c r="S61" s="50"/>
      <c r="T61" s="17"/>
    </row>
    <row r="62" spans="1:20" s="21" customFormat="1" ht="27" customHeight="1">
      <c r="A62" s="52" t="s">
        <v>27</v>
      </c>
      <c r="B62" s="52" t="s">
        <v>116</v>
      </c>
      <c r="C62" s="56" t="s">
        <v>24</v>
      </c>
      <c r="D62" s="53">
        <v>250</v>
      </c>
      <c r="E62" s="53">
        <v>250</v>
      </c>
      <c r="F62" s="53">
        <v>250</v>
      </c>
      <c r="G62" s="53">
        <v>250</v>
      </c>
      <c r="H62" s="53">
        <f t="shared" si="4"/>
        <v>1000</v>
      </c>
      <c r="I62" s="50">
        <f>'2022'!I62*1.05</f>
        <v>5997.18</v>
      </c>
      <c r="J62" s="50">
        <f>'2022'!K62</f>
        <v>919.16666666666674</v>
      </c>
      <c r="K62" s="50">
        <f>1147/1.2</f>
        <v>955.83333333333337</v>
      </c>
      <c r="L62" s="50">
        <f t="shared" si="10"/>
        <v>1269503.3333333333</v>
      </c>
      <c r="M62" s="50">
        <f t="shared" si="11"/>
        <v>1269503.3333333333</v>
      </c>
      <c r="N62" s="50">
        <f t="shared" si="12"/>
        <v>1260336.6666666667</v>
      </c>
      <c r="O62" s="50">
        <f t="shared" si="13"/>
        <v>1260336.6666666667</v>
      </c>
      <c r="P62" s="137">
        <f t="shared" si="5"/>
        <v>5059680</v>
      </c>
      <c r="Q62" s="56"/>
      <c r="R62" s="50"/>
      <c r="S62" s="50"/>
      <c r="T62" s="17"/>
    </row>
    <row r="63" spans="1:20" s="21" customFormat="1" ht="27" customHeight="1">
      <c r="A63" s="52" t="s">
        <v>27</v>
      </c>
      <c r="B63" s="52" t="s">
        <v>36</v>
      </c>
      <c r="C63" s="56" t="s">
        <v>24</v>
      </c>
      <c r="D63" s="53">
        <v>282</v>
      </c>
      <c r="E63" s="53">
        <v>86.5</v>
      </c>
      <c r="F63" s="53">
        <v>416</v>
      </c>
      <c r="G63" s="53">
        <v>0</v>
      </c>
      <c r="H63" s="53">
        <f t="shared" si="4"/>
        <v>784.5</v>
      </c>
      <c r="I63" s="50">
        <f>'2022'!I63*1.05</f>
        <v>2782.673564755245</v>
      </c>
      <c r="J63" s="50">
        <f>'2022'!K63</f>
        <v>919.16666666666674</v>
      </c>
      <c r="K63" s="50">
        <f>J63*1.04</f>
        <v>955.93333333333339</v>
      </c>
      <c r="L63" s="50">
        <f t="shared" si="10"/>
        <v>525508.94526097912</v>
      </c>
      <c r="M63" s="50">
        <f t="shared" si="11"/>
        <v>161193.34668466201</v>
      </c>
      <c r="N63" s="50">
        <f t="shared" si="12"/>
        <v>759923.93627151521</v>
      </c>
      <c r="O63" s="50">
        <f t="shared" si="13"/>
        <v>0</v>
      </c>
      <c r="P63" s="137">
        <f t="shared" si="5"/>
        <v>1446626.2282171564</v>
      </c>
      <c r="Q63" s="56"/>
      <c r="R63" s="50"/>
      <c r="S63" s="50"/>
      <c r="T63" s="17"/>
    </row>
    <row r="64" spans="1:20" s="21" customFormat="1" ht="78.75" customHeight="1">
      <c r="A64" s="52" t="s">
        <v>74</v>
      </c>
      <c r="B64" s="52" t="s">
        <v>118</v>
      </c>
      <c r="C64" s="56" t="s">
        <v>24</v>
      </c>
      <c r="D64" s="53">
        <v>113.95</v>
      </c>
      <c r="E64" s="53">
        <v>113.95</v>
      </c>
      <c r="F64" s="53">
        <v>113.95</v>
      </c>
      <c r="G64" s="53">
        <v>113.95</v>
      </c>
      <c r="H64" s="53">
        <f t="shared" si="4"/>
        <v>455.8</v>
      </c>
      <c r="I64" s="50">
        <f>'2022'!I64*1.05</f>
        <v>2901.7173864000001</v>
      </c>
      <c r="J64" s="50">
        <f>'2022'!K64</f>
        <v>1103</v>
      </c>
      <c r="K64" s="50">
        <v>1147</v>
      </c>
      <c r="L64" s="50">
        <f t="shared" si="10"/>
        <v>204963.84618028003</v>
      </c>
      <c r="M64" s="50">
        <f t="shared" si="11"/>
        <v>204963.84618028003</v>
      </c>
      <c r="N64" s="50">
        <f t="shared" si="12"/>
        <v>199950.04618028001</v>
      </c>
      <c r="O64" s="50">
        <f t="shared" si="13"/>
        <v>199950.04618028001</v>
      </c>
      <c r="P64" s="137">
        <f t="shared" si="5"/>
        <v>809827.78472112014</v>
      </c>
      <c r="Q64" s="56"/>
      <c r="R64" s="50"/>
      <c r="S64" s="50"/>
      <c r="T64" s="17"/>
    </row>
    <row r="65" spans="1:20" s="21" customFormat="1" ht="79.5" customHeight="1">
      <c r="A65" s="52" t="s">
        <v>117</v>
      </c>
      <c r="B65" s="52" t="s">
        <v>118</v>
      </c>
      <c r="C65" s="56" t="s">
        <v>24</v>
      </c>
      <c r="D65" s="53">
        <v>377</v>
      </c>
      <c r="E65" s="53">
        <v>377</v>
      </c>
      <c r="F65" s="53">
        <v>377</v>
      </c>
      <c r="G65" s="53">
        <v>377</v>
      </c>
      <c r="H65" s="53">
        <f t="shared" si="4"/>
        <v>1508</v>
      </c>
      <c r="I65" s="50">
        <f>'2022'!I65*1.05</f>
        <v>2901.7173864000001</v>
      </c>
      <c r="J65" s="50">
        <f>'2022'!K65</f>
        <v>1103</v>
      </c>
      <c r="K65" s="50">
        <v>1147</v>
      </c>
      <c r="L65" s="50">
        <f t="shared" si="10"/>
        <v>678116.45467280003</v>
      </c>
      <c r="M65" s="50">
        <f t="shared" si="11"/>
        <v>678116.45467280003</v>
      </c>
      <c r="N65" s="50">
        <f t="shared" si="12"/>
        <v>661528.45467280003</v>
      </c>
      <c r="O65" s="50">
        <f t="shared" si="13"/>
        <v>661528.45467280003</v>
      </c>
      <c r="P65" s="137">
        <f t="shared" si="5"/>
        <v>2679289.8186912001</v>
      </c>
      <c r="Q65" s="56"/>
      <c r="R65" s="50"/>
      <c r="S65" s="50"/>
      <c r="T65" s="17"/>
    </row>
    <row r="66" spans="1:20" s="21" customFormat="1" ht="24.75" customHeight="1">
      <c r="A66" s="102" t="s">
        <v>26</v>
      </c>
      <c r="B66" s="91"/>
      <c r="C66" s="110"/>
      <c r="D66" s="107"/>
      <c r="E66" s="107"/>
      <c r="F66" s="107"/>
      <c r="G66" s="107"/>
      <c r="H66" s="107"/>
      <c r="I66" s="106"/>
      <c r="J66" s="106"/>
      <c r="K66" s="106"/>
      <c r="L66" s="106"/>
      <c r="M66" s="106"/>
      <c r="N66" s="106"/>
      <c r="O66" s="106"/>
      <c r="P66" s="138"/>
      <c r="Q66" s="110"/>
      <c r="R66" s="106"/>
      <c r="S66" s="106"/>
      <c r="T66" s="17"/>
    </row>
    <row r="67" spans="1:20" s="21" customFormat="1" ht="27" customHeight="1">
      <c r="A67" s="51" t="s">
        <v>109</v>
      </c>
      <c r="B67" s="52" t="s">
        <v>57</v>
      </c>
      <c r="C67" s="56" t="s">
        <v>25</v>
      </c>
      <c r="D67" s="53">
        <v>6000</v>
      </c>
      <c r="E67" s="53">
        <v>6000</v>
      </c>
      <c r="F67" s="53">
        <v>6000</v>
      </c>
      <c r="G67" s="53">
        <v>6000</v>
      </c>
      <c r="H67" s="53">
        <f t="shared" si="4"/>
        <v>24000</v>
      </c>
      <c r="I67" s="50">
        <f>'2022'!I67*1.05</f>
        <v>826.40039999999999</v>
      </c>
      <c r="J67" s="50">
        <f>837/1.2</f>
        <v>697.5</v>
      </c>
      <c r="K67" s="50">
        <f>870/1.2</f>
        <v>725</v>
      </c>
      <c r="L67" s="50">
        <f>(I67-J67)*D67</f>
        <v>773402.39999999991</v>
      </c>
      <c r="M67" s="50">
        <f>(I67-J67)*E67</f>
        <v>773402.39999999991</v>
      </c>
      <c r="N67" s="50">
        <f>(I67-K67)*F67</f>
        <v>608402.39999999991</v>
      </c>
      <c r="O67" s="50">
        <f>(I67-K67)*G67</f>
        <v>608402.39999999991</v>
      </c>
      <c r="P67" s="137">
        <f t="shared" si="5"/>
        <v>2763609.5999999996</v>
      </c>
      <c r="Q67" s="56"/>
      <c r="R67" s="50"/>
      <c r="S67" s="50"/>
      <c r="T67" s="17"/>
    </row>
    <row r="68" spans="1:20" s="21" customFormat="1" ht="24.75" customHeight="1">
      <c r="A68" s="102" t="s">
        <v>0</v>
      </c>
      <c r="B68" s="102"/>
      <c r="C68" s="93"/>
      <c r="D68" s="107"/>
      <c r="E68" s="107"/>
      <c r="F68" s="107"/>
      <c r="G68" s="107"/>
      <c r="H68" s="107">
        <f t="shared" si="4"/>
        <v>0</v>
      </c>
      <c r="I68" s="106"/>
      <c r="J68" s="106"/>
      <c r="K68" s="106"/>
      <c r="L68" s="106"/>
      <c r="M68" s="106"/>
      <c r="N68" s="106"/>
      <c r="O68" s="106"/>
      <c r="P68" s="138"/>
      <c r="Q68" s="110"/>
      <c r="R68" s="106"/>
      <c r="S68" s="106"/>
      <c r="T68" s="17"/>
    </row>
    <row r="69" spans="1:20" s="21" customFormat="1" ht="27" customHeight="1">
      <c r="A69" s="51" t="s">
        <v>18</v>
      </c>
      <c r="B69" s="51" t="s">
        <v>49</v>
      </c>
      <c r="C69" s="56" t="s">
        <v>24</v>
      </c>
      <c r="D69" s="53">
        <v>0</v>
      </c>
      <c r="E69" s="53">
        <v>215.8</v>
      </c>
      <c r="F69" s="53">
        <v>92.1</v>
      </c>
      <c r="G69" s="53">
        <v>92.1</v>
      </c>
      <c r="H69" s="53">
        <f t="shared" si="4"/>
        <v>400</v>
      </c>
      <c r="I69" s="50">
        <f>'2022'!I69*1.05</f>
        <v>2262.7576273417721</v>
      </c>
      <c r="J69" s="50">
        <f>'2022'!K69</f>
        <v>1125</v>
      </c>
      <c r="K69" s="50">
        <v>1170</v>
      </c>
      <c r="L69" s="50">
        <f>(I69-J69)*D69</f>
        <v>0</v>
      </c>
      <c r="M69" s="50">
        <f>(I69-J69)*E69</f>
        <v>245528.09598035444</v>
      </c>
      <c r="N69" s="50">
        <f>(I69-K69)*F69</f>
        <v>100642.97747817721</v>
      </c>
      <c r="O69" s="50">
        <f>(I69-K69)*G69</f>
        <v>100642.97747817721</v>
      </c>
      <c r="P69" s="137">
        <f t="shared" si="5"/>
        <v>446814.05093670887</v>
      </c>
      <c r="Q69" s="56"/>
      <c r="R69" s="50"/>
      <c r="S69" s="50"/>
      <c r="T69" s="17"/>
    </row>
    <row r="70" spans="1:20" s="18" customFormat="1" ht="27" customHeight="1">
      <c r="A70" s="52" t="s">
        <v>18</v>
      </c>
      <c r="B70" s="51" t="s">
        <v>50</v>
      </c>
      <c r="C70" s="56" t="s">
        <v>24</v>
      </c>
      <c r="D70" s="53">
        <v>0</v>
      </c>
      <c r="E70" s="53">
        <v>130</v>
      </c>
      <c r="F70" s="53">
        <v>140</v>
      </c>
      <c r="G70" s="53">
        <v>140</v>
      </c>
      <c r="H70" s="53">
        <f t="shared" si="4"/>
        <v>410</v>
      </c>
      <c r="I70" s="50">
        <f>'2022'!I70*1.05</f>
        <v>2195.253932907719</v>
      </c>
      <c r="J70" s="50">
        <f>'2022'!K70</f>
        <v>1125</v>
      </c>
      <c r="K70" s="50">
        <v>1170</v>
      </c>
      <c r="L70" s="50">
        <f>(I70-J70)*D70</f>
        <v>0</v>
      </c>
      <c r="M70" s="50">
        <f>(I70-J70)*E70</f>
        <v>139133.01127800345</v>
      </c>
      <c r="N70" s="50">
        <f>(I70-K70)*F70</f>
        <v>143535.55060708066</v>
      </c>
      <c r="O70" s="50">
        <f>(I70-K70)*G70</f>
        <v>143535.55060708066</v>
      </c>
      <c r="P70" s="137">
        <f t="shared" si="5"/>
        <v>426204.11249216483</v>
      </c>
      <c r="Q70" s="56"/>
      <c r="R70" s="50"/>
      <c r="S70" s="50"/>
      <c r="T70" s="17"/>
    </row>
    <row r="71" spans="1:20" s="18" customFormat="1" ht="24.75" customHeight="1">
      <c r="A71" s="91" t="s">
        <v>39</v>
      </c>
      <c r="B71" s="91"/>
      <c r="C71" s="110"/>
      <c r="D71" s="107"/>
      <c r="E71" s="107"/>
      <c r="F71" s="107"/>
      <c r="G71" s="107"/>
      <c r="H71" s="107"/>
      <c r="I71" s="106"/>
      <c r="J71" s="106"/>
      <c r="K71" s="106"/>
      <c r="L71" s="106"/>
      <c r="M71" s="106"/>
      <c r="N71" s="106"/>
      <c r="O71" s="106"/>
      <c r="P71" s="138"/>
      <c r="Q71" s="110"/>
      <c r="R71" s="106"/>
      <c r="S71" s="106"/>
      <c r="T71" s="17"/>
    </row>
    <row r="72" spans="1:20" s="19" customFormat="1" ht="45" customHeight="1">
      <c r="A72" s="52" t="s">
        <v>98</v>
      </c>
      <c r="B72" s="52" t="s">
        <v>106</v>
      </c>
      <c r="C72" s="70" t="s">
        <v>105</v>
      </c>
      <c r="D72" s="53">
        <v>525</v>
      </c>
      <c r="E72" s="53">
        <v>525</v>
      </c>
      <c r="F72" s="53">
        <v>525</v>
      </c>
      <c r="G72" s="53">
        <v>525</v>
      </c>
      <c r="H72" s="53">
        <f t="shared" si="4"/>
        <v>2100</v>
      </c>
      <c r="I72" s="50">
        <f>'2022'!I72*1.05</f>
        <v>2350.4544000000005</v>
      </c>
      <c r="J72" s="50">
        <f>'2022'!K72</f>
        <v>673</v>
      </c>
      <c r="K72" s="50">
        <v>699</v>
      </c>
      <c r="L72" s="50">
        <f>(I72-J72)*D72</f>
        <v>880663.56000000029</v>
      </c>
      <c r="M72" s="50">
        <f>(I72-J72)*E72</f>
        <v>880663.56000000029</v>
      </c>
      <c r="N72" s="50">
        <f>(I72-K72)*F72</f>
        <v>867013.56000000029</v>
      </c>
      <c r="O72" s="50">
        <f>(I72-K72)*G72</f>
        <v>867013.56000000029</v>
      </c>
      <c r="P72" s="137">
        <f t="shared" si="5"/>
        <v>3495354.2400000012</v>
      </c>
      <c r="Q72" s="44"/>
      <c r="R72" s="44"/>
      <c r="S72" s="44"/>
      <c r="T72" s="27"/>
    </row>
    <row r="73" spans="1:20" s="30" customFormat="1" ht="39.75" customHeight="1">
      <c r="A73" s="52" t="s">
        <v>79</v>
      </c>
      <c r="B73" s="52" t="s">
        <v>80</v>
      </c>
      <c r="C73" s="70" t="s">
        <v>24</v>
      </c>
      <c r="D73" s="53">
        <v>125</v>
      </c>
      <c r="E73" s="53">
        <v>125</v>
      </c>
      <c r="F73" s="53">
        <v>125</v>
      </c>
      <c r="G73" s="53">
        <v>125</v>
      </c>
      <c r="H73" s="53">
        <f t="shared" si="4"/>
        <v>500</v>
      </c>
      <c r="I73" s="50">
        <f>'2022'!I73*1.05</f>
        <v>1875.0089736000002</v>
      </c>
      <c r="J73" s="50">
        <f>'2022'!K73</f>
        <v>816</v>
      </c>
      <c r="K73" s="50">
        <v>848</v>
      </c>
      <c r="L73" s="50">
        <f>(I73-J73)*D73</f>
        <v>132376.12170000002</v>
      </c>
      <c r="M73" s="50">
        <f>(I73-J73)*E73</f>
        <v>132376.12170000002</v>
      </c>
      <c r="N73" s="50">
        <f>(I73-K73)*F73</f>
        <v>128376.12170000003</v>
      </c>
      <c r="O73" s="50">
        <f>(I73-K73)*G73</f>
        <v>128376.12170000003</v>
      </c>
      <c r="P73" s="137">
        <f t="shared" ref="P73:P86" si="14">SUM(L73:O73)</f>
        <v>521504.48680000007</v>
      </c>
      <c r="Q73" s="78"/>
      <c r="R73" s="78"/>
      <c r="S73" s="78"/>
    </row>
    <row r="74" spans="1:20" s="30" customFormat="1" ht="24.75" customHeight="1">
      <c r="A74" s="91" t="s">
        <v>81</v>
      </c>
      <c r="B74" s="118"/>
      <c r="C74" s="112"/>
      <c r="D74" s="107"/>
      <c r="E74" s="107"/>
      <c r="F74" s="107"/>
      <c r="G74" s="107"/>
      <c r="H74" s="107"/>
      <c r="I74" s="106"/>
      <c r="J74" s="106"/>
      <c r="K74" s="106"/>
      <c r="L74" s="106"/>
      <c r="M74" s="106"/>
      <c r="N74" s="106"/>
      <c r="O74" s="106"/>
      <c r="P74" s="138"/>
      <c r="Q74" s="121"/>
      <c r="R74" s="121"/>
      <c r="S74" s="121"/>
    </row>
    <row r="75" spans="1:20" s="30" customFormat="1" ht="44.25" customHeight="1">
      <c r="A75" s="52" t="s">
        <v>82</v>
      </c>
      <c r="B75" s="52" t="s">
        <v>88</v>
      </c>
      <c r="C75" s="56" t="s">
        <v>25</v>
      </c>
      <c r="D75" s="53">
        <v>1650</v>
      </c>
      <c r="E75" s="53">
        <v>1650</v>
      </c>
      <c r="F75" s="53">
        <v>1650</v>
      </c>
      <c r="G75" s="53">
        <v>1650</v>
      </c>
      <c r="H75" s="53">
        <f t="shared" ref="H75:H86" si="15">SUM(D75:G75)</f>
        <v>6600</v>
      </c>
      <c r="I75" s="50">
        <f>'2022'!I75*1.05</f>
        <v>658.38252480000006</v>
      </c>
      <c r="J75" s="50">
        <f>711/1.2</f>
        <v>592.5</v>
      </c>
      <c r="K75" s="50">
        <f>739/1.2</f>
        <v>615.83333333333337</v>
      </c>
      <c r="L75" s="50">
        <f>(I75-J75)*D75</f>
        <v>108706.16592000009</v>
      </c>
      <c r="M75" s="50">
        <f>(I75-J75)*E75</f>
        <v>108706.16592000009</v>
      </c>
      <c r="N75" s="50">
        <f>(I75-K75)*F75</f>
        <v>70206.165920000029</v>
      </c>
      <c r="O75" s="50">
        <f>(I75-K75)*G75</f>
        <v>70206.165920000029</v>
      </c>
      <c r="P75" s="137">
        <f t="shared" si="14"/>
        <v>357824.66368000023</v>
      </c>
      <c r="Q75" s="78"/>
      <c r="R75" s="78"/>
      <c r="S75" s="78"/>
    </row>
    <row r="76" spans="1:20" ht="24.75" customHeight="1">
      <c r="A76" s="91" t="s">
        <v>61</v>
      </c>
      <c r="B76" s="118"/>
      <c r="C76" s="113"/>
      <c r="D76" s="107"/>
      <c r="E76" s="107"/>
      <c r="F76" s="107"/>
      <c r="G76" s="107"/>
      <c r="H76" s="107"/>
      <c r="I76" s="106"/>
      <c r="J76" s="106"/>
      <c r="K76" s="106"/>
      <c r="L76" s="106"/>
      <c r="M76" s="106"/>
      <c r="N76" s="106"/>
      <c r="O76" s="106"/>
      <c r="P76" s="138"/>
      <c r="Q76" s="121"/>
      <c r="R76" s="121"/>
      <c r="S76" s="121"/>
    </row>
    <row r="77" spans="1:20" ht="22.5">
      <c r="A77" s="61" t="s">
        <v>62</v>
      </c>
      <c r="B77" s="61" t="s">
        <v>61</v>
      </c>
      <c r="C77" s="71" t="s">
        <v>25</v>
      </c>
      <c r="D77" s="53">
        <v>375</v>
      </c>
      <c r="E77" s="53">
        <v>375</v>
      </c>
      <c r="F77" s="53">
        <v>375</v>
      </c>
      <c r="G77" s="53">
        <v>375</v>
      </c>
      <c r="H77" s="53">
        <f t="shared" si="15"/>
        <v>1500</v>
      </c>
      <c r="I77" s="50">
        <f>'2022'!I77*1.05</f>
        <v>1067.3880000000001</v>
      </c>
      <c r="J77" s="50">
        <f>'2022'!K77</f>
        <v>683</v>
      </c>
      <c r="K77" s="50">
        <v>710</v>
      </c>
      <c r="L77" s="50">
        <f>(I77-J77)*D77</f>
        <v>144145.50000000006</v>
      </c>
      <c r="M77" s="50">
        <f>(I77-J77)*E77</f>
        <v>144145.50000000006</v>
      </c>
      <c r="N77" s="50">
        <f>(I77-K77)*F77</f>
        <v>134020.50000000006</v>
      </c>
      <c r="O77" s="50">
        <f>(I77-K77)*G77</f>
        <v>134020.50000000006</v>
      </c>
      <c r="P77" s="137">
        <f t="shared" si="14"/>
        <v>556332.00000000023</v>
      </c>
      <c r="Q77" s="79"/>
      <c r="R77" s="79"/>
      <c r="S77" s="79"/>
    </row>
    <row r="78" spans="1:20" ht="24.75" customHeight="1">
      <c r="A78" s="91" t="s">
        <v>110</v>
      </c>
      <c r="B78" s="118"/>
      <c r="C78" s="112"/>
      <c r="D78" s="107"/>
      <c r="E78" s="107"/>
      <c r="F78" s="107"/>
      <c r="G78" s="107"/>
      <c r="H78" s="107"/>
      <c r="I78" s="106"/>
      <c r="J78" s="106"/>
      <c r="K78" s="106"/>
      <c r="L78" s="106"/>
      <c r="M78" s="106"/>
      <c r="N78" s="106"/>
      <c r="O78" s="106"/>
      <c r="P78" s="138"/>
      <c r="Q78" s="121"/>
      <c r="R78" s="121"/>
      <c r="S78" s="121"/>
    </row>
    <row r="79" spans="1:20" ht="62.25" customHeight="1">
      <c r="A79" s="52" t="s">
        <v>111</v>
      </c>
      <c r="B79" s="52" t="s">
        <v>113</v>
      </c>
      <c r="C79" s="56" t="s">
        <v>24</v>
      </c>
      <c r="D79" s="53">
        <v>1250</v>
      </c>
      <c r="E79" s="53">
        <v>1250</v>
      </c>
      <c r="F79" s="53">
        <v>1250</v>
      </c>
      <c r="G79" s="53">
        <v>1250</v>
      </c>
      <c r="H79" s="53">
        <f t="shared" si="15"/>
        <v>5000</v>
      </c>
      <c r="I79" s="50">
        <f>'2022'!I79*1.05</f>
        <v>1954.4292432000004</v>
      </c>
      <c r="J79" s="50">
        <f>'2022'!K79</f>
        <v>993</v>
      </c>
      <c r="K79" s="50">
        <v>1032</v>
      </c>
      <c r="L79" s="50">
        <f>(I79-J79)*D79</f>
        <v>1201786.5540000005</v>
      </c>
      <c r="M79" s="50">
        <f>(I79-J79)*E79</f>
        <v>1201786.5540000005</v>
      </c>
      <c r="N79" s="50">
        <f>(I79-K79)*F79</f>
        <v>1153036.5540000005</v>
      </c>
      <c r="O79" s="50">
        <f>(I79-K79)*G79</f>
        <v>1153036.5540000005</v>
      </c>
      <c r="P79" s="137">
        <f t="shared" si="14"/>
        <v>4709646.2160000019</v>
      </c>
      <c r="Q79" s="79"/>
      <c r="R79" s="79"/>
      <c r="S79" s="79"/>
    </row>
    <row r="80" spans="1:20" ht="59.25" customHeight="1">
      <c r="A80" s="61" t="s">
        <v>112</v>
      </c>
      <c r="B80" s="52" t="s">
        <v>114</v>
      </c>
      <c r="C80" s="56" t="s">
        <v>24</v>
      </c>
      <c r="D80" s="53">
        <v>1250</v>
      </c>
      <c r="E80" s="53">
        <v>1250</v>
      </c>
      <c r="F80" s="53">
        <v>1250</v>
      </c>
      <c r="G80" s="53">
        <v>1250</v>
      </c>
      <c r="H80" s="53">
        <f t="shared" si="15"/>
        <v>5000</v>
      </c>
      <c r="I80" s="50">
        <f>'2022'!I80*1.05</f>
        <v>2013.1311816000004</v>
      </c>
      <c r="J80" s="50">
        <f>'2022'!K80</f>
        <v>993</v>
      </c>
      <c r="K80" s="50">
        <v>1032</v>
      </c>
      <c r="L80" s="50">
        <f>(I80-J80)*D80</f>
        <v>1275163.9770000007</v>
      </c>
      <c r="M80" s="50">
        <f>(I80-J80)*E80</f>
        <v>1275163.9770000007</v>
      </c>
      <c r="N80" s="50">
        <f>(I80-K80)*F80</f>
        <v>1226413.9770000007</v>
      </c>
      <c r="O80" s="50">
        <f>(I80-K80)*G80</f>
        <v>1226413.9770000007</v>
      </c>
      <c r="P80" s="137">
        <f t="shared" si="14"/>
        <v>5003155.9080000026</v>
      </c>
      <c r="Q80" s="79"/>
      <c r="R80" s="79"/>
      <c r="S80" s="79"/>
    </row>
    <row r="81" spans="1:19" ht="24.75" customHeight="1">
      <c r="A81" s="91" t="str">
        <f>'2022'!A81</f>
        <v>МО "Плесецкий муниципальный район"</v>
      </c>
      <c r="B81" s="118"/>
      <c r="C81" s="110"/>
      <c r="D81" s="107"/>
      <c r="E81" s="107"/>
      <c r="F81" s="107"/>
      <c r="G81" s="107"/>
      <c r="H81" s="107"/>
      <c r="I81" s="106"/>
      <c r="J81" s="106"/>
      <c r="K81" s="106"/>
      <c r="L81" s="106"/>
      <c r="M81" s="106"/>
      <c r="N81" s="106"/>
      <c r="O81" s="106"/>
      <c r="P81" s="138"/>
      <c r="Q81" s="121"/>
      <c r="R81" s="121"/>
      <c r="S81" s="121"/>
    </row>
    <row r="82" spans="1:19" ht="22.5" customHeight="1">
      <c r="A82" s="61" t="str">
        <f>'2022'!A82</f>
        <v>ООО "Природа"</v>
      </c>
      <c r="B82" s="52"/>
      <c r="C82" s="56" t="str">
        <f>'2022'!C82</f>
        <v>круглые длиной 1 м и менее</v>
      </c>
      <c r="D82" s="53">
        <v>150</v>
      </c>
      <c r="E82" s="53">
        <v>150</v>
      </c>
      <c r="F82" s="53">
        <v>150</v>
      </c>
      <c r="G82" s="53">
        <v>150</v>
      </c>
      <c r="H82" s="53">
        <f t="shared" si="15"/>
        <v>600</v>
      </c>
      <c r="I82" s="50">
        <f>'2022'!I82*1.05</f>
        <v>1100.4000000000001</v>
      </c>
      <c r="J82" s="50">
        <f>'2022'!K82</f>
        <v>830</v>
      </c>
      <c r="K82" s="50">
        <v>860</v>
      </c>
      <c r="L82" s="50">
        <f>(I82-J82)*D82</f>
        <v>40560.000000000015</v>
      </c>
      <c r="M82" s="50">
        <f>(I82-J82)*E82</f>
        <v>40560.000000000015</v>
      </c>
      <c r="N82" s="50">
        <f>(I82-K82)*F82</f>
        <v>36060.000000000015</v>
      </c>
      <c r="O82" s="50">
        <f>(I82-K82)*G82</f>
        <v>36060.000000000015</v>
      </c>
      <c r="P82" s="137">
        <f t="shared" si="14"/>
        <v>153240.00000000006</v>
      </c>
      <c r="Q82" s="79"/>
      <c r="R82" s="79"/>
      <c r="S82" s="79"/>
    </row>
    <row r="83" spans="1:19" ht="22.5" customHeight="1">
      <c r="A83" s="91" t="str">
        <f>'2022'!A83</f>
        <v>МО "Холмогорский муниципальный район"</v>
      </c>
      <c r="B83" s="118"/>
      <c r="C83" s="110"/>
      <c r="D83" s="107"/>
      <c r="E83" s="107"/>
      <c r="F83" s="107"/>
      <c r="G83" s="107"/>
      <c r="H83" s="53"/>
      <c r="I83" s="106"/>
      <c r="J83" s="106"/>
      <c r="K83" s="106"/>
      <c r="L83" s="106"/>
      <c r="M83" s="106"/>
      <c r="N83" s="106"/>
      <c r="O83" s="106"/>
      <c r="P83" s="138"/>
      <c r="Q83" s="121"/>
      <c r="R83" s="121"/>
      <c r="S83" s="121"/>
    </row>
    <row r="84" spans="1:19" ht="22.5" customHeight="1">
      <c r="A84" s="61" t="str">
        <f>'2022'!A84</f>
        <v>ООО "Север-лес"</v>
      </c>
      <c r="B84" s="52"/>
      <c r="C84" s="56" t="str">
        <f>'2022'!C84</f>
        <v>круглые длиной более 1 м</v>
      </c>
      <c r="D84" s="53">
        <v>550</v>
      </c>
      <c r="E84" s="53">
        <v>550</v>
      </c>
      <c r="F84" s="53">
        <v>550</v>
      </c>
      <c r="G84" s="53">
        <v>550</v>
      </c>
      <c r="H84" s="53">
        <f t="shared" si="15"/>
        <v>2200</v>
      </c>
      <c r="I84" s="50">
        <f>'2022'!I84*1.05</f>
        <v>1866.7735800000003</v>
      </c>
      <c r="J84" s="50">
        <f>'2022'!K84</f>
        <v>771</v>
      </c>
      <c r="K84" s="50">
        <v>801</v>
      </c>
      <c r="L84" s="50">
        <f>(I84-J84)*D84</f>
        <v>602675.46900000016</v>
      </c>
      <c r="M84" s="50">
        <f>(I84-J84)*E84</f>
        <v>602675.46900000016</v>
      </c>
      <c r="N84" s="50">
        <f>(I84-K84)*F84</f>
        <v>586175.46900000016</v>
      </c>
      <c r="O84" s="50">
        <f>(I84-K84)*G84</f>
        <v>586175.46900000016</v>
      </c>
      <c r="P84" s="137">
        <f t="shared" si="14"/>
        <v>2377701.8760000006</v>
      </c>
      <c r="Q84" s="79"/>
      <c r="R84" s="79"/>
      <c r="S84" s="79"/>
    </row>
    <row r="85" spans="1:19" ht="24.75" customHeight="1">
      <c r="A85" s="91" t="s">
        <v>119</v>
      </c>
      <c r="B85" s="118"/>
      <c r="C85" s="110"/>
      <c r="D85" s="107"/>
      <c r="E85" s="107"/>
      <c r="F85" s="107"/>
      <c r="G85" s="107"/>
      <c r="H85" s="107"/>
      <c r="I85" s="106"/>
      <c r="J85" s="106"/>
      <c r="K85" s="106"/>
      <c r="L85" s="106"/>
      <c r="M85" s="106"/>
      <c r="N85" s="106"/>
      <c r="O85" s="106"/>
      <c r="P85" s="138"/>
      <c r="Q85" s="121"/>
      <c r="R85" s="121"/>
      <c r="S85" s="121"/>
    </row>
    <row r="86" spans="1:19" ht="30.75" customHeight="1">
      <c r="A86" s="52" t="s">
        <v>120</v>
      </c>
      <c r="B86" s="52" t="s">
        <v>121</v>
      </c>
      <c r="C86" s="56" t="s">
        <v>24</v>
      </c>
      <c r="D86" s="53">
        <v>850</v>
      </c>
      <c r="E86" s="53">
        <v>850</v>
      </c>
      <c r="F86" s="53">
        <v>850</v>
      </c>
      <c r="G86" s="53">
        <v>850</v>
      </c>
      <c r="H86" s="53">
        <f t="shared" si="15"/>
        <v>3400</v>
      </c>
      <c r="I86" s="50">
        <f>'2022'!I86*1.05</f>
        <v>3138.8271768000004</v>
      </c>
      <c r="J86" s="50">
        <f>'2022'!K86</f>
        <v>797</v>
      </c>
      <c r="K86" s="50">
        <v>828</v>
      </c>
      <c r="L86" s="50">
        <f>(I86-J86)*D86</f>
        <v>1990553.1002800004</v>
      </c>
      <c r="M86" s="50">
        <f>(I86-J86)*E86</f>
        <v>1990553.1002800004</v>
      </c>
      <c r="N86" s="50">
        <f>(I86-K86)*F86</f>
        <v>1964203.1002800004</v>
      </c>
      <c r="O86" s="50">
        <f>(I86-K86)*G86</f>
        <v>1964203.1002800004</v>
      </c>
      <c r="P86" s="137">
        <f t="shared" si="14"/>
        <v>7909512.4011200015</v>
      </c>
      <c r="Q86" s="79"/>
      <c r="R86" s="79"/>
      <c r="S86" s="79"/>
    </row>
    <row r="87" spans="1:19" s="81" customFormat="1" ht="24.75" customHeight="1">
      <c r="A87" s="91" t="s">
        <v>33</v>
      </c>
      <c r="B87" s="91"/>
      <c r="C87" s="88"/>
      <c r="D87" s="105">
        <f>SUM(D8:D86)</f>
        <v>49999.289999999994</v>
      </c>
      <c r="E87" s="105">
        <f>SUM(E8:E86)</f>
        <v>48879.680333333337</v>
      </c>
      <c r="F87" s="105">
        <f>SUM(F8:F86)</f>
        <v>57288.243333333317</v>
      </c>
      <c r="G87" s="105">
        <f>SUM(G8:G86)</f>
        <v>55783.328333333324</v>
      </c>
      <c r="H87" s="105">
        <f>SUM(H8:H86)</f>
        <v>211950.54199999999</v>
      </c>
      <c r="I87" s="105"/>
      <c r="J87" s="105"/>
      <c r="K87" s="105"/>
      <c r="L87" s="104">
        <f>SUM(L8:L86)</f>
        <v>64806052.873922676</v>
      </c>
      <c r="M87" s="104">
        <f>SUM(M8:M86)</f>
        <v>69313159.827913433</v>
      </c>
      <c r="N87" s="104">
        <f>SUM(N8:N86)</f>
        <v>86729679.108407974</v>
      </c>
      <c r="O87" s="104">
        <f>SUM(O8:O86)</f>
        <v>80007907.707008392</v>
      </c>
      <c r="P87" s="104">
        <f>SUM(P8:P86)</f>
        <v>300856799.5172525</v>
      </c>
      <c r="Q87" s="93">
        <f>'2022'!R87</f>
        <v>28474847.533781178</v>
      </c>
      <c r="R87" s="93">
        <f>P87*0.1</f>
        <v>30085679.951725252</v>
      </c>
      <c r="S87" s="93">
        <f>P87+Q87-R87</f>
        <v>299245967.09930843</v>
      </c>
    </row>
    <row r="88" spans="1:19" ht="25.5" hidden="1" customHeight="1"/>
    <row r="89" spans="1:19" ht="25.5" hidden="1" customHeight="1"/>
    <row r="90" spans="1:19" ht="21" hidden="1" customHeight="1">
      <c r="D90" s="154" t="s">
        <v>63</v>
      </c>
      <c r="E90" s="154"/>
      <c r="F90" s="154"/>
      <c r="G90" s="136"/>
      <c r="H90" s="136"/>
      <c r="I90" s="136"/>
      <c r="J90" s="133"/>
    </row>
    <row r="91" spans="1:19" ht="20.25" hidden="1" customHeight="1">
      <c r="D91" s="130"/>
      <c r="E91" s="130"/>
      <c r="F91" s="130"/>
      <c r="G91" s="130"/>
      <c r="H91" s="130"/>
      <c r="I91" s="130"/>
      <c r="J91" s="130"/>
    </row>
    <row r="92" spans="1:19" ht="20.25" hidden="1" customHeight="1">
      <c r="D92" s="133"/>
      <c r="E92" s="133"/>
      <c r="F92" s="133"/>
      <c r="G92" s="133"/>
      <c r="H92" s="133"/>
      <c r="I92" s="133"/>
      <c r="J92" s="133"/>
    </row>
    <row r="93" spans="1:19" ht="21" hidden="1" customHeight="1">
      <c r="D93" s="127"/>
      <c r="E93" s="115"/>
      <c r="F93" s="115"/>
      <c r="G93" s="134"/>
      <c r="H93" s="134"/>
      <c r="I93" s="134"/>
      <c r="J93" s="135"/>
    </row>
    <row r="94" spans="1:19" ht="21" hidden="1" customHeight="1">
      <c r="D94" s="154" t="s">
        <v>100</v>
      </c>
      <c r="E94" s="154"/>
      <c r="F94" s="154"/>
      <c r="G94" s="123"/>
      <c r="H94" s="124"/>
      <c r="I94" s="116" t="s">
        <v>75</v>
      </c>
      <c r="J94" s="125"/>
    </row>
    <row r="95" spans="1:19" ht="21" hidden="1" customHeight="1">
      <c r="D95" s="126"/>
      <c r="E95" s="126"/>
      <c r="F95" s="126"/>
      <c r="G95" s="125"/>
      <c r="H95" s="125"/>
      <c r="I95" s="127"/>
      <c r="J95" s="128"/>
    </row>
    <row r="96" spans="1:19" ht="21" hidden="1" customHeight="1">
      <c r="D96" s="126"/>
      <c r="E96" s="126"/>
      <c r="F96" s="126"/>
      <c r="G96" s="125"/>
      <c r="H96" s="125"/>
      <c r="I96" s="127"/>
      <c r="J96" s="128"/>
    </row>
    <row r="97" spans="4:10" ht="20.25" hidden="1" customHeight="1">
      <c r="D97" s="129"/>
      <c r="E97" s="129"/>
      <c r="F97" s="129"/>
      <c r="G97" s="130"/>
      <c r="H97" s="130"/>
      <c r="I97" s="130"/>
      <c r="J97" s="130"/>
    </row>
    <row r="98" spans="4:10" ht="20.25" hidden="1" customHeight="1">
      <c r="D98" s="129"/>
      <c r="E98" s="129"/>
      <c r="F98" s="129"/>
      <c r="G98" s="130"/>
      <c r="H98" s="130"/>
      <c r="I98" s="130"/>
      <c r="J98" s="130"/>
    </row>
    <row r="99" spans="4:10" ht="21" hidden="1" customHeight="1">
      <c r="D99" s="126"/>
      <c r="E99" s="126"/>
      <c r="F99" s="126"/>
      <c r="G99" s="125"/>
      <c r="H99" s="125"/>
      <c r="I99" s="127"/>
      <c r="J99" s="125"/>
    </row>
    <row r="100" spans="4:10" ht="21" hidden="1" customHeight="1">
      <c r="D100" s="150" t="s">
        <v>64</v>
      </c>
      <c r="E100" s="150"/>
      <c r="F100" s="150"/>
      <c r="G100" s="131"/>
      <c r="H100" s="131"/>
      <c r="I100" s="117" t="s">
        <v>65</v>
      </c>
      <c r="J100" s="127"/>
    </row>
  </sheetData>
  <autoFilter ref="A6:S72"/>
  <mergeCells count="14">
    <mergeCell ref="D2:J2"/>
    <mergeCell ref="A4:A5"/>
    <mergeCell ref="B4:B5"/>
    <mergeCell ref="C4:C5"/>
    <mergeCell ref="D4:H4"/>
    <mergeCell ref="I4:I5"/>
    <mergeCell ref="J4:K4"/>
    <mergeCell ref="D100:F100"/>
    <mergeCell ref="L4:P4"/>
    <mergeCell ref="Q4:Q5"/>
    <mergeCell ref="R4:R5"/>
    <mergeCell ref="S4:S5"/>
    <mergeCell ref="D90:F90"/>
    <mergeCell ref="D94:F94"/>
  </mergeCells>
  <phoneticPr fontId="1" type="noConversion"/>
  <pageMargins left="0.59055118110236227" right="0.19685039370078741" top="0.62992125984251968" bottom="0.51181102362204722" header="3.937007874015748E-2" footer="0.27559055118110237"/>
  <pageSetup paperSize="9" scale="56" fitToHeight="0" orientation="landscape" r:id="rId1"/>
  <headerFooter scaleWithDoc="0">
    <oddFooter>&amp;C&amp;P</oddFooter>
    <firstHeader>&amp;RПриложение 6</firstHeader>
  </headerFooter>
  <colBreaks count="1" manualBreakCount="1">
    <brk id="11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2021</vt:lpstr>
      <vt:lpstr>2022</vt:lpstr>
      <vt:lpstr>2023</vt:lpstr>
      <vt:lpstr>'2021'!Заголовки_для_печати</vt:lpstr>
      <vt:lpstr>'2022'!Заголовки_для_печати</vt:lpstr>
      <vt:lpstr>'2023'!Заголовки_для_печати</vt:lpstr>
      <vt:lpstr>'2021'!Область_печати</vt:lpstr>
      <vt:lpstr>'2022'!Область_печати</vt:lpstr>
      <vt:lpstr>'2023'!Область_печати</vt:lpstr>
    </vt:vector>
  </TitlesOfParts>
  <Company>ДТиЦ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syvorova</dc:creator>
  <cp:lastModifiedBy>minfin user</cp:lastModifiedBy>
  <cp:lastPrinted>2020-10-10T09:21:56Z</cp:lastPrinted>
  <dcterms:created xsi:type="dcterms:W3CDTF">2007-05-08T07:36:57Z</dcterms:created>
  <dcterms:modified xsi:type="dcterms:W3CDTF">2020-10-10T09:22:05Z</dcterms:modified>
</cp:coreProperties>
</file>