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5" yWindow="-105" windowWidth="23250" windowHeight="12570"/>
  </bookViews>
  <sheets>
    <sheet name="Прогноз на 2020 2022" sheetId="5" r:id="rId1"/>
  </sheets>
  <definedNames>
    <definedName name="_xlnm.Print_Area" localSheetId="0">'Прогноз на 2020 2022'!$A$1:$I$30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5"/>
  <c r="B11"/>
  <c r="B10"/>
  <c r="B13"/>
  <c r="B15"/>
  <c r="B16"/>
  <c r="B17"/>
  <c r="B18"/>
  <c r="B27"/>
  <c r="B26"/>
  <c r="B25"/>
  <c r="B24"/>
  <c r="B23"/>
  <c r="B22"/>
  <c r="B21"/>
  <c r="B20"/>
  <c r="B19"/>
  <c r="B14"/>
  <c r="F21"/>
  <c r="F22"/>
  <c r="F23" s="1"/>
  <c r="F24" s="1"/>
  <c r="F25" s="1"/>
  <c r="F26" s="1"/>
  <c r="F27" s="1"/>
  <c r="F20"/>
  <c r="F19"/>
  <c r="F18"/>
  <c r="F17"/>
  <c r="F16"/>
  <c r="F15"/>
  <c r="F14"/>
  <c r="F13"/>
  <c r="F12"/>
  <c r="F11"/>
  <c r="C11" l="1"/>
  <c r="G11" s="1"/>
  <c r="C12"/>
  <c r="G12" s="1"/>
  <c r="C13"/>
  <c r="G13" s="1"/>
  <c r="C14"/>
  <c r="G14" s="1"/>
  <c r="C15"/>
  <c r="G15" s="1"/>
  <c r="C16"/>
  <c r="G16" s="1"/>
  <c r="C17"/>
  <c r="G17" s="1"/>
  <c r="C18"/>
  <c r="G18" s="1"/>
  <c r="C19"/>
  <c r="G19" s="1"/>
  <c r="C20"/>
  <c r="G20" s="1"/>
  <c r="C21"/>
  <c r="G21" s="1"/>
  <c r="C22"/>
  <c r="G22" s="1"/>
  <c r="C23"/>
  <c r="G23" s="1"/>
  <c r="C24"/>
  <c r="G24" s="1"/>
  <c r="C25"/>
  <c r="G25" s="1"/>
  <c r="C26"/>
  <c r="G26" s="1"/>
  <c r="C27"/>
  <c r="G27" s="1"/>
  <c r="C10"/>
  <c r="G10" s="1"/>
  <c r="B28" l="1"/>
  <c r="H11" l="1"/>
  <c r="I11" s="1"/>
  <c r="H12"/>
  <c r="I12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10"/>
  <c r="I10" s="1"/>
  <c r="G28" l="1"/>
  <c r="H13"/>
  <c r="I13" s="1"/>
  <c r="I29"/>
  <c r="D11"/>
  <c r="E11" s="1"/>
  <c r="D12"/>
  <c r="D13"/>
  <c r="E13" s="1"/>
  <c r="D14"/>
  <c r="E14" s="1"/>
  <c r="D15"/>
  <c r="D16"/>
  <c r="E16" s="1"/>
  <c r="D17"/>
  <c r="D18"/>
  <c r="E18" s="1"/>
  <c r="D19"/>
  <c r="E19" s="1"/>
  <c r="D20"/>
  <c r="D21"/>
  <c r="D22"/>
  <c r="E22" s="1"/>
  <c r="D23"/>
  <c r="E23" s="1"/>
  <c r="D24"/>
  <c r="D25"/>
  <c r="D26"/>
  <c r="E26" s="1"/>
  <c r="D27"/>
  <c r="E27" s="1"/>
  <c r="D10"/>
  <c r="C28"/>
  <c r="E10" l="1"/>
  <c r="E24"/>
  <c r="E20"/>
  <c r="E12"/>
  <c r="E25"/>
  <c r="E21"/>
  <c r="E17"/>
  <c r="H28"/>
  <c r="H30" s="1"/>
  <c r="E15"/>
  <c r="D28"/>
  <c r="G30"/>
  <c r="E28" l="1"/>
  <c r="I28"/>
  <c r="I30" s="1"/>
</calcChain>
</file>

<file path=xl/sharedStrings.xml><?xml version="1.0" encoding="utf-8"?>
<sst xmlns="http://schemas.openxmlformats.org/spreadsheetml/2006/main" count="17" uniqueCount="14">
  <si>
    <t>Расстояние поездки в зонах</t>
  </si>
  <si>
    <t>ВСЕГО</t>
  </si>
  <si>
    <t>Учащиеся, чел.</t>
  </si>
  <si>
    <t>Скидка на перевозку учащихся, %</t>
  </si>
  <si>
    <t>Доходы от реализации билетов, рублей</t>
  </si>
  <si>
    <t>2021 год</t>
  </si>
  <si>
    <t>Объем выпадающих доходов пригородной компании, тыс. рублей</t>
  </si>
  <si>
    <t>2022 год</t>
  </si>
  <si>
    <t>2019 год факт</t>
  </si>
  <si>
    <t>2023 год</t>
  </si>
  <si>
    <t xml:space="preserve">РАСЧЕТ
объема субсидий на компенсацию организациям железнодорожного транспорта потерь в доходах, возникающих в результате предоставления 50-процентной скидки на проезд железнодорожным транспортом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 на 2020 – 2021 годы
</t>
  </si>
  <si>
    <t>Тарифы за зону , руб.</t>
  </si>
  <si>
    <t>Приложение № 20</t>
  </si>
  <si>
    <t>к пояснительной записке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</si>
</sst>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/>
    </xf>
    <xf numFmtId="0" fontId="3" fillId="0" borderId="0" xfId="0" applyFont="1"/>
    <xf numFmtId="4" fontId="3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BreakPreview" zoomScale="85" zoomScaleNormal="85" zoomScaleSheetLayoutView="85" workbookViewId="0">
      <selection activeCell="A4" sqref="A4:I4"/>
    </sheetView>
  </sheetViews>
  <sheetFormatPr defaultRowHeight="15"/>
  <cols>
    <col min="1" max="2" width="18.5703125" customWidth="1"/>
    <col min="3" max="3" width="16" customWidth="1"/>
    <col min="4" max="4" width="13.28515625" customWidth="1"/>
    <col min="5" max="5" width="14.85546875" customWidth="1"/>
    <col min="6" max="6" width="11.5703125" customWidth="1"/>
    <col min="7" max="7" width="16.140625" customWidth="1"/>
    <col min="8" max="8" width="16.7109375" customWidth="1"/>
    <col min="9" max="9" width="15.85546875" customWidth="1"/>
    <col min="10" max="10" width="16.140625" customWidth="1"/>
    <col min="11" max="11" width="16.85546875" customWidth="1"/>
  </cols>
  <sheetData>
    <row r="1" spans="1:11">
      <c r="H1" t="s">
        <v>12</v>
      </c>
    </row>
    <row r="2" spans="1:11">
      <c r="H2" t="s">
        <v>13</v>
      </c>
    </row>
    <row r="3" spans="1:11" ht="3" customHeight="1"/>
    <row r="4" spans="1:11" ht="101.25" customHeight="1">
      <c r="A4" s="23" t="s">
        <v>10</v>
      </c>
      <c r="B4" s="23"/>
      <c r="C4" s="23"/>
      <c r="D4" s="23"/>
      <c r="E4" s="23"/>
      <c r="F4" s="23"/>
      <c r="G4" s="23"/>
      <c r="H4" s="23"/>
      <c r="I4" s="23"/>
    </row>
    <row r="5" spans="1:11" ht="15.75">
      <c r="A5" s="2"/>
      <c r="B5" s="2"/>
      <c r="C5" s="2"/>
      <c r="D5" s="2"/>
      <c r="E5" s="16"/>
      <c r="F5" s="16"/>
      <c r="G5" s="16"/>
      <c r="H5" s="16"/>
      <c r="I5" s="16"/>
    </row>
    <row r="6" spans="1:11" ht="43.9" customHeight="1">
      <c r="A6" s="18" t="s">
        <v>0</v>
      </c>
      <c r="B6" s="18" t="s">
        <v>8</v>
      </c>
      <c r="C6" s="21" t="s">
        <v>2</v>
      </c>
      <c r="D6" s="21"/>
      <c r="E6" s="21"/>
      <c r="F6" s="22" t="s">
        <v>11</v>
      </c>
      <c r="G6" s="19" t="s">
        <v>4</v>
      </c>
      <c r="H6" s="19"/>
      <c r="I6" s="19"/>
      <c r="J6" s="4"/>
      <c r="K6" s="4"/>
    </row>
    <row r="7" spans="1:11" ht="14.45" customHeight="1">
      <c r="A7" s="18"/>
      <c r="B7" s="18"/>
      <c r="C7" s="18" t="s">
        <v>5</v>
      </c>
      <c r="D7" s="18" t="s">
        <v>7</v>
      </c>
      <c r="E7" s="18" t="s">
        <v>9</v>
      </c>
      <c r="F7" s="22"/>
      <c r="G7" s="18" t="s">
        <v>5</v>
      </c>
      <c r="H7" s="18" t="s">
        <v>7</v>
      </c>
      <c r="I7" s="18" t="s">
        <v>9</v>
      </c>
    </row>
    <row r="8" spans="1:11" ht="14.45" customHeight="1">
      <c r="A8" s="18"/>
      <c r="B8" s="18"/>
      <c r="C8" s="18"/>
      <c r="D8" s="18"/>
      <c r="E8" s="18"/>
      <c r="F8" s="22"/>
      <c r="G8" s="18"/>
      <c r="H8" s="18"/>
      <c r="I8" s="18"/>
    </row>
    <row r="9" spans="1:11" ht="14.45" customHeight="1">
      <c r="A9" s="18"/>
      <c r="B9" s="18"/>
      <c r="C9" s="18"/>
      <c r="D9" s="18"/>
      <c r="E9" s="18"/>
      <c r="F9" s="22"/>
      <c r="G9" s="18"/>
      <c r="H9" s="18"/>
      <c r="I9" s="18"/>
    </row>
    <row r="10" spans="1:11">
      <c r="A10" s="5">
        <v>1</v>
      </c>
      <c r="B10" s="5">
        <f>3211*1.059</f>
        <v>3400.4489999999996</v>
      </c>
      <c r="C10" s="6">
        <f>B10</f>
        <v>3400.4489999999996</v>
      </c>
      <c r="D10" s="6">
        <f>C10</f>
        <v>3400.4489999999996</v>
      </c>
      <c r="E10" s="7">
        <f>D10</f>
        <v>3400.4489999999996</v>
      </c>
      <c r="F10" s="12">
        <v>32</v>
      </c>
      <c r="G10" s="8">
        <f>F10*C10/1000</f>
        <v>108.81436799999999</v>
      </c>
      <c r="H10" s="8">
        <f>G10*1.04</f>
        <v>113.16694271999999</v>
      </c>
      <c r="I10" s="9">
        <f>H10*1.04</f>
        <v>117.6936204288</v>
      </c>
    </row>
    <row r="11" spans="1:11">
      <c r="A11" s="5">
        <v>2</v>
      </c>
      <c r="B11" s="5">
        <f>5727*1.059</f>
        <v>6064.893</v>
      </c>
      <c r="C11" s="6">
        <f t="shared" ref="C11:C27" si="0">B11</f>
        <v>6064.893</v>
      </c>
      <c r="D11" s="6">
        <f t="shared" ref="D11:E27" si="1">C11</f>
        <v>6064.893</v>
      </c>
      <c r="E11" s="7">
        <f t="shared" si="1"/>
        <v>6064.893</v>
      </c>
      <c r="F11" s="12">
        <f>F10*2</f>
        <v>64</v>
      </c>
      <c r="G11" s="8">
        <f t="shared" ref="G11:G27" si="2">F11*C11/1000</f>
        <v>388.15315199999998</v>
      </c>
      <c r="H11" s="8">
        <f t="shared" ref="H11:I27" si="3">G11*1.04</f>
        <v>403.67927808000002</v>
      </c>
      <c r="I11" s="9">
        <f t="shared" si="3"/>
        <v>419.82644920320001</v>
      </c>
    </row>
    <row r="12" spans="1:11">
      <c r="A12" s="5">
        <v>3</v>
      </c>
      <c r="B12" s="5">
        <f>9008*1.0599</f>
        <v>9547.5792000000001</v>
      </c>
      <c r="C12" s="6">
        <f t="shared" si="0"/>
        <v>9547.5792000000001</v>
      </c>
      <c r="D12" s="6">
        <f t="shared" si="1"/>
        <v>9547.5792000000001</v>
      </c>
      <c r="E12" s="7">
        <f t="shared" si="1"/>
        <v>9547.5792000000001</v>
      </c>
      <c r="F12" s="12">
        <f>32*3</f>
        <v>96</v>
      </c>
      <c r="G12" s="8">
        <f t="shared" si="2"/>
        <v>916.56760320000001</v>
      </c>
      <c r="H12" s="8">
        <f t="shared" si="3"/>
        <v>953.23030732800009</v>
      </c>
      <c r="I12" s="9">
        <f t="shared" si="3"/>
        <v>991.35951962112017</v>
      </c>
    </row>
    <row r="13" spans="1:11">
      <c r="A13" s="5">
        <v>4</v>
      </c>
      <c r="B13" s="5">
        <f>7309*1.059</f>
        <v>7740.2309999999998</v>
      </c>
      <c r="C13" s="6">
        <f t="shared" si="0"/>
        <v>7740.2309999999998</v>
      </c>
      <c r="D13" s="6">
        <f t="shared" si="1"/>
        <v>7740.2309999999998</v>
      </c>
      <c r="E13" s="7">
        <f t="shared" si="1"/>
        <v>7740.2309999999998</v>
      </c>
      <c r="F13" s="12">
        <f>32*4</f>
        <v>128</v>
      </c>
      <c r="G13" s="8">
        <f t="shared" si="2"/>
        <v>990.74956799999995</v>
      </c>
      <c r="H13" s="8">
        <f t="shared" si="3"/>
        <v>1030.37955072</v>
      </c>
      <c r="I13" s="9">
        <f t="shared" si="3"/>
        <v>1071.5947327488</v>
      </c>
    </row>
    <row r="14" spans="1:11">
      <c r="A14" s="5">
        <v>5</v>
      </c>
      <c r="B14" s="5">
        <f>6117*1.06</f>
        <v>6484.02</v>
      </c>
      <c r="C14" s="6">
        <f t="shared" si="0"/>
        <v>6484.02</v>
      </c>
      <c r="D14" s="6">
        <f t="shared" si="1"/>
        <v>6484.02</v>
      </c>
      <c r="E14" s="7">
        <f t="shared" si="1"/>
        <v>6484.02</v>
      </c>
      <c r="F14" s="12">
        <f>32*5</f>
        <v>160</v>
      </c>
      <c r="G14" s="8">
        <f t="shared" si="2"/>
        <v>1037.4432000000002</v>
      </c>
      <c r="H14" s="8">
        <f t="shared" si="3"/>
        <v>1078.9409280000002</v>
      </c>
      <c r="I14" s="9">
        <f t="shared" si="3"/>
        <v>1122.0985651200003</v>
      </c>
    </row>
    <row r="15" spans="1:11">
      <c r="A15" s="5">
        <v>6</v>
      </c>
      <c r="B15" s="5">
        <f>2985*1.059</f>
        <v>3161.1149999999998</v>
      </c>
      <c r="C15" s="6">
        <f t="shared" si="0"/>
        <v>3161.1149999999998</v>
      </c>
      <c r="D15" s="6">
        <f t="shared" si="1"/>
        <v>3161.1149999999998</v>
      </c>
      <c r="E15" s="7">
        <f t="shared" si="1"/>
        <v>3161.1149999999998</v>
      </c>
      <c r="F15" s="12">
        <f>32*5+24</f>
        <v>184</v>
      </c>
      <c r="G15" s="8">
        <f t="shared" si="2"/>
        <v>581.64515999999992</v>
      </c>
      <c r="H15" s="8">
        <f t="shared" si="3"/>
        <v>604.91096639999989</v>
      </c>
      <c r="I15" s="9">
        <f t="shared" si="3"/>
        <v>629.10740505599995</v>
      </c>
    </row>
    <row r="16" spans="1:11">
      <c r="A16" s="5">
        <v>7</v>
      </c>
      <c r="B16" s="5">
        <f>4309*1.059</f>
        <v>4563.2309999999998</v>
      </c>
      <c r="C16" s="6">
        <f t="shared" si="0"/>
        <v>4563.2309999999998</v>
      </c>
      <c r="D16" s="6">
        <f t="shared" si="1"/>
        <v>4563.2309999999998</v>
      </c>
      <c r="E16" s="7">
        <f t="shared" si="1"/>
        <v>4563.2309999999998</v>
      </c>
      <c r="F16" s="12">
        <f>32*5+24*2</f>
        <v>208</v>
      </c>
      <c r="G16" s="8">
        <f t="shared" si="2"/>
        <v>949.15204799999992</v>
      </c>
      <c r="H16" s="8">
        <f t="shared" si="3"/>
        <v>987.11812992</v>
      </c>
      <c r="I16" s="9">
        <f t="shared" si="3"/>
        <v>1026.6028551168001</v>
      </c>
    </row>
    <row r="17" spans="1:9">
      <c r="A17" s="5">
        <v>8</v>
      </c>
      <c r="B17" s="5">
        <f>7643*1.059</f>
        <v>8093.9369999999999</v>
      </c>
      <c r="C17" s="6">
        <f t="shared" si="0"/>
        <v>8093.9369999999999</v>
      </c>
      <c r="D17" s="6">
        <f t="shared" si="1"/>
        <v>8093.9369999999999</v>
      </c>
      <c r="E17" s="7">
        <f t="shared" si="1"/>
        <v>8093.9369999999999</v>
      </c>
      <c r="F17" s="12">
        <f>32*5+24*3</f>
        <v>232</v>
      </c>
      <c r="G17" s="8">
        <f t="shared" si="2"/>
        <v>1877.7933840000001</v>
      </c>
      <c r="H17" s="8">
        <f t="shared" si="3"/>
        <v>1952.9051193600001</v>
      </c>
      <c r="I17" s="9">
        <f t="shared" si="3"/>
        <v>2031.0213241344002</v>
      </c>
    </row>
    <row r="18" spans="1:9">
      <c r="A18" s="5">
        <v>9</v>
      </c>
      <c r="B18" s="5">
        <f>6859*1.059</f>
        <v>7263.6809999999996</v>
      </c>
      <c r="C18" s="6">
        <f t="shared" si="0"/>
        <v>7263.6809999999996</v>
      </c>
      <c r="D18" s="6">
        <f t="shared" si="1"/>
        <v>7263.6809999999996</v>
      </c>
      <c r="E18" s="7">
        <f t="shared" si="1"/>
        <v>7263.6809999999996</v>
      </c>
      <c r="F18" s="12">
        <f>F17+24</f>
        <v>256</v>
      </c>
      <c r="G18" s="8">
        <f t="shared" si="2"/>
        <v>1859.5023359999998</v>
      </c>
      <c r="H18" s="8">
        <f t="shared" si="3"/>
        <v>1933.8824294399999</v>
      </c>
      <c r="I18" s="9">
        <f t="shared" si="3"/>
        <v>2011.2377266175999</v>
      </c>
    </row>
    <row r="19" spans="1:9">
      <c r="A19" s="5">
        <v>10</v>
      </c>
      <c r="B19" s="5">
        <f>3178*1.06</f>
        <v>3368.6800000000003</v>
      </c>
      <c r="C19" s="6">
        <f t="shared" si="0"/>
        <v>3368.6800000000003</v>
      </c>
      <c r="D19" s="6">
        <f t="shared" si="1"/>
        <v>3368.6800000000003</v>
      </c>
      <c r="E19" s="7">
        <f t="shared" si="1"/>
        <v>3368.6800000000003</v>
      </c>
      <c r="F19" s="12">
        <f>F18+24</f>
        <v>280</v>
      </c>
      <c r="G19" s="8">
        <f t="shared" si="2"/>
        <v>943.23040000000015</v>
      </c>
      <c r="H19" s="8">
        <f t="shared" si="3"/>
        <v>980.95961600000021</v>
      </c>
      <c r="I19" s="9">
        <f t="shared" si="3"/>
        <v>1020.1980006400003</v>
      </c>
    </row>
    <row r="20" spans="1:9">
      <c r="A20" s="5">
        <v>11</v>
      </c>
      <c r="B20" s="5">
        <f>1753*1.06</f>
        <v>1858.18</v>
      </c>
      <c r="C20" s="6">
        <f t="shared" si="0"/>
        <v>1858.18</v>
      </c>
      <c r="D20" s="6">
        <f t="shared" si="1"/>
        <v>1858.18</v>
      </c>
      <c r="E20" s="7">
        <f t="shared" si="1"/>
        <v>1858.18</v>
      </c>
      <c r="F20" s="12">
        <f>F19+23</f>
        <v>303</v>
      </c>
      <c r="G20" s="8">
        <f t="shared" si="2"/>
        <v>563.02854000000002</v>
      </c>
      <c r="H20" s="8">
        <f t="shared" si="3"/>
        <v>585.54968159999999</v>
      </c>
      <c r="I20" s="9">
        <f t="shared" si="3"/>
        <v>608.97166886399998</v>
      </c>
    </row>
    <row r="21" spans="1:9">
      <c r="A21" s="5">
        <v>12</v>
      </c>
      <c r="B21" s="5">
        <f>3032*1.06</f>
        <v>3213.92</v>
      </c>
      <c r="C21" s="6">
        <f t="shared" si="0"/>
        <v>3213.92</v>
      </c>
      <c r="D21" s="6">
        <f t="shared" si="1"/>
        <v>3213.92</v>
      </c>
      <c r="E21" s="7">
        <f t="shared" si="1"/>
        <v>3213.92</v>
      </c>
      <c r="F21" s="12">
        <f t="shared" ref="F21:F27" si="4">F20+23</f>
        <v>326</v>
      </c>
      <c r="G21" s="8">
        <f t="shared" si="2"/>
        <v>1047.73792</v>
      </c>
      <c r="H21" s="8">
        <f t="shared" si="3"/>
        <v>1089.6474368000002</v>
      </c>
      <c r="I21" s="9">
        <f t="shared" si="3"/>
        <v>1133.2333342720001</v>
      </c>
    </row>
    <row r="22" spans="1:9">
      <c r="A22" s="5">
        <v>13</v>
      </c>
      <c r="B22" s="5">
        <f>3295*1.06</f>
        <v>3492.7000000000003</v>
      </c>
      <c r="C22" s="6">
        <f t="shared" si="0"/>
        <v>3492.7000000000003</v>
      </c>
      <c r="D22" s="6">
        <f t="shared" si="1"/>
        <v>3492.7000000000003</v>
      </c>
      <c r="E22" s="7">
        <f t="shared" si="1"/>
        <v>3492.7000000000003</v>
      </c>
      <c r="F22" s="12">
        <f t="shared" si="4"/>
        <v>349</v>
      </c>
      <c r="G22" s="8">
        <f t="shared" si="2"/>
        <v>1218.9523000000002</v>
      </c>
      <c r="H22" s="8">
        <f t="shared" si="3"/>
        <v>1267.7103920000002</v>
      </c>
      <c r="I22" s="9">
        <f t="shared" si="3"/>
        <v>1318.4188076800003</v>
      </c>
    </row>
    <row r="23" spans="1:9">
      <c r="A23" s="5">
        <v>14</v>
      </c>
      <c r="B23" s="5">
        <f>6214*1.06</f>
        <v>6586.84</v>
      </c>
      <c r="C23" s="6">
        <f t="shared" si="0"/>
        <v>6586.84</v>
      </c>
      <c r="D23" s="6">
        <f t="shared" si="1"/>
        <v>6586.84</v>
      </c>
      <c r="E23" s="7">
        <f t="shared" si="1"/>
        <v>6586.84</v>
      </c>
      <c r="F23" s="12">
        <f t="shared" si="4"/>
        <v>372</v>
      </c>
      <c r="G23" s="8">
        <f t="shared" si="2"/>
        <v>2450.3044799999998</v>
      </c>
      <c r="H23" s="8">
        <f t="shared" si="3"/>
        <v>2548.3166591999998</v>
      </c>
      <c r="I23" s="9">
        <f t="shared" si="3"/>
        <v>2650.2493255679997</v>
      </c>
    </row>
    <row r="24" spans="1:9">
      <c r="A24" s="5">
        <v>15</v>
      </c>
      <c r="B24" s="5">
        <f>110*1.06</f>
        <v>116.60000000000001</v>
      </c>
      <c r="C24" s="6">
        <f t="shared" si="0"/>
        <v>116.60000000000001</v>
      </c>
      <c r="D24" s="6">
        <f t="shared" si="1"/>
        <v>116.60000000000001</v>
      </c>
      <c r="E24" s="7">
        <f t="shared" si="1"/>
        <v>116.60000000000001</v>
      </c>
      <c r="F24" s="12">
        <f t="shared" si="4"/>
        <v>395</v>
      </c>
      <c r="G24" s="8">
        <f t="shared" si="2"/>
        <v>46.057000000000002</v>
      </c>
      <c r="H24" s="8">
        <f t="shared" si="3"/>
        <v>47.899280000000005</v>
      </c>
      <c r="I24" s="9">
        <f t="shared" si="3"/>
        <v>49.815251200000006</v>
      </c>
    </row>
    <row r="25" spans="1:9">
      <c r="A25" s="5">
        <v>16</v>
      </c>
      <c r="B25" s="5">
        <f>399*1.06</f>
        <v>422.94</v>
      </c>
      <c r="C25" s="6">
        <f t="shared" si="0"/>
        <v>422.94</v>
      </c>
      <c r="D25" s="6">
        <f t="shared" si="1"/>
        <v>422.94</v>
      </c>
      <c r="E25" s="7">
        <f t="shared" si="1"/>
        <v>422.94</v>
      </c>
      <c r="F25" s="12">
        <f t="shared" si="4"/>
        <v>418</v>
      </c>
      <c r="G25" s="8">
        <f t="shared" si="2"/>
        <v>176.78892000000002</v>
      </c>
      <c r="H25" s="8">
        <f t="shared" si="3"/>
        <v>183.86047680000001</v>
      </c>
      <c r="I25" s="9">
        <f t="shared" si="3"/>
        <v>191.21489587200003</v>
      </c>
    </row>
    <row r="26" spans="1:9">
      <c r="A26" s="5">
        <v>17</v>
      </c>
      <c r="B26" s="5">
        <f>188*1.059</f>
        <v>199.09199999999998</v>
      </c>
      <c r="C26" s="6">
        <f t="shared" si="0"/>
        <v>199.09199999999998</v>
      </c>
      <c r="D26" s="6">
        <f t="shared" si="1"/>
        <v>199.09199999999998</v>
      </c>
      <c r="E26" s="7">
        <f t="shared" si="1"/>
        <v>199.09199999999998</v>
      </c>
      <c r="F26" s="12">
        <f t="shared" si="4"/>
        <v>441</v>
      </c>
      <c r="G26" s="8">
        <f t="shared" si="2"/>
        <v>87.799571999999998</v>
      </c>
      <c r="H26" s="8">
        <f t="shared" si="3"/>
        <v>91.311554880000003</v>
      </c>
      <c r="I26" s="9">
        <f t="shared" si="3"/>
        <v>94.964017075200005</v>
      </c>
    </row>
    <row r="27" spans="1:9">
      <c r="A27" s="5">
        <v>18</v>
      </c>
      <c r="B27" s="5">
        <f>38*1.059</f>
        <v>40.241999999999997</v>
      </c>
      <c r="C27" s="6">
        <f t="shared" si="0"/>
        <v>40.241999999999997</v>
      </c>
      <c r="D27" s="6">
        <f t="shared" si="1"/>
        <v>40.241999999999997</v>
      </c>
      <c r="E27" s="7">
        <f t="shared" si="1"/>
        <v>40.241999999999997</v>
      </c>
      <c r="F27" s="12">
        <f t="shared" si="4"/>
        <v>464</v>
      </c>
      <c r="G27" s="8">
        <f t="shared" si="2"/>
        <v>18.672288000000002</v>
      </c>
      <c r="H27" s="8">
        <f t="shared" si="3"/>
        <v>19.419179520000004</v>
      </c>
      <c r="I27" s="9">
        <f t="shared" si="3"/>
        <v>20.195946700800004</v>
      </c>
    </row>
    <row r="28" spans="1:9">
      <c r="A28" s="10" t="s">
        <v>1</v>
      </c>
      <c r="B28" s="11">
        <f>SUM(B10:B27)</f>
        <v>75618.330199999997</v>
      </c>
      <c r="C28" s="11">
        <f>SUM(C10:C27)</f>
        <v>75618.330199999997</v>
      </c>
      <c r="D28" s="11">
        <f>SUM(D10:D27)</f>
        <v>75618.330199999997</v>
      </c>
      <c r="E28" s="11">
        <f>SUM(E10:E27)</f>
        <v>75618.330199999997</v>
      </c>
      <c r="F28" s="12"/>
      <c r="G28" s="8">
        <f>SUM(G10:G27)</f>
        <v>15262.392239200002</v>
      </c>
      <c r="H28" s="8">
        <f>SUM(H10:H27)</f>
        <v>15872.887928767999</v>
      </c>
      <c r="I28" s="8">
        <f>SUM(I10:I27)</f>
        <v>16507.803445918718</v>
      </c>
    </row>
    <row r="29" spans="1:9">
      <c r="A29" s="20" t="s">
        <v>3</v>
      </c>
      <c r="B29" s="20"/>
      <c r="C29" s="20"/>
      <c r="D29" s="20"/>
      <c r="E29" s="20"/>
      <c r="F29" s="13"/>
      <c r="G29" s="14">
        <v>0.5</v>
      </c>
      <c r="H29" s="14">
        <v>0.5</v>
      </c>
      <c r="I29" s="15">
        <f>H29</f>
        <v>0.5</v>
      </c>
    </row>
    <row r="30" spans="1:9">
      <c r="A30" s="20" t="s">
        <v>6</v>
      </c>
      <c r="B30" s="20"/>
      <c r="C30" s="20"/>
      <c r="D30" s="20"/>
      <c r="E30" s="20"/>
      <c r="F30" s="20"/>
      <c r="G30" s="17">
        <f>G28*0.5</f>
        <v>7631.1961196000011</v>
      </c>
      <c r="H30" s="17">
        <f>H28*0.5</f>
        <v>7936.4439643839996</v>
      </c>
      <c r="I30" s="17">
        <f>I28*0.5</f>
        <v>8253.9017229593592</v>
      </c>
    </row>
    <row r="31" spans="1:9" ht="15.75">
      <c r="A31" s="1"/>
      <c r="B31" s="1"/>
      <c r="C31" s="1"/>
      <c r="D31" s="1"/>
      <c r="E31" s="1"/>
      <c r="F31" s="1"/>
      <c r="G31" s="1"/>
      <c r="H31" s="1"/>
      <c r="I31" s="1"/>
    </row>
    <row r="32" spans="1:9" ht="15.75">
      <c r="A32" s="1"/>
      <c r="B32" s="1"/>
      <c r="C32" s="1"/>
      <c r="D32" s="1"/>
      <c r="F32" s="1"/>
      <c r="G32" s="1"/>
      <c r="H32" s="1"/>
      <c r="I32" s="1"/>
    </row>
    <row r="39" spans="5:5" ht="18.75">
      <c r="E39" s="3"/>
    </row>
    <row r="40" spans="5:5" ht="18.75">
      <c r="E40" s="3"/>
    </row>
    <row r="41" spans="5:5" ht="18.75">
      <c r="E41" s="3"/>
    </row>
  </sheetData>
  <mergeCells count="14">
    <mergeCell ref="I7:I9"/>
    <mergeCell ref="G6:I6"/>
    <mergeCell ref="A4:I4"/>
    <mergeCell ref="A29:E29"/>
    <mergeCell ref="A30:F30"/>
    <mergeCell ref="C7:C9"/>
    <mergeCell ref="C6:E6"/>
    <mergeCell ref="F6:F9"/>
    <mergeCell ref="E7:E9"/>
    <mergeCell ref="D7:D9"/>
    <mergeCell ref="G7:G9"/>
    <mergeCell ref="H7:H9"/>
    <mergeCell ref="A6:A9"/>
    <mergeCell ref="B6:B9"/>
  </mergeCells>
  <pageMargins left="0.9055118110236221" right="0.70866141732283472" top="0.7480314960629921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 на 2020 2022</vt:lpstr>
      <vt:lpstr>'Прогноз на 2020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Бессуднов Руслан Борисович</dc:creator>
  <cp:lastModifiedBy>minfin user</cp:lastModifiedBy>
  <cp:lastPrinted>2020-10-10T16:06:42Z</cp:lastPrinted>
  <dcterms:created xsi:type="dcterms:W3CDTF">2018-09-13T12:45:06Z</dcterms:created>
  <dcterms:modified xsi:type="dcterms:W3CDTF">2020-10-10T16:06:47Z</dcterms:modified>
</cp:coreProperties>
</file>