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3250" windowHeight="13170"/>
  </bookViews>
  <sheets>
    <sheet name="Водные" sheetId="1" r:id="rId1"/>
    <sheet name="Лизинг" sheetId="7" state="hidden" r:id="rId2"/>
    <sheet name="авиа расчет" sheetId="5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2">'авиа расчет'!$A$1:$P$30</definedName>
    <definedName name="_xlnm.Print_Area" localSheetId="0">Водные!$A$1:$BG$20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15" i="1"/>
  <c r="AS8" l="1"/>
  <c r="AT8"/>
  <c r="AS11"/>
  <c r="AS7"/>
  <c r="BA13" l="1"/>
  <c r="BB13" s="1"/>
  <c r="AY7"/>
  <c r="BD7" s="1"/>
  <c r="AY8"/>
  <c r="BD8" s="1"/>
  <c r="AY10"/>
  <c r="BD10" s="1"/>
  <c r="AY11"/>
  <c r="BD11" s="1"/>
  <c r="AY14"/>
  <c r="BD14" s="1"/>
  <c r="AX7"/>
  <c r="BC7" s="1"/>
  <c r="AX8"/>
  <c r="BC8" s="1"/>
  <c r="AX11"/>
  <c r="BC11" s="1"/>
  <c r="AX14"/>
  <c r="BC14" s="1"/>
  <c r="AX6"/>
  <c r="BC6" s="1"/>
  <c r="AT6"/>
  <c r="AY6" s="1"/>
  <c r="BD6" s="1"/>
  <c r="BA12"/>
  <c r="BF12" s="1"/>
  <c r="BF14" l="1"/>
  <c r="BD5"/>
  <c r="BF11"/>
  <c r="BE11"/>
  <c r="BF8"/>
  <c r="BE8"/>
  <c r="BF6"/>
  <c r="BF7"/>
  <c r="BF13"/>
  <c r="BG13" s="1"/>
  <c r="BE6"/>
  <c r="BE14"/>
  <c r="BE7"/>
  <c r="BE10"/>
  <c r="BG12"/>
  <c r="AN10"/>
  <c r="AX10" l="1"/>
  <c r="BC10" s="1"/>
  <c r="BF10" l="1"/>
  <c r="BF5" s="1"/>
  <c r="BC5"/>
  <c r="Q16" i="7"/>
  <c r="Q17" s="1"/>
  <c r="N16"/>
  <c r="N17" s="1"/>
  <c r="O16"/>
  <c r="O17" s="1"/>
  <c r="P16"/>
  <c r="P17" s="1"/>
  <c r="M16"/>
  <c r="M17" s="1"/>
  <c r="J16"/>
  <c r="J17" s="1"/>
  <c r="K16"/>
  <c r="K17" s="1"/>
  <c r="L16"/>
  <c r="L17" s="1"/>
  <c r="N18" l="1"/>
  <c r="J18"/>
  <c r="I8" l="1"/>
  <c r="I9"/>
  <c r="I10"/>
  <c r="I11"/>
  <c r="I12"/>
  <c r="I13"/>
  <c r="I14"/>
  <c r="I15"/>
  <c r="I7"/>
  <c r="E16" l="1"/>
  <c r="E17" s="1"/>
  <c r="D16"/>
  <c r="D17" s="1"/>
  <c r="C16"/>
  <c r="C17" s="1"/>
  <c r="B16"/>
  <c r="B17" s="1"/>
  <c r="I16"/>
  <c r="I17" s="1"/>
  <c r="H16"/>
  <c r="H17" s="1"/>
  <c r="G16"/>
  <c r="G17" s="1"/>
  <c r="F16"/>
  <c r="F17" s="1"/>
  <c r="M9" i="5"/>
  <c r="D18" i="7" l="1"/>
  <c r="B18"/>
  <c r="F18"/>
  <c r="AX5" i="1"/>
  <c r="AT5"/>
  <c r="AS5"/>
  <c r="AO5"/>
  <c r="AN5"/>
  <c r="AU5" l="1"/>
  <c r="AM6"/>
  <c r="AI6"/>
  <c r="AP6" l="1"/>
  <c r="AH6"/>
  <c r="L4" i="5" l="1"/>
  <c r="L7" l="1"/>
  <c r="L9" s="1"/>
  <c r="O4" l="1"/>
  <c r="P29" s="1"/>
  <c r="P9" l="1"/>
  <c r="N4"/>
  <c r="L26"/>
  <c r="L27" s="1"/>
  <c r="M26"/>
  <c r="M27" s="1"/>
  <c r="O26"/>
  <c r="O27" s="1"/>
  <c r="N26"/>
  <c r="N27" s="1"/>
  <c r="I5"/>
  <c r="I6"/>
  <c r="I16"/>
  <c r="I15"/>
  <c r="I14"/>
  <c r="I12"/>
  <c r="I10"/>
  <c r="I17"/>
  <c r="I22"/>
  <c r="I21"/>
  <c r="I20"/>
  <c r="I23"/>
  <c r="I25"/>
  <c r="E25"/>
  <c r="E23"/>
  <c r="E21"/>
  <c r="E20"/>
  <c r="E14"/>
  <c r="E12"/>
  <c r="E10"/>
  <c r="I7"/>
  <c r="E7"/>
  <c r="E6"/>
  <c r="E5"/>
  <c r="C26"/>
  <c r="P27" l="1"/>
  <c r="P28" s="1"/>
  <c r="P30" s="1"/>
  <c r="E24" s="1"/>
  <c r="E18" s="1"/>
  <c r="I18"/>
  <c r="I8"/>
  <c r="E8"/>
  <c r="E26" l="1"/>
  <c r="I26"/>
  <c r="N5" s="1"/>
  <c r="M5" l="1"/>
  <c r="O5"/>
  <c r="L5"/>
  <c r="BB12" i="1"/>
  <c r="N10" i="5" l="1"/>
  <c r="P5"/>
  <c r="L10"/>
  <c r="M10"/>
  <c r="BA6" i="1" l="1"/>
  <c r="AZ6"/>
  <c r="AU6"/>
  <c r="AV6"/>
  <c r="AQ6"/>
  <c r="BG6" l="1"/>
  <c r="AR6"/>
  <c r="AW6"/>
  <c r="BB6"/>
  <c r="P10" i="5" l="1"/>
  <c r="AZ7" i="1"/>
  <c r="AZ8"/>
  <c r="AZ11"/>
  <c r="AZ14"/>
  <c r="AI14" l="1"/>
  <c r="AP14" s="1"/>
  <c r="AI12"/>
  <c r="AU7"/>
  <c r="AP8"/>
  <c r="AP11"/>
  <c r="AP7"/>
  <c r="AG9" l="1"/>
  <c r="AG10" s="1"/>
  <c r="AA10" l="1"/>
  <c r="AC14" l="1"/>
  <c r="V14"/>
  <c r="X14" s="1"/>
  <c r="S14"/>
  <c r="R14"/>
  <c r="Q14"/>
  <c r="M14"/>
  <c r="P14" s="1"/>
  <c r="AE12"/>
  <c r="AC11"/>
  <c r="V11"/>
  <c r="S11"/>
  <c r="R11"/>
  <c r="Q11"/>
  <c r="M11"/>
  <c r="L11"/>
  <c r="J11"/>
  <c r="H11"/>
  <c r="AC10"/>
  <c r="AI10" s="1"/>
  <c r="AI5" s="1"/>
  <c r="AP5" s="1"/>
  <c r="AB10"/>
  <c r="AH10" s="1"/>
  <c r="Z10"/>
  <c r="X10"/>
  <c r="S10"/>
  <c r="R10"/>
  <c r="Q10"/>
  <c r="P10"/>
  <c r="N10"/>
  <c r="L10"/>
  <c r="J10"/>
  <c r="H10"/>
  <c r="AC8"/>
  <c r="V8"/>
  <c r="X8" s="1"/>
  <c r="R8"/>
  <c r="Q8"/>
  <c r="M8"/>
  <c r="P8" s="1"/>
  <c r="L8"/>
  <c r="J8"/>
  <c r="H8"/>
  <c r="AC7"/>
  <c r="V7"/>
  <c r="S7"/>
  <c r="R7"/>
  <c r="Q7"/>
  <c r="P7"/>
  <c r="N7"/>
  <c r="L7"/>
  <c r="J7"/>
  <c r="H7"/>
  <c r="D7"/>
  <c r="B7"/>
  <c r="AC9"/>
  <c r="AB9"/>
  <c r="AH9" s="1"/>
  <c r="X9"/>
  <c r="S9"/>
  <c r="R9"/>
  <c r="Q9"/>
  <c r="P9"/>
  <c r="N9"/>
  <c r="L9"/>
  <c r="J9"/>
  <c r="H9"/>
  <c r="Z9" l="1"/>
  <c r="AQ10"/>
  <c r="AY5"/>
  <c r="AP10"/>
  <c r="T10"/>
  <c r="U10" s="1"/>
  <c r="AK12"/>
  <c r="AD9"/>
  <c r="AE9"/>
  <c r="T14"/>
  <c r="U14" s="1"/>
  <c r="T11"/>
  <c r="U11" s="1"/>
  <c r="AD10"/>
  <c r="T8"/>
  <c r="U8" s="1"/>
  <c r="AD11"/>
  <c r="AJ7"/>
  <c r="AK9"/>
  <c r="AB8"/>
  <c r="AH8" s="1"/>
  <c r="AJ12"/>
  <c r="N8"/>
  <c r="AB14"/>
  <c r="AH14" s="1"/>
  <c r="AK14" s="1"/>
  <c r="AM14" s="1"/>
  <c r="AD14"/>
  <c r="AE10"/>
  <c r="AF10" s="1"/>
  <c r="AB11"/>
  <c r="AH11" s="1"/>
  <c r="X11"/>
  <c r="AD7"/>
  <c r="AD8"/>
  <c r="T9"/>
  <c r="U9" s="1"/>
  <c r="AJ9"/>
  <c r="AB7"/>
  <c r="AH7" s="1"/>
  <c r="AK10"/>
  <c r="AM10" s="1"/>
  <c r="X7"/>
  <c r="P11"/>
  <c r="N11"/>
  <c r="T7"/>
  <c r="AH5" l="1"/>
  <c r="AZ5"/>
  <c r="BE5"/>
  <c r="AF9"/>
  <c r="AL9"/>
  <c r="AM9"/>
  <c r="AL12"/>
  <c r="AM12"/>
  <c r="AE8"/>
  <c r="AF8" s="1"/>
  <c r="AE14"/>
  <c r="AF14" s="1"/>
  <c r="BA10"/>
  <c r="BG10" s="1"/>
  <c r="AZ10"/>
  <c r="AR10"/>
  <c r="AL10"/>
  <c r="BA14"/>
  <c r="BG14" s="1"/>
  <c r="AQ14"/>
  <c r="AR14" s="1"/>
  <c r="AQ7"/>
  <c r="AR11"/>
  <c r="BA11"/>
  <c r="BG11" s="1"/>
  <c r="AQ8"/>
  <c r="BA8"/>
  <c r="BG8" s="1"/>
  <c r="AL14"/>
  <c r="AU8"/>
  <c r="AJ8"/>
  <c r="U7"/>
  <c r="AU11"/>
  <c r="AJ11"/>
  <c r="AU10"/>
  <c r="AJ10"/>
  <c r="AU14"/>
  <c r="AJ14"/>
  <c r="AE7"/>
  <c r="AE11"/>
  <c r="AF11" s="1"/>
  <c r="AK8"/>
  <c r="AQ5" l="1"/>
  <c r="AL8"/>
  <c r="AM8"/>
  <c r="AV8"/>
  <c r="BA7"/>
  <c r="BA5" s="1"/>
  <c r="AR8"/>
  <c r="AV14"/>
  <c r="AW14" s="1"/>
  <c r="AK11"/>
  <c r="AL11" s="1"/>
  <c r="AV11"/>
  <c r="AW11" s="1"/>
  <c r="AF7"/>
  <c r="AV10"/>
  <c r="AW10" s="1"/>
  <c r="AK7"/>
  <c r="AK5" s="1"/>
  <c r="BB8" l="1"/>
  <c r="AW8"/>
  <c r="BG7"/>
  <c r="BG5"/>
  <c r="AL7"/>
  <c r="AM7"/>
  <c r="AM5" s="1"/>
  <c r="AR5" s="1"/>
  <c r="BB14"/>
  <c r="BB11"/>
  <c r="BB10"/>
  <c r="AR7"/>
  <c r="AV7"/>
  <c r="AV5" l="1"/>
  <c r="AV18" s="1"/>
  <c r="AW7"/>
  <c r="BB7"/>
  <c r="AW5" l="1"/>
  <c r="BB5"/>
</calcChain>
</file>

<file path=xl/comments1.xml><?xml version="1.0" encoding="utf-8"?>
<comments xmlns="http://schemas.openxmlformats.org/spreadsheetml/2006/main">
  <authors>
    <author>Кузнецова Татьяна Юрьевна</author>
  </authors>
  <commentList>
    <comment ref="N4" authorId="0">
      <text>
        <r>
          <rPr>
            <b/>
            <sz val="8"/>
            <color indexed="81"/>
            <rFont val="Tahoma"/>
            <family val="2"/>
            <charset val="204"/>
          </rPr>
          <t>Кузнецова Татьяна Юрьевна:</t>
        </r>
        <r>
          <rPr>
            <sz val="8"/>
            <color indexed="81"/>
            <rFont val="Tahoma"/>
            <family val="2"/>
            <charset val="204"/>
          </rPr>
          <t xml:space="preserve">
на 10 % больше, чем в 2019 по предложению тернового</t>
        </r>
      </text>
    </comment>
  </commentList>
</comments>
</file>

<file path=xl/sharedStrings.xml><?xml version="1.0" encoding="utf-8"?>
<sst xmlns="http://schemas.openxmlformats.org/spreadsheetml/2006/main" count="214" uniqueCount="149">
  <si>
    <t>тыс. руб.</t>
  </si>
  <si>
    <t>2009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</si>
  <si>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</si>
  <si>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</si>
  <si>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</si>
  <si>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</si>
  <si>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</si>
  <si>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</si>
  <si>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</si>
  <si>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 - прогноз</t>
  </si>
  <si>
    <t>Факт 2016 год (по данным Министерства транспорта АО)</t>
  </si>
  <si>
    <t>2017 год</t>
  </si>
  <si>
    <t>2019 год - прогноз</t>
  </si>
  <si>
    <t>2020 год - прогноз</t>
  </si>
  <si>
    <t>Областной закон от 03.12.2008 г.    № 637-32-ОЗ</t>
  </si>
  <si>
    <t>Областной закон от 15.12.2009 г.                       № 118-9-ОЗ</t>
  </si>
  <si>
    <t>Заявка перевозчиков</t>
  </si>
  <si>
    <t>Областной закон от 21.12.2010 г.                       № 243-18-ОЗ</t>
  </si>
  <si>
    <t>Областной закон от 16.12.2011 г.    № 243-18-ОЗ</t>
  </si>
  <si>
    <t>Рост к 2011 г., %</t>
  </si>
  <si>
    <t xml:space="preserve">Областной закон от 17.12.2012 г.            № 603-36-ОЗ </t>
  </si>
  <si>
    <t>Рост к 2013 г., %</t>
  </si>
  <si>
    <t>Областной закон от 19.12.2013 г.                   № 59-4-ОЗ</t>
  </si>
  <si>
    <t>Областной закон от 16.12.2014 г.                   № 220-13-ОЗ</t>
  </si>
  <si>
    <t>Рост к 2014 г., %</t>
  </si>
  <si>
    <t>Областной закон от 18.12.2015 г.                   № 375-22-ОЗ</t>
  </si>
  <si>
    <t>Рост к 2015 г., %</t>
  </si>
  <si>
    <t>Расходы</t>
  </si>
  <si>
    <t>Доходы</t>
  </si>
  <si>
    <t>Рост тарифов, %</t>
  </si>
  <si>
    <t>Субсидии</t>
  </si>
  <si>
    <t>Рост к 2016 г., %</t>
  </si>
  <si>
    <t>Рост тарифов к 2016 г., %</t>
  </si>
  <si>
    <t>Рост к 2018 г., %</t>
  </si>
  <si>
    <t>Рост к 2019 г., %</t>
  </si>
  <si>
    <t xml:space="preserve"> - </t>
  </si>
  <si>
    <t>-</t>
  </si>
  <si>
    <t>Фактически выплаченная субсидия за 2017 год</t>
  </si>
  <si>
    <t>Рост к 2017 г., %</t>
  </si>
  <si>
    <t>2018 год - прогнозная оценка АТиЦ</t>
  </si>
  <si>
    <t>2019 год</t>
  </si>
  <si>
    <t>Примечание:</t>
  </si>
  <si>
    <t>2018 год</t>
  </si>
  <si>
    <t>2021 год - прогноз</t>
  </si>
  <si>
    <t>Областной закон от 23.12.2016                   № 503-31-ОЗ</t>
  </si>
  <si>
    <t>Областной закон от 15.12.2017                   № 581-40-ОЗ</t>
  </si>
  <si>
    <t>Рост к 2020 г., %</t>
  </si>
  <si>
    <t>2022 год - прогноз</t>
  </si>
  <si>
    <t xml:space="preserve"> </t>
  </si>
  <si>
    <t>лизинг новый договор</t>
  </si>
  <si>
    <t>ТИП ВС</t>
  </si>
  <si>
    <t>L-410</t>
  </si>
  <si>
    <t>Л-410</t>
  </si>
  <si>
    <t>Ан-2</t>
  </si>
  <si>
    <t>Часы</t>
  </si>
  <si>
    <t>в том числе:</t>
  </si>
  <si>
    <t>1. Заработная плата</t>
  </si>
  <si>
    <t>2. Страховые взносы</t>
  </si>
  <si>
    <t>3. Амортизация</t>
  </si>
  <si>
    <t>4. Материальные затраты,</t>
  </si>
  <si>
    <t>4.1 АвиаГСМ</t>
  </si>
  <si>
    <t>4.2 АвиаГСМ (заправка в чужих аэропортах)</t>
  </si>
  <si>
    <t>4.3 Топливо (Авто ГСМ)</t>
  </si>
  <si>
    <t>4.4 Прочие материалы и запчасти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</si>
  <si>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</si>
  <si>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</si>
  <si>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</si>
  <si>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4.8 Капитальный ремонт агрегатов</t>
  </si>
  <si>
    <t>5. Прочие расходы,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</si>
  <si>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</si>
  <si>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</si>
  <si>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</si>
  <si>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</si>
  <si>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</si>
  <si>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</si>
  <si>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</si>
  <si>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Себестоимость летного часа 2018 год</t>
  </si>
  <si>
    <t>ИПЦ</t>
  </si>
  <si>
    <t>ИЦП</t>
  </si>
  <si>
    <t>ГСМ</t>
  </si>
  <si>
    <t>договор №0630-003ФЛ/2017</t>
  </si>
  <si>
    <t>договор №0630-002ФЛ/2017</t>
  </si>
  <si>
    <t>Итого сумма лизинговых платежей</t>
  </si>
  <si>
    <t>Расходы 2018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</si>
  <si>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</si>
  <si>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</si>
  <si>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>Итого</t>
  </si>
  <si>
    <t>Итого без НДС</t>
  </si>
  <si>
    <t xml:space="preserve">Затраты на лизинг на 1 летный час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</si>
  <si>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</si>
  <si>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</si>
  <si>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</si>
  <si>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</si>
  <si>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</si>
  <si>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</si>
  <si>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</si>
  <si>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</si>
  <si>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</si>
  <si>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</si>
  <si>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</si>
  <si>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</si>
  <si>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Расчет затрат по договорма лизинга</t>
  </si>
  <si>
    <t>Л-410 Соловки</t>
  </si>
  <si>
    <t>часы</t>
  </si>
  <si>
    <t>Л-410 Котлас</t>
  </si>
  <si>
    <t>Себестоимость летного часа 2020 год</t>
  </si>
  <si>
    <t>расходы</t>
  </si>
  <si>
    <t>Прочие маршруты</t>
  </si>
  <si>
    <t>доходы</t>
  </si>
  <si>
    <t>пассажиры</t>
  </si>
  <si>
    <t>тариф</t>
  </si>
  <si>
    <t>количество рейсов</t>
  </si>
  <si>
    <t>Субсидия</t>
  </si>
  <si>
    <t>Расчет суммы субсидии на перевозку пассажиров воздушным транспортом</t>
  </si>
  <si>
    <t xml:space="preserve">Себестоимость одного летного часа АО "2-ой Архангельский ОАО" на транспортной работе на субсидируемых рейсах </t>
  </si>
  <si>
    <t>В областном законе</t>
  </si>
  <si>
    <t>План 2020 год</t>
  </si>
  <si>
    <t>Итого в год без НДС</t>
  </si>
  <si>
    <t>договор №0630-003ФЛ/2018</t>
  </si>
  <si>
    <t>договор №0630-003ФЛ/2019</t>
  </si>
  <si>
    <t>договор №0630-005ФЛ/2019</t>
  </si>
  <si>
    <t>договор №0630-004ФЛ/2019</t>
  </si>
  <si>
    <t>договор №0630-002ФЛ/2018</t>
  </si>
  <si>
    <t>договор №0630-005ФЛ/2020</t>
  </si>
  <si>
    <t>договор №0630-004ФЛ/2020</t>
  </si>
  <si>
    <t>План 2021 год</t>
  </si>
  <si>
    <t>договор №0630-002ФЛ/2019</t>
  </si>
  <si>
    <t>договор №0630-005ФЛ/2021</t>
  </si>
  <si>
    <t>договор №0630-004ФЛ/2021</t>
  </si>
  <si>
    <t>План 2022 год</t>
  </si>
  <si>
    <t>ООО "Сиверко" (пос. Каменка - г. Мезень) Мезенск</t>
  </si>
  <si>
    <t>2023 год - прогноз</t>
  </si>
  <si>
    <t>МО "Холмогорский муниципальный район" ИП Сидоров</t>
  </si>
  <si>
    <t>Рост доходов, %</t>
  </si>
  <si>
    <t>Потебность средств ОБ</t>
  </si>
  <si>
    <t>Приморский район</t>
  </si>
  <si>
    <t>Красноборский район</t>
  </si>
  <si>
    <t>ИТОГО средства ИМБТ муниципальным образованиям на организацию транспортного обслуживания</t>
  </si>
  <si>
    <t>ОАО "Архангельский речной порт" (муниципальные) города Архангельска</t>
  </si>
  <si>
    <t>ИП Сидоров А.Б. или АО "СРП"(В. Тойма - Н. Тойма) Верхнетоемского района</t>
  </si>
  <si>
    <t>ИП Муковозов Н.П. (п. Порог - с. Усть Кожа ) Онежского райна</t>
  </si>
  <si>
    <t>ИП Цурко Е.Ю. (г. Онега - пос. Легашевская запань) Онежского района</t>
  </si>
  <si>
    <t>ИП Цурко Е.Ю. (г. Онега - с. Лямца) Онежского района</t>
  </si>
  <si>
    <t>ООО "Устьпинежский ЛПХ" (дер. Хорьково - дер. Кузьмино, дер.Черный Яр - дер. Дедов Полой) Приморского района</t>
  </si>
  <si>
    <t>МУП "Коммунальное" (с. Черевково-Ракулка) Красноборского района</t>
  </si>
  <si>
    <t xml:space="preserve">1. Увеличение суммы субсидии прогнозируется по муниципальным маршрутам, обслуживаемым ООО «Пассажирский флот». Областным законом об областном бюджете на 2020 год МО «Город Архангельск» предусмотрена субсидия в размере 24,4 млн. руб. На средства субсидии в указанном объеме МО заключен муниципальный контракт на обслуживание муниципальных маршрутов водного транспорта на период до 5 октября. При этом окончание навигации планируется в период с 6 по 20 ноября.  Во избежание срыва навигации и для обеспечения транспортной доступности населения островных территорий МО «Город Архангельск» министерством транспорта подготовлен проект постановления Правительства Архангельской области о внесении изменений в сводную бюджетную роспись областного бюджета в целях выделения муниципальному образованию дополнительной субсидии в сумме 4,6 млн. руб. Таким образом, на обеспечение пассажирских перевозок по муниципальным маршрутам водного транспорта в 2020 году необходимо 28,96 млн. руб. Перевозчиком  представлены данные о плановых доходах и расходах за навигацию 2020 года и прогноз показателей деятельности на 2021 год. Увеличение расходов на навигацию 2021 года по сравнению с уровнем 2020 года на 14 % обусловлено необходимостью проведения плановых ремонтов на пассажирских теплоходах.
</t>
  </si>
  <si>
    <t xml:space="preserve">Расчет прогнозируемого размера средств областного бюджета на организацию транспортного обслуживания населения водным транспортом в муниципальных образованиях Архангельской области на 2021 год и плановый период 2022 - 2023 годов                                                                                                                                                                              </t>
  </si>
  <si>
    <t>1. Муниципальные перевозки</t>
  </si>
  <si>
    <t>2. Дноуглубительные работы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</si>
</sst>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%"/>
    <numFmt numFmtId="166" formatCode="#,##0.000"/>
    <numFmt numFmtId="167" formatCode="0.0000"/>
    <numFmt numFmtId="168" formatCode="0.000"/>
  </numFmts>
  <fonts count="4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b/>
      <sz val="12"/>
      <name val="Arial Cyr"/>
      <charset val="204"/>
    </font>
    <font>
      <i/>
      <sz val="9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51">
    <xf numFmtId="0" fontId="0" fillId="0" borderId="0"/>
    <xf numFmtId="9" fontId="9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5" fillId="7" borderId="49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6" fillId="20" borderId="50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7" fillId="20" borderId="49" applyNumberFormat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8" fillId="0" borderId="51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53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1" fillId="0" borderId="54" applyNumberFormat="0" applyFill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2" fillId="21" borderId="55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5" fillId="0" borderId="0"/>
    <xf numFmtId="0" fontId="25" fillId="0" borderId="0"/>
    <xf numFmtId="0" fontId="9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0" fontId="25" fillId="23" borderId="56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0" fillId="0" borderId="5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</cellStyleXfs>
  <cellXfs count="285">
    <xf numFmtId="0" fontId="0" fillId="0" borderId="0" xfId="0"/>
    <xf numFmtId="164" fontId="6" fillId="0" borderId="34" xfId="0" applyNumberFormat="1" applyFont="1" applyFill="1" applyBorder="1" applyAlignment="1">
      <alignment horizontal="center" vertical="center" wrapText="1"/>
    </xf>
    <xf numFmtId="164" fontId="6" fillId="0" borderId="35" xfId="0" applyNumberFormat="1" applyFont="1" applyFill="1" applyBorder="1" applyAlignment="1">
      <alignment horizontal="center" vertical="center" wrapText="1"/>
    </xf>
    <xf numFmtId="4" fontId="7" fillId="0" borderId="35" xfId="0" applyNumberFormat="1" applyFont="1" applyFill="1" applyBorder="1" applyAlignment="1">
      <alignment horizontal="center" vertical="center"/>
    </xf>
    <xf numFmtId="4" fontId="8" fillId="0" borderId="35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 wrapText="1"/>
    </xf>
    <xf numFmtId="165" fontId="7" fillId="0" borderId="35" xfId="0" applyNumberFormat="1" applyFont="1" applyFill="1" applyBorder="1" applyAlignment="1">
      <alignment horizontal="center" vertical="center" wrapText="1"/>
    </xf>
    <xf numFmtId="4" fontId="10" fillId="0" borderId="35" xfId="0" applyNumberFormat="1" applyFont="1" applyFill="1" applyBorder="1" applyAlignment="1">
      <alignment horizontal="center" vertical="center"/>
    </xf>
    <xf numFmtId="4" fontId="11" fillId="0" borderId="35" xfId="0" applyNumberFormat="1" applyFont="1" applyFill="1" applyBorder="1" applyAlignment="1">
      <alignment horizontal="center" vertical="center"/>
    </xf>
    <xf numFmtId="4" fontId="4" fillId="0" borderId="3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4" fillId="0" borderId="33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40" fillId="0" borderId="47" xfId="0" applyFont="1" applyFill="1" applyBorder="1" applyAlignment="1">
      <alignment vertical="center" wrapText="1"/>
    </xf>
    <xf numFmtId="3" fontId="39" fillId="0" borderId="37" xfId="0" applyNumberFormat="1" applyFont="1" applyFill="1" applyBorder="1" applyAlignment="1">
      <alignment vertical="center"/>
    </xf>
    <xf numFmtId="3" fontId="39" fillId="0" borderId="38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8" fillId="0" borderId="47" xfId="0" applyFont="1" applyFill="1" applyBorder="1" applyAlignment="1">
      <alignment horizontal="center" vertical="center" wrapText="1"/>
    </xf>
    <xf numFmtId="0" fontId="42" fillId="0" borderId="47" xfId="0" applyFont="1" applyFill="1" applyBorder="1" applyAlignment="1">
      <alignment vertical="center" wrapText="1"/>
    </xf>
    <xf numFmtId="3" fontId="0" fillId="0" borderId="37" xfId="0" applyNumberFormat="1" applyFill="1" applyBorder="1" applyAlignment="1">
      <alignment vertical="center"/>
    </xf>
    <xf numFmtId="3" fontId="43" fillId="0" borderId="38" xfId="0" applyNumberFormat="1" applyFont="1" applyFill="1" applyBorder="1" applyAlignment="1">
      <alignment vertical="center"/>
    </xf>
    <xf numFmtId="49" fontId="42" fillId="0" borderId="47" xfId="0" applyNumberFormat="1" applyFont="1" applyFill="1" applyBorder="1" applyAlignment="1">
      <alignment vertical="center" wrapText="1"/>
    </xf>
    <xf numFmtId="0" fontId="40" fillId="0" borderId="47" xfId="0" applyFont="1" applyFill="1" applyBorder="1" applyAlignment="1">
      <alignment horizontal="left" vertical="center" wrapText="1"/>
    </xf>
    <xf numFmtId="3" fontId="43" fillId="0" borderId="37" xfId="0" applyNumberFormat="1" applyFont="1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42" fillId="0" borderId="48" xfId="0" applyFont="1" applyFill="1" applyBorder="1" applyAlignment="1">
      <alignment vertical="center" wrapText="1"/>
    </xf>
    <xf numFmtId="0" fontId="40" fillId="0" borderId="4" xfId="0" applyFont="1" applyFill="1" applyBorder="1" applyAlignment="1">
      <alignment vertical="center" wrapText="1"/>
    </xf>
    <xf numFmtId="0" fontId="0" fillId="0" borderId="0" xfId="0" applyBorder="1"/>
    <xf numFmtId="0" fontId="0" fillId="27" borderId="35" xfId="0" applyFill="1" applyBorder="1" applyAlignment="1">
      <alignment horizontal="center"/>
    </xf>
    <xf numFmtId="0" fontId="35" fillId="27" borderId="35" xfId="0" applyFont="1" applyFill="1" applyBorder="1" applyAlignment="1">
      <alignment horizontal="center"/>
    </xf>
    <xf numFmtId="0" fontId="33" fillId="27" borderId="35" xfId="0" applyFont="1" applyFill="1" applyBorder="1" applyAlignment="1">
      <alignment horizontal="center"/>
    </xf>
    <xf numFmtId="164" fontId="33" fillId="27" borderId="35" xfId="0" applyNumberFormat="1" applyFont="1" applyFill="1" applyBorder="1" applyAlignment="1">
      <alignment horizontal="center"/>
    </xf>
    <xf numFmtId="167" fontId="33" fillId="27" borderId="35" xfId="0" applyNumberFormat="1" applyFont="1" applyFill="1" applyBorder="1" applyAlignment="1">
      <alignment horizontal="center"/>
    </xf>
    <xf numFmtId="2" fontId="33" fillId="27" borderId="35" xfId="0" applyNumberFormat="1" applyFont="1" applyFill="1" applyBorder="1" applyAlignment="1">
      <alignment horizontal="center"/>
    </xf>
    <xf numFmtId="168" fontId="33" fillId="27" borderId="35" xfId="0" applyNumberFormat="1" applyFont="1" applyFill="1" applyBorder="1" applyAlignment="1">
      <alignment horizontal="center"/>
    </xf>
    <xf numFmtId="0" fontId="36" fillId="0" borderId="31" xfId="0" applyFont="1" applyBorder="1" applyAlignment="1">
      <alignment vertical="center"/>
    </xf>
    <xf numFmtId="3" fontId="39" fillId="0" borderId="18" xfId="0" applyNumberFormat="1" applyFont="1" applyFill="1" applyBorder="1" applyAlignment="1">
      <alignment vertical="center"/>
    </xf>
    <xf numFmtId="4" fontId="39" fillId="24" borderId="19" xfId="0" applyNumberFormat="1" applyFont="1" applyFill="1" applyBorder="1" applyAlignment="1">
      <alignment vertical="center"/>
    </xf>
    <xf numFmtId="3" fontId="43" fillId="25" borderId="38" xfId="0" applyNumberFormat="1" applyFont="1" applyFill="1" applyBorder="1" applyAlignment="1">
      <alignment vertical="center"/>
    </xf>
    <xf numFmtId="0" fontId="36" fillId="0" borderId="13" xfId="0" applyFont="1" applyBorder="1" applyAlignment="1">
      <alignment horizontal="center" vertical="center" wrapText="1"/>
    </xf>
    <xf numFmtId="3" fontId="43" fillId="26" borderId="38" xfId="0" applyNumberFormat="1" applyFont="1" applyFill="1" applyBorder="1" applyAlignment="1">
      <alignment vertical="center"/>
    </xf>
    <xf numFmtId="4" fontId="0" fillId="0" borderId="35" xfId="0" applyNumberFormat="1" applyBorder="1" applyAlignment="1">
      <alignment wrapText="1"/>
    </xf>
    <xf numFmtId="4" fontId="35" fillId="0" borderId="35" xfId="0" applyNumberFormat="1" applyFont="1" applyBorder="1" applyAlignment="1">
      <alignment wrapText="1"/>
    </xf>
    <xf numFmtId="0" fontId="0" fillId="0" borderId="15" xfId="0" applyBorder="1" applyAlignment="1">
      <alignment horizontal="center" wrapText="1"/>
    </xf>
    <xf numFmtId="0" fontId="36" fillId="0" borderId="5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wrapText="1"/>
    </xf>
    <xf numFmtId="0" fontId="39" fillId="0" borderId="36" xfId="0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43" fillId="0" borderId="36" xfId="0" applyFont="1" applyFill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0" fillId="0" borderId="13" xfId="0" applyBorder="1" applyAlignment="1">
      <alignment horizontal="center" wrapText="1"/>
    </xf>
    <xf numFmtId="3" fontId="43" fillId="25" borderId="37" xfId="0" applyNumberFormat="1" applyFont="1" applyFill="1" applyBorder="1" applyAlignment="1">
      <alignment vertical="center"/>
    </xf>
    <xf numFmtId="4" fontId="39" fillId="24" borderId="18" xfId="0" applyNumberFormat="1" applyFont="1" applyFill="1" applyBorder="1" applyAlignment="1">
      <alignment vertical="center"/>
    </xf>
    <xf numFmtId="0" fontId="36" fillId="0" borderId="22" xfId="0" applyFont="1" applyBorder="1" applyAlignment="1">
      <alignment horizontal="center" vertical="center" wrapText="1"/>
    </xf>
    <xf numFmtId="0" fontId="41" fillId="0" borderId="36" xfId="0" applyFont="1" applyFill="1" applyBorder="1" applyAlignment="1">
      <alignment vertical="center"/>
    </xf>
    <xf numFmtId="4" fontId="39" fillId="0" borderId="22" xfId="0" applyNumberFormat="1" applyFont="1" applyBorder="1" applyAlignment="1">
      <alignment vertical="center"/>
    </xf>
    <xf numFmtId="0" fontId="0" fillId="0" borderId="18" xfId="0" applyBorder="1" applyAlignment="1">
      <alignment horizontal="center" wrapText="1"/>
    </xf>
    <xf numFmtId="3" fontId="43" fillId="26" borderId="37" xfId="0" applyNumberFormat="1" applyFont="1" applyFill="1" applyBorder="1" applyAlignment="1">
      <alignment vertical="center"/>
    </xf>
    <xf numFmtId="166" fontId="39" fillId="24" borderId="18" xfId="0" applyNumberFormat="1" applyFont="1" applyFill="1" applyBorder="1" applyAlignment="1">
      <alignment vertical="center"/>
    </xf>
    <xf numFmtId="0" fontId="0" fillId="0" borderId="2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4" fontId="0" fillId="0" borderId="9" xfId="0" applyNumberFormat="1" applyBorder="1" applyAlignment="1">
      <alignment wrapText="1"/>
    </xf>
    <xf numFmtId="0" fontId="0" fillId="0" borderId="35" xfId="0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4" fontId="0" fillId="0" borderId="21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vertical="center" wrapText="1"/>
    </xf>
    <xf numFmtId="0" fontId="0" fillId="0" borderId="45" xfId="0" applyFill="1" applyBorder="1" applyAlignment="1">
      <alignment vertical="center"/>
    </xf>
    <xf numFmtId="0" fontId="0" fillId="0" borderId="63" xfId="0" applyFill="1" applyBorder="1" applyAlignment="1">
      <alignment horizontal="center" vertical="center"/>
    </xf>
    <xf numFmtId="4" fontId="0" fillId="0" borderId="35" xfId="0" applyNumberFormat="1" applyFill="1" applyBorder="1" applyAlignment="1">
      <alignment horizontal="center" vertical="center"/>
    </xf>
    <xf numFmtId="0" fontId="0" fillId="0" borderId="46" xfId="0" applyFill="1" applyBorder="1" applyAlignment="1">
      <alignment vertical="center"/>
    </xf>
    <xf numFmtId="0" fontId="35" fillId="0" borderId="21" xfId="0" applyFont="1" applyFill="1" applyBorder="1" applyAlignment="1">
      <alignment horizontal="center" vertical="center"/>
    </xf>
    <xf numFmtId="4" fontId="35" fillId="0" borderId="38" xfId="0" applyNumberFormat="1" applyFont="1" applyFill="1" applyBorder="1" applyAlignment="1">
      <alignment vertical="center"/>
    </xf>
    <xf numFmtId="0" fontId="35" fillId="0" borderId="38" xfId="0" applyFont="1" applyFill="1" applyBorder="1" applyAlignment="1">
      <alignment vertical="center"/>
    </xf>
    <xf numFmtId="4" fontId="35" fillId="0" borderId="19" xfId="0" applyNumberFormat="1" applyFont="1" applyFill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12" xfId="0" applyBorder="1" applyAlignment="1"/>
    <xf numFmtId="0" fontId="0" fillId="0" borderId="69" xfId="0" applyBorder="1" applyAlignment="1"/>
    <xf numFmtId="0" fontId="44" fillId="0" borderId="0" xfId="0" applyFont="1" applyBorder="1" applyAlignment="1"/>
    <xf numFmtId="0" fontId="0" fillId="0" borderId="0" xfId="0" applyFill="1" applyBorder="1" applyAlignment="1">
      <alignment vertical="center"/>
    </xf>
    <xf numFmtId="0" fontId="35" fillId="0" borderId="17" xfId="0" applyFont="1" applyFill="1" applyBorder="1" applyAlignment="1">
      <alignment horizontal="center" vertical="center"/>
    </xf>
    <xf numFmtId="0" fontId="35" fillId="0" borderId="61" xfId="0" applyFont="1" applyFill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43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38" xfId="0" applyBorder="1" applyAlignment="1">
      <alignment wrapText="1"/>
    </xf>
    <xf numFmtId="0" fontId="43" fillId="0" borderId="37" xfId="0" applyFont="1" applyBorder="1" applyAlignment="1">
      <alignment wrapText="1"/>
    </xf>
    <xf numFmtId="0" fontId="0" fillId="0" borderId="35" xfId="0" applyBorder="1" applyAlignment="1">
      <alignment wrapText="1"/>
    </xf>
    <xf numFmtId="0" fontId="35" fillId="0" borderId="37" xfId="0" applyFont="1" applyBorder="1" applyAlignment="1">
      <alignment wrapText="1"/>
    </xf>
    <xf numFmtId="0" fontId="0" fillId="0" borderId="38" xfId="0" applyBorder="1" applyAlignment="1">
      <alignment horizontal="center" wrapText="1"/>
    </xf>
    <xf numFmtId="4" fontId="35" fillId="0" borderId="19" xfId="0" applyNumberFormat="1" applyFont="1" applyBorder="1" applyAlignment="1">
      <alignment horizontal="center" wrapText="1"/>
    </xf>
    <xf numFmtId="0" fontId="35" fillId="0" borderId="43" xfId="0" applyFont="1" applyBorder="1" applyAlignment="1">
      <alignment wrapText="1"/>
    </xf>
    <xf numFmtId="4" fontId="35" fillId="0" borderId="41" xfId="0" applyNumberFormat="1" applyFont="1" applyBorder="1" applyAlignment="1">
      <alignment wrapText="1"/>
    </xf>
    <xf numFmtId="4" fontId="35" fillId="0" borderId="44" xfId="0" applyNumberFormat="1" applyFont="1" applyBorder="1" applyAlignment="1">
      <alignment wrapText="1"/>
    </xf>
    <xf numFmtId="4" fontId="0" fillId="0" borderId="7" xfId="0" applyNumberFormat="1" applyBorder="1" applyAlignment="1">
      <alignment wrapText="1"/>
    </xf>
    <xf numFmtId="0" fontId="40" fillId="0" borderId="32" xfId="0" applyFont="1" applyFill="1" applyBorder="1" applyAlignment="1">
      <alignment vertical="center" wrapText="1"/>
    </xf>
    <xf numFmtId="3" fontId="39" fillId="0" borderId="6" xfId="0" applyNumberFormat="1" applyFont="1" applyFill="1" applyBorder="1" applyAlignment="1">
      <alignment vertical="center"/>
    </xf>
    <xf numFmtId="0" fontId="39" fillId="0" borderId="10" xfId="0" applyFont="1" applyFill="1" applyBorder="1" applyAlignment="1">
      <alignment vertical="center"/>
    </xf>
    <xf numFmtId="3" fontId="39" fillId="0" borderId="7" xfId="0" applyNumberFormat="1" applyFont="1" applyFill="1" applyBorder="1" applyAlignment="1">
      <alignment vertical="center"/>
    </xf>
    <xf numFmtId="0" fontId="41" fillId="0" borderId="10" xfId="0" applyFont="1" applyFill="1" applyBorder="1" applyAlignment="1">
      <alignment vertical="center"/>
    </xf>
    <xf numFmtId="10" fontId="7" fillId="0" borderId="35" xfId="1" applyNumberFormat="1" applyFont="1" applyFill="1" applyBorder="1" applyAlignment="1">
      <alignment horizontal="center" vertical="center"/>
    </xf>
    <xf numFmtId="4" fontId="6" fillId="0" borderId="35" xfId="1" applyNumberFormat="1" applyFont="1" applyFill="1" applyBorder="1" applyAlignment="1">
      <alignment horizontal="center" vertical="center"/>
    </xf>
    <xf numFmtId="4" fontId="4" fillId="0" borderId="33" xfId="1" applyNumberFormat="1" applyFont="1" applyFill="1" applyBorder="1" applyAlignment="1">
      <alignment horizontal="center" vertical="center"/>
    </xf>
    <xf numFmtId="164" fontId="8" fillId="0" borderId="35" xfId="0" applyNumberFormat="1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horizontal="center" vertical="center"/>
    </xf>
    <xf numFmtId="4" fontId="6" fillId="0" borderId="36" xfId="1" applyNumberFormat="1" applyFont="1" applyFill="1" applyBorder="1" applyAlignment="1">
      <alignment horizontal="center" vertical="center"/>
    </xf>
    <xf numFmtId="4" fontId="6" fillId="0" borderId="37" xfId="1" applyNumberFormat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164" fontId="7" fillId="0" borderId="35" xfId="0" applyNumberFormat="1" applyFont="1" applyFill="1" applyBorder="1" applyAlignment="1">
      <alignment horizontal="center" vertical="center" wrapText="1"/>
    </xf>
    <xf numFmtId="4" fontId="6" fillId="0" borderId="35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wrapText="1"/>
    </xf>
    <xf numFmtId="0" fontId="43" fillId="0" borderId="47" xfId="0" applyFont="1" applyBorder="1" applyAlignment="1">
      <alignment wrapText="1"/>
    </xf>
    <xf numFmtId="0" fontId="0" fillId="0" borderId="36" xfId="0" applyBorder="1" applyAlignment="1">
      <alignment wrapText="1"/>
    </xf>
    <xf numFmtId="4" fontId="0" fillId="0" borderId="37" xfId="0" applyNumberFormat="1" applyBorder="1" applyAlignment="1">
      <alignment wrapText="1"/>
    </xf>
    <xf numFmtId="4" fontId="0" fillId="0" borderId="38" xfId="0" applyNumberFormat="1" applyBorder="1" applyAlignment="1">
      <alignment wrapText="1"/>
    </xf>
    <xf numFmtId="4" fontId="35" fillId="0" borderId="37" xfId="0" applyNumberFormat="1" applyFont="1" applyBorder="1" applyAlignment="1">
      <alignment wrapText="1"/>
    </xf>
    <xf numFmtId="4" fontId="35" fillId="0" borderId="38" xfId="0" applyNumberFormat="1" applyFont="1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4" fontId="0" fillId="0" borderId="43" xfId="0" applyNumberFormat="1" applyBorder="1" applyAlignment="1">
      <alignment wrapText="1"/>
    </xf>
    <xf numFmtId="4" fontId="0" fillId="0" borderId="41" xfId="0" applyNumberFormat="1" applyBorder="1" applyAlignment="1">
      <alignment wrapText="1"/>
    </xf>
    <xf numFmtId="4" fontId="35" fillId="0" borderId="6" xfId="0" applyNumberFormat="1" applyFont="1" applyBorder="1" applyAlignment="1">
      <alignment wrapText="1"/>
    </xf>
    <xf numFmtId="4" fontId="35" fillId="0" borderId="9" xfId="0" applyNumberFormat="1" applyFont="1" applyBorder="1" applyAlignment="1">
      <alignment wrapText="1"/>
    </xf>
    <xf numFmtId="4" fontId="35" fillId="0" borderId="7" xfId="0" applyNumberFormat="1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5" fillId="0" borderId="33" xfId="0" applyFont="1" applyBorder="1" applyAlignment="1">
      <alignment wrapText="1"/>
    </xf>
    <xf numFmtId="0" fontId="35" fillId="0" borderId="11" xfId="0" applyFont="1" applyBorder="1"/>
    <xf numFmtId="0" fontId="43" fillId="0" borderId="70" xfId="0" applyFont="1" applyBorder="1" applyAlignment="1">
      <alignment wrapText="1"/>
    </xf>
    <xf numFmtId="0" fontId="43" fillId="0" borderId="65" xfId="0" applyFont="1" applyBorder="1" applyAlignment="1">
      <alignment wrapText="1"/>
    </xf>
    <xf numFmtId="4" fontId="0" fillId="0" borderId="45" xfId="0" applyNumberFormat="1" applyBorder="1" applyAlignment="1">
      <alignment wrapText="1"/>
    </xf>
    <xf numFmtId="4" fontId="0" fillId="0" borderId="63" xfId="0" applyNumberFormat="1" applyBorder="1" applyAlignment="1">
      <alignment wrapText="1"/>
    </xf>
    <xf numFmtId="4" fontId="0" fillId="0" borderId="46" xfId="0" applyNumberFormat="1" applyBorder="1" applyAlignment="1">
      <alignment wrapText="1"/>
    </xf>
    <xf numFmtId="0" fontId="0" fillId="0" borderId="2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4" fontId="0" fillId="0" borderId="0" xfId="0" applyNumberFormat="1"/>
    <xf numFmtId="4" fontId="6" fillId="0" borderId="35" xfId="0" applyNumberFormat="1" applyFont="1" applyFill="1" applyBorder="1" applyAlignment="1">
      <alignment horizontal="center" vertical="center"/>
    </xf>
    <xf numFmtId="165" fontId="7" fillId="0" borderId="35" xfId="1" applyNumberFormat="1" applyFont="1" applyFill="1" applyBorder="1" applyAlignment="1">
      <alignment horizontal="center" vertical="center"/>
    </xf>
    <xf numFmtId="165" fontId="7" fillId="0" borderId="38" xfId="1" applyNumberFormat="1" applyFont="1" applyFill="1" applyBorder="1" applyAlignment="1">
      <alignment horizontal="center" vertical="center"/>
    </xf>
    <xf numFmtId="4" fontId="6" fillId="0" borderId="37" xfId="0" applyNumberFormat="1" applyFont="1" applyFill="1" applyBorder="1" applyAlignment="1">
      <alignment horizontal="center" vertical="center"/>
    </xf>
    <xf numFmtId="10" fontId="7" fillId="0" borderId="41" xfId="1" applyNumberFormat="1" applyFont="1" applyFill="1" applyBorder="1" applyAlignment="1">
      <alignment horizontal="center" vertical="center"/>
    </xf>
    <xf numFmtId="165" fontId="7" fillId="0" borderId="44" xfId="1" applyNumberFormat="1" applyFont="1" applyFill="1" applyBorder="1" applyAlignment="1">
      <alignment horizontal="center" vertical="center"/>
    </xf>
    <xf numFmtId="165" fontId="7" fillId="0" borderId="36" xfId="1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 wrapText="1"/>
    </xf>
    <xf numFmtId="164" fontId="6" fillId="0" borderId="40" xfId="0" applyNumberFormat="1" applyFont="1" applyFill="1" applyBorder="1" applyAlignment="1">
      <alignment horizontal="center" vertical="center" wrapText="1"/>
    </xf>
    <xf numFmtId="164" fontId="6" fillId="0" borderId="41" xfId="0" applyNumberFormat="1" applyFont="1" applyFill="1" applyBorder="1" applyAlignment="1">
      <alignment horizontal="center" vertical="center" wrapText="1"/>
    </xf>
    <xf numFmtId="164" fontId="8" fillId="0" borderId="41" xfId="0" applyNumberFormat="1" applyFont="1" applyFill="1" applyBorder="1" applyAlignment="1">
      <alignment horizontal="center" vertical="center"/>
    </xf>
    <xf numFmtId="164" fontId="10" fillId="0" borderId="41" xfId="0" applyNumberFormat="1" applyFont="1" applyFill="1" applyBorder="1" applyAlignment="1">
      <alignment horizontal="center" vertical="center"/>
    </xf>
    <xf numFmtId="4" fontId="8" fillId="0" borderId="41" xfId="0" applyNumberFormat="1" applyFont="1" applyFill="1" applyBorder="1" applyAlignment="1">
      <alignment horizontal="center" vertical="center"/>
    </xf>
    <xf numFmtId="4" fontId="7" fillId="0" borderId="41" xfId="0" applyNumberFormat="1" applyFont="1" applyFill="1" applyBorder="1" applyAlignment="1">
      <alignment horizontal="center" vertical="center"/>
    </xf>
    <xf numFmtId="165" fontId="7" fillId="0" borderId="41" xfId="1" applyNumberFormat="1" applyFont="1" applyFill="1" applyBorder="1" applyAlignment="1">
      <alignment horizontal="center" vertical="center"/>
    </xf>
    <xf numFmtId="4" fontId="6" fillId="0" borderId="42" xfId="1" applyNumberFormat="1" applyFont="1" applyFill="1" applyBorder="1" applyAlignment="1">
      <alignment horizontal="center" vertical="center"/>
    </xf>
    <xf numFmtId="4" fontId="6" fillId="0" borderId="43" xfId="0" applyNumberFormat="1" applyFont="1" applyFill="1" applyBorder="1" applyAlignment="1">
      <alignment horizontal="center" vertical="center"/>
    </xf>
    <xf numFmtId="4" fontId="6" fillId="0" borderId="41" xfId="0" applyNumberFormat="1" applyFont="1" applyFill="1" applyBorder="1" applyAlignment="1">
      <alignment horizontal="center" vertical="center"/>
    </xf>
    <xf numFmtId="3" fontId="4" fillId="0" borderId="39" xfId="1" applyNumberFormat="1" applyFont="1" applyFill="1" applyBorder="1" applyAlignment="1">
      <alignment horizontal="center" vertical="center"/>
    </xf>
    <xf numFmtId="4" fontId="6" fillId="0" borderId="43" xfId="1" applyNumberFormat="1" applyFont="1" applyFill="1" applyBorder="1" applyAlignment="1">
      <alignment horizontal="center" vertical="center"/>
    </xf>
    <xf numFmtId="4" fontId="6" fillId="0" borderId="41" xfId="1" applyNumberFormat="1" applyFont="1" applyFill="1" applyBorder="1" applyAlignment="1">
      <alignment horizontal="center" vertical="center"/>
    </xf>
    <xf numFmtId="165" fontId="7" fillId="0" borderId="42" xfId="1" applyNumberFormat="1" applyFont="1" applyFill="1" applyBorder="1" applyAlignment="1">
      <alignment horizontal="center" vertical="center"/>
    </xf>
    <xf numFmtId="4" fontId="35" fillId="27" borderId="59" xfId="0" applyNumberFormat="1" applyFont="1" applyFill="1" applyBorder="1" applyAlignment="1">
      <alignment horizontal="center"/>
    </xf>
    <xf numFmtId="0" fontId="35" fillId="27" borderId="71" xfId="0" applyFont="1" applyFill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58" xfId="0" applyFont="1" applyBorder="1" applyAlignment="1">
      <alignment horizontal="center"/>
    </xf>
    <xf numFmtId="0" fontId="44" fillId="0" borderId="23" xfId="0" applyFont="1" applyBorder="1" applyAlignment="1">
      <alignment horizontal="center"/>
    </xf>
    <xf numFmtId="0" fontId="44" fillId="0" borderId="6" xfId="0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4" fontId="35" fillId="27" borderId="18" xfId="0" applyNumberFormat="1" applyFont="1" applyFill="1" applyBorder="1" applyAlignment="1">
      <alignment horizontal="center" wrapText="1"/>
    </xf>
    <xf numFmtId="4" fontId="35" fillId="27" borderId="21" xfId="0" applyNumberFormat="1" applyFont="1" applyFill="1" applyBorder="1" applyAlignment="1">
      <alignment horizontal="center" wrapText="1"/>
    </xf>
    <xf numFmtId="4" fontId="35" fillId="27" borderId="19" xfId="0" applyNumberFormat="1" applyFont="1" applyFill="1" applyBorder="1" applyAlignment="1">
      <alignment horizontal="center" wrapText="1"/>
    </xf>
    <xf numFmtId="0" fontId="36" fillId="0" borderId="12" xfId="0" applyFont="1" applyBorder="1" applyAlignment="1">
      <alignment horizontal="center" wrapText="1"/>
    </xf>
    <xf numFmtId="0" fontId="36" fillId="0" borderId="4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4" fontId="0" fillId="0" borderId="22" xfId="0" applyNumberFormat="1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67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64" xfId="0" applyFont="1" applyFill="1" applyBorder="1" applyAlignment="1">
      <alignment horizontal="center" vertical="center"/>
    </xf>
    <xf numFmtId="0" fontId="0" fillId="0" borderId="37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4" fontId="0" fillId="0" borderId="36" xfId="0" applyNumberFormat="1" applyFill="1" applyBorder="1" applyAlignment="1">
      <alignment horizontal="center" vertical="center"/>
    </xf>
    <xf numFmtId="4" fontId="0" fillId="0" borderId="34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6" fillId="0" borderId="0" xfId="0" applyFont="1" applyFill="1" applyBorder="1" applyAlignment="1">
      <alignment horizontal="right"/>
    </xf>
    <xf numFmtId="164" fontId="2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4" fontId="6" fillId="0" borderId="33" xfId="1" applyNumberFormat="1" applyFont="1" applyFill="1" applyBorder="1" applyAlignment="1">
      <alignment horizontal="center" vertical="center"/>
    </xf>
    <xf numFmtId="10" fontId="4" fillId="0" borderId="35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164" fontId="7" fillId="0" borderId="41" xfId="0" applyNumberFormat="1" applyFont="1" applyFill="1" applyBorder="1" applyAlignment="1">
      <alignment horizontal="center" vertical="center" wrapText="1"/>
    </xf>
    <xf numFmtId="4" fontId="6" fillId="0" borderId="41" xfId="0" applyNumberFormat="1" applyFont="1" applyFill="1" applyBorder="1" applyAlignment="1">
      <alignment horizontal="center" vertical="center" wrapText="1"/>
    </xf>
    <xf numFmtId="165" fontId="7" fillId="0" borderId="41" xfId="0" applyNumberFormat="1" applyFont="1" applyFill="1" applyBorder="1" applyAlignment="1">
      <alignment horizontal="center" vertical="center" wrapText="1"/>
    </xf>
    <xf numFmtId="4" fontId="10" fillId="0" borderId="41" xfId="0" applyNumberFormat="1" applyFont="1" applyFill="1" applyBorder="1" applyAlignment="1">
      <alignment horizontal="center" vertical="center"/>
    </xf>
    <xf numFmtId="4" fontId="11" fillId="0" borderId="41" xfId="0" applyNumberFormat="1" applyFont="1" applyFill="1" applyBorder="1" applyAlignment="1">
      <alignment horizontal="center" vertical="center"/>
    </xf>
    <xf numFmtId="4" fontId="4" fillId="0" borderId="41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left"/>
    </xf>
    <xf numFmtId="0" fontId="2" fillId="0" borderId="9" xfId="0" applyFont="1" applyFill="1" applyBorder="1"/>
    <xf numFmtId="0" fontId="3" fillId="0" borderId="9" xfId="0" applyFont="1" applyFill="1" applyBorder="1"/>
    <xf numFmtId="0" fontId="4" fillId="0" borderId="9" xfId="0" applyFont="1" applyFill="1" applyBorder="1"/>
    <xf numFmtId="0" fontId="6" fillId="0" borderId="9" xfId="0" applyFont="1" applyFill="1" applyBorder="1" applyAlignment="1">
      <alignment horizontal="center"/>
    </xf>
    <xf numFmtId="4" fontId="2" fillId="0" borderId="9" xfId="0" applyNumberFormat="1" applyFont="1" applyFill="1" applyBorder="1"/>
    <xf numFmtId="0" fontId="2" fillId="0" borderId="7" xfId="0" applyFont="1" applyFill="1" applyBorder="1"/>
    <xf numFmtId="0" fontId="2" fillId="0" borderId="37" xfId="0" applyFont="1" applyFill="1" applyBorder="1"/>
    <xf numFmtId="0" fontId="2" fillId="0" borderId="35" xfId="0" applyFont="1" applyFill="1" applyBorder="1"/>
    <xf numFmtId="0" fontId="3" fillId="0" borderId="35" xfId="0" applyFont="1" applyFill="1" applyBorder="1"/>
    <xf numFmtId="0" fontId="4" fillId="0" borderId="35" xfId="0" applyFont="1" applyFill="1" applyBorder="1"/>
    <xf numFmtId="0" fontId="4" fillId="0" borderId="35" xfId="0" applyFont="1" applyFill="1" applyBorder="1" applyAlignment="1">
      <alignment horizontal="center"/>
    </xf>
    <xf numFmtId="0" fontId="2" fillId="0" borderId="38" xfId="0" applyFont="1" applyFill="1" applyBorder="1"/>
    <xf numFmtId="0" fontId="2" fillId="0" borderId="43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41" xfId="0" applyFont="1" applyFill="1" applyBorder="1"/>
    <xf numFmtId="0" fontId="3" fillId="0" borderId="41" xfId="0" applyFont="1" applyFill="1" applyBorder="1"/>
    <xf numFmtId="0" fontId="4" fillId="0" borderId="41" xfId="0" applyFont="1" applyFill="1" applyBorder="1"/>
    <xf numFmtId="4" fontId="3" fillId="0" borderId="41" xfId="0" applyNumberFormat="1" applyFont="1" applyFill="1" applyBorder="1"/>
    <xf numFmtId="0" fontId="4" fillId="0" borderId="41" xfId="0" applyFont="1" applyFill="1" applyBorder="1" applyAlignment="1">
      <alignment horizontal="center"/>
    </xf>
    <xf numFmtId="0" fontId="2" fillId="0" borderId="44" xfId="0" applyFont="1" applyFill="1" applyBorder="1"/>
    <xf numFmtId="0" fontId="46" fillId="0" borderId="13" xfId="0" applyFont="1" applyFill="1" applyBorder="1" applyAlignment="1">
      <alignment wrapText="1"/>
    </xf>
    <xf numFmtId="0" fontId="2" fillId="0" borderId="72" xfId="0" applyFont="1" applyFill="1" applyBorder="1"/>
    <xf numFmtId="0" fontId="3" fillId="0" borderId="72" xfId="0" applyFont="1" applyFill="1" applyBorder="1"/>
    <xf numFmtId="0" fontId="4" fillId="0" borderId="72" xfId="0" applyFont="1" applyFill="1" applyBorder="1"/>
    <xf numFmtId="4" fontId="3" fillId="0" borderId="72" xfId="0" applyNumberFormat="1" applyFont="1" applyFill="1" applyBorder="1"/>
    <xf numFmtId="4" fontId="6" fillId="0" borderId="72" xfId="0" applyNumberFormat="1" applyFont="1" applyFill="1" applyBorder="1" applyAlignment="1">
      <alignment horizontal="center"/>
    </xf>
    <xf numFmtId="0" fontId="2" fillId="0" borderId="15" xfId="0" applyFont="1" applyFill="1" applyBorder="1"/>
    <xf numFmtId="0" fontId="34" fillId="0" borderId="0" xfId="0" applyFont="1" applyFill="1" applyBorder="1" applyAlignment="1">
      <alignment horizontal="left" vertical="top"/>
    </xf>
    <xf numFmtId="0" fontId="34" fillId="0" borderId="0" xfId="0" applyFont="1" applyFill="1" applyAlignment="1">
      <alignment horizontal="left" vertical="center" wrapText="1"/>
    </xf>
    <xf numFmtId="0" fontId="34" fillId="0" borderId="0" xfId="0" applyFont="1" applyFill="1" applyAlignment="1">
      <alignment horizontal="left" vertical="center"/>
    </xf>
  </cellXfs>
  <cellStyles count="951">
    <cellStyle name="20% — акцент1" xfId="2"/>
    <cellStyle name="20% - Акцент1 2" xfId="3"/>
    <cellStyle name="20% — акцент1 2" xfId="4"/>
    <cellStyle name="20% - Акцент1 2 10" xfId="5"/>
    <cellStyle name="20% - Акцент1 2 2" xfId="6"/>
    <cellStyle name="20% - Акцент1 2 3" xfId="7"/>
    <cellStyle name="20% - Акцент1 2 4" xfId="8"/>
    <cellStyle name="20% - Акцент1 2 5" xfId="9"/>
    <cellStyle name="20% - Акцент1 2 6" xfId="10"/>
    <cellStyle name="20% - Акцент1 2 7" xfId="11"/>
    <cellStyle name="20% - Акцент1 2 8" xfId="12"/>
    <cellStyle name="20% - Акцент1 2 9" xfId="13"/>
    <cellStyle name="20% - Акцент1 3" xfId="14"/>
    <cellStyle name="20% - Акцент1 3 10" xfId="15"/>
    <cellStyle name="20% - Акцент1 3 2" xfId="16"/>
    <cellStyle name="20% - Акцент1 3 3" xfId="17"/>
    <cellStyle name="20% - Акцент1 3 4" xfId="18"/>
    <cellStyle name="20% - Акцент1 3 5" xfId="19"/>
    <cellStyle name="20% - Акцент1 3 6" xfId="20"/>
    <cellStyle name="20% - Акцент1 3 7" xfId="21"/>
    <cellStyle name="20% - Акцент1 3 8" xfId="22"/>
    <cellStyle name="20% - Акцент1 3 9" xfId="23"/>
    <cellStyle name="20% — акцент2" xfId="24"/>
    <cellStyle name="20% - Акцент2 2" xfId="25"/>
    <cellStyle name="20% — акцент2 2" xfId="26"/>
    <cellStyle name="20% - Акцент2 2 10" xfId="27"/>
    <cellStyle name="20% - Акцент2 2 2" xfId="28"/>
    <cellStyle name="20% - Акцент2 2 3" xfId="29"/>
    <cellStyle name="20% - Акцент2 2 4" xfId="30"/>
    <cellStyle name="20% - Акцент2 2 5" xfId="31"/>
    <cellStyle name="20% - Акцент2 2 6" xfId="32"/>
    <cellStyle name="20% - Акцент2 2 7" xfId="33"/>
    <cellStyle name="20% - Акцент2 2 8" xfId="34"/>
    <cellStyle name="20% - Акцент2 2 9" xfId="35"/>
    <cellStyle name="20% - Акцент2 3" xfId="36"/>
    <cellStyle name="20% - Акцент2 3 10" xfId="37"/>
    <cellStyle name="20% - Акцент2 3 2" xfId="38"/>
    <cellStyle name="20% - Акцент2 3 3" xfId="39"/>
    <cellStyle name="20% - Акцент2 3 4" xfId="40"/>
    <cellStyle name="20% - Акцент2 3 5" xfId="41"/>
    <cellStyle name="20% - Акцент2 3 6" xfId="42"/>
    <cellStyle name="20% - Акцент2 3 7" xfId="43"/>
    <cellStyle name="20% - Акцент2 3 8" xfId="44"/>
    <cellStyle name="20% - Акцент2 3 9" xfId="45"/>
    <cellStyle name="20% — акцент3" xfId="46"/>
    <cellStyle name="20% - Акцент3 2" xfId="47"/>
    <cellStyle name="20% — акцент3 2" xfId="48"/>
    <cellStyle name="20% - Акцент3 2 10" xfId="49"/>
    <cellStyle name="20% - Акцент3 2 2" xfId="50"/>
    <cellStyle name="20% - Акцент3 2 3" xfId="51"/>
    <cellStyle name="20% - Акцент3 2 4" xfId="52"/>
    <cellStyle name="20% - Акцент3 2 5" xfId="53"/>
    <cellStyle name="20% - Акцент3 2 6" xfId="54"/>
    <cellStyle name="20% - Акцент3 2 7" xfId="55"/>
    <cellStyle name="20% - Акцент3 2 8" xfId="56"/>
    <cellStyle name="20% - Акцент3 2 9" xfId="57"/>
    <cellStyle name="20% - Акцент3 3" xfId="58"/>
    <cellStyle name="20% - Акцент3 3 10" xfId="59"/>
    <cellStyle name="20% - Акцент3 3 2" xfId="60"/>
    <cellStyle name="20% - Акцент3 3 3" xfId="61"/>
    <cellStyle name="20% - Акцент3 3 4" xfId="62"/>
    <cellStyle name="20% - Акцент3 3 5" xfId="63"/>
    <cellStyle name="20% - Акцент3 3 6" xfId="64"/>
    <cellStyle name="20% - Акцент3 3 7" xfId="65"/>
    <cellStyle name="20% - Акцент3 3 8" xfId="66"/>
    <cellStyle name="20% - Акцент3 3 9" xfId="67"/>
    <cellStyle name="20% — акцент4" xfId="68"/>
    <cellStyle name="20% - Акцент4 2" xfId="69"/>
    <cellStyle name="20% — акцент4 2" xfId="70"/>
    <cellStyle name="20% - Акцент4 2 10" xfId="71"/>
    <cellStyle name="20% - Акцент4 2 2" xfId="72"/>
    <cellStyle name="20% - Акцент4 2 3" xfId="73"/>
    <cellStyle name="20% - Акцент4 2 4" xfId="74"/>
    <cellStyle name="20% - Акцент4 2 5" xfId="75"/>
    <cellStyle name="20% - Акцент4 2 6" xfId="76"/>
    <cellStyle name="20% - Акцент4 2 7" xfId="77"/>
    <cellStyle name="20% - Акцент4 2 8" xfId="78"/>
    <cellStyle name="20% - Акцент4 2 9" xfId="79"/>
    <cellStyle name="20% - Акцент4 3" xfId="80"/>
    <cellStyle name="20% - Акцент4 3 10" xfId="81"/>
    <cellStyle name="20% - Акцент4 3 2" xfId="82"/>
    <cellStyle name="20% - Акцент4 3 3" xfId="83"/>
    <cellStyle name="20% - Акцент4 3 4" xfId="84"/>
    <cellStyle name="20% - Акцент4 3 5" xfId="85"/>
    <cellStyle name="20% - Акцент4 3 6" xfId="86"/>
    <cellStyle name="20% - Акцент4 3 7" xfId="87"/>
    <cellStyle name="20% - Акцент4 3 8" xfId="88"/>
    <cellStyle name="20% - Акцент4 3 9" xfId="89"/>
    <cellStyle name="20% — акцент5" xfId="90"/>
    <cellStyle name="20% - Акцент5 2" xfId="91"/>
    <cellStyle name="20% — акцент5 2" xfId="92"/>
    <cellStyle name="20% - Акцент5 2 10" xfId="93"/>
    <cellStyle name="20% - Акцент5 2 2" xfId="94"/>
    <cellStyle name="20% - Акцент5 2 3" xfId="95"/>
    <cellStyle name="20% - Акцент5 2 4" xfId="96"/>
    <cellStyle name="20% - Акцент5 2 5" xfId="97"/>
    <cellStyle name="20% - Акцент5 2 6" xfId="98"/>
    <cellStyle name="20% - Акцент5 2 7" xfId="99"/>
    <cellStyle name="20% - Акцент5 2 8" xfId="100"/>
    <cellStyle name="20% - Акцент5 2 9" xfId="101"/>
    <cellStyle name="20% - Акцент5 3" xfId="102"/>
    <cellStyle name="20% - Акцент5 3 10" xfId="103"/>
    <cellStyle name="20% - Акцент5 3 2" xfId="104"/>
    <cellStyle name="20% - Акцент5 3 3" xfId="105"/>
    <cellStyle name="20% - Акцент5 3 4" xfId="106"/>
    <cellStyle name="20% - Акцент5 3 5" xfId="107"/>
    <cellStyle name="20% - Акцент5 3 6" xfId="108"/>
    <cellStyle name="20% - Акцент5 3 7" xfId="109"/>
    <cellStyle name="20% - Акцент5 3 8" xfId="110"/>
    <cellStyle name="20% - Акцент5 3 9" xfId="111"/>
    <cellStyle name="20% — акцент6" xfId="112"/>
    <cellStyle name="20% - Акцент6 2" xfId="113"/>
    <cellStyle name="20% — акцент6 2" xfId="114"/>
    <cellStyle name="20% - Акцент6 2 10" xfId="115"/>
    <cellStyle name="20% - Акцент6 2 2" xfId="116"/>
    <cellStyle name="20% - Акцент6 2 3" xfId="117"/>
    <cellStyle name="20% - Акцент6 2 4" xfId="118"/>
    <cellStyle name="20% - Акцент6 2 5" xfId="119"/>
    <cellStyle name="20% - Акцент6 2 6" xfId="120"/>
    <cellStyle name="20% - Акцент6 2 7" xfId="121"/>
    <cellStyle name="20% - Акцент6 2 8" xfId="122"/>
    <cellStyle name="20% - Акцент6 2 9" xfId="123"/>
    <cellStyle name="20% - Акцент6 3" xfId="124"/>
    <cellStyle name="20% - Акцент6 3 10" xfId="125"/>
    <cellStyle name="20% - Акцент6 3 2" xfId="126"/>
    <cellStyle name="20% - Акцент6 3 3" xfId="127"/>
    <cellStyle name="20% - Акцент6 3 4" xfId="128"/>
    <cellStyle name="20% - Акцент6 3 5" xfId="129"/>
    <cellStyle name="20% - Акцент6 3 6" xfId="130"/>
    <cellStyle name="20% - Акцент6 3 7" xfId="131"/>
    <cellStyle name="20% - Акцент6 3 8" xfId="132"/>
    <cellStyle name="20% - Акцент6 3 9" xfId="133"/>
    <cellStyle name="40% — акцент1" xfId="134"/>
    <cellStyle name="40% - Акцент1 2" xfId="135"/>
    <cellStyle name="40% — акцент1 2" xfId="136"/>
    <cellStyle name="40% - Акцент1 2 10" xfId="137"/>
    <cellStyle name="40% - Акцент1 2 2" xfId="138"/>
    <cellStyle name="40% - Акцент1 2 3" xfId="139"/>
    <cellStyle name="40% - Акцент1 2 4" xfId="140"/>
    <cellStyle name="40% - Акцент1 2 5" xfId="141"/>
    <cellStyle name="40% - Акцент1 2 6" xfId="142"/>
    <cellStyle name="40% - Акцент1 2 7" xfId="143"/>
    <cellStyle name="40% - Акцент1 2 8" xfId="144"/>
    <cellStyle name="40% - Акцент1 2 9" xfId="145"/>
    <cellStyle name="40% - Акцент1 3" xfId="146"/>
    <cellStyle name="40% - Акцент1 3 10" xfId="147"/>
    <cellStyle name="40% - Акцент1 3 2" xfId="148"/>
    <cellStyle name="40% - Акцент1 3 3" xfId="149"/>
    <cellStyle name="40% - Акцент1 3 4" xfId="150"/>
    <cellStyle name="40% - Акцент1 3 5" xfId="151"/>
    <cellStyle name="40% - Акцент1 3 6" xfId="152"/>
    <cellStyle name="40% - Акцент1 3 7" xfId="153"/>
    <cellStyle name="40% - Акцент1 3 8" xfId="154"/>
    <cellStyle name="40% - Акцент1 3 9" xfId="155"/>
    <cellStyle name="40% — акцент2" xfId="156"/>
    <cellStyle name="40% - Акцент2 2" xfId="157"/>
    <cellStyle name="40% — акцент2 2" xfId="158"/>
    <cellStyle name="40% - Акцент2 2 10" xfId="159"/>
    <cellStyle name="40% - Акцент2 2 2" xfId="160"/>
    <cellStyle name="40% - Акцент2 2 3" xfId="161"/>
    <cellStyle name="40% - Акцент2 2 4" xfId="162"/>
    <cellStyle name="40% - Акцент2 2 5" xfId="163"/>
    <cellStyle name="40% - Акцент2 2 6" xfId="164"/>
    <cellStyle name="40% - Акцент2 2 7" xfId="165"/>
    <cellStyle name="40% - Акцент2 2 8" xfId="166"/>
    <cellStyle name="40% - Акцент2 2 9" xfId="167"/>
    <cellStyle name="40% - Акцент2 3" xfId="168"/>
    <cellStyle name="40% - Акцент2 3 10" xfId="169"/>
    <cellStyle name="40% - Акцент2 3 2" xfId="170"/>
    <cellStyle name="40% - Акцент2 3 3" xfId="171"/>
    <cellStyle name="40% - Акцент2 3 4" xfId="172"/>
    <cellStyle name="40% - Акцент2 3 5" xfId="173"/>
    <cellStyle name="40% - Акцент2 3 6" xfId="174"/>
    <cellStyle name="40% - Акцент2 3 7" xfId="175"/>
    <cellStyle name="40% - Акцент2 3 8" xfId="176"/>
    <cellStyle name="40% - Акцент2 3 9" xfId="177"/>
    <cellStyle name="40% — акцент3" xfId="178"/>
    <cellStyle name="40% - Акцент3 2" xfId="179"/>
    <cellStyle name="40% — акцент3 2" xfId="180"/>
    <cellStyle name="40% - Акцент3 2 10" xfId="181"/>
    <cellStyle name="40% - Акцент3 2 2" xfId="182"/>
    <cellStyle name="40% - Акцент3 2 3" xfId="183"/>
    <cellStyle name="40% - Акцент3 2 4" xfId="184"/>
    <cellStyle name="40% - Акцент3 2 5" xfId="185"/>
    <cellStyle name="40% - Акцент3 2 6" xfId="186"/>
    <cellStyle name="40% - Акцент3 2 7" xfId="187"/>
    <cellStyle name="40% - Акцент3 2 8" xfId="188"/>
    <cellStyle name="40% - Акцент3 2 9" xfId="189"/>
    <cellStyle name="40% - Акцент3 3" xfId="190"/>
    <cellStyle name="40% - Акцент3 3 10" xfId="191"/>
    <cellStyle name="40% - Акцент3 3 2" xfId="192"/>
    <cellStyle name="40% - Акцент3 3 3" xfId="193"/>
    <cellStyle name="40% - Акцент3 3 4" xfId="194"/>
    <cellStyle name="40% - Акцент3 3 5" xfId="195"/>
    <cellStyle name="40% - Акцент3 3 6" xfId="196"/>
    <cellStyle name="40% - Акцент3 3 7" xfId="197"/>
    <cellStyle name="40% - Акцент3 3 8" xfId="198"/>
    <cellStyle name="40% - Акцент3 3 9" xfId="199"/>
    <cellStyle name="40% — акцент4" xfId="200"/>
    <cellStyle name="40% - Акцент4 2" xfId="201"/>
    <cellStyle name="40% — акцент4 2" xfId="202"/>
    <cellStyle name="40% - Акцент4 2 10" xfId="203"/>
    <cellStyle name="40% - Акцент4 2 2" xfId="204"/>
    <cellStyle name="40% - Акцент4 2 3" xfId="205"/>
    <cellStyle name="40% - Акцент4 2 4" xfId="206"/>
    <cellStyle name="40% - Акцент4 2 5" xfId="207"/>
    <cellStyle name="40% - Акцент4 2 6" xfId="208"/>
    <cellStyle name="40% - Акцент4 2 7" xfId="209"/>
    <cellStyle name="40% - Акцент4 2 8" xfId="210"/>
    <cellStyle name="40% - Акцент4 2 9" xfId="211"/>
    <cellStyle name="40% - Акцент4 3" xfId="212"/>
    <cellStyle name="40% - Акцент4 3 10" xfId="213"/>
    <cellStyle name="40% - Акцент4 3 2" xfId="214"/>
    <cellStyle name="40% - Акцент4 3 3" xfId="215"/>
    <cellStyle name="40% - Акцент4 3 4" xfId="216"/>
    <cellStyle name="40% - Акцент4 3 5" xfId="217"/>
    <cellStyle name="40% - Акцент4 3 6" xfId="218"/>
    <cellStyle name="40% - Акцент4 3 7" xfId="219"/>
    <cellStyle name="40% - Акцент4 3 8" xfId="220"/>
    <cellStyle name="40% - Акцент4 3 9" xfId="221"/>
    <cellStyle name="40% — акцент5" xfId="222"/>
    <cellStyle name="40% - Акцент5 2" xfId="223"/>
    <cellStyle name="40% — акцент5 2" xfId="224"/>
    <cellStyle name="40% - Акцент5 2 10" xfId="225"/>
    <cellStyle name="40% - Акцент5 2 2" xfId="226"/>
    <cellStyle name="40% - Акцент5 2 3" xfId="227"/>
    <cellStyle name="40% - Акцент5 2 4" xfId="228"/>
    <cellStyle name="40% - Акцент5 2 5" xfId="229"/>
    <cellStyle name="40% - Акцент5 2 6" xfId="230"/>
    <cellStyle name="40% - Акцент5 2 7" xfId="231"/>
    <cellStyle name="40% - Акцент5 2 8" xfId="232"/>
    <cellStyle name="40% - Акцент5 2 9" xfId="233"/>
    <cellStyle name="40% - Акцент5 3" xfId="234"/>
    <cellStyle name="40% - Акцент5 3 10" xfId="235"/>
    <cellStyle name="40% - Акцент5 3 2" xfId="236"/>
    <cellStyle name="40% - Акцент5 3 3" xfId="237"/>
    <cellStyle name="40% - Акцент5 3 4" xfId="238"/>
    <cellStyle name="40% - Акцент5 3 5" xfId="239"/>
    <cellStyle name="40% - Акцент5 3 6" xfId="240"/>
    <cellStyle name="40% - Акцент5 3 7" xfId="241"/>
    <cellStyle name="40% - Акцент5 3 8" xfId="242"/>
    <cellStyle name="40% - Акцент5 3 9" xfId="243"/>
    <cellStyle name="40% — акцент6" xfId="244"/>
    <cellStyle name="40% - Акцент6 2" xfId="245"/>
    <cellStyle name="40% — акцент6 2" xfId="246"/>
    <cellStyle name="40% - Акцент6 2 10" xfId="247"/>
    <cellStyle name="40% - Акцент6 2 2" xfId="248"/>
    <cellStyle name="40% - Акцент6 2 3" xfId="249"/>
    <cellStyle name="40% - Акцент6 2 4" xfId="250"/>
    <cellStyle name="40% - Акцент6 2 5" xfId="251"/>
    <cellStyle name="40% - Акцент6 2 6" xfId="252"/>
    <cellStyle name="40% - Акцент6 2 7" xfId="253"/>
    <cellStyle name="40% - Акцент6 2 8" xfId="254"/>
    <cellStyle name="40% - Акцент6 2 9" xfId="255"/>
    <cellStyle name="40% - Акцент6 3" xfId="256"/>
    <cellStyle name="40% - Акцент6 3 10" xfId="257"/>
    <cellStyle name="40% - Акцент6 3 2" xfId="258"/>
    <cellStyle name="40% - Акцент6 3 3" xfId="259"/>
    <cellStyle name="40% - Акцент6 3 4" xfId="260"/>
    <cellStyle name="40% - Акцент6 3 5" xfId="261"/>
    <cellStyle name="40% - Акцент6 3 6" xfId="262"/>
    <cellStyle name="40% - Акцент6 3 7" xfId="263"/>
    <cellStyle name="40% - Акцент6 3 8" xfId="264"/>
    <cellStyle name="40% - Акцент6 3 9" xfId="265"/>
    <cellStyle name="60% — акцент1" xfId="266"/>
    <cellStyle name="60% - Акцент1 2" xfId="267"/>
    <cellStyle name="60% — акцент1 2" xfId="268"/>
    <cellStyle name="60% - Акцент1 2 10" xfId="269"/>
    <cellStyle name="60% - Акцент1 2 2" xfId="270"/>
    <cellStyle name="60% - Акцент1 2 3" xfId="271"/>
    <cellStyle name="60% - Акцент1 2 4" xfId="272"/>
    <cellStyle name="60% - Акцент1 2 5" xfId="273"/>
    <cellStyle name="60% - Акцент1 2 6" xfId="274"/>
    <cellStyle name="60% - Акцент1 2 7" xfId="275"/>
    <cellStyle name="60% - Акцент1 2 8" xfId="276"/>
    <cellStyle name="60% - Акцент1 2 9" xfId="277"/>
    <cellStyle name="60% - Акцент1 3" xfId="278"/>
    <cellStyle name="60% - Акцент1 3 10" xfId="279"/>
    <cellStyle name="60% - Акцент1 3 2" xfId="280"/>
    <cellStyle name="60% - Акцент1 3 3" xfId="281"/>
    <cellStyle name="60% - Акцент1 3 4" xfId="282"/>
    <cellStyle name="60% - Акцент1 3 5" xfId="283"/>
    <cellStyle name="60% - Акцент1 3 6" xfId="284"/>
    <cellStyle name="60% - Акцент1 3 7" xfId="285"/>
    <cellStyle name="60% - Акцент1 3 8" xfId="286"/>
    <cellStyle name="60% - Акцент1 3 9" xfId="287"/>
    <cellStyle name="60% — акцент2" xfId="288"/>
    <cellStyle name="60% - Акцент2 2" xfId="289"/>
    <cellStyle name="60% — акцент2 2" xfId="290"/>
    <cellStyle name="60% - Акцент2 2 10" xfId="291"/>
    <cellStyle name="60% - Акцент2 2 2" xfId="292"/>
    <cellStyle name="60% - Акцент2 2 3" xfId="293"/>
    <cellStyle name="60% - Акцент2 2 4" xfId="294"/>
    <cellStyle name="60% - Акцент2 2 5" xfId="295"/>
    <cellStyle name="60% - Акцент2 2 6" xfId="296"/>
    <cellStyle name="60% - Акцент2 2 7" xfId="297"/>
    <cellStyle name="60% - Акцент2 2 8" xfId="298"/>
    <cellStyle name="60% - Акцент2 2 9" xfId="299"/>
    <cellStyle name="60% - Акцент2 3" xfId="300"/>
    <cellStyle name="60% - Акцент2 3 10" xfId="301"/>
    <cellStyle name="60% - Акцент2 3 2" xfId="302"/>
    <cellStyle name="60% - Акцент2 3 3" xfId="303"/>
    <cellStyle name="60% - Акцент2 3 4" xfId="304"/>
    <cellStyle name="60% - Акцент2 3 5" xfId="305"/>
    <cellStyle name="60% - Акцент2 3 6" xfId="306"/>
    <cellStyle name="60% - Акцент2 3 7" xfId="307"/>
    <cellStyle name="60% - Акцент2 3 8" xfId="308"/>
    <cellStyle name="60% - Акцент2 3 9" xfId="309"/>
    <cellStyle name="60% — акцент3" xfId="310"/>
    <cellStyle name="60% - Акцент3 2" xfId="311"/>
    <cellStyle name="60% — акцент3 2" xfId="312"/>
    <cellStyle name="60% - Акцент3 2 10" xfId="313"/>
    <cellStyle name="60% - Акцент3 2 2" xfId="314"/>
    <cellStyle name="60% - Акцент3 2 3" xfId="315"/>
    <cellStyle name="60% - Акцент3 2 4" xfId="316"/>
    <cellStyle name="60% - Акцент3 2 5" xfId="317"/>
    <cellStyle name="60% - Акцент3 2 6" xfId="318"/>
    <cellStyle name="60% - Акцент3 2 7" xfId="319"/>
    <cellStyle name="60% - Акцент3 2 8" xfId="320"/>
    <cellStyle name="60% - Акцент3 2 9" xfId="321"/>
    <cellStyle name="60% - Акцент3 3" xfId="322"/>
    <cellStyle name="60% - Акцент3 3 10" xfId="323"/>
    <cellStyle name="60% - Акцент3 3 2" xfId="324"/>
    <cellStyle name="60% - Акцент3 3 3" xfId="325"/>
    <cellStyle name="60% - Акцент3 3 4" xfId="326"/>
    <cellStyle name="60% - Акцент3 3 5" xfId="327"/>
    <cellStyle name="60% - Акцент3 3 6" xfId="328"/>
    <cellStyle name="60% - Акцент3 3 7" xfId="329"/>
    <cellStyle name="60% - Акцент3 3 8" xfId="330"/>
    <cellStyle name="60% - Акцент3 3 9" xfId="331"/>
    <cellStyle name="60% — акцент4" xfId="332"/>
    <cellStyle name="60% - Акцент4 2" xfId="333"/>
    <cellStyle name="60% — акцент4 2" xfId="334"/>
    <cellStyle name="60% - Акцент4 2 10" xfId="335"/>
    <cellStyle name="60% - Акцент4 2 2" xfId="336"/>
    <cellStyle name="60% - Акцент4 2 3" xfId="337"/>
    <cellStyle name="60% - Акцент4 2 4" xfId="338"/>
    <cellStyle name="60% - Акцент4 2 5" xfId="339"/>
    <cellStyle name="60% - Акцент4 2 6" xfId="340"/>
    <cellStyle name="60% - Акцент4 2 7" xfId="341"/>
    <cellStyle name="60% - Акцент4 2 8" xfId="342"/>
    <cellStyle name="60% - Акцент4 2 9" xfId="343"/>
    <cellStyle name="60% - Акцент4 3" xfId="344"/>
    <cellStyle name="60% - Акцент4 3 10" xfId="345"/>
    <cellStyle name="60% - Акцент4 3 2" xfId="346"/>
    <cellStyle name="60% - Акцент4 3 3" xfId="347"/>
    <cellStyle name="60% - Акцент4 3 4" xfId="348"/>
    <cellStyle name="60% - Акцент4 3 5" xfId="349"/>
    <cellStyle name="60% - Акцент4 3 6" xfId="350"/>
    <cellStyle name="60% - Акцент4 3 7" xfId="351"/>
    <cellStyle name="60% - Акцент4 3 8" xfId="352"/>
    <cellStyle name="60% - Акцент4 3 9" xfId="353"/>
    <cellStyle name="60% — акцент5" xfId="354"/>
    <cellStyle name="60% - Акцент5 2" xfId="355"/>
    <cellStyle name="60% — акцент5 2" xfId="356"/>
    <cellStyle name="60% - Акцент5 2 10" xfId="357"/>
    <cellStyle name="60% - Акцент5 2 2" xfId="358"/>
    <cellStyle name="60% - Акцент5 2 3" xfId="359"/>
    <cellStyle name="60% - Акцент5 2 4" xfId="360"/>
    <cellStyle name="60% - Акцент5 2 5" xfId="361"/>
    <cellStyle name="60% - Акцент5 2 6" xfId="362"/>
    <cellStyle name="60% - Акцент5 2 7" xfId="363"/>
    <cellStyle name="60% - Акцент5 2 8" xfId="364"/>
    <cellStyle name="60% - Акцент5 2 9" xfId="365"/>
    <cellStyle name="60% - Акцент5 3" xfId="366"/>
    <cellStyle name="60% - Акцент5 3 10" xfId="367"/>
    <cellStyle name="60% - Акцент5 3 2" xfId="368"/>
    <cellStyle name="60% - Акцент5 3 3" xfId="369"/>
    <cellStyle name="60% - Акцент5 3 4" xfId="370"/>
    <cellStyle name="60% - Акцент5 3 5" xfId="371"/>
    <cellStyle name="60% - Акцент5 3 6" xfId="372"/>
    <cellStyle name="60% - Акцент5 3 7" xfId="373"/>
    <cellStyle name="60% - Акцент5 3 8" xfId="374"/>
    <cellStyle name="60% - Акцент5 3 9" xfId="375"/>
    <cellStyle name="60% — акцент6" xfId="376"/>
    <cellStyle name="60% - Акцент6 2" xfId="377"/>
    <cellStyle name="60% — акцент6 2" xfId="378"/>
    <cellStyle name="60% - Акцент6 2 10" xfId="379"/>
    <cellStyle name="60% - Акцент6 2 2" xfId="380"/>
    <cellStyle name="60% - Акцент6 2 3" xfId="381"/>
    <cellStyle name="60% - Акцент6 2 4" xfId="382"/>
    <cellStyle name="60% - Акцент6 2 5" xfId="383"/>
    <cellStyle name="60% - Акцент6 2 6" xfId="384"/>
    <cellStyle name="60% - Акцент6 2 7" xfId="385"/>
    <cellStyle name="60% - Акцент6 2 8" xfId="386"/>
    <cellStyle name="60% - Акцент6 2 9" xfId="387"/>
    <cellStyle name="60% - Акцент6 3" xfId="388"/>
    <cellStyle name="60% - Акцент6 3 10" xfId="389"/>
    <cellStyle name="60% - Акцент6 3 2" xfId="390"/>
    <cellStyle name="60% - Акцент6 3 3" xfId="391"/>
    <cellStyle name="60% - Акцент6 3 4" xfId="392"/>
    <cellStyle name="60% - Акцент6 3 5" xfId="393"/>
    <cellStyle name="60% - Акцент6 3 6" xfId="394"/>
    <cellStyle name="60% - Акцент6 3 7" xfId="395"/>
    <cellStyle name="60% - Акцент6 3 8" xfId="396"/>
    <cellStyle name="60% - Акцент6 3 9" xfId="397"/>
    <cellStyle name="Акцент1 2" xfId="398"/>
    <cellStyle name="Акцент1 2 10" xfId="399"/>
    <cellStyle name="Акцент1 2 2" xfId="400"/>
    <cellStyle name="Акцент1 2 3" xfId="401"/>
    <cellStyle name="Акцент1 2 4" xfId="402"/>
    <cellStyle name="Акцент1 2 5" xfId="403"/>
    <cellStyle name="Акцент1 2 6" xfId="404"/>
    <cellStyle name="Акцент1 2 7" xfId="405"/>
    <cellStyle name="Акцент1 2 8" xfId="406"/>
    <cellStyle name="Акцент1 2 9" xfId="407"/>
    <cellStyle name="Акцент1 3" xfId="408"/>
    <cellStyle name="Акцент1 3 10" xfId="409"/>
    <cellStyle name="Акцент1 3 2" xfId="410"/>
    <cellStyle name="Акцент1 3 3" xfId="411"/>
    <cellStyle name="Акцент1 3 4" xfId="412"/>
    <cellStyle name="Акцент1 3 5" xfId="413"/>
    <cellStyle name="Акцент1 3 6" xfId="414"/>
    <cellStyle name="Акцент1 3 7" xfId="415"/>
    <cellStyle name="Акцент1 3 8" xfId="416"/>
    <cellStyle name="Акцент1 3 9" xfId="417"/>
    <cellStyle name="Акцент2 2" xfId="418"/>
    <cellStyle name="Акцент2 2 10" xfId="419"/>
    <cellStyle name="Акцент2 2 2" xfId="420"/>
    <cellStyle name="Акцент2 2 3" xfId="421"/>
    <cellStyle name="Акцент2 2 4" xfId="422"/>
    <cellStyle name="Акцент2 2 5" xfId="423"/>
    <cellStyle name="Акцент2 2 6" xfId="424"/>
    <cellStyle name="Акцент2 2 7" xfId="425"/>
    <cellStyle name="Акцент2 2 8" xfId="426"/>
    <cellStyle name="Акцент2 2 9" xfId="427"/>
    <cellStyle name="Акцент2 3" xfId="428"/>
    <cellStyle name="Акцент2 3 10" xfId="429"/>
    <cellStyle name="Акцент2 3 2" xfId="430"/>
    <cellStyle name="Акцент2 3 3" xfId="431"/>
    <cellStyle name="Акцент2 3 4" xfId="432"/>
    <cellStyle name="Акцент2 3 5" xfId="433"/>
    <cellStyle name="Акцент2 3 6" xfId="434"/>
    <cellStyle name="Акцент2 3 7" xfId="435"/>
    <cellStyle name="Акцент2 3 8" xfId="436"/>
    <cellStyle name="Акцент2 3 9" xfId="437"/>
    <cellStyle name="Акцент3 2" xfId="438"/>
    <cellStyle name="Акцент3 2 10" xfId="439"/>
    <cellStyle name="Акцент3 2 2" xfId="440"/>
    <cellStyle name="Акцент3 2 3" xfId="441"/>
    <cellStyle name="Акцент3 2 4" xfId="442"/>
    <cellStyle name="Акцент3 2 5" xfId="443"/>
    <cellStyle name="Акцент3 2 6" xfId="444"/>
    <cellStyle name="Акцент3 2 7" xfId="445"/>
    <cellStyle name="Акцент3 2 8" xfId="446"/>
    <cellStyle name="Акцент3 2 9" xfId="447"/>
    <cellStyle name="Акцент3 3" xfId="448"/>
    <cellStyle name="Акцент3 3 10" xfId="449"/>
    <cellStyle name="Акцент3 3 2" xfId="450"/>
    <cellStyle name="Акцент3 3 3" xfId="451"/>
    <cellStyle name="Акцент3 3 4" xfId="452"/>
    <cellStyle name="Акцент3 3 5" xfId="453"/>
    <cellStyle name="Акцент3 3 6" xfId="454"/>
    <cellStyle name="Акцент3 3 7" xfId="455"/>
    <cellStyle name="Акцент3 3 8" xfId="456"/>
    <cellStyle name="Акцент3 3 9" xfId="457"/>
    <cellStyle name="Акцент4 2" xfId="458"/>
    <cellStyle name="Акцент4 2 10" xfId="459"/>
    <cellStyle name="Акцент4 2 2" xfId="460"/>
    <cellStyle name="Акцент4 2 3" xfId="461"/>
    <cellStyle name="Акцент4 2 4" xfId="462"/>
    <cellStyle name="Акцент4 2 5" xfId="463"/>
    <cellStyle name="Акцент4 2 6" xfId="464"/>
    <cellStyle name="Акцент4 2 7" xfId="465"/>
    <cellStyle name="Акцент4 2 8" xfId="466"/>
    <cellStyle name="Акцент4 2 9" xfId="467"/>
    <cellStyle name="Акцент4 3" xfId="468"/>
    <cellStyle name="Акцент4 3 10" xfId="469"/>
    <cellStyle name="Акцент4 3 2" xfId="470"/>
    <cellStyle name="Акцент4 3 3" xfId="471"/>
    <cellStyle name="Акцент4 3 4" xfId="472"/>
    <cellStyle name="Акцент4 3 5" xfId="473"/>
    <cellStyle name="Акцент4 3 6" xfId="474"/>
    <cellStyle name="Акцент4 3 7" xfId="475"/>
    <cellStyle name="Акцент4 3 8" xfId="476"/>
    <cellStyle name="Акцент4 3 9" xfId="477"/>
    <cellStyle name="Акцент5 2" xfId="478"/>
    <cellStyle name="Акцент5 2 10" xfId="479"/>
    <cellStyle name="Акцент5 2 2" xfId="480"/>
    <cellStyle name="Акцент5 2 3" xfId="481"/>
    <cellStyle name="Акцент5 2 4" xfId="482"/>
    <cellStyle name="Акцент5 2 5" xfId="483"/>
    <cellStyle name="Акцент5 2 6" xfId="484"/>
    <cellStyle name="Акцент5 2 7" xfId="485"/>
    <cellStyle name="Акцент5 2 8" xfId="486"/>
    <cellStyle name="Акцент5 2 9" xfId="487"/>
    <cellStyle name="Акцент5 3" xfId="488"/>
    <cellStyle name="Акцент5 3 10" xfId="489"/>
    <cellStyle name="Акцент5 3 2" xfId="490"/>
    <cellStyle name="Акцент5 3 3" xfId="491"/>
    <cellStyle name="Акцент5 3 4" xfId="492"/>
    <cellStyle name="Акцент5 3 5" xfId="493"/>
    <cellStyle name="Акцент5 3 6" xfId="494"/>
    <cellStyle name="Акцент5 3 7" xfId="495"/>
    <cellStyle name="Акцент5 3 8" xfId="496"/>
    <cellStyle name="Акцент5 3 9" xfId="497"/>
    <cellStyle name="Акцент6 2" xfId="498"/>
    <cellStyle name="Акцент6 2 10" xfId="499"/>
    <cellStyle name="Акцент6 2 2" xfId="500"/>
    <cellStyle name="Акцент6 2 3" xfId="501"/>
    <cellStyle name="Акцент6 2 4" xfId="502"/>
    <cellStyle name="Акцент6 2 5" xfId="503"/>
    <cellStyle name="Акцент6 2 6" xfId="504"/>
    <cellStyle name="Акцент6 2 7" xfId="505"/>
    <cellStyle name="Акцент6 2 8" xfId="506"/>
    <cellStyle name="Акцент6 2 9" xfId="507"/>
    <cellStyle name="Акцент6 3" xfId="508"/>
    <cellStyle name="Акцент6 3 10" xfId="509"/>
    <cellStyle name="Акцент6 3 2" xfId="510"/>
    <cellStyle name="Акцент6 3 3" xfId="511"/>
    <cellStyle name="Акцент6 3 4" xfId="512"/>
    <cellStyle name="Акцент6 3 5" xfId="513"/>
    <cellStyle name="Акцент6 3 6" xfId="514"/>
    <cellStyle name="Акцент6 3 7" xfId="515"/>
    <cellStyle name="Акцент6 3 8" xfId="516"/>
    <cellStyle name="Акцент6 3 9" xfId="517"/>
    <cellStyle name="Ввод  2" xfId="518"/>
    <cellStyle name="Ввод  2 10" xfId="519"/>
    <cellStyle name="Ввод  2 2" xfId="520"/>
    <cellStyle name="Ввод  2 3" xfId="521"/>
    <cellStyle name="Ввод  2 4" xfId="522"/>
    <cellStyle name="Ввод  2 5" xfId="523"/>
    <cellStyle name="Ввод  2 6" xfId="524"/>
    <cellStyle name="Ввод  2 7" xfId="525"/>
    <cellStyle name="Ввод  2 8" xfId="526"/>
    <cellStyle name="Ввод  2 9" xfId="527"/>
    <cellStyle name="Ввод  3" xfId="528"/>
    <cellStyle name="Ввод  3 10" xfId="529"/>
    <cellStyle name="Ввод  3 2" xfId="530"/>
    <cellStyle name="Ввод  3 3" xfId="531"/>
    <cellStyle name="Ввод  3 4" xfId="532"/>
    <cellStyle name="Ввод  3 5" xfId="533"/>
    <cellStyle name="Ввод  3 6" xfId="534"/>
    <cellStyle name="Ввод  3 7" xfId="535"/>
    <cellStyle name="Ввод  3 8" xfId="536"/>
    <cellStyle name="Ввод  3 9" xfId="537"/>
    <cellStyle name="Вывод 2" xfId="538"/>
    <cellStyle name="Вывод 2 10" xfId="539"/>
    <cellStyle name="Вывод 2 2" xfId="540"/>
    <cellStyle name="Вывод 2 3" xfId="541"/>
    <cellStyle name="Вывод 2 4" xfId="542"/>
    <cellStyle name="Вывод 2 5" xfId="543"/>
    <cellStyle name="Вывод 2 6" xfId="544"/>
    <cellStyle name="Вывод 2 7" xfId="545"/>
    <cellStyle name="Вывод 2 8" xfId="546"/>
    <cellStyle name="Вывод 2 9" xfId="547"/>
    <cellStyle name="Вывод 3" xfId="548"/>
    <cellStyle name="Вывод 3 10" xfId="549"/>
    <cellStyle name="Вывод 3 2" xfId="550"/>
    <cellStyle name="Вывод 3 3" xfId="551"/>
    <cellStyle name="Вывод 3 4" xfId="552"/>
    <cellStyle name="Вывод 3 5" xfId="553"/>
    <cellStyle name="Вывод 3 6" xfId="554"/>
    <cellStyle name="Вывод 3 7" xfId="555"/>
    <cellStyle name="Вывод 3 8" xfId="556"/>
    <cellStyle name="Вывод 3 9" xfId="557"/>
    <cellStyle name="Вычисление 2" xfId="558"/>
    <cellStyle name="Вычисление 2 10" xfId="559"/>
    <cellStyle name="Вычисление 2 2" xfId="560"/>
    <cellStyle name="Вычисление 2 3" xfId="561"/>
    <cellStyle name="Вычисление 2 4" xfId="562"/>
    <cellStyle name="Вычисление 2 5" xfId="563"/>
    <cellStyle name="Вычисление 2 6" xfId="564"/>
    <cellStyle name="Вычисление 2 7" xfId="565"/>
    <cellStyle name="Вычисление 2 8" xfId="566"/>
    <cellStyle name="Вычисление 2 9" xfId="567"/>
    <cellStyle name="Вычисление 3" xfId="568"/>
    <cellStyle name="Вычисление 3 10" xfId="569"/>
    <cellStyle name="Вычисление 3 2" xfId="570"/>
    <cellStyle name="Вычисление 3 3" xfId="571"/>
    <cellStyle name="Вычисление 3 4" xfId="572"/>
    <cellStyle name="Вычисление 3 5" xfId="573"/>
    <cellStyle name="Вычисление 3 6" xfId="574"/>
    <cellStyle name="Вычисление 3 7" xfId="575"/>
    <cellStyle name="Вычисление 3 8" xfId="576"/>
    <cellStyle name="Вычисление 3 9" xfId="577"/>
    <cellStyle name="Заголовок 1 2" xfId="578"/>
    <cellStyle name="Заголовок 1 2 10" xfId="579"/>
    <cellStyle name="Заголовок 1 2 2" xfId="580"/>
    <cellStyle name="Заголовок 1 2 3" xfId="581"/>
    <cellStyle name="Заголовок 1 2 4" xfId="582"/>
    <cellStyle name="Заголовок 1 2 5" xfId="583"/>
    <cellStyle name="Заголовок 1 2 6" xfId="584"/>
    <cellStyle name="Заголовок 1 2 7" xfId="585"/>
    <cellStyle name="Заголовок 1 2 8" xfId="586"/>
    <cellStyle name="Заголовок 1 2 9" xfId="587"/>
    <cellStyle name="Заголовок 1 3" xfId="588"/>
    <cellStyle name="Заголовок 1 3 10" xfId="589"/>
    <cellStyle name="Заголовок 1 3 2" xfId="590"/>
    <cellStyle name="Заголовок 1 3 3" xfId="591"/>
    <cellStyle name="Заголовок 1 3 4" xfId="592"/>
    <cellStyle name="Заголовок 1 3 5" xfId="593"/>
    <cellStyle name="Заголовок 1 3 6" xfId="594"/>
    <cellStyle name="Заголовок 1 3 7" xfId="595"/>
    <cellStyle name="Заголовок 1 3 8" xfId="596"/>
    <cellStyle name="Заголовок 1 3 9" xfId="597"/>
    <cellStyle name="Заголовок 2 2" xfId="598"/>
    <cellStyle name="Заголовок 2 2 10" xfId="599"/>
    <cellStyle name="Заголовок 2 2 2" xfId="600"/>
    <cellStyle name="Заголовок 2 2 3" xfId="601"/>
    <cellStyle name="Заголовок 2 2 4" xfId="602"/>
    <cellStyle name="Заголовок 2 2 5" xfId="603"/>
    <cellStyle name="Заголовок 2 2 6" xfId="604"/>
    <cellStyle name="Заголовок 2 2 7" xfId="605"/>
    <cellStyle name="Заголовок 2 2 8" xfId="606"/>
    <cellStyle name="Заголовок 2 2 9" xfId="607"/>
    <cellStyle name="Заголовок 2 3" xfId="608"/>
    <cellStyle name="Заголовок 2 3 10" xfId="609"/>
    <cellStyle name="Заголовок 2 3 2" xfId="610"/>
    <cellStyle name="Заголовок 2 3 3" xfId="611"/>
    <cellStyle name="Заголовок 2 3 4" xfId="612"/>
    <cellStyle name="Заголовок 2 3 5" xfId="613"/>
    <cellStyle name="Заголовок 2 3 6" xfId="614"/>
    <cellStyle name="Заголовок 2 3 7" xfId="615"/>
    <cellStyle name="Заголовок 2 3 8" xfId="616"/>
    <cellStyle name="Заголовок 2 3 9" xfId="617"/>
    <cellStyle name="Заголовок 3 2" xfId="618"/>
    <cellStyle name="Заголовок 3 2 10" xfId="619"/>
    <cellStyle name="Заголовок 3 2 2" xfId="620"/>
    <cellStyle name="Заголовок 3 2 3" xfId="621"/>
    <cellStyle name="Заголовок 3 2 4" xfId="622"/>
    <cellStyle name="Заголовок 3 2 5" xfId="623"/>
    <cellStyle name="Заголовок 3 2 6" xfId="624"/>
    <cellStyle name="Заголовок 3 2 7" xfId="625"/>
    <cellStyle name="Заголовок 3 2 8" xfId="626"/>
    <cellStyle name="Заголовок 3 2 9" xfId="627"/>
    <cellStyle name="Заголовок 3 3" xfId="628"/>
    <cellStyle name="Заголовок 3 3 10" xfId="629"/>
    <cellStyle name="Заголовок 3 3 2" xfId="630"/>
    <cellStyle name="Заголовок 3 3 3" xfId="631"/>
    <cellStyle name="Заголовок 3 3 4" xfId="632"/>
    <cellStyle name="Заголовок 3 3 5" xfId="633"/>
    <cellStyle name="Заголовок 3 3 6" xfId="634"/>
    <cellStyle name="Заголовок 3 3 7" xfId="635"/>
    <cellStyle name="Заголовок 3 3 8" xfId="636"/>
    <cellStyle name="Заголовок 3 3 9" xfId="637"/>
    <cellStyle name="Заголовок 4 2" xfId="638"/>
    <cellStyle name="Заголовок 4 2 10" xfId="639"/>
    <cellStyle name="Заголовок 4 2 2" xfId="640"/>
    <cellStyle name="Заголовок 4 2 3" xfId="641"/>
    <cellStyle name="Заголовок 4 2 4" xfId="642"/>
    <cellStyle name="Заголовок 4 2 5" xfId="643"/>
    <cellStyle name="Заголовок 4 2 6" xfId="644"/>
    <cellStyle name="Заголовок 4 2 7" xfId="645"/>
    <cellStyle name="Заголовок 4 2 8" xfId="646"/>
    <cellStyle name="Заголовок 4 2 9" xfId="647"/>
    <cellStyle name="Заголовок 4 3" xfId="648"/>
    <cellStyle name="Заголовок 4 3 10" xfId="649"/>
    <cellStyle name="Заголовок 4 3 2" xfId="650"/>
    <cellStyle name="Заголовок 4 3 3" xfId="651"/>
    <cellStyle name="Заголовок 4 3 4" xfId="652"/>
    <cellStyle name="Заголовок 4 3 5" xfId="653"/>
    <cellStyle name="Заголовок 4 3 6" xfId="654"/>
    <cellStyle name="Заголовок 4 3 7" xfId="655"/>
    <cellStyle name="Заголовок 4 3 8" xfId="656"/>
    <cellStyle name="Заголовок 4 3 9" xfId="657"/>
    <cellStyle name="Итог 2" xfId="658"/>
    <cellStyle name="Итог 2 10" xfId="659"/>
    <cellStyle name="Итог 2 2" xfId="660"/>
    <cellStyle name="Итог 2 3" xfId="661"/>
    <cellStyle name="Итог 2 4" xfId="662"/>
    <cellStyle name="Итог 2 5" xfId="663"/>
    <cellStyle name="Итог 2 6" xfId="664"/>
    <cellStyle name="Итог 2 7" xfId="665"/>
    <cellStyle name="Итог 2 8" xfId="666"/>
    <cellStyle name="Итог 2 9" xfId="667"/>
    <cellStyle name="Итог 3" xfId="668"/>
    <cellStyle name="Итог 3 10" xfId="669"/>
    <cellStyle name="Итог 3 2" xfId="670"/>
    <cellStyle name="Итог 3 3" xfId="671"/>
    <cellStyle name="Итог 3 4" xfId="672"/>
    <cellStyle name="Итог 3 5" xfId="673"/>
    <cellStyle name="Итог 3 6" xfId="674"/>
    <cellStyle name="Итог 3 7" xfId="675"/>
    <cellStyle name="Итог 3 8" xfId="676"/>
    <cellStyle name="Итог 3 9" xfId="677"/>
    <cellStyle name="Контрольная ячейка 2" xfId="678"/>
    <cellStyle name="Контрольная ячейка 2 10" xfId="679"/>
    <cellStyle name="Контрольная ячейка 2 2" xfId="680"/>
    <cellStyle name="Контрольная ячейка 2 3" xfId="681"/>
    <cellStyle name="Контрольная ячейка 2 4" xfId="682"/>
    <cellStyle name="Контрольная ячейка 2 5" xfId="683"/>
    <cellStyle name="Контрольная ячейка 2 6" xfId="684"/>
    <cellStyle name="Контрольная ячейка 2 7" xfId="685"/>
    <cellStyle name="Контрольная ячейка 2 8" xfId="686"/>
    <cellStyle name="Контрольная ячейка 2 9" xfId="687"/>
    <cellStyle name="Контрольная ячейка 3" xfId="688"/>
    <cellStyle name="Контрольная ячейка 3 10" xfId="689"/>
    <cellStyle name="Контрольная ячейка 3 2" xfId="690"/>
    <cellStyle name="Контрольная ячейка 3 3" xfId="691"/>
    <cellStyle name="Контрольная ячейка 3 4" xfId="692"/>
    <cellStyle name="Контрольная ячейка 3 5" xfId="693"/>
    <cellStyle name="Контрольная ячейка 3 6" xfId="694"/>
    <cellStyle name="Контрольная ячейка 3 7" xfId="695"/>
    <cellStyle name="Контрольная ячейка 3 8" xfId="696"/>
    <cellStyle name="Контрольная ячейка 3 9" xfId="697"/>
    <cellStyle name="Название 2" xfId="698"/>
    <cellStyle name="Название 2 10" xfId="699"/>
    <cellStyle name="Название 2 2" xfId="700"/>
    <cellStyle name="Название 2 3" xfId="701"/>
    <cellStyle name="Название 2 4" xfId="702"/>
    <cellStyle name="Название 2 5" xfId="703"/>
    <cellStyle name="Название 2 6" xfId="704"/>
    <cellStyle name="Название 2 7" xfId="705"/>
    <cellStyle name="Название 2 8" xfId="706"/>
    <cellStyle name="Название 2 9" xfId="707"/>
    <cellStyle name="Название 3" xfId="708"/>
    <cellStyle name="Название 3 10" xfId="709"/>
    <cellStyle name="Название 3 2" xfId="710"/>
    <cellStyle name="Название 3 3" xfId="711"/>
    <cellStyle name="Название 3 4" xfId="712"/>
    <cellStyle name="Название 3 5" xfId="713"/>
    <cellStyle name="Название 3 6" xfId="714"/>
    <cellStyle name="Название 3 7" xfId="715"/>
    <cellStyle name="Название 3 8" xfId="716"/>
    <cellStyle name="Название 3 9" xfId="717"/>
    <cellStyle name="Нейтральный 2" xfId="718"/>
    <cellStyle name="Нейтральный 2 10" xfId="719"/>
    <cellStyle name="Нейтральный 2 2" xfId="720"/>
    <cellStyle name="Нейтральный 2 3" xfId="721"/>
    <cellStyle name="Нейтральный 2 4" xfId="722"/>
    <cellStyle name="Нейтральный 2 5" xfId="723"/>
    <cellStyle name="Нейтральный 2 6" xfId="724"/>
    <cellStyle name="Нейтральный 2 7" xfId="725"/>
    <cellStyle name="Нейтральный 2 8" xfId="726"/>
    <cellStyle name="Нейтральный 2 9" xfId="727"/>
    <cellStyle name="Нейтральный 3" xfId="728"/>
    <cellStyle name="Нейтральный 3 10" xfId="729"/>
    <cellStyle name="Нейтральный 3 2" xfId="730"/>
    <cellStyle name="Нейтральный 3 3" xfId="731"/>
    <cellStyle name="Нейтральный 3 4" xfId="732"/>
    <cellStyle name="Нейтральный 3 5" xfId="733"/>
    <cellStyle name="Нейтральный 3 6" xfId="734"/>
    <cellStyle name="Нейтральный 3 7" xfId="735"/>
    <cellStyle name="Нейтральный 3 8" xfId="736"/>
    <cellStyle name="Нейтральный 3 9" xfId="737"/>
    <cellStyle name="Обычный" xfId="0" builtinId="0"/>
    <cellStyle name="Обычный 10" xfId="738"/>
    <cellStyle name="Обычный 10 2" xfId="739"/>
    <cellStyle name="Обычный 11" xfId="740"/>
    <cellStyle name="Обычный 12" xfId="741"/>
    <cellStyle name="Обычный 2" xfId="742"/>
    <cellStyle name="Обычный 2 10" xfId="743"/>
    <cellStyle name="Обычный 2 11" xfId="744"/>
    <cellStyle name="Обычный 2 12" xfId="745"/>
    <cellStyle name="Обычный 2 13" xfId="746"/>
    <cellStyle name="Обычный 2 2" xfId="747"/>
    <cellStyle name="Обычный 2 3" xfId="748"/>
    <cellStyle name="Обычный 2 4" xfId="749"/>
    <cellStyle name="Обычный 2 5" xfId="750"/>
    <cellStyle name="Обычный 2 6" xfId="751"/>
    <cellStyle name="Обычный 2 7" xfId="752"/>
    <cellStyle name="Обычный 2 8" xfId="753"/>
    <cellStyle name="Обычный 2 9" xfId="754"/>
    <cellStyle name="Обычный 3" xfId="755"/>
    <cellStyle name="Обычный 3 2" xfId="756"/>
    <cellStyle name="Обычный 3 3" xfId="757"/>
    <cellStyle name="Обычный 3 4" xfId="758"/>
    <cellStyle name="Обычный 3 5" xfId="759"/>
    <cellStyle name="Обычный 3 6" xfId="760"/>
    <cellStyle name="Обычный 3 7" xfId="761"/>
    <cellStyle name="Обычный 4" xfId="762"/>
    <cellStyle name="Обычный 4 2" xfId="763"/>
    <cellStyle name="Обычный 4 3" xfId="764"/>
    <cellStyle name="Обычный 4 4" xfId="765"/>
    <cellStyle name="Обычный 4 5" xfId="766"/>
    <cellStyle name="Обычный 4 6" xfId="767"/>
    <cellStyle name="Обычный 4 6 10" xfId="768"/>
    <cellStyle name="Обычный 4 6 2" xfId="769"/>
    <cellStyle name="Обычный 4 6 3" xfId="770"/>
    <cellStyle name="Обычный 4 6 4" xfId="771"/>
    <cellStyle name="Обычный 4 6 5" xfId="772"/>
    <cellStyle name="Обычный 4 6 6" xfId="773"/>
    <cellStyle name="Обычный 4 6 7" xfId="774"/>
    <cellStyle name="Обычный 4 6 8" xfId="775"/>
    <cellStyle name="Обычный 4 6 9" xfId="776"/>
    <cellStyle name="Обычный 4 7" xfId="777"/>
    <cellStyle name="Обычный 4 7 10" xfId="778"/>
    <cellStyle name="Обычный 4 7 2" xfId="779"/>
    <cellStyle name="Обычный 4 7 3" xfId="780"/>
    <cellStyle name="Обычный 4 7 4" xfId="781"/>
    <cellStyle name="Обычный 4 7 5" xfId="782"/>
    <cellStyle name="Обычный 4 7 6" xfId="783"/>
    <cellStyle name="Обычный 4 7 7" xfId="784"/>
    <cellStyle name="Обычный 4 7 8" xfId="785"/>
    <cellStyle name="Обычный 4 7 9" xfId="786"/>
    <cellStyle name="Обычный 4 8" xfId="787"/>
    <cellStyle name="Обычный 4 8 10" xfId="788"/>
    <cellStyle name="Обычный 4 8 2" xfId="789"/>
    <cellStyle name="Обычный 4 8 3" xfId="790"/>
    <cellStyle name="Обычный 4 8 4" xfId="791"/>
    <cellStyle name="Обычный 4 8 5" xfId="792"/>
    <cellStyle name="Обычный 4 8 6" xfId="793"/>
    <cellStyle name="Обычный 4 8 7" xfId="794"/>
    <cellStyle name="Обычный 4 8 8" xfId="795"/>
    <cellStyle name="Обычный 4 8 9" xfId="796"/>
    <cellStyle name="Обычный 4 9" xfId="797"/>
    <cellStyle name="Обычный 4 9 10" xfId="798"/>
    <cellStyle name="Обычный 4 9 2" xfId="799"/>
    <cellStyle name="Обычный 4 9 3" xfId="800"/>
    <cellStyle name="Обычный 4 9 4" xfId="801"/>
    <cellStyle name="Обычный 4 9 5" xfId="802"/>
    <cellStyle name="Обычный 4 9 6" xfId="803"/>
    <cellStyle name="Обычный 4 9 7" xfId="804"/>
    <cellStyle name="Обычный 4 9 8" xfId="805"/>
    <cellStyle name="Обычный 4 9 9" xfId="806"/>
    <cellStyle name="Обычный 5" xfId="807"/>
    <cellStyle name="Обычный 6" xfId="808"/>
    <cellStyle name="Обычный 7" xfId="809"/>
    <cellStyle name="Обычный 7 2" xfId="810"/>
    <cellStyle name="Обычный 7 3" xfId="811"/>
    <cellStyle name="Обычный 7 4" xfId="812"/>
    <cellStyle name="Обычный 7 5" xfId="813"/>
    <cellStyle name="Обычный 7 6" xfId="814"/>
    <cellStyle name="Обычный 7 7" xfId="815"/>
    <cellStyle name="Обычный 7 8" xfId="816"/>
    <cellStyle name="Обычный 7 9" xfId="817"/>
    <cellStyle name="Обычный 8" xfId="818"/>
    <cellStyle name="Обычный 8 2" xfId="819"/>
    <cellStyle name="Обычный 8 3" xfId="820"/>
    <cellStyle name="Обычный 8 4" xfId="821"/>
    <cellStyle name="Обычный 8 5" xfId="822"/>
    <cellStyle name="Обычный 8 6" xfId="823"/>
    <cellStyle name="Обычный 8 7" xfId="824"/>
    <cellStyle name="Обычный 9" xfId="825"/>
    <cellStyle name="Обычный 9 2" xfId="826"/>
    <cellStyle name="Плохой 2" xfId="827"/>
    <cellStyle name="Плохой 2 10" xfId="828"/>
    <cellStyle name="Плохой 2 2" xfId="829"/>
    <cellStyle name="Плохой 2 3" xfId="830"/>
    <cellStyle name="Плохой 2 4" xfId="831"/>
    <cellStyle name="Плохой 2 5" xfId="832"/>
    <cellStyle name="Плохой 2 6" xfId="833"/>
    <cellStyle name="Плохой 2 7" xfId="834"/>
    <cellStyle name="Плохой 2 8" xfId="835"/>
    <cellStyle name="Плохой 2 9" xfId="836"/>
    <cellStyle name="Плохой 3" xfId="837"/>
    <cellStyle name="Плохой 3 10" xfId="838"/>
    <cellStyle name="Плохой 3 2" xfId="839"/>
    <cellStyle name="Плохой 3 3" xfId="840"/>
    <cellStyle name="Плохой 3 4" xfId="841"/>
    <cellStyle name="Плохой 3 5" xfId="842"/>
    <cellStyle name="Плохой 3 6" xfId="843"/>
    <cellStyle name="Плохой 3 7" xfId="844"/>
    <cellStyle name="Плохой 3 8" xfId="845"/>
    <cellStyle name="Плохой 3 9" xfId="846"/>
    <cellStyle name="Пояснение 2" xfId="847"/>
    <cellStyle name="Пояснение 2 10" xfId="848"/>
    <cellStyle name="Пояснение 2 2" xfId="849"/>
    <cellStyle name="Пояснение 2 3" xfId="850"/>
    <cellStyle name="Пояснение 2 4" xfId="851"/>
    <cellStyle name="Пояснение 2 5" xfId="852"/>
    <cellStyle name="Пояснение 2 6" xfId="853"/>
    <cellStyle name="Пояснение 2 7" xfId="854"/>
    <cellStyle name="Пояснение 2 8" xfId="855"/>
    <cellStyle name="Пояснение 2 9" xfId="856"/>
    <cellStyle name="Пояснение 3" xfId="857"/>
    <cellStyle name="Пояснение 3 10" xfId="858"/>
    <cellStyle name="Пояснение 3 2" xfId="859"/>
    <cellStyle name="Пояснение 3 3" xfId="860"/>
    <cellStyle name="Пояснение 3 4" xfId="861"/>
    <cellStyle name="Пояснение 3 5" xfId="862"/>
    <cellStyle name="Пояснение 3 6" xfId="863"/>
    <cellStyle name="Пояснение 3 7" xfId="864"/>
    <cellStyle name="Пояснение 3 8" xfId="865"/>
    <cellStyle name="Пояснение 3 9" xfId="866"/>
    <cellStyle name="Примечание 2" xfId="867"/>
    <cellStyle name="Примечание 2 10" xfId="868"/>
    <cellStyle name="Примечание 2 2" xfId="869"/>
    <cellStyle name="Примечание 2 3" xfId="870"/>
    <cellStyle name="Примечание 2 4" xfId="871"/>
    <cellStyle name="Примечание 2 5" xfId="872"/>
    <cellStyle name="Примечание 2 6" xfId="873"/>
    <cellStyle name="Примечание 2 7" xfId="874"/>
    <cellStyle name="Примечание 2 8" xfId="875"/>
    <cellStyle name="Примечание 2 9" xfId="876"/>
    <cellStyle name="Примечание 3" xfId="877"/>
    <cellStyle name="Примечание 3 10" xfId="878"/>
    <cellStyle name="Примечание 3 2" xfId="879"/>
    <cellStyle name="Примечание 3 3" xfId="880"/>
    <cellStyle name="Примечание 3 4" xfId="881"/>
    <cellStyle name="Примечание 3 5" xfId="882"/>
    <cellStyle name="Примечание 3 6" xfId="883"/>
    <cellStyle name="Примечание 3 7" xfId="884"/>
    <cellStyle name="Примечание 3 8" xfId="885"/>
    <cellStyle name="Примечание 3 9" xfId="886"/>
    <cellStyle name="Процентный" xfId="1" builtinId="5"/>
    <cellStyle name="Процентный 2" xfId="887"/>
    <cellStyle name="Процентный 2 2" xfId="888"/>
    <cellStyle name="Процентный 3" xfId="889"/>
    <cellStyle name="Процентный 4" xfId="890"/>
    <cellStyle name="Связанная ячейка 2" xfId="891"/>
    <cellStyle name="Связанная ячейка 2 10" xfId="892"/>
    <cellStyle name="Связанная ячейка 2 2" xfId="893"/>
    <cellStyle name="Связанная ячейка 2 3" xfId="894"/>
    <cellStyle name="Связанная ячейка 2 4" xfId="895"/>
    <cellStyle name="Связанная ячейка 2 5" xfId="896"/>
    <cellStyle name="Связанная ячейка 2 6" xfId="897"/>
    <cellStyle name="Связанная ячейка 2 7" xfId="898"/>
    <cellStyle name="Связанная ячейка 2 8" xfId="899"/>
    <cellStyle name="Связанная ячейка 2 9" xfId="900"/>
    <cellStyle name="Связанная ячейка 3" xfId="901"/>
    <cellStyle name="Связанная ячейка 3 10" xfId="902"/>
    <cellStyle name="Связанная ячейка 3 2" xfId="903"/>
    <cellStyle name="Связанная ячейка 3 3" xfId="904"/>
    <cellStyle name="Связанная ячейка 3 4" xfId="905"/>
    <cellStyle name="Связанная ячейка 3 5" xfId="906"/>
    <cellStyle name="Связанная ячейка 3 6" xfId="907"/>
    <cellStyle name="Связанная ячейка 3 7" xfId="908"/>
    <cellStyle name="Связанная ячейка 3 8" xfId="909"/>
    <cellStyle name="Связанная ячейка 3 9" xfId="910"/>
    <cellStyle name="Текст предупреждения 2" xfId="911"/>
    <cellStyle name="Текст предупреждения 2 10" xfId="912"/>
    <cellStyle name="Текст предупреждения 2 2" xfId="913"/>
    <cellStyle name="Текст предупреждения 2 3" xfId="914"/>
    <cellStyle name="Текст предупреждения 2 4" xfId="915"/>
    <cellStyle name="Текст предупреждения 2 5" xfId="916"/>
    <cellStyle name="Текст предупреждения 2 6" xfId="917"/>
    <cellStyle name="Текст предупреждения 2 7" xfId="918"/>
    <cellStyle name="Текст предупреждения 2 8" xfId="919"/>
    <cellStyle name="Текст предупреждения 2 9" xfId="920"/>
    <cellStyle name="Текст предупреждения 3" xfId="921"/>
    <cellStyle name="Текст предупреждения 3 10" xfId="922"/>
    <cellStyle name="Текст предупреждения 3 2" xfId="923"/>
    <cellStyle name="Текст предупреждения 3 3" xfId="924"/>
    <cellStyle name="Текст предупреждения 3 4" xfId="925"/>
    <cellStyle name="Текст предупреждения 3 5" xfId="926"/>
    <cellStyle name="Текст предупреждения 3 6" xfId="927"/>
    <cellStyle name="Текст предупреждения 3 7" xfId="928"/>
    <cellStyle name="Текст предупреждения 3 8" xfId="929"/>
    <cellStyle name="Текст предупреждения 3 9" xfId="930"/>
    <cellStyle name="Хороший 2" xfId="931"/>
    <cellStyle name="Хороший 2 10" xfId="932"/>
    <cellStyle name="Хороший 2 2" xfId="933"/>
    <cellStyle name="Хороший 2 3" xfId="934"/>
    <cellStyle name="Хороший 2 4" xfId="935"/>
    <cellStyle name="Хороший 2 5" xfId="936"/>
    <cellStyle name="Хороший 2 6" xfId="937"/>
    <cellStyle name="Хороший 2 7" xfId="938"/>
    <cellStyle name="Хороший 2 8" xfId="939"/>
    <cellStyle name="Хороший 2 9" xfId="940"/>
    <cellStyle name="Хороший 3" xfId="941"/>
    <cellStyle name="Хороший 3 10" xfId="942"/>
    <cellStyle name="Хороший 3 2" xfId="943"/>
    <cellStyle name="Хороший 3 3" xfId="944"/>
    <cellStyle name="Хороший 3 4" xfId="945"/>
    <cellStyle name="Хороший 3 5" xfId="946"/>
    <cellStyle name="Хороший 3 6" xfId="947"/>
    <cellStyle name="Хороший 3 7" xfId="948"/>
    <cellStyle name="Хороший 3 8" xfId="949"/>
    <cellStyle name="Хороший 3 9" xfId="9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7;&#1056;&#1055;%20&#1080;%20&#1054;&#1054;&#1054;%20&#1056;&#1077;&#1084;&#1089;&#1090;&#1088;&#1086;&#1081;&#1089;&#1077;&#1088;&#1074;&#1080;&#1089;\&#1048;&#1055;%20&#1057;&#1080;&#1076;&#1086;&#1088;&#1086;&#1074;%20&#1040;.&#1041;.%20%20&#1041;&#1047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9;&#1089;&#1090;&#1100;-&#1050;&#1086;&#1078;&#1072;%20%20-%20&#1055;&#1086;&#1088;&#1086;&#1075;%20&#1041;&#1047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8;&#1055;%20&#1062;&#1091;&#1088;&#1082;&#1086;%20&#1045;.&#1070;\&#1048;&#1055;%20&#1062;&#1091;&#1088;&#1082;&#1086;%20&#1045;.&#1070;.%202%20&#1083;&#1080;&#1085;&#1080;&#1080;%202017-2019%20&#1075;&#1086;&#107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9;&#1089;&#1090;&#1100;-&#1055;&#1080;&#1085;&#1077;&#1075;&#1072;%20&#1051;&#1103;&#1074;&#1083;&#1103;\&#1059;&#1089;&#1090;&#1100;-&#1055;&#1080;&#1085;&#1077;&#1078;&#1089;&#1082;&#1080;&#1081;%20&#1051;&#1055;&#1061;%20&#1051;&#1103;&#1074;&#1083;&#1103;%202017-2019%20&#1075;&#1086;&#10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54;&#1054;&#1054;%20&#1057;&#1080;&#1074;&#1077;&#1088;&#1082;&#1086;%20&#1041;&#1047;%202017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Арханг-ВТ"/>
      <sheetName val="Сойга"/>
      <sheetName val="Н-В Тойма"/>
      <sheetName val="Зарплата основных"/>
      <sheetName val="Прочие расходы"/>
      <sheetName val="Распределяемые"/>
      <sheetName val="БЗ 08-11"/>
      <sheetName val="Топл"/>
      <sheetName val="Кап. рем"/>
      <sheetName val="Лист3"/>
    </sheetNames>
    <sheetDataSet>
      <sheetData sheetId="0"/>
      <sheetData sheetId="1"/>
      <sheetData sheetId="2"/>
      <sheetData sheetId="3">
        <row r="14">
          <cell r="AM14">
            <v>105.5</v>
          </cell>
        </row>
        <row r="33">
          <cell r="AB33">
            <v>5241</v>
          </cell>
        </row>
        <row r="34">
          <cell r="AB34">
            <v>889.36500000000001</v>
          </cell>
        </row>
        <row r="38">
          <cell r="AB38">
            <v>262.05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"/>
      <sheetName val="тариф"/>
      <sheetName val="тарифы"/>
    </sheetNames>
    <sheetDataSet>
      <sheetData sheetId="0">
        <row r="41">
          <cell r="AU41">
            <v>3293.3921976499996</v>
          </cell>
        </row>
        <row r="44">
          <cell r="AU44">
            <v>731.34710000000007</v>
          </cell>
        </row>
        <row r="49">
          <cell r="AU49">
            <v>164.6696098825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егашевская"/>
      <sheetName val="Лямца"/>
      <sheetName val="топливо"/>
      <sheetName val="Прочие расходы"/>
      <sheetName val="ФОТ (Легашевская и Лямца)"/>
      <sheetName val="тариф"/>
      <sheetName val="Доходы"/>
    </sheetNames>
    <sheetDataSet>
      <sheetData sheetId="0" refreshError="1">
        <row r="15">
          <cell r="AE15">
            <v>3565.1853625000003</v>
          </cell>
        </row>
        <row r="28">
          <cell r="AE28">
            <v>5804.5715572328018</v>
          </cell>
        </row>
      </sheetData>
      <sheetData sheetId="1" refreshError="1">
        <row r="11">
          <cell r="AD11">
            <v>157.5</v>
          </cell>
        </row>
        <row r="25">
          <cell r="AD25">
            <v>792.19978678820542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Расчет зар. платы"/>
      <sheetName val="прочие расходы"/>
      <sheetName val="Общехозяйственные "/>
      <sheetName val="Распр. общ."/>
      <sheetName val="Лист2"/>
      <sheetName val="Лист3"/>
    </sheetNames>
    <sheetDataSet>
      <sheetData sheetId="0">
        <row r="31">
          <cell r="CW31">
            <v>2221025.6370041845</v>
          </cell>
        </row>
        <row r="43">
          <cell r="CW43">
            <v>158548.5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8">
          <cell r="M18">
            <v>1020</v>
          </cell>
        </row>
        <row r="39">
          <cell r="M39">
            <v>3044.0185510444007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20"/>
  <sheetViews>
    <sheetView tabSelected="1" view="pageBreakPreview" zoomScale="70" zoomScaleNormal="70" zoomScaleSheetLayoutView="70" workbookViewId="0">
      <pane xSplit="25" ySplit="4" topLeftCell="AR11" activePane="bottomRight" state="frozen"/>
      <selection pane="topRight" activeCell="Z1" sqref="Z1"/>
      <selection pane="bottomLeft" activeCell="A10" sqref="A10"/>
      <selection pane="bottomRight" activeCell="AT12" sqref="AT12"/>
    </sheetView>
  </sheetViews>
  <sheetFormatPr defaultColWidth="55" defaultRowHeight="15.75" outlineLevelCol="1"/>
  <cols>
    <col min="1" max="1" width="49.42578125" style="201" customWidth="1"/>
    <col min="2" max="2" width="2.5703125" style="201" hidden="1" customWidth="1" outlineLevel="1"/>
    <col min="3" max="3" width="3.28515625" style="201" hidden="1" customWidth="1" outlineLevel="1"/>
    <col min="4" max="4" width="16.5703125" style="201" hidden="1" customWidth="1" outlineLevel="1"/>
    <col min="5" max="5" width="18.28515625" style="201" hidden="1" customWidth="1" outlineLevel="1"/>
    <col min="6" max="6" width="14.7109375" style="201" hidden="1" customWidth="1" outlineLevel="1"/>
    <col min="7" max="7" width="17.28515625" style="201" hidden="1" customWidth="1" outlineLevel="1"/>
    <col min="8" max="8" width="10" style="201" hidden="1" customWidth="1" outlineLevel="1"/>
    <col min="9" max="9" width="17.140625" style="201" hidden="1" customWidth="1" outlineLevel="1"/>
    <col min="10" max="10" width="10" style="201" hidden="1" customWidth="1" outlineLevel="1"/>
    <col min="11" max="11" width="17.140625" style="201" hidden="1" customWidth="1" outlineLevel="1"/>
    <col min="12" max="12" width="10.28515625" style="201" hidden="1" customWidth="1" outlineLevel="1"/>
    <col min="13" max="13" width="17.140625" style="201" hidden="1" customWidth="1" outlineLevel="1"/>
    <col min="14" max="14" width="10.28515625" style="201" hidden="1" customWidth="1" outlineLevel="1"/>
    <col min="15" max="15" width="17.140625" style="201" hidden="1" customWidth="1" outlineLevel="1" collapsed="1"/>
    <col min="16" max="16" width="23.5703125" style="201" hidden="1" customWidth="1" outlineLevel="1"/>
    <col min="17" max="17" width="13.140625" style="201" hidden="1" customWidth="1" outlineLevel="1"/>
    <col min="18" max="18" width="12.28515625" style="201" hidden="1" customWidth="1" outlineLevel="1"/>
    <col min="19" max="19" width="12.140625" style="201" hidden="1" customWidth="1" outlineLevel="1"/>
    <col min="20" max="20" width="11.28515625" style="201" hidden="1" customWidth="1" outlineLevel="1"/>
    <col min="21" max="21" width="9.42578125" style="201" hidden="1" customWidth="1" outlineLevel="1"/>
    <col min="22" max="22" width="13.42578125" style="201" hidden="1" customWidth="1" outlineLevel="1"/>
    <col min="23" max="23" width="12.5703125" style="201" hidden="1" customWidth="1" outlineLevel="1"/>
    <col min="24" max="24" width="13.28515625" style="201" hidden="1" customWidth="1" outlineLevel="1"/>
    <col min="25" max="25" width="9.42578125" style="201" hidden="1" customWidth="1" outlineLevel="1" collapsed="1"/>
    <col min="26" max="26" width="17.85546875" style="201" hidden="1" customWidth="1" collapsed="1"/>
    <col min="27" max="27" width="17" style="201" hidden="1" customWidth="1"/>
    <col min="28" max="28" width="14.85546875" style="204" hidden="1" customWidth="1"/>
    <col min="29" max="29" width="14.7109375" style="204" hidden="1" customWidth="1"/>
    <col min="30" max="30" width="12.140625" style="204" hidden="1" customWidth="1"/>
    <col min="31" max="31" width="14.7109375" style="204" hidden="1" customWidth="1"/>
    <col min="32" max="32" width="11.7109375" style="205" hidden="1" customWidth="1"/>
    <col min="33" max="33" width="18.7109375" style="205" hidden="1" customWidth="1"/>
    <col min="34" max="34" width="17" style="205" hidden="1" customWidth="1"/>
    <col min="35" max="35" width="16" style="204" hidden="1" customWidth="1"/>
    <col min="36" max="36" width="14.7109375" style="204" hidden="1" customWidth="1"/>
    <col min="37" max="37" width="16.42578125" style="204" hidden="1" customWidth="1"/>
    <col min="38" max="38" width="12.5703125" style="204" hidden="1" customWidth="1"/>
    <col min="39" max="39" width="17" style="204" hidden="1" customWidth="1"/>
    <col min="40" max="40" width="15.85546875" style="204" customWidth="1"/>
    <col min="41" max="42" width="13.140625" style="204" customWidth="1"/>
    <col min="43" max="43" width="15.85546875" style="204" customWidth="1"/>
    <col min="44" max="44" width="12.85546875" style="204" customWidth="1"/>
    <col min="45" max="45" width="14.140625" style="205" customWidth="1"/>
    <col min="46" max="46" width="14.140625" style="204" customWidth="1"/>
    <col min="47" max="47" width="12.28515625" style="204" customWidth="1"/>
    <col min="48" max="48" width="14.42578125" style="204" customWidth="1"/>
    <col min="49" max="49" width="15.5703125" style="204" customWidth="1"/>
    <col min="50" max="50" width="14.5703125" style="201" customWidth="1"/>
    <col min="51" max="51" width="13" style="201" customWidth="1"/>
    <col min="52" max="52" width="11.28515625" style="201" customWidth="1"/>
    <col min="53" max="53" width="14.140625" style="201" customWidth="1"/>
    <col min="54" max="54" width="12" style="201" customWidth="1"/>
    <col min="55" max="55" width="15" style="201" customWidth="1"/>
    <col min="56" max="56" width="13.140625" style="201" customWidth="1"/>
    <col min="57" max="58" width="15.5703125" style="201" customWidth="1"/>
    <col min="59" max="59" width="12.140625" style="201" customWidth="1"/>
    <col min="60" max="16384" width="55" style="201"/>
  </cols>
  <sheetData>
    <row r="1" spans="1:59" ht="60" customHeight="1">
      <c r="A1" s="200" t="s">
        <v>146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</row>
    <row r="2" spans="1:59" ht="14.25" customHeight="1" thickBot="1">
      <c r="B2" s="202"/>
      <c r="C2" s="202"/>
      <c r="D2" s="202"/>
      <c r="E2" s="202"/>
      <c r="F2" s="202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S2" s="203"/>
      <c r="AW2" s="201"/>
      <c r="BG2" s="206" t="s">
        <v>0</v>
      </c>
    </row>
    <row r="3" spans="1:59" ht="30.75" customHeight="1" thickBot="1">
      <c r="A3" s="207"/>
      <c r="B3" s="208" t="s">
        <v>1</v>
      </c>
      <c r="C3" s="209" t="s">
        <v>2</v>
      </c>
      <c r="D3" s="210" t="s">
        <v>3</v>
      </c>
      <c r="E3" s="211"/>
      <c r="F3" s="210" t="s">
        <v>4</v>
      </c>
      <c r="G3" s="212"/>
      <c r="H3" s="212"/>
      <c r="I3" s="210" t="s">
        <v>5</v>
      </c>
      <c r="J3" s="211"/>
      <c r="K3" s="212" t="s">
        <v>6</v>
      </c>
      <c r="L3" s="211"/>
      <c r="M3" s="210" t="s">
        <v>7</v>
      </c>
      <c r="N3" s="212"/>
      <c r="O3" s="213" t="s">
        <v>8</v>
      </c>
      <c r="P3" s="214"/>
      <c r="Q3" s="215" t="s">
        <v>9</v>
      </c>
      <c r="R3" s="216"/>
      <c r="S3" s="216"/>
      <c r="T3" s="216"/>
      <c r="U3" s="216"/>
      <c r="V3" s="216" t="s">
        <v>10</v>
      </c>
      <c r="W3" s="216"/>
      <c r="X3" s="216"/>
      <c r="Y3" s="217"/>
      <c r="Z3" s="218" t="s">
        <v>11</v>
      </c>
      <c r="AA3" s="219" t="s">
        <v>37</v>
      </c>
      <c r="AB3" s="215" t="s">
        <v>39</v>
      </c>
      <c r="AC3" s="216"/>
      <c r="AD3" s="216"/>
      <c r="AE3" s="216"/>
      <c r="AF3" s="217"/>
      <c r="AG3" s="218" t="s">
        <v>42</v>
      </c>
      <c r="AH3" s="213" t="s">
        <v>12</v>
      </c>
      <c r="AI3" s="216"/>
      <c r="AJ3" s="216"/>
      <c r="AK3" s="216"/>
      <c r="AL3" s="214"/>
      <c r="AM3" s="220" t="s">
        <v>40</v>
      </c>
      <c r="AN3" s="210" t="s">
        <v>13</v>
      </c>
      <c r="AO3" s="212"/>
      <c r="AP3" s="212"/>
      <c r="AQ3" s="212"/>
      <c r="AR3" s="211"/>
      <c r="AS3" s="213" t="s">
        <v>43</v>
      </c>
      <c r="AT3" s="216"/>
      <c r="AU3" s="216"/>
      <c r="AV3" s="216"/>
      <c r="AW3" s="217"/>
      <c r="AX3" s="213" t="s">
        <v>47</v>
      </c>
      <c r="AY3" s="216"/>
      <c r="AZ3" s="216"/>
      <c r="BA3" s="216"/>
      <c r="BB3" s="217"/>
      <c r="BC3" s="213" t="s">
        <v>131</v>
      </c>
      <c r="BD3" s="216"/>
      <c r="BE3" s="216"/>
      <c r="BF3" s="216"/>
      <c r="BG3" s="214"/>
    </row>
    <row r="4" spans="1:59" ht="74.25" customHeight="1">
      <c r="A4" s="221"/>
      <c r="B4" s="222" t="s">
        <v>14</v>
      </c>
      <c r="C4" s="223" t="s">
        <v>15</v>
      </c>
      <c r="D4" s="223" t="s">
        <v>16</v>
      </c>
      <c r="E4" s="223" t="s">
        <v>17</v>
      </c>
      <c r="F4" s="223" t="s">
        <v>16</v>
      </c>
      <c r="G4" s="224" t="s">
        <v>18</v>
      </c>
      <c r="H4" s="225" t="s">
        <v>19</v>
      </c>
      <c r="I4" s="224" t="s">
        <v>20</v>
      </c>
      <c r="J4" s="226" t="s">
        <v>21</v>
      </c>
      <c r="K4" s="227" t="s">
        <v>22</v>
      </c>
      <c r="L4" s="226" t="s">
        <v>21</v>
      </c>
      <c r="M4" s="224" t="s">
        <v>23</v>
      </c>
      <c r="N4" s="225" t="s">
        <v>24</v>
      </c>
      <c r="O4" s="228" t="s">
        <v>25</v>
      </c>
      <c r="P4" s="229" t="s">
        <v>26</v>
      </c>
      <c r="Q4" s="230" t="s">
        <v>27</v>
      </c>
      <c r="R4" s="231" t="s">
        <v>28</v>
      </c>
      <c r="S4" s="231" t="s">
        <v>29</v>
      </c>
      <c r="T4" s="231" t="s">
        <v>30</v>
      </c>
      <c r="U4" s="231" t="s">
        <v>31</v>
      </c>
      <c r="V4" s="231" t="s">
        <v>27</v>
      </c>
      <c r="W4" s="231" t="s">
        <v>28</v>
      </c>
      <c r="X4" s="231" t="s">
        <v>30</v>
      </c>
      <c r="Y4" s="232"/>
      <c r="Z4" s="233" t="s">
        <v>44</v>
      </c>
      <c r="AA4" s="234"/>
      <c r="AB4" s="230" t="s">
        <v>27</v>
      </c>
      <c r="AC4" s="231" t="s">
        <v>28</v>
      </c>
      <c r="AD4" s="231" t="s">
        <v>32</v>
      </c>
      <c r="AE4" s="231" t="s">
        <v>30</v>
      </c>
      <c r="AF4" s="232" t="s">
        <v>38</v>
      </c>
      <c r="AG4" s="233" t="s">
        <v>45</v>
      </c>
      <c r="AH4" s="228" t="s">
        <v>27</v>
      </c>
      <c r="AI4" s="231" t="s">
        <v>28</v>
      </c>
      <c r="AJ4" s="231" t="s">
        <v>29</v>
      </c>
      <c r="AK4" s="231" t="s">
        <v>30</v>
      </c>
      <c r="AL4" s="229" t="s">
        <v>33</v>
      </c>
      <c r="AM4" s="235" t="s">
        <v>115</v>
      </c>
      <c r="AN4" s="236" t="s">
        <v>27</v>
      </c>
      <c r="AO4" s="237" t="s">
        <v>28</v>
      </c>
      <c r="AP4" s="237" t="s">
        <v>29</v>
      </c>
      <c r="AQ4" s="237" t="s">
        <v>134</v>
      </c>
      <c r="AR4" s="238" t="s">
        <v>34</v>
      </c>
      <c r="AS4" s="228" t="s">
        <v>27</v>
      </c>
      <c r="AT4" s="231" t="s">
        <v>28</v>
      </c>
      <c r="AU4" s="231" t="s">
        <v>133</v>
      </c>
      <c r="AV4" s="237" t="s">
        <v>134</v>
      </c>
      <c r="AW4" s="232" t="s">
        <v>46</v>
      </c>
      <c r="AX4" s="239" t="s">
        <v>27</v>
      </c>
      <c r="AY4" s="240" t="s">
        <v>28</v>
      </c>
      <c r="AZ4" s="240" t="s">
        <v>29</v>
      </c>
      <c r="BA4" s="240" t="s">
        <v>134</v>
      </c>
      <c r="BB4" s="241" t="s">
        <v>46</v>
      </c>
      <c r="BC4" s="239" t="s">
        <v>27</v>
      </c>
      <c r="BD4" s="240" t="s">
        <v>28</v>
      </c>
      <c r="BE4" s="240" t="s">
        <v>29</v>
      </c>
      <c r="BF4" s="240" t="s">
        <v>134</v>
      </c>
      <c r="BG4" s="242" t="s">
        <v>46</v>
      </c>
    </row>
    <row r="5" spans="1:59" ht="33" customHeight="1">
      <c r="A5" s="243" t="s">
        <v>147</v>
      </c>
      <c r="B5" s="1"/>
      <c r="C5" s="2"/>
      <c r="D5" s="2"/>
      <c r="E5" s="2"/>
      <c r="F5" s="2"/>
      <c r="G5" s="110"/>
      <c r="H5" s="106"/>
      <c r="I5" s="107"/>
      <c r="J5" s="106"/>
      <c r="K5" s="107"/>
      <c r="L5" s="111"/>
      <c r="M5" s="2"/>
      <c r="N5" s="111"/>
      <c r="O5" s="112"/>
      <c r="P5" s="6"/>
      <c r="Q5" s="7"/>
      <c r="R5" s="7"/>
      <c r="S5" s="4"/>
      <c r="T5" s="7"/>
      <c r="U5" s="4"/>
      <c r="V5" s="8"/>
      <c r="W5" s="8"/>
      <c r="X5" s="9"/>
      <c r="Y5" s="8"/>
      <c r="Z5" s="8"/>
      <c r="AA5" s="8"/>
      <c r="AB5" s="138"/>
      <c r="AC5" s="138"/>
      <c r="AD5" s="3"/>
      <c r="AE5" s="138"/>
      <c r="AF5" s="139"/>
      <c r="AG5" s="108"/>
      <c r="AH5" s="138">
        <f t="shared" ref="AH5:AI5" si="0">SUM(AH6:AH14)</f>
        <v>62293.664990455713</v>
      </c>
      <c r="AI5" s="138">
        <f t="shared" si="0"/>
        <v>21264.671584441956</v>
      </c>
      <c r="AJ5" s="138"/>
      <c r="AK5" s="138">
        <f>SUM(AK6:AK14)</f>
        <v>41028.993406013753</v>
      </c>
      <c r="AL5" s="140"/>
      <c r="AM5" s="244">
        <f>SUM(AM6:AM14)</f>
        <v>42145.025499053758</v>
      </c>
      <c r="AN5" s="138">
        <f t="shared" ref="AN5" si="1">SUM(AN6:AN14)</f>
        <v>66080.618000000002</v>
      </c>
      <c r="AO5" s="138">
        <f t="shared" ref="AO5" si="2">SUM(AO6:AO14)</f>
        <v>22542.34</v>
      </c>
      <c r="AP5" s="245">
        <f t="shared" ref="AP5:AP6" si="3">AO5/AI5</f>
        <v>1.0600840887894472</v>
      </c>
      <c r="AQ5" s="138">
        <f>SUM(AQ6:AQ14)</f>
        <v>44817.57</v>
      </c>
      <c r="AR5" s="140">
        <f>AQ5/AM5</f>
        <v>1.0634130474308585</v>
      </c>
      <c r="AS5" s="141">
        <f t="shared" ref="AS5" si="4">SUM(AS6:AS14)</f>
        <v>71892.746719999996</v>
      </c>
      <c r="AT5" s="138">
        <f t="shared" ref="AT5" si="5">SUM(AT6:AT14)</f>
        <v>19661.815300000002</v>
      </c>
      <c r="AU5" s="245">
        <f>AT5/AO5</f>
        <v>0.87221713894830799</v>
      </c>
      <c r="AV5" s="138">
        <f>SUM(AV6:AV14)</f>
        <v>59061.931420000001</v>
      </c>
      <c r="AW5" s="140">
        <f>AV5/AQ5</f>
        <v>1.3178298470889878</v>
      </c>
      <c r="AX5" s="141">
        <f t="shared" ref="AX5" si="6">SUM(AX6:AX14)</f>
        <v>74768.456588800007</v>
      </c>
      <c r="AY5" s="138">
        <f t="shared" ref="AY5" si="7">SUM(AY6:AY14)</f>
        <v>20448.287912</v>
      </c>
      <c r="AZ5" s="245">
        <f>AY5/AT5</f>
        <v>1.0399999999999998</v>
      </c>
      <c r="BA5" s="138">
        <f>SUM(BA6:BA14)</f>
        <v>61424.408676799983</v>
      </c>
      <c r="BB5" s="144">
        <f>BA5/AV5</f>
        <v>1.0399999999999998</v>
      </c>
      <c r="BC5" s="141">
        <f t="shared" ref="BC5:BD5" si="8">SUM(BC6:BC14)</f>
        <v>77759.194852351997</v>
      </c>
      <c r="BD5" s="138">
        <f t="shared" si="8"/>
        <v>21266.219428480003</v>
      </c>
      <c r="BE5" s="245">
        <f>BD5/AY5</f>
        <v>1.04</v>
      </c>
      <c r="BF5" s="138">
        <f>SUM(BF6:BF14)</f>
        <v>63881.385023871997</v>
      </c>
      <c r="BG5" s="140">
        <f>BF5/BA5</f>
        <v>1.0400000000000003</v>
      </c>
    </row>
    <row r="6" spans="1:59" ht="60" customHeight="1">
      <c r="A6" s="5" t="s">
        <v>138</v>
      </c>
      <c r="B6" s="1"/>
      <c r="C6" s="2"/>
      <c r="D6" s="2"/>
      <c r="E6" s="2"/>
      <c r="F6" s="2"/>
      <c r="G6" s="110"/>
      <c r="H6" s="106"/>
      <c r="I6" s="107"/>
      <c r="J6" s="106"/>
      <c r="K6" s="107"/>
      <c r="L6" s="111"/>
      <c r="M6" s="2"/>
      <c r="N6" s="111"/>
      <c r="O6" s="112"/>
      <c r="P6" s="6"/>
      <c r="Q6" s="7"/>
      <c r="R6" s="7"/>
      <c r="S6" s="4"/>
      <c r="T6" s="7"/>
      <c r="U6" s="4"/>
      <c r="V6" s="8"/>
      <c r="W6" s="8"/>
      <c r="X6" s="9"/>
      <c r="Y6" s="8"/>
      <c r="Z6" s="8"/>
      <c r="AA6" s="8"/>
      <c r="AB6" s="138"/>
      <c r="AC6" s="138"/>
      <c r="AD6" s="3"/>
      <c r="AE6" s="138"/>
      <c r="AF6" s="139"/>
      <c r="AG6" s="108"/>
      <c r="AH6" s="141">
        <f>AK6+AI6</f>
        <v>40242.947322297958</v>
      </c>
      <c r="AI6" s="138">
        <f>AO6/1.027</f>
        <v>14898.247322297957</v>
      </c>
      <c r="AJ6" s="103"/>
      <c r="AK6" s="138">
        <v>25344.7</v>
      </c>
      <c r="AL6" s="140"/>
      <c r="AM6" s="105">
        <f>AK6</f>
        <v>25344.7</v>
      </c>
      <c r="AN6" s="109">
        <v>39670.199999999997</v>
      </c>
      <c r="AO6" s="104">
        <v>15300.5</v>
      </c>
      <c r="AP6" s="103">
        <f t="shared" si="3"/>
        <v>1.0269999999999999</v>
      </c>
      <c r="AQ6" s="104">
        <f t="shared" ref="AQ6:AQ14" si="9">AN6-AO6</f>
        <v>24369.699999999997</v>
      </c>
      <c r="AR6" s="140">
        <f>AQ6/AK6</f>
        <v>0.96153041858850163</v>
      </c>
      <c r="AS6" s="141">
        <v>45025.85</v>
      </c>
      <c r="AT6" s="138">
        <f>12192.93*1.03</f>
        <v>12558.717900000001</v>
      </c>
      <c r="AU6" s="139">
        <f t="shared" ref="AU6:AU14" si="10">AT6/AO6</f>
        <v>0.82080441162053541</v>
      </c>
      <c r="AV6" s="138">
        <f t="shared" ref="AV6:AV14" si="11">AS6-AT6</f>
        <v>32467.132099999995</v>
      </c>
      <c r="AW6" s="140">
        <f t="shared" ref="AW6:AW14" si="12">AV6/AQ6</f>
        <v>1.3322745909879892</v>
      </c>
      <c r="AX6" s="141">
        <f>AS6*1.04</f>
        <v>46826.883999999998</v>
      </c>
      <c r="AY6" s="138">
        <f>AT6*1.04</f>
        <v>13061.066616000002</v>
      </c>
      <c r="AZ6" s="139">
        <f t="shared" ref="AZ6:AZ14" si="13">AY6/AT6</f>
        <v>1.04</v>
      </c>
      <c r="BA6" s="138">
        <f t="shared" ref="BA6:BA14" si="14">AX6-AY6</f>
        <v>33765.817383999994</v>
      </c>
      <c r="BB6" s="144">
        <f t="shared" ref="BB6:BB14" si="15">BA6/AV6</f>
        <v>1.04</v>
      </c>
      <c r="BC6" s="141">
        <f>AX6*1.04</f>
        <v>48699.959360000001</v>
      </c>
      <c r="BD6" s="138">
        <f>AY6*1.04</f>
        <v>13583.509280640003</v>
      </c>
      <c r="BE6" s="139">
        <f t="shared" ref="BE6" si="16">BD6/AY6</f>
        <v>1.04</v>
      </c>
      <c r="BF6" s="138">
        <f t="shared" ref="BF6" si="17">BC6-BD6</f>
        <v>35116.450079360002</v>
      </c>
      <c r="BG6" s="140">
        <f t="shared" ref="BG6" si="18">BF6/BA6</f>
        <v>1.0400000000000003</v>
      </c>
    </row>
    <row r="7" spans="1:59" ht="58.5" customHeight="1">
      <c r="A7" s="5" t="s">
        <v>139</v>
      </c>
      <c r="B7" s="1">
        <f>5945.2+1734.1</f>
        <v>7679.2999999999993</v>
      </c>
      <c r="C7" s="2">
        <v>6113.8</v>
      </c>
      <c r="D7" s="2">
        <f>4850.3+4536</f>
        <v>9386.2999999999993</v>
      </c>
      <c r="E7" s="2">
        <v>7613.9</v>
      </c>
      <c r="F7" s="2"/>
      <c r="G7" s="107">
        <v>7494.8</v>
      </c>
      <c r="H7" s="106">
        <f>G7/E7*100</f>
        <v>98.435755657416053</v>
      </c>
      <c r="I7" s="107">
        <v>4559.1000000000004</v>
      </c>
      <c r="J7" s="106">
        <f>I7/G7*100</f>
        <v>60.830175588407961</v>
      </c>
      <c r="K7" s="107">
        <v>7467.1</v>
      </c>
      <c r="L7" s="111">
        <f>K7/I7*100</f>
        <v>163.78451887433923</v>
      </c>
      <c r="M7" s="2">
        <v>4501.3</v>
      </c>
      <c r="N7" s="111">
        <f>M7/K7*100</f>
        <v>60.281769361599544</v>
      </c>
      <c r="O7" s="112">
        <v>6447.1</v>
      </c>
      <c r="P7" s="6">
        <f>O7/M7</f>
        <v>1.4322751205207385</v>
      </c>
      <c r="Q7" s="7">
        <f>'[1]Н-В Тойма'!$AB$33+'[1]Н-В Тойма'!$AB$38</f>
        <v>5503.05</v>
      </c>
      <c r="R7" s="7">
        <f>'[1]Н-В Тойма'!$AB$34</f>
        <v>889.36500000000001</v>
      </c>
      <c r="S7" s="4">
        <f>'[1]Н-В Тойма'!$AM$14</f>
        <v>105.5</v>
      </c>
      <c r="T7" s="7">
        <f>Q7-R7</f>
        <v>4613.6850000000004</v>
      </c>
      <c r="U7" s="4">
        <f>T7/O7*100</f>
        <v>71.5621752415815</v>
      </c>
      <c r="V7" s="8">
        <f>5097.488+256.473</f>
        <v>5353.9610000000002</v>
      </c>
      <c r="W7" s="8">
        <v>256.47300000000001</v>
      </c>
      <c r="X7" s="9">
        <f>V7-W7</f>
        <v>5097.4880000000003</v>
      </c>
      <c r="Y7" s="8"/>
      <c r="Z7" s="8">
        <v>4513.7</v>
      </c>
      <c r="AA7" s="8">
        <v>4767.7</v>
      </c>
      <c r="AB7" s="138">
        <f>V7*1.045*1.036</f>
        <v>5796.3052578200004</v>
      </c>
      <c r="AC7" s="138">
        <f>W7*1.0644*1.0353</f>
        <v>282.62640330036004</v>
      </c>
      <c r="AD7" s="3">
        <f>AC7/R7*100</f>
        <v>31.778449039523711</v>
      </c>
      <c r="AE7" s="138">
        <f>AB7-AC7</f>
        <v>5513.6788545196405</v>
      </c>
      <c r="AF7" s="139">
        <f>AE7/Z7</f>
        <v>1.221543047725733</v>
      </c>
      <c r="AG7" s="108">
        <v>5513.6790000000001</v>
      </c>
      <c r="AH7" s="141">
        <f>AB7*1.04</f>
        <v>6028.1574681328002</v>
      </c>
      <c r="AI7" s="138">
        <v>344.84</v>
      </c>
      <c r="AJ7" s="103">
        <f>AI7/AC7</f>
        <v>1.2201266264338464</v>
      </c>
      <c r="AK7" s="138">
        <f>AH7-AI7</f>
        <v>5683.3174681328001</v>
      </c>
      <c r="AL7" s="140">
        <f>AK7/AG7</f>
        <v>1.0307668379194364</v>
      </c>
      <c r="AM7" s="11">
        <f>AK7+416</f>
        <v>6099.3174681328001</v>
      </c>
      <c r="AN7" s="109">
        <v>7191</v>
      </c>
      <c r="AO7" s="104">
        <v>863.18</v>
      </c>
      <c r="AP7" s="103">
        <f t="shared" ref="AP7:AP14" si="19">AO7/AI7</f>
        <v>2.5031318872520592</v>
      </c>
      <c r="AQ7" s="104">
        <f>AN7-AO7</f>
        <v>6327.82</v>
      </c>
      <c r="AR7" s="140">
        <f>AQ7/AK7</f>
        <v>1.1134025215872632</v>
      </c>
      <c r="AS7" s="141">
        <f>AN7*1.04</f>
        <v>7478.64</v>
      </c>
      <c r="AT7" s="138">
        <v>897.71</v>
      </c>
      <c r="AU7" s="139">
        <f>AT7/AO7</f>
        <v>1.0400032438193656</v>
      </c>
      <c r="AV7" s="138">
        <f>AS7-AT7</f>
        <v>6580.93</v>
      </c>
      <c r="AW7" s="140">
        <f t="shared" si="12"/>
        <v>1.0399995575095373</v>
      </c>
      <c r="AX7" s="141">
        <f t="shared" ref="AX7:AY14" si="20">AS7*1.04</f>
        <v>7777.7856000000002</v>
      </c>
      <c r="AY7" s="138">
        <f t="shared" si="20"/>
        <v>933.61840000000007</v>
      </c>
      <c r="AZ7" s="139">
        <f>AY7/AT7</f>
        <v>1.04</v>
      </c>
      <c r="BA7" s="138">
        <f>AX7-AY7</f>
        <v>6844.1671999999999</v>
      </c>
      <c r="BB7" s="144">
        <f>BA7/AV7</f>
        <v>1.04</v>
      </c>
      <c r="BC7" s="141">
        <f t="shared" ref="BC7:BC8" si="21">AX7*1.04</f>
        <v>8088.8970240000008</v>
      </c>
      <c r="BD7" s="138">
        <f t="shared" ref="BD7:BD8" si="22">AY7*1.04</f>
        <v>970.96313600000008</v>
      </c>
      <c r="BE7" s="139">
        <f>BD7/AY7</f>
        <v>1.04</v>
      </c>
      <c r="BF7" s="138">
        <f>BC7-BD7</f>
        <v>7117.9338880000005</v>
      </c>
      <c r="BG7" s="140">
        <f>BF7/BA7</f>
        <v>1.04</v>
      </c>
    </row>
    <row r="8" spans="1:59" ht="60" customHeight="1">
      <c r="A8" s="5" t="s">
        <v>140</v>
      </c>
      <c r="B8" s="1">
        <v>584.9</v>
      </c>
      <c r="C8" s="2">
        <v>1113.4000000000001</v>
      </c>
      <c r="D8" s="2">
        <v>1594.6</v>
      </c>
      <c r="E8" s="2">
        <v>1306.5</v>
      </c>
      <c r="F8" s="2"/>
      <c r="G8" s="110">
        <v>2219.6</v>
      </c>
      <c r="H8" s="106">
        <f t="shared" ref="H8:H11" si="23">G8/E8*100</f>
        <v>169.88901645618063</v>
      </c>
      <c r="I8" s="107">
        <v>2126.8000000000002</v>
      </c>
      <c r="J8" s="106">
        <f t="shared" ref="J8:J11" si="24">I8/G8*100</f>
        <v>95.819066498468203</v>
      </c>
      <c r="K8" s="107">
        <v>2132.6999999999998</v>
      </c>
      <c r="L8" s="111">
        <f t="shared" ref="L8:L11" si="25">K8/I8*100</f>
        <v>100.27741207447806</v>
      </c>
      <c r="M8" s="2">
        <f>2337.8+100</f>
        <v>2437.8000000000002</v>
      </c>
      <c r="N8" s="111">
        <f t="shared" ref="N8:N11" si="26">M8/K8*100</f>
        <v>114.30580953720637</v>
      </c>
      <c r="O8" s="112">
        <v>2620.1999999999998</v>
      </c>
      <c r="P8" s="6">
        <f t="shared" ref="P8:P11" si="27">O8/M8</f>
        <v>1.0748215604233324</v>
      </c>
      <c r="Q8" s="7">
        <f>[2]расчет!$AU$41+[2]расчет!$AU$49</f>
        <v>3458.0618075324996</v>
      </c>
      <c r="R8" s="7">
        <f>[2]расчет!$AU$44</f>
        <v>731.34710000000007</v>
      </c>
      <c r="S8" s="4">
        <v>105.5</v>
      </c>
      <c r="T8" s="7">
        <f t="shared" ref="T8:T10" si="28">Q8-R8</f>
        <v>2726.7147075324997</v>
      </c>
      <c r="U8" s="4">
        <f t="shared" ref="U8:U14" si="29">T8/O8*100</f>
        <v>104.06513653661933</v>
      </c>
      <c r="V8" s="8">
        <f>2490.2+695.117</f>
        <v>3185.317</v>
      </c>
      <c r="W8" s="8">
        <v>695.11699999999996</v>
      </c>
      <c r="X8" s="9">
        <f t="shared" ref="X8:X14" si="30">V8-W8</f>
        <v>2490.1999999999998</v>
      </c>
      <c r="Y8" s="8"/>
      <c r="Z8" s="8">
        <v>2626.7</v>
      </c>
      <c r="AA8" s="8">
        <v>2626.7</v>
      </c>
      <c r="AB8" s="138">
        <f>V8*1.045*1.036</f>
        <v>3448.4878905399996</v>
      </c>
      <c r="AC8" s="138">
        <f>W8*1.027*1.04</f>
        <v>742.44056535999994</v>
      </c>
      <c r="AD8" s="3">
        <f t="shared" ref="AD8:AD11" si="31">AC8/R8*100</f>
        <v>101.51685367454111</v>
      </c>
      <c r="AE8" s="138">
        <f t="shared" ref="AE8:AE14" si="32">AB8-AC8</f>
        <v>2706.0473251799995</v>
      </c>
      <c r="AF8" s="139">
        <f t="shared" ref="AF8:AF11" si="33">AE8/Z8</f>
        <v>1.0302079891803402</v>
      </c>
      <c r="AG8" s="108">
        <v>2706.047</v>
      </c>
      <c r="AH8" s="141">
        <f>AB8*1.04</f>
        <v>3586.4274061615997</v>
      </c>
      <c r="AI8" s="138">
        <v>530.13</v>
      </c>
      <c r="AJ8" s="103">
        <f t="shared" ref="AJ8:AJ14" si="34">AI8/AC8</f>
        <v>0.71403695424824576</v>
      </c>
      <c r="AK8" s="138">
        <f t="shared" ref="AK8:AK14" si="35">AH8-AI8</f>
        <v>3056.2974061615996</v>
      </c>
      <c r="AL8" s="140">
        <f t="shared" ref="AL8:AL14" si="36">AK8/AG8</f>
        <v>1.1294324918087526</v>
      </c>
      <c r="AM8" s="11">
        <f>AK8</f>
        <v>3056.2974061615996</v>
      </c>
      <c r="AN8" s="109">
        <v>4145.8</v>
      </c>
      <c r="AO8" s="104">
        <v>552.58000000000004</v>
      </c>
      <c r="AP8" s="103">
        <f t="shared" si="19"/>
        <v>1.0423481032954183</v>
      </c>
      <c r="AQ8" s="104">
        <f t="shared" si="9"/>
        <v>3593.2200000000003</v>
      </c>
      <c r="AR8" s="140">
        <f>AQ8/AK8</f>
        <v>1.1756774693313374</v>
      </c>
      <c r="AS8" s="141">
        <f>AN8*1.03</f>
        <v>4270.174</v>
      </c>
      <c r="AT8" s="138">
        <f>AO8*1.03</f>
        <v>569.15740000000005</v>
      </c>
      <c r="AU8" s="139">
        <f t="shared" si="10"/>
        <v>1.03</v>
      </c>
      <c r="AV8" s="138">
        <f t="shared" si="11"/>
        <v>3701.0165999999999</v>
      </c>
      <c r="AW8" s="140">
        <f t="shared" si="12"/>
        <v>1.0299999999999998</v>
      </c>
      <c r="AX8" s="141">
        <f t="shared" si="20"/>
        <v>4440.9809599999999</v>
      </c>
      <c r="AY8" s="138">
        <f t="shared" si="20"/>
        <v>591.92369600000006</v>
      </c>
      <c r="AZ8" s="139">
        <f t="shared" si="13"/>
        <v>1.04</v>
      </c>
      <c r="BA8" s="138">
        <f t="shared" si="14"/>
        <v>3849.057264</v>
      </c>
      <c r="BB8" s="144">
        <f t="shared" si="15"/>
        <v>1.04</v>
      </c>
      <c r="BC8" s="141">
        <f t="shared" si="21"/>
        <v>4618.6201983999999</v>
      </c>
      <c r="BD8" s="138">
        <f t="shared" si="22"/>
        <v>615.60064384000009</v>
      </c>
      <c r="BE8" s="139">
        <f t="shared" ref="BE8" si="37">BD8/AY8</f>
        <v>1.04</v>
      </c>
      <c r="BF8" s="138">
        <f t="shared" ref="BF8" si="38">BC8-BD8</f>
        <v>4003.01955456</v>
      </c>
      <c r="BG8" s="140">
        <f t="shared" ref="BG8" si="39">BF8/BA8</f>
        <v>1.04</v>
      </c>
    </row>
    <row r="9" spans="1:59" ht="58.5" customHeight="1">
      <c r="A9" s="5" t="s">
        <v>142</v>
      </c>
      <c r="B9" s="1">
        <v>290.39999999999998</v>
      </c>
      <c r="C9" s="2">
        <v>317</v>
      </c>
      <c r="D9" s="2">
        <v>453.6</v>
      </c>
      <c r="E9" s="2">
        <v>362.8</v>
      </c>
      <c r="F9" s="2"/>
      <c r="G9" s="110">
        <v>505.7</v>
      </c>
      <c r="H9" s="106">
        <f>G9/E9*100</f>
        <v>139.38809261300992</v>
      </c>
      <c r="I9" s="107">
        <v>652.9</v>
      </c>
      <c r="J9" s="106">
        <f>I9/G9*100</f>
        <v>129.10816689736998</v>
      </c>
      <c r="K9" s="107">
        <v>677.9</v>
      </c>
      <c r="L9" s="111">
        <f>K9/I9*100</f>
        <v>103.82907030173074</v>
      </c>
      <c r="M9" s="2">
        <v>729.2</v>
      </c>
      <c r="N9" s="111">
        <f>M9/K9*100</f>
        <v>107.56748783006344</v>
      </c>
      <c r="O9" s="112">
        <v>530.29999999999995</v>
      </c>
      <c r="P9" s="6">
        <f>O9/M9</f>
        <v>0.72723532638507948</v>
      </c>
      <c r="Q9" s="7">
        <f>[3]Лямца!$AD$25</f>
        <v>792.19978678820542</v>
      </c>
      <c r="R9" s="7">
        <f>[3]Лямца!$AD$11</f>
        <v>157.5</v>
      </c>
      <c r="S9" s="4">
        <f>1050/1000*100</f>
        <v>105</v>
      </c>
      <c r="T9" s="7">
        <f>Q9-R9</f>
        <v>634.69978678820542</v>
      </c>
      <c r="U9" s="4">
        <f>T9/O9*100</f>
        <v>119.68692943394407</v>
      </c>
      <c r="V9" s="8">
        <v>230.58</v>
      </c>
      <c r="W9" s="8">
        <v>24.49</v>
      </c>
      <c r="X9" s="9">
        <f>V9-W9</f>
        <v>206.09</v>
      </c>
      <c r="Y9" s="8"/>
      <c r="Z9" s="8">
        <f>2772.1-Z10</f>
        <v>219.92799999999988</v>
      </c>
      <c r="AA9" s="8">
        <v>219.3</v>
      </c>
      <c r="AB9" s="138">
        <f>V9*1.045*1.036</f>
        <v>249.63051960000001</v>
      </c>
      <c r="AC9" s="138">
        <f>W9*1.1*1.036</f>
        <v>27.908804</v>
      </c>
      <c r="AD9" s="3">
        <f>AC9/R9*100</f>
        <v>17.719875555555557</v>
      </c>
      <c r="AE9" s="138">
        <f>AB9-AC9</f>
        <v>221.72171560000001</v>
      </c>
      <c r="AF9" s="139">
        <f>AE9/Z9</f>
        <v>1.0081559219380893</v>
      </c>
      <c r="AG9" s="108">
        <f>AA9</f>
        <v>219.3</v>
      </c>
      <c r="AH9" s="141">
        <f>AB9*1.04</f>
        <v>259.61574038400005</v>
      </c>
      <c r="AI9" s="138">
        <v>83.28</v>
      </c>
      <c r="AJ9" s="103">
        <f>AI9/AC9</f>
        <v>2.9840046173243397</v>
      </c>
      <c r="AK9" s="138">
        <f>AH9-AI9</f>
        <v>176.33574038400005</v>
      </c>
      <c r="AL9" s="140">
        <f>AK9/AG9</f>
        <v>0.80408454347469238</v>
      </c>
      <c r="AM9" s="105">
        <f>AK9</f>
        <v>176.33574038400005</v>
      </c>
      <c r="AN9" s="109"/>
      <c r="AO9" s="104"/>
      <c r="AP9" s="103"/>
      <c r="AQ9" s="104"/>
      <c r="AR9" s="140"/>
      <c r="AS9" s="141"/>
      <c r="AT9" s="138"/>
      <c r="AU9" s="139"/>
      <c r="AV9" s="138"/>
      <c r="AW9" s="140"/>
      <c r="AX9" s="141"/>
      <c r="AY9" s="138"/>
      <c r="AZ9" s="139"/>
      <c r="BA9" s="138"/>
      <c r="BB9" s="144"/>
      <c r="BC9" s="141"/>
      <c r="BD9" s="138"/>
      <c r="BE9" s="139"/>
      <c r="BF9" s="138"/>
      <c r="BG9" s="140"/>
    </row>
    <row r="10" spans="1:59" ht="55.5" customHeight="1">
      <c r="A10" s="5" t="s">
        <v>141</v>
      </c>
      <c r="B10" s="1">
        <v>1305.0999999999999</v>
      </c>
      <c r="C10" s="2">
        <v>1104.9000000000001</v>
      </c>
      <c r="D10" s="2">
        <v>1471.75</v>
      </c>
      <c r="E10" s="2">
        <v>1236.2</v>
      </c>
      <c r="F10" s="2"/>
      <c r="G10" s="110">
        <v>1309.2</v>
      </c>
      <c r="H10" s="106">
        <f t="shared" si="23"/>
        <v>105.9051933344119</v>
      </c>
      <c r="I10" s="107">
        <v>1367.7</v>
      </c>
      <c r="J10" s="106">
        <f t="shared" si="24"/>
        <v>104.46837763519707</v>
      </c>
      <c r="K10" s="107">
        <v>1553.6</v>
      </c>
      <c r="L10" s="111">
        <f t="shared" si="25"/>
        <v>113.59216202383561</v>
      </c>
      <c r="M10" s="2">
        <v>1797.6</v>
      </c>
      <c r="N10" s="111">
        <f t="shared" si="26"/>
        <v>115.70545829042224</v>
      </c>
      <c r="O10" s="112">
        <v>2231.8000000000002</v>
      </c>
      <c r="P10" s="6">
        <f t="shared" si="27"/>
        <v>1.2415442812639077</v>
      </c>
      <c r="Q10" s="7">
        <f>[3]Легашевская!$AE$28</f>
        <v>5804.5715572328018</v>
      </c>
      <c r="R10" s="7">
        <f>[3]Легашевская!$AE$15</f>
        <v>3565.1853625000003</v>
      </c>
      <c r="S10" s="4">
        <f>37/35*100</f>
        <v>105.71428571428572</v>
      </c>
      <c r="T10" s="7">
        <f t="shared" si="28"/>
        <v>2239.3861947328014</v>
      </c>
      <c r="U10" s="4">
        <f t="shared" si="29"/>
        <v>100.33991373477915</v>
      </c>
      <c r="V10" s="8">
        <v>5284.22</v>
      </c>
      <c r="W10" s="8">
        <v>2827.6</v>
      </c>
      <c r="X10" s="9">
        <f t="shared" si="30"/>
        <v>2456.6200000000003</v>
      </c>
      <c r="Y10" s="8"/>
      <c r="Z10" s="8">
        <f>2774.1*0.92</f>
        <v>2552.172</v>
      </c>
      <c r="AA10" s="8">
        <f>2774.1-AA9</f>
        <v>2554.7999999999997</v>
      </c>
      <c r="AB10" s="138">
        <f>V10*1.045*1.036</f>
        <v>5720.8022564000003</v>
      </c>
      <c r="AC10" s="138">
        <f>W10*1.086*1.026</f>
        <v>3150.6137136000002</v>
      </c>
      <c r="AD10" s="3">
        <f t="shared" si="31"/>
        <v>88.371666358203271</v>
      </c>
      <c r="AE10" s="138">
        <f t="shared" si="32"/>
        <v>2570.1885428000001</v>
      </c>
      <c r="AF10" s="139">
        <f t="shared" si="33"/>
        <v>1.0070592980410411</v>
      </c>
      <c r="AG10" s="108">
        <f>2791.91-AG9</f>
        <v>2572.6099999999997</v>
      </c>
      <c r="AH10" s="141">
        <f>AB10*1.04</f>
        <v>5949.6343466560002</v>
      </c>
      <c r="AI10" s="138">
        <f>AC10*1.04</f>
        <v>3276.6382621440002</v>
      </c>
      <c r="AJ10" s="103">
        <f t="shared" si="34"/>
        <v>1.04</v>
      </c>
      <c r="AK10" s="138">
        <f t="shared" si="35"/>
        <v>2672.9960845119999</v>
      </c>
      <c r="AL10" s="140">
        <f t="shared" si="36"/>
        <v>1.039021104835945</v>
      </c>
      <c r="AM10" s="11">
        <f>AK10</f>
        <v>2672.9960845119999</v>
      </c>
      <c r="AN10" s="109">
        <f>7744.6+18+185.95</f>
        <v>7948.55</v>
      </c>
      <c r="AO10" s="104">
        <v>3875.87</v>
      </c>
      <c r="AP10" s="103">
        <f t="shared" si="19"/>
        <v>1.1828800404301891</v>
      </c>
      <c r="AQ10" s="104">
        <f t="shared" si="9"/>
        <v>4072.6800000000003</v>
      </c>
      <c r="AR10" s="140">
        <f>AQ10/AK10</f>
        <v>1.5236385955064113</v>
      </c>
      <c r="AS10" s="141">
        <v>7708.3</v>
      </c>
      <c r="AT10" s="138">
        <v>3608</v>
      </c>
      <c r="AU10" s="139">
        <f t="shared" si="10"/>
        <v>0.93088777487377028</v>
      </c>
      <c r="AV10" s="138">
        <f t="shared" si="11"/>
        <v>4100.3</v>
      </c>
      <c r="AW10" s="140">
        <f t="shared" si="12"/>
        <v>1.0067817751456043</v>
      </c>
      <c r="AX10" s="141">
        <f t="shared" si="20"/>
        <v>8016.6320000000005</v>
      </c>
      <c r="AY10" s="138">
        <f t="shared" si="20"/>
        <v>3752.32</v>
      </c>
      <c r="AZ10" s="139">
        <f t="shared" si="13"/>
        <v>1.04</v>
      </c>
      <c r="BA10" s="138">
        <f t="shared" si="14"/>
        <v>4264.3119999999999</v>
      </c>
      <c r="BB10" s="144">
        <f t="shared" si="15"/>
        <v>1.04</v>
      </c>
      <c r="BC10" s="141">
        <f t="shared" ref="BC10:BC11" si="40">AX10*1.04</f>
        <v>8337.2972800000007</v>
      </c>
      <c r="BD10" s="138">
        <f t="shared" ref="BD10:BD11" si="41">AY10*1.04</f>
        <v>3902.4128000000005</v>
      </c>
      <c r="BE10" s="139">
        <f t="shared" ref="BE10:BE11" si="42">BD10/AY10</f>
        <v>1.04</v>
      </c>
      <c r="BF10" s="138">
        <f t="shared" ref="BF10:BF11" si="43">BC10-BD10</f>
        <v>4434.8844800000006</v>
      </c>
      <c r="BG10" s="140">
        <f t="shared" ref="BG10:BG13" si="44">BF10/BA10</f>
        <v>1.0400000000000003</v>
      </c>
    </row>
    <row r="11" spans="1:59" ht="70.5" customHeight="1">
      <c r="A11" s="5" t="s">
        <v>143</v>
      </c>
      <c r="B11" s="1">
        <v>461.2</v>
      </c>
      <c r="C11" s="2">
        <v>767.6</v>
      </c>
      <c r="D11" s="2">
        <v>772.8</v>
      </c>
      <c r="E11" s="2">
        <v>767.3</v>
      </c>
      <c r="F11" s="2"/>
      <c r="G11" s="110">
        <v>846.7</v>
      </c>
      <c r="H11" s="106">
        <f t="shared" si="23"/>
        <v>110.34797341326733</v>
      </c>
      <c r="I11" s="107">
        <v>1175</v>
      </c>
      <c r="J11" s="106">
        <f t="shared" si="24"/>
        <v>138.77406401322781</v>
      </c>
      <c r="K11" s="107">
        <v>1313</v>
      </c>
      <c r="L11" s="111">
        <f t="shared" si="25"/>
        <v>111.74468085106383</v>
      </c>
      <c r="M11" s="2">
        <f>1528+50</f>
        <v>1578</v>
      </c>
      <c r="N11" s="111">
        <f t="shared" si="26"/>
        <v>120.18278750952018</v>
      </c>
      <c r="O11" s="112">
        <v>1753.4</v>
      </c>
      <c r="P11" s="6">
        <f t="shared" si="27"/>
        <v>1.1111533586818758</v>
      </c>
      <c r="Q11" s="7">
        <f>[4]Свод!$CW$31/1000</f>
        <v>2221.0256370041843</v>
      </c>
      <c r="R11" s="7">
        <f>[4]Свод!$CW$43/1000</f>
        <v>158.54849999999999</v>
      </c>
      <c r="S11" s="4">
        <f>33/30*100</f>
        <v>110.00000000000001</v>
      </c>
      <c r="T11" s="7">
        <f>Q11-R11</f>
        <v>2062.4771370041844</v>
      </c>
      <c r="U11" s="4">
        <f t="shared" si="29"/>
        <v>117.62730335372329</v>
      </c>
      <c r="V11" s="8">
        <f>118.3+1740.65</f>
        <v>1858.95</v>
      </c>
      <c r="W11" s="8">
        <v>118.3</v>
      </c>
      <c r="X11" s="9">
        <f t="shared" si="30"/>
        <v>1740.65</v>
      </c>
      <c r="Y11" s="8"/>
      <c r="Z11" s="8">
        <v>1852.5</v>
      </c>
      <c r="AA11" s="8">
        <v>1987.4</v>
      </c>
      <c r="AB11" s="138">
        <f>V11*1.045*1.036</f>
        <v>2012.5364490000002</v>
      </c>
      <c r="AC11" s="138">
        <f>W11*1.11*1.03</f>
        <v>135.25239000000002</v>
      </c>
      <c r="AD11" s="3">
        <f t="shared" si="31"/>
        <v>85.306634878286474</v>
      </c>
      <c r="AE11" s="138">
        <f t="shared" si="32"/>
        <v>1877.2840590000001</v>
      </c>
      <c r="AF11" s="139">
        <f t="shared" si="33"/>
        <v>1.013378709311741</v>
      </c>
      <c r="AG11" s="108">
        <v>1877.2840000000001</v>
      </c>
      <c r="AH11" s="141">
        <f>AB11*1.04</f>
        <v>2093.0379069600003</v>
      </c>
      <c r="AI11" s="138">
        <v>135.27000000000001</v>
      </c>
      <c r="AJ11" s="103">
        <f t="shared" si="34"/>
        <v>1.0001302010263922</v>
      </c>
      <c r="AK11" s="138">
        <f t="shared" si="35"/>
        <v>1957.7679069600003</v>
      </c>
      <c r="AL11" s="140">
        <f t="shared" si="36"/>
        <v>1.0428725259257525</v>
      </c>
      <c r="AM11" s="11">
        <v>2657.8</v>
      </c>
      <c r="AN11" s="109">
        <v>2967.8679999999999</v>
      </c>
      <c r="AO11" s="104">
        <v>166.16</v>
      </c>
      <c r="AP11" s="103">
        <f t="shared" si="19"/>
        <v>1.2283580986175795</v>
      </c>
      <c r="AQ11" s="104">
        <v>3781</v>
      </c>
      <c r="AR11" s="140">
        <f>AQ11/AM11</f>
        <v>1.4226051621641957</v>
      </c>
      <c r="AS11" s="141">
        <f>AN11*1.04</f>
        <v>3086.5827199999999</v>
      </c>
      <c r="AT11" s="138">
        <v>172.81</v>
      </c>
      <c r="AU11" s="139">
        <f t="shared" si="10"/>
        <v>1.0400216658642274</v>
      </c>
      <c r="AV11" s="138">
        <f t="shared" si="11"/>
        <v>2913.7727199999999</v>
      </c>
      <c r="AW11" s="140">
        <f t="shared" si="12"/>
        <v>0.77063547209732874</v>
      </c>
      <c r="AX11" s="141">
        <f t="shared" si="20"/>
        <v>3210.0460287999999</v>
      </c>
      <c r="AY11" s="138">
        <f t="shared" si="20"/>
        <v>179.72240000000002</v>
      </c>
      <c r="AZ11" s="139">
        <f t="shared" si="13"/>
        <v>1.04</v>
      </c>
      <c r="BA11" s="138">
        <f t="shared" si="14"/>
        <v>3030.3236287999998</v>
      </c>
      <c r="BB11" s="144">
        <f t="shared" si="15"/>
        <v>1.04</v>
      </c>
      <c r="BC11" s="141">
        <f t="shared" si="40"/>
        <v>3338.447869952</v>
      </c>
      <c r="BD11" s="138">
        <f t="shared" si="41"/>
        <v>186.91129600000002</v>
      </c>
      <c r="BE11" s="139">
        <f t="shared" si="42"/>
        <v>1.04</v>
      </c>
      <c r="BF11" s="138">
        <f t="shared" si="43"/>
        <v>3151.5365739519998</v>
      </c>
      <c r="BG11" s="140">
        <f t="shared" si="44"/>
        <v>1.04</v>
      </c>
    </row>
    <row r="12" spans="1:59" ht="51" customHeight="1">
      <c r="A12" s="5" t="s">
        <v>144</v>
      </c>
      <c r="B12" s="1"/>
      <c r="C12" s="2"/>
      <c r="D12" s="2"/>
      <c r="E12" s="2"/>
      <c r="F12" s="2"/>
      <c r="G12" s="110"/>
      <c r="H12" s="106"/>
      <c r="I12" s="107"/>
      <c r="J12" s="106"/>
      <c r="K12" s="107"/>
      <c r="L12" s="111"/>
      <c r="M12" s="2"/>
      <c r="N12" s="111"/>
      <c r="O12" s="112"/>
      <c r="P12" s="6"/>
      <c r="Q12" s="7"/>
      <c r="R12" s="7"/>
      <c r="S12" s="4"/>
      <c r="T12" s="7"/>
      <c r="U12" s="4"/>
      <c r="V12" s="8"/>
      <c r="W12" s="8"/>
      <c r="X12" s="9"/>
      <c r="Y12" s="8"/>
      <c r="Z12" s="8">
        <v>0</v>
      </c>
      <c r="AA12" s="8">
        <v>0</v>
      </c>
      <c r="AB12" s="138">
        <v>899.90300000000002</v>
      </c>
      <c r="AC12" s="138">
        <v>246.4</v>
      </c>
      <c r="AD12" s="3"/>
      <c r="AE12" s="138">
        <f t="shared" si="32"/>
        <v>653.50300000000004</v>
      </c>
      <c r="AF12" s="139" t="s">
        <v>36</v>
      </c>
      <c r="AG12" s="108">
        <v>653.50300000000004</v>
      </c>
      <c r="AH12" s="141">
        <v>367.786</v>
      </c>
      <c r="AI12" s="138">
        <f>AC12*1.04</f>
        <v>256.25600000000003</v>
      </c>
      <c r="AJ12" s="103">
        <f t="shared" si="34"/>
        <v>1.04</v>
      </c>
      <c r="AK12" s="138">
        <f t="shared" si="35"/>
        <v>111.52999999999997</v>
      </c>
      <c r="AL12" s="140">
        <f t="shared" si="36"/>
        <v>0.17066486305342127</v>
      </c>
      <c r="AM12" s="11">
        <f>AK12</f>
        <v>111.52999999999997</v>
      </c>
      <c r="AN12" s="109"/>
      <c r="AO12" s="104"/>
      <c r="AP12" s="103"/>
      <c r="AQ12" s="104"/>
      <c r="AR12" s="140"/>
      <c r="AS12" s="141"/>
      <c r="AT12" s="138"/>
      <c r="AU12" s="139"/>
      <c r="AV12" s="138">
        <v>1431</v>
      </c>
      <c r="AW12" s="140"/>
      <c r="AX12" s="141"/>
      <c r="AY12" s="138"/>
      <c r="AZ12" s="139"/>
      <c r="BA12" s="138">
        <f>AV12*1.04</f>
        <v>1488.24</v>
      </c>
      <c r="BB12" s="144">
        <f t="shared" si="15"/>
        <v>1.04</v>
      </c>
      <c r="BC12" s="141"/>
      <c r="BD12" s="138"/>
      <c r="BE12" s="139"/>
      <c r="BF12" s="138">
        <f>BA12*1.04</f>
        <v>1547.7696000000001</v>
      </c>
      <c r="BG12" s="140">
        <f t="shared" si="44"/>
        <v>1.04</v>
      </c>
    </row>
    <row r="13" spans="1:59" ht="45" customHeight="1">
      <c r="A13" s="145" t="s">
        <v>132</v>
      </c>
      <c r="B13" s="1"/>
      <c r="C13" s="2"/>
      <c r="D13" s="2"/>
      <c r="E13" s="2"/>
      <c r="F13" s="2"/>
      <c r="G13" s="110"/>
      <c r="H13" s="106"/>
      <c r="I13" s="107"/>
      <c r="J13" s="106"/>
      <c r="K13" s="107"/>
      <c r="L13" s="111"/>
      <c r="M13" s="2"/>
      <c r="N13" s="111"/>
      <c r="O13" s="112"/>
      <c r="P13" s="6"/>
      <c r="Q13" s="7"/>
      <c r="R13" s="7"/>
      <c r="S13" s="4"/>
      <c r="T13" s="7"/>
      <c r="U13" s="4"/>
      <c r="V13" s="8"/>
      <c r="W13" s="8"/>
      <c r="X13" s="9"/>
      <c r="Y13" s="8"/>
      <c r="Z13" s="8"/>
      <c r="AA13" s="8"/>
      <c r="AB13" s="138"/>
      <c r="AC13" s="138"/>
      <c r="AD13" s="3"/>
      <c r="AE13" s="138"/>
      <c r="AF13" s="139"/>
      <c r="AG13" s="108"/>
      <c r="AH13" s="154"/>
      <c r="AI13" s="155"/>
      <c r="AJ13" s="142"/>
      <c r="AK13" s="155"/>
      <c r="AL13" s="143"/>
      <c r="AM13" s="156"/>
      <c r="AN13" s="157"/>
      <c r="AO13" s="158"/>
      <c r="AP13" s="142"/>
      <c r="AQ13" s="158">
        <v>300</v>
      </c>
      <c r="AR13" s="143"/>
      <c r="AS13" s="154"/>
      <c r="AT13" s="155"/>
      <c r="AU13" s="152"/>
      <c r="AV13" s="155">
        <v>5400</v>
      </c>
      <c r="AW13" s="140"/>
      <c r="AX13" s="141"/>
      <c r="AY13" s="138"/>
      <c r="AZ13" s="139"/>
      <c r="BA13" s="138">
        <f>AV13*1.04</f>
        <v>5616</v>
      </c>
      <c r="BB13" s="144">
        <f t="shared" si="15"/>
        <v>1.04</v>
      </c>
      <c r="BC13" s="141"/>
      <c r="BD13" s="138"/>
      <c r="BE13" s="139"/>
      <c r="BF13" s="138">
        <f>BA13*1.04</f>
        <v>5840.64</v>
      </c>
      <c r="BG13" s="140">
        <f t="shared" si="44"/>
        <v>1.04</v>
      </c>
    </row>
    <row r="14" spans="1:59" ht="50.25" customHeight="1" thickBot="1">
      <c r="A14" s="145" t="s">
        <v>130</v>
      </c>
      <c r="B14" s="146"/>
      <c r="C14" s="147"/>
      <c r="D14" s="147"/>
      <c r="E14" s="147"/>
      <c r="F14" s="147"/>
      <c r="G14" s="246" t="s">
        <v>35</v>
      </c>
      <c r="H14" s="148" t="s">
        <v>35</v>
      </c>
      <c r="I14" s="149" t="s">
        <v>35</v>
      </c>
      <c r="J14" s="148" t="s">
        <v>35</v>
      </c>
      <c r="K14" s="149" t="s">
        <v>35</v>
      </c>
      <c r="L14" s="247" t="s">
        <v>35</v>
      </c>
      <c r="M14" s="147">
        <f>1595.8+300</f>
        <v>1895.8</v>
      </c>
      <c r="N14" s="247" t="s">
        <v>35</v>
      </c>
      <c r="O14" s="248">
        <v>2292.6</v>
      </c>
      <c r="P14" s="249">
        <f>O14/M14</f>
        <v>1.209304778985125</v>
      </c>
      <c r="Q14" s="250">
        <f>[5]Лист1!$M$39</f>
        <v>3044.0185510444007</v>
      </c>
      <c r="R14" s="250">
        <f>[5]Лист1!$M$18</f>
        <v>1020</v>
      </c>
      <c r="S14" s="150">
        <f>75/70*100</f>
        <v>107.14285714285714</v>
      </c>
      <c r="T14" s="250">
        <f>Q14-R14</f>
        <v>2024.0185510444007</v>
      </c>
      <c r="U14" s="150">
        <f t="shared" si="29"/>
        <v>88.284853487062762</v>
      </c>
      <c r="V14" s="251">
        <f>1353.24+1991.6182</f>
        <v>3344.8581999999997</v>
      </c>
      <c r="W14" s="251">
        <v>1353.24</v>
      </c>
      <c r="X14" s="252">
        <f t="shared" si="30"/>
        <v>1991.6181999999997</v>
      </c>
      <c r="Y14" s="251"/>
      <c r="Z14" s="251">
        <v>2192.8000000000002</v>
      </c>
      <c r="AA14" s="251">
        <v>1974</v>
      </c>
      <c r="AB14" s="155">
        <f>V14*1.045*1.036</f>
        <v>3621.2103844839999</v>
      </c>
      <c r="AC14" s="155">
        <f>W14*1.114*1.026</f>
        <v>1546.7046033600002</v>
      </c>
      <c r="AD14" s="151">
        <f>AC14/R14*100</f>
        <v>151.63770621176474</v>
      </c>
      <c r="AE14" s="155">
        <f t="shared" si="32"/>
        <v>2074.5057811239994</v>
      </c>
      <c r="AF14" s="152">
        <f>AE14/Z14</f>
        <v>0.94605334783108319</v>
      </c>
      <c r="AG14" s="153">
        <v>2074.5059999999999</v>
      </c>
      <c r="AH14" s="154">
        <f>AB14*1.04</f>
        <v>3766.05879986336</v>
      </c>
      <c r="AI14" s="155">
        <f>1740.01</f>
        <v>1740.01</v>
      </c>
      <c r="AJ14" s="142">
        <f t="shared" si="34"/>
        <v>1.1249788719966765</v>
      </c>
      <c r="AK14" s="155">
        <f t="shared" si="35"/>
        <v>2026.04879986336</v>
      </c>
      <c r="AL14" s="143">
        <f t="shared" si="36"/>
        <v>0.97664157146971864</v>
      </c>
      <c r="AM14" s="156">
        <f>AK14</f>
        <v>2026.04879986336</v>
      </c>
      <c r="AN14" s="157">
        <v>4157.2</v>
      </c>
      <c r="AO14" s="158">
        <v>1784.05</v>
      </c>
      <c r="AP14" s="142">
        <f t="shared" si="19"/>
        <v>1.0253101993666702</v>
      </c>
      <c r="AQ14" s="158">
        <f t="shared" si="9"/>
        <v>2373.1499999999996</v>
      </c>
      <c r="AR14" s="143">
        <f>AQ14/AK14</f>
        <v>1.1713192693878098</v>
      </c>
      <c r="AS14" s="154">
        <v>4323.2</v>
      </c>
      <c r="AT14" s="155">
        <v>1855.42</v>
      </c>
      <c r="AU14" s="152">
        <f t="shared" si="10"/>
        <v>1.0400044841792551</v>
      </c>
      <c r="AV14" s="155">
        <f t="shared" si="11"/>
        <v>2467.7799999999997</v>
      </c>
      <c r="AW14" s="143">
        <f t="shared" si="12"/>
        <v>1.0398752712639319</v>
      </c>
      <c r="AX14" s="154">
        <f t="shared" si="20"/>
        <v>4496.1279999999997</v>
      </c>
      <c r="AY14" s="155">
        <f t="shared" si="20"/>
        <v>1929.6368000000002</v>
      </c>
      <c r="AZ14" s="152">
        <f t="shared" si="13"/>
        <v>1.04</v>
      </c>
      <c r="BA14" s="155">
        <f t="shared" si="14"/>
        <v>2566.4911999999995</v>
      </c>
      <c r="BB14" s="159">
        <f t="shared" si="15"/>
        <v>1.0399999999999998</v>
      </c>
      <c r="BC14" s="154">
        <f t="shared" ref="BC14" si="45">AX14*1.04</f>
        <v>4675.9731199999997</v>
      </c>
      <c r="BD14" s="155">
        <f t="shared" ref="BD14" si="46">AY14*1.04</f>
        <v>2006.8222720000003</v>
      </c>
      <c r="BE14" s="152">
        <f t="shared" ref="BE14" si="47">BD14/AY14</f>
        <v>1.04</v>
      </c>
      <c r="BF14" s="155">
        <f t="shared" ref="BF14" si="48">BC14-BD14</f>
        <v>2669.1508479999993</v>
      </c>
      <c r="BG14" s="143">
        <f t="shared" ref="BG14" si="49">BF14/BA14</f>
        <v>1.04</v>
      </c>
    </row>
    <row r="15" spans="1:59" ht="30.75" customHeight="1">
      <c r="A15" s="253" t="s">
        <v>148</v>
      </c>
      <c r="B15" s="254"/>
      <c r="C15" s="254"/>
      <c r="D15" s="254"/>
      <c r="E15" s="254"/>
      <c r="F15" s="254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6"/>
      <c r="AC15" s="256"/>
      <c r="AD15" s="256"/>
      <c r="AE15" s="256"/>
      <c r="AF15" s="257"/>
      <c r="AG15" s="257"/>
      <c r="AH15" s="257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7"/>
      <c r="AT15" s="256"/>
      <c r="AU15" s="256"/>
      <c r="AV15" s="258">
        <f>AV17+AV16</f>
        <v>4300</v>
      </c>
      <c r="AW15" s="256"/>
      <c r="AX15" s="259"/>
      <c r="AY15" s="255"/>
      <c r="AZ15" s="255"/>
      <c r="BA15" s="255"/>
      <c r="BB15" s="255"/>
      <c r="BC15" s="255"/>
      <c r="BD15" s="255"/>
      <c r="BE15" s="255"/>
      <c r="BF15" s="255"/>
      <c r="BG15" s="260"/>
    </row>
    <row r="16" spans="1:59" ht="33" customHeight="1">
      <c r="A16" s="261" t="s">
        <v>135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3"/>
      <c r="AC16" s="263"/>
      <c r="AD16" s="263"/>
      <c r="AE16" s="263"/>
      <c r="AF16" s="264"/>
      <c r="AG16" s="264"/>
      <c r="AH16" s="264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4"/>
      <c r="AT16" s="263"/>
      <c r="AU16" s="263"/>
      <c r="AV16" s="265">
        <v>2300</v>
      </c>
      <c r="AW16" s="263"/>
      <c r="AX16" s="262"/>
      <c r="AY16" s="262"/>
      <c r="AZ16" s="262"/>
      <c r="BA16" s="262"/>
      <c r="BB16" s="262"/>
      <c r="BC16" s="262"/>
      <c r="BD16" s="262"/>
      <c r="BE16" s="262"/>
      <c r="BF16" s="262"/>
      <c r="BG16" s="266"/>
    </row>
    <row r="17" spans="1:59" ht="32.25" customHeight="1" thickBot="1">
      <c r="A17" s="267" t="s">
        <v>136</v>
      </c>
      <c r="B17" s="268"/>
      <c r="C17" s="268"/>
      <c r="D17" s="268"/>
      <c r="E17" s="268"/>
      <c r="F17" s="268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70"/>
      <c r="AC17" s="270"/>
      <c r="AD17" s="270"/>
      <c r="AE17" s="270"/>
      <c r="AF17" s="271"/>
      <c r="AG17" s="271"/>
      <c r="AH17" s="271"/>
      <c r="AI17" s="270"/>
      <c r="AJ17" s="270"/>
      <c r="AK17" s="270"/>
      <c r="AL17" s="270"/>
      <c r="AM17" s="270"/>
      <c r="AN17" s="270"/>
      <c r="AO17" s="270"/>
      <c r="AP17" s="270"/>
      <c r="AQ17" s="270"/>
      <c r="AR17" s="270"/>
      <c r="AS17" s="271"/>
      <c r="AT17" s="270"/>
      <c r="AU17" s="272"/>
      <c r="AV17" s="273">
        <v>2000</v>
      </c>
      <c r="AW17" s="270"/>
      <c r="AX17" s="269"/>
      <c r="AY17" s="269"/>
      <c r="AZ17" s="269"/>
      <c r="BA17" s="269"/>
      <c r="BB17" s="269"/>
      <c r="BC17" s="269"/>
      <c r="BD17" s="269"/>
      <c r="BE17" s="269"/>
      <c r="BF17" s="269"/>
      <c r="BG17" s="274"/>
    </row>
    <row r="18" spans="1:59" ht="57.75" customHeight="1" thickBot="1">
      <c r="A18" s="275" t="s">
        <v>137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7"/>
      <c r="AC18" s="277"/>
      <c r="AD18" s="277"/>
      <c r="AE18" s="277"/>
      <c r="AF18" s="278"/>
      <c r="AG18" s="278"/>
      <c r="AH18" s="278"/>
      <c r="AI18" s="277"/>
      <c r="AJ18" s="277"/>
      <c r="AK18" s="277"/>
      <c r="AL18" s="277"/>
      <c r="AM18" s="277"/>
      <c r="AN18" s="277"/>
      <c r="AO18" s="277"/>
      <c r="AP18" s="277"/>
      <c r="AQ18" s="279"/>
      <c r="AR18" s="277"/>
      <c r="AS18" s="278"/>
      <c r="AT18" s="277"/>
      <c r="AU18" s="277"/>
      <c r="AV18" s="280">
        <f>AV5+AV15</f>
        <v>63361.931420000001</v>
      </c>
      <c r="AW18" s="277"/>
      <c r="AX18" s="276"/>
      <c r="AY18" s="276"/>
      <c r="AZ18" s="276"/>
      <c r="BA18" s="276"/>
      <c r="BB18" s="276"/>
      <c r="BC18" s="276"/>
      <c r="BD18" s="276"/>
      <c r="BE18" s="276"/>
      <c r="BF18" s="276"/>
      <c r="BG18" s="281"/>
    </row>
    <row r="19" spans="1:59" ht="27" customHeight="1">
      <c r="A19" s="282" t="s">
        <v>41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</row>
    <row r="20" spans="1:59" ht="94.5" customHeight="1">
      <c r="A20" s="283" t="s">
        <v>145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284"/>
      <c r="BC20" s="284"/>
      <c r="BD20" s="284"/>
      <c r="BE20" s="284"/>
      <c r="BF20" s="284"/>
      <c r="BG20" s="284"/>
    </row>
  </sheetData>
  <mergeCells count="19">
    <mergeCell ref="A1:BG1"/>
    <mergeCell ref="AX3:BB3"/>
    <mergeCell ref="K3:L3"/>
    <mergeCell ref="M3:N3"/>
    <mergeCell ref="O3:P3"/>
    <mergeCell ref="AA3:AA4"/>
    <mergeCell ref="Q3:U3"/>
    <mergeCell ref="V3:Y3"/>
    <mergeCell ref="AS3:AW3"/>
    <mergeCell ref="AN3:AR3"/>
    <mergeCell ref="AH3:AL3"/>
    <mergeCell ref="A3:A4"/>
    <mergeCell ref="D3:E3"/>
    <mergeCell ref="F3:H3"/>
    <mergeCell ref="A19:U19"/>
    <mergeCell ref="A20:BG20"/>
    <mergeCell ref="I3:J3"/>
    <mergeCell ref="AB3:AF3"/>
    <mergeCell ref="BC3:BG3"/>
  </mergeCells>
  <pageMargins left="0.39370078740157483" right="0.15748031496062992" top="0.74803149606299213" bottom="0.74803149606299213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workbookViewId="0">
      <selection activeCell="F27" sqref="F27"/>
    </sheetView>
  </sheetViews>
  <sheetFormatPr defaultRowHeight="15"/>
  <cols>
    <col min="1" max="1" width="26.28515625" customWidth="1"/>
    <col min="2" max="2" width="14.28515625" customWidth="1"/>
    <col min="3" max="3" width="14.85546875" customWidth="1"/>
    <col min="4" max="4" width="14.42578125" customWidth="1"/>
    <col min="5" max="5" width="14.7109375" customWidth="1"/>
    <col min="6" max="6" width="14.28515625" customWidth="1"/>
    <col min="7" max="7" width="14" customWidth="1"/>
    <col min="8" max="8" width="12.5703125" customWidth="1"/>
    <col min="9" max="9" width="12.42578125" customWidth="1"/>
    <col min="10" max="13" width="14.5703125" customWidth="1"/>
    <col min="14" max="14" width="13.42578125" customWidth="1"/>
    <col min="15" max="15" width="12.7109375" customWidth="1"/>
    <col min="16" max="16" width="13.7109375" customWidth="1"/>
    <col min="17" max="17" width="13.140625" customWidth="1"/>
  </cols>
  <sheetData>
    <row r="1" spans="1:17" ht="15.75" thickBot="1">
      <c r="A1" s="162" t="s">
        <v>101</v>
      </c>
      <c r="B1" s="162"/>
      <c r="C1" s="162"/>
      <c r="D1" s="162"/>
      <c r="E1" s="162"/>
      <c r="F1" s="162"/>
      <c r="G1" s="162"/>
      <c r="H1" s="162"/>
      <c r="I1" s="162"/>
    </row>
    <row r="2" spans="1:17">
      <c r="A2" s="163"/>
      <c r="B2" s="165" t="s">
        <v>42</v>
      </c>
      <c r="C2" s="168"/>
      <c r="D2" s="165" t="s">
        <v>40</v>
      </c>
      <c r="E2" s="168"/>
      <c r="F2" s="165" t="s">
        <v>116</v>
      </c>
      <c r="G2" s="166"/>
      <c r="H2" s="166"/>
      <c r="I2" s="167"/>
      <c r="J2" s="165" t="s">
        <v>125</v>
      </c>
      <c r="K2" s="166"/>
      <c r="L2" s="166"/>
      <c r="M2" s="167"/>
      <c r="N2" s="165" t="s">
        <v>129</v>
      </c>
      <c r="O2" s="166"/>
      <c r="P2" s="166"/>
      <c r="Q2" s="167"/>
    </row>
    <row r="3" spans="1:17" ht="45.75" thickBot="1">
      <c r="A3" s="164"/>
      <c r="B3" s="58" t="s">
        <v>81</v>
      </c>
      <c r="C3" s="135" t="s">
        <v>80</v>
      </c>
      <c r="D3" s="58" t="s">
        <v>81</v>
      </c>
      <c r="E3" s="135" t="s">
        <v>80</v>
      </c>
      <c r="F3" s="58" t="s">
        <v>81</v>
      </c>
      <c r="G3" s="136" t="s">
        <v>80</v>
      </c>
      <c r="H3" s="136" t="s">
        <v>120</v>
      </c>
      <c r="I3" s="136" t="s">
        <v>121</v>
      </c>
      <c r="J3" s="58" t="s">
        <v>122</v>
      </c>
      <c r="K3" s="136" t="s">
        <v>118</v>
      </c>
      <c r="L3" s="136" t="s">
        <v>123</v>
      </c>
      <c r="M3" s="136" t="s">
        <v>124</v>
      </c>
      <c r="N3" s="58" t="s">
        <v>126</v>
      </c>
      <c r="O3" s="136" t="s">
        <v>119</v>
      </c>
      <c r="P3" s="136" t="s">
        <v>127</v>
      </c>
      <c r="Q3" s="136" t="s">
        <v>128</v>
      </c>
    </row>
    <row r="4" spans="1:17">
      <c r="A4" s="130" t="s">
        <v>89</v>
      </c>
      <c r="B4" s="132"/>
      <c r="C4" s="131"/>
      <c r="D4" s="132">
        <v>5527594</v>
      </c>
      <c r="E4" s="132">
        <v>4591830</v>
      </c>
      <c r="F4" s="132">
        <v>4185838</v>
      </c>
      <c r="G4" s="133">
        <v>4018569</v>
      </c>
      <c r="H4" s="133">
        <v>6705434.5800000001</v>
      </c>
      <c r="I4" s="134">
        <v>6705434.5800000001</v>
      </c>
      <c r="J4" s="132">
        <v>3691915</v>
      </c>
      <c r="K4" s="133">
        <v>3609011</v>
      </c>
      <c r="L4" s="133">
        <v>5605286.5800000001</v>
      </c>
      <c r="M4" s="133">
        <v>5605286.5800000001</v>
      </c>
      <c r="N4" s="132">
        <v>3408017</v>
      </c>
      <c r="O4" s="133">
        <v>3270491</v>
      </c>
      <c r="P4" s="133">
        <v>5251669.58</v>
      </c>
      <c r="Q4" s="133">
        <v>5251669.58</v>
      </c>
    </row>
    <row r="5" spans="1:17">
      <c r="A5" s="113" t="s">
        <v>90</v>
      </c>
      <c r="B5" s="132"/>
      <c r="C5" s="115"/>
      <c r="D5" s="132">
        <v>7808145</v>
      </c>
      <c r="E5" s="132">
        <v>6860657</v>
      </c>
      <c r="F5" s="116">
        <v>6358036</v>
      </c>
      <c r="G5" s="43">
        <v>6197280</v>
      </c>
      <c r="H5" s="43">
        <v>6681667.5800000001</v>
      </c>
      <c r="I5" s="117">
        <v>6681667.5800000001</v>
      </c>
      <c r="J5" s="116">
        <v>5783929</v>
      </c>
      <c r="K5" s="43">
        <v>5706725</v>
      </c>
      <c r="L5" s="43">
        <v>5571489.5800000001</v>
      </c>
      <c r="M5" s="43">
        <v>5571489.5800000001</v>
      </c>
      <c r="N5" s="116">
        <v>5444338</v>
      </c>
      <c r="O5" s="43">
        <v>5291845</v>
      </c>
      <c r="P5" s="43">
        <v>5223630.58</v>
      </c>
      <c r="Q5" s="43">
        <v>5223630.58</v>
      </c>
    </row>
    <row r="6" spans="1:17">
      <c r="A6" s="114" t="s">
        <v>91</v>
      </c>
      <c r="B6" s="132">
        <v>8489726</v>
      </c>
      <c r="C6" s="132">
        <v>8489726</v>
      </c>
      <c r="D6" s="132">
        <v>5250260</v>
      </c>
      <c r="E6" s="132">
        <v>4381930</v>
      </c>
      <c r="F6" s="116">
        <v>4048210</v>
      </c>
      <c r="G6" s="43">
        <v>3911494</v>
      </c>
      <c r="H6" s="43"/>
      <c r="I6" s="117"/>
      <c r="J6" s="116">
        <v>3570727</v>
      </c>
      <c r="K6" s="43">
        <v>3521186</v>
      </c>
      <c r="L6" s="43">
        <v>5330674.58</v>
      </c>
      <c r="M6" s="43">
        <v>5330674.58</v>
      </c>
      <c r="N6" s="116">
        <v>3342912</v>
      </c>
      <c r="O6" s="43">
        <v>3227365</v>
      </c>
      <c r="P6" s="43">
        <v>5021726.58</v>
      </c>
      <c r="Q6" s="43">
        <v>5021726.58</v>
      </c>
    </row>
    <row r="7" spans="1:17">
      <c r="A7" s="113" t="s">
        <v>92</v>
      </c>
      <c r="B7" s="116">
        <v>6962154</v>
      </c>
      <c r="C7" s="116">
        <v>6962154</v>
      </c>
      <c r="D7" s="116">
        <v>5482857</v>
      </c>
      <c r="E7" s="116">
        <v>4512633</v>
      </c>
      <c r="F7" s="116">
        <v>4090042</v>
      </c>
      <c r="G7" s="43">
        <v>3936136</v>
      </c>
      <c r="H7" s="43">
        <v>4925926</v>
      </c>
      <c r="I7" s="117">
        <f>H7</f>
        <v>4925926</v>
      </c>
      <c r="J7" s="116">
        <v>3614673</v>
      </c>
      <c r="K7" s="43">
        <v>3542914</v>
      </c>
      <c r="L7" s="43">
        <v>5501084.5800000001</v>
      </c>
      <c r="M7" s="43">
        <v>5501084.5800000001</v>
      </c>
      <c r="N7" s="116">
        <v>3390448</v>
      </c>
      <c r="O7" s="43">
        <v>3244051</v>
      </c>
      <c r="P7" s="43">
        <v>5165199.58</v>
      </c>
      <c r="Q7" s="43">
        <v>5165199.58</v>
      </c>
    </row>
    <row r="8" spans="1:17">
      <c r="A8" s="114" t="s">
        <v>93</v>
      </c>
      <c r="B8" s="116">
        <v>6836109</v>
      </c>
      <c r="C8" s="116">
        <v>6836109</v>
      </c>
      <c r="D8" s="116"/>
      <c r="E8" s="116">
        <v>4422649</v>
      </c>
      <c r="F8" s="116">
        <v>4008834</v>
      </c>
      <c r="G8" s="43">
        <v>3872639</v>
      </c>
      <c r="H8" s="43">
        <v>5763303.5800000001</v>
      </c>
      <c r="I8" s="117">
        <f t="shared" ref="I8:I15" si="0">H8</f>
        <v>5763303.5800000001</v>
      </c>
      <c r="J8" s="116">
        <v>3555278</v>
      </c>
      <c r="K8" s="43">
        <v>3498713</v>
      </c>
      <c r="L8" s="43">
        <v>5399725.5800000001</v>
      </c>
      <c r="M8" s="43">
        <v>5399725.5800000001</v>
      </c>
      <c r="N8" s="116">
        <v>3364954</v>
      </c>
      <c r="O8" s="43">
        <v>3234889</v>
      </c>
      <c r="P8" s="43">
        <v>5080404.58</v>
      </c>
      <c r="Q8" s="43">
        <v>5080404.58</v>
      </c>
    </row>
    <row r="9" spans="1:17">
      <c r="A9" s="113" t="s">
        <v>94</v>
      </c>
      <c r="B9" s="116">
        <v>6941970</v>
      </c>
      <c r="C9" s="116">
        <v>6941970</v>
      </c>
      <c r="D9" s="116">
        <v>4541276</v>
      </c>
      <c r="E9" s="116">
        <v>4249268</v>
      </c>
      <c r="F9" s="116">
        <v>4005350</v>
      </c>
      <c r="G9" s="43">
        <v>3865782</v>
      </c>
      <c r="H9" s="43">
        <v>5809678.5800000001</v>
      </c>
      <c r="I9" s="117">
        <f t="shared" si="0"/>
        <v>5809678.5800000001</v>
      </c>
      <c r="J9" s="116">
        <v>3543648</v>
      </c>
      <c r="K9" s="43">
        <v>3484334</v>
      </c>
      <c r="L9" s="43">
        <v>5430666.5800000001</v>
      </c>
      <c r="M9" s="43">
        <v>5430666.5800000001</v>
      </c>
      <c r="N9" s="116">
        <v>3375232</v>
      </c>
      <c r="O9" s="43">
        <v>3238376</v>
      </c>
      <c r="P9" s="43">
        <v>5106771.58</v>
      </c>
      <c r="Q9" s="43">
        <v>5106771.58</v>
      </c>
    </row>
    <row r="10" spans="1:17">
      <c r="A10" s="114" t="s">
        <v>95</v>
      </c>
      <c r="B10" s="116">
        <v>6816327</v>
      </c>
      <c r="C10" s="116">
        <v>6816327</v>
      </c>
      <c r="D10" s="116">
        <v>4438963</v>
      </c>
      <c r="E10" s="116">
        <v>4179571</v>
      </c>
      <c r="F10" s="116">
        <v>3925826</v>
      </c>
      <c r="G10" s="43">
        <v>3804903</v>
      </c>
      <c r="H10" s="43">
        <v>5701087.5800000001</v>
      </c>
      <c r="I10" s="117">
        <f t="shared" si="0"/>
        <v>5701087.5800000001</v>
      </c>
      <c r="J10" s="116">
        <v>3485665</v>
      </c>
      <c r="K10" s="43">
        <v>3441480</v>
      </c>
      <c r="L10" s="43">
        <v>5330958.58</v>
      </c>
      <c r="M10" s="43">
        <v>5330958.58</v>
      </c>
      <c r="N10" s="116">
        <v>3350191</v>
      </c>
      <c r="O10" s="43">
        <v>3229393</v>
      </c>
      <c r="P10" s="43">
        <v>5023345.58</v>
      </c>
      <c r="Q10" s="43">
        <v>5023345.58</v>
      </c>
    </row>
    <row r="11" spans="1:17">
      <c r="A11" s="113" t="s">
        <v>96</v>
      </c>
      <c r="B11" s="116">
        <v>5270878</v>
      </c>
      <c r="C11" s="116">
        <v>5270878</v>
      </c>
      <c r="D11" s="116">
        <v>4442780</v>
      </c>
      <c r="E11" s="116">
        <v>4184842</v>
      </c>
      <c r="F11" s="116">
        <v>3918514</v>
      </c>
      <c r="G11" s="43">
        <v>3794095</v>
      </c>
      <c r="H11" s="43">
        <v>5744821.5800000001</v>
      </c>
      <c r="I11" s="117">
        <f t="shared" si="0"/>
        <v>5744821.5800000001</v>
      </c>
      <c r="J11" s="116">
        <v>3470824</v>
      </c>
      <c r="K11" s="43">
        <v>3424645</v>
      </c>
      <c r="L11" s="43">
        <v>5363855.58</v>
      </c>
      <c r="M11" s="43">
        <v>5363855.58</v>
      </c>
      <c r="N11" s="116">
        <v>3359939</v>
      </c>
      <c r="O11" s="43">
        <v>3232691</v>
      </c>
      <c r="P11" s="43">
        <v>5047290.58</v>
      </c>
      <c r="Q11" s="43">
        <v>5047290.58</v>
      </c>
    </row>
    <row r="12" spans="1:17">
      <c r="A12" s="114" t="s">
        <v>97</v>
      </c>
      <c r="B12" s="116">
        <v>5126566</v>
      </c>
      <c r="C12" s="116">
        <v>5126566</v>
      </c>
      <c r="D12" s="116">
        <v>4392928</v>
      </c>
      <c r="E12" s="116">
        <v>4152345</v>
      </c>
      <c r="F12" s="116">
        <v>3874494</v>
      </c>
      <c r="G12" s="43">
        <v>3757861</v>
      </c>
      <c r="H12" s="43">
        <v>8640296.5800000001</v>
      </c>
      <c r="I12" s="117">
        <f t="shared" si="0"/>
        <v>8640296.5800000001</v>
      </c>
      <c r="J12" s="116">
        <v>3438047</v>
      </c>
      <c r="K12" s="43">
        <v>3394434</v>
      </c>
      <c r="L12" s="43">
        <v>8166919.5800000001</v>
      </c>
      <c r="M12" s="43">
        <v>8166919.5800000001</v>
      </c>
      <c r="N12" s="116">
        <v>3352286</v>
      </c>
      <c r="O12" s="43">
        <v>3229848</v>
      </c>
      <c r="P12" s="43">
        <v>7753465.5800000001</v>
      </c>
      <c r="Q12" s="43">
        <v>7753465.5800000001</v>
      </c>
    </row>
    <row r="13" spans="1:17">
      <c r="A13" s="113" t="s">
        <v>98</v>
      </c>
      <c r="B13" s="116">
        <v>4542434</v>
      </c>
      <c r="C13" s="116">
        <v>4542434</v>
      </c>
      <c r="D13" s="116">
        <v>4293565</v>
      </c>
      <c r="E13" s="116">
        <v>4084877</v>
      </c>
      <c r="F13" s="116">
        <v>3797572</v>
      </c>
      <c r="G13" s="43">
        <v>3699463</v>
      </c>
      <c r="H13" s="43">
        <v>5631820.5800000001</v>
      </c>
      <c r="I13" s="117">
        <f t="shared" si="0"/>
        <v>5631820.5800000001</v>
      </c>
      <c r="J13" s="116">
        <v>3411135</v>
      </c>
      <c r="K13" s="43">
        <v>3353647</v>
      </c>
      <c r="L13" s="43">
        <v>5272990.58</v>
      </c>
      <c r="M13" s="43">
        <v>5272990.58</v>
      </c>
      <c r="N13" s="116">
        <v>3327929</v>
      </c>
      <c r="O13" s="43">
        <v>3221133</v>
      </c>
      <c r="P13" s="43">
        <v>4960196.58</v>
      </c>
      <c r="Q13" s="43">
        <v>4960196.58</v>
      </c>
    </row>
    <row r="14" spans="1:17">
      <c r="A14" s="114" t="s">
        <v>99</v>
      </c>
      <c r="B14" s="116">
        <v>4525388</v>
      </c>
      <c r="C14" s="116">
        <v>4525388</v>
      </c>
      <c r="D14" s="116">
        <v>4290677</v>
      </c>
      <c r="E14" s="116">
        <v>4086084</v>
      </c>
      <c r="F14" s="116">
        <v>3784345</v>
      </c>
      <c r="G14" s="43">
        <v>3684134</v>
      </c>
      <c r="H14" s="43">
        <v>5672613.5800000001</v>
      </c>
      <c r="I14" s="117">
        <f t="shared" si="0"/>
        <v>5672613.5800000001</v>
      </c>
      <c r="J14" s="116">
        <v>3423070</v>
      </c>
      <c r="K14" s="43">
        <v>3333043</v>
      </c>
      <c r="L14" s="43">
        <v>5307532.58</v>
      </c>
      <c r="M14" s="43">
        <v>5307532.58</v>
      </c>
      <c r="N14" s="116">
        <v>3336878</v>
      </c>
      <c r="O14" s="43">
        <v>3224149</v>
      </c>
      <c r="P14" s="43">
        <v>4981460.58</v>
      </c>
      <c r="Q14" s="43">
        <v>4981460.58</v>
      </c>
    </row>
    <row r="15" spans="1:17" ht="15.75" thickBot="1">
      <c r="A15" s="120" t="s">
        <v>100</v>
      </c>
      <c r="B15" s="122">
        <v>4500000</v>
      </c>
      <c r="C15" s="121"/>
      <c r="D15" s="122">
        <v>4193348</v>
      </c>
      <c r="E15" s="122">
        <v>4020139</v>
      </c>
      <c r="F15" s="122">
        <v>3709217</v>
      </c>
      <c r="G15" s="123">
        <v>3627431</v>
      </c>
      <c r="H15" s="123">
        <v>5567235.5800000001</v>
      </c>
      <c r="I15" s="117">
        <f t="shared" si="0"/>
        <v>5567235.5800000001</v>
      </c>
      <c r="J15" s="122">
        <v>3396604</v>
      </c>
      <c r="K15" s="123">
        <v>3293668</v>
      </c>
      <c r="L15" s="123">
        <v>5219401.58</v>
      </c>
      <c r="M15" s="123">
        <v>5219401.58</v>
      </c>
      <c r="N15" s="122">
        <v>3312980</v>
      </c>
      <c r="O15" s="123">
        <v>3215613</v>
      </c>
      <c r="P15" s="123">
        <v>4900971.58</v>
      </c>
      <c r="Q15" s="123">
        <v>4900971.58</v>
      </c>
    </row>
    <row r="16" spans="1:17">
      <c r="A16" s="127" t="s">
        <v>86</v>
      </c>
      <c r="B16" s="124">
        <f t="shared" ref="B16:C16" si="1">SUM(B4:B15)</f>
        <v>60011552</v>
      </c>
      <c r="C16" s="124">
        <f t="shared" si="1"/>
        <v>55511552</v>
      </c>
      <c r="D16" s="124">
        <f t="shared" ref="D16:E16" si="2">SUM(D4:D15)</f>
        <v>54662393</v>
      </c>
      <c r="E16" s="124">
        <f t="shared" si="2"/>
        <v>53726825</v>
      </c>
      <c r="F16" s="124">
        <f t="shared" ref="F16:G16" si="3">SUM(F4:F15)</f>
        <v>49706278</v>
      </c>
      <c r="G16" s="125">
        <f t="shared" si="3"/>
        <v>48169787</v>
      </c>
      <c r="H16" s="125">
        <f>SUM(H4:H15)</f>
        <v>66843885.79999999</v>
      </c>
      <c r="I16" s="126">
        <f>SUM(I4:I15)</f>
        <v>66843885.79999999</v>
      </c>
      <c r="J16" s="124">
        <f t="shared" ref="J16:K16" si="4">SUM(J4:J15)</f>
        <v>44385515</v>
      </c>
      <c r="K16" s="125">
        <f t="shared" si="4"/>
        <v>43603800</v>
      </c>
      <c r="L16" s="125">
        <f>SUM(L4:L15)</f>
        <v>67500585.959999993</v>
      </c>
      <c r="M16" s="126">
        <f>SUM(M4:M15)</f>
        <v>67500585.959999993</v>
      </c>
      <c r="N16" s="124">
        <f t="shared" ref="N16:O16" si="5">SUM(N4:N15)</f>
        <v>42366104</v>
      </c>
      <c r="O16" s="125">
        <f t="shared" si="5"/>
        <v>40859844</v>
      </c>
      <c r="P16" s="125">
        <f>SUM(P4:P15)</f>
        <v>63516132.959999986</v>
      </c>
      <c r="Q16" s="126">
        <f>SUM(Q4:Q15)</f>
        <v>63516132.959999986</v>
      </c>
    </row>
    <row r="17" spans="1:17">
      <c r="A17" s="128" t="s">
        <v>87</v>
      </c>
      <c r="B17" s="118">
        <f>B16/1.18</f>
        <v>50857247.457627118</v>
      </c>
      <c r="C17" s="118">
        <f>C16/1.18</f>
        <v>47043688.135593221</v>
      </c>
      <c r="D17" s="118">
        <f t="shared" ref="D17:E17" si="6">D16/1.2</f>
        <v>45551994.166666672</v>
      </c>
      <c r="E17" s="118">
        <f t="shared" si="6"/>
        <v>44772354.166666672</v>
      </c>
      <c r="F17" s="118">
        <f t="shared" ref="F17:G17" si="7">F16/1.2</f>
        <v>41421898.333333336</v>
      </c>
      <c r="G17" s="44">
        <f t="shared" si="7"/>
        <v>40141489.166666672</v>
      </c>
      <c r="H17" s="44">
        <f>H16/1.2</f>
        <v>55703238.166666657</v>
      </c>
      <c r="I17" s="119">
        <f>I16/1.2</f>
        <v>55703238.166666657</v>
      </c>
      <c r="J17" s="118">
        <f t="shared" ref="J17:K17" si="8">J16/1.2</f>
        <v>36987929.166666672</v>
      </c>
      <c r="K17" s="44">
        <f t="shared" si="8"/>
        <v>36336500</v>
      </c>
      <c r="L17" s="44">
        <f>L16/1.2</f>
        <v>56250488.299999997</v>
      </c>
      <c r="M17" s="119">
        <f>M16/1.2</f>
        <v>56250488.299999997</v>
      </c>
      <c r="N17" s="118">
        <f t="shared" ref="N17:O17" si="9">N16/1.2</f>
        <v>35305086.666666672</v>
      </c>
      <c r="O17" s="44">
        <f t="shared" si="9"/>
        <v>34049870</v>
      </c>
      <c r="P17" s="44">
        <f>P16/1.2</f>
        <v>52930110.79999999</v>
      </c>
      <c r="Q17" s="119">
        <f>Q16/1.2</f>
        <v>52930110.79999999</v>
      </c>
    </row>
    <row r="18" spans="1:17" ht="32.25" customHeight="1" thickBot="1">
      <c r="A18" s="129" t="s">
        <v>117</v>
      </c>
      <c r="B18" s="160">
        <f>B17+C17</f>
        <v>97900935.593220338</v>
      </c>
      <c r="C18" s="161"/>
      <c r="D18" s="160">
        <f>D17+E17</f>
        <v>90324348.333333343</v>
      </c>
      <c r="E18" s="161"/>
      <c r="F18" s="169">
        <f>SUM(F17:I17)</f>
        <v>192969863.83333331</v>
      </c>
      <c r="G18" s="170"/>
      <c r="H18" s="170"/>
      <c r="I18" s="171"/>
      <c r="J18" s="169">
        <f>SUM(J17:M17)</f>
        <v>185825405.76666665</v>
      </c>
      <c r="K18" s="170"/>
      <c r="L18" s="170"/>
      <c r="M18" s="171"/>
      <c r="N18" s="169">
        <f>SUM(N17:Q17)</f>
        <v>175215178.26666665</v>
      </c>
      <c r="O18" s="170"/>
      <c r="P18" s="170"/>
      <c r="Q18" s="171"/>
    </row>
    <row r="19" spans="1:17">
      <c r="C19" s="137"/>
    </row>
    <row r="21" spans="1:17">
      <c r="B21" s="137"/>
    </row>
    <row r="27" spans="1:17">
      <c r="F27" t="s">
        <v>48</v>
      </c>
    </row>
  </sheetData>
  <mergeCells count="12">
    <mergeCell ref="J2:M2"/>
    <mergeCell ref="J18:M18"/>
    <mergeCell ref="N2:Q2"/>
    <mergeCell ref="N18:Q18"/>
    <mergeCell ref="F18:I18"/>
    <mergeCell ref="B18:C18"/>
    <mergeCell ref="D18:E18"/>
    <mergeCell ref="A1:I1"/>
    <mergeCell ref="A2:A3"/>
    <mergeCell ref="F2:I2"/>
    <mergeCell ref="B2:C2"/>
    <mergeCell ref="D2:E2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workbookViewId="0">
      <selection activeCell="P10" sqref="P10"/>
    </sheetView>
  </sheetViews>
  <sheetFormatPr defaultRowHeight="15"/>
  <cols>
    <col min="1" max="1" width="41.42578125" customWidth="1"/>
    <col min="2" max="2" width="15.140625" hidden="1" customWidth="1"/>
    <col min="3" max="3" width="15.7109375" hidden="1" customWidth="1"/>
    <col min="4" max="4" width="15.7109375" customWidth="1"/>
    <col min="5" max="5" width="17.7109375" customWidth="1"/>
    <col min="6" max="6" width="14.85546875" hidden="1" customWidth="1"/>
    <col min="7" max="7" width="14.42578125" hidden="1" customWidth="1"/>
    <col min="8" max="8" width="17.5703125" customWidth="1"/>
    <col min="9" max="9" width="16.28515625" customWidth="1"/>
    <col min="10" max="10" width="13.5703125" customWidth="1"/>
    <col min="11" max="11" width="11.5703125" customWidth="1"/>
    <col min="12" max="12" width="14.140625" style="10" customWidth="1"/>
    <col min="13" max="13" width="13.5703125" style="10" bestFit="1" customWidth="1"/>
    <col min="14" max="14" width="15.5703125" style="10" customWidth="1"/>
    <col min="15" max="15" width="17" style="10" customWidth="1"/>
    <col min="16" max="16" width="15.85546875" customWidth="1"/>
    <col min="17" max="21" width="9.140625" customWidth="1"/>
    <col min="246" max="246" width="41.42578125" customWidth="1"/>
    <col min="247" max="247" width="12.140625" customWidth="1"/>
    <col min="248" max="248" width="6.140625" customWidth="1"/>
    <col min="249" max="249" width="13.85546875" customWidth="1"/>
    <col min="250" max="250" width="12.140625" customWidth="1"/>
    <col min="251" max="251" width="6.140625" customWidth="1"/>
    <col min="252" max="252" width="14.42578125" customWidth="1"/>
    <col min="253" max="253" width="13.42578125" customWidth="1"/>
    <col min="254" max="254" width="6.5703125" customWidth="1"/>
    <col min="255" max="255" width="14.28515625" customWidth="1"/>
    <col min="256" max="256" width="13.28515625" customWidth="1"/>
    <col min="257" max="257" width="8.42578125" customWidth="1"/>
    <col min="258" max="258" width="14" customWidth="1"/>
    <col min="259" max="259" width="14.42578125" customWidth="1"/>
    <col min="260" max="260" width="7.5703125" customWidth="1"/>
    <col min="261" max="261" width="14.28515625" customWidth="1"/>
    <col min="262" max="262" width="14.85546875" customWidth="1"/>
    <col min="263" max="263" width="8.7109375" customWidth="1"/>
    <col min="264" max="264" width="13.85546875" customWidth="1"/>
    <col min="502" max="502" width="41.42578125" customWidth="1"/>
    <col min="503" max="503" width="12.140625" customWidth="1"/>
    <col min="504" max="504" width="6.140625" customWidth="1"/>
    <col min="505" max="505" width="13.85546875" customWidth="1"/>
    <col min="506" max="506" width="12.140625" customWidth="1"/>
    <col min="507" max="507" width="6.140625" customWidth="1"/>
    <col min="508" max="508" width="14.42578125" customWidth="1"/>
    <col min="509" max="509" width="13.42578125" customWidth="1"/>
    <col min="510" max="510" width="6.5703125" customWidth="1"/>
    <col min="511" max="511" width="14.28515625" customWidth="1"/>
    <col min="512" max="512" width="13.28515625" customWidth="1"/>
    <col min="513" max="513" width="8.42578125" customWidth="1"/>
    <col min="514" max="514" width="14" customWidth="1"/>
    <col min="515" max="515" width="14.42578125" customWidth="1"/>
    <col min="516" max="516" width="7.5703125" customWidth="1"/>
    <col min="517" max="517" width="14.28515625" customWidth="1"/>
    <col min="518" max="518" width="14.85546875" customWidth="1"/>
    <col min="519" max="519" width="8.7109375" customWidth="1"/>
    <col min="520" max="520" width="13.85546875" customWidth="1"/>
    <col min="758" max="758" width="41.42578125" customWidth="1"/>
    <col min="759" max="759" width="12.140625" customWidth="1"/>
    <col min="760" max="760" width="6.140625" customWidth="1"/>
    <col min="761" max="761" width="13.85546875" customWidth="1"/>
    <col min="762" max="762" width="12.140625" customWidth="1"/>
    <col min="763" max="763" width="6.140625" customWidth="1"/>
    <col min="764" max="764" width="14.42578125" customWidth="1"/>
    <col min="765" max="765" width="13.42578125" customWidth="1"/>
    <col min="766" max="766" width="6.5703125" customWidth="1"/>
    <col min="767" max="767" width="14.28515625" customWidth="1"/>
    <col min="768" max="768" width="13.28515625" customWidth="1"/>
    <col min="769" max="769" width="8.42578125" customWidth="1"/>
    <col min="770" max="770" width="14" customWidth="1"/>
    <col min="771" max="771" width="14.42578125" customWidth="1"/>
    <col min="772" max="772" width="7.5703125" customWidth="1"/>
    <col min="773" max="773" width="14.28515625" customWidth="1"/>
    <col min="774" max="774" width="14.85546875" customWidth="1"/>
    <col min="775" max="775" width="8.7109375" customWidth="1"/>
    <col min="776" max="776" width="13.85546875" customWidth="1"/>
    <col min="1014" max="1014" width="41.42578125" customWidth="1"/>
    <col min="1015" max="1015" width="12.140625" customWidth="1"/>
    <col min="1016" max="1016" width="6.140625" customWidth="1"/>
    <col min="1017" max="1017" width="13.85546875" customWidth="1"/>
    <col min="1018" max="1018" width="12.140625" customWidth="1"/>
    <col min="1019" max="1019" width="6.140625" customWidth="1"/>
    <col min="1020" max="1020" width="14.42578125" customWidth="1"/>
    <col min="1021" max="1021" width="13.42578125" customWidth="1"/>
    <col min="1022" max="1022" width="6.5703125" customWidth="1"/>
    <col min="1023" max="1023" width="14.28515625" customWidth="1"/>
    <col min="1024" max="1024" width="13.28515625" customWidth="1"/>
    <col min="1025" max="1025" width="8.42578125" customWidth="1"/>
    <col min="1026" max="1026" width="14" customWidth="1"/>
    <col min="1027" max="1027" width="14.42578125" customWidth="1"/>
    <col min="1028" max="1028" width="7.5703125" customWidth="1"/>
    <col min="1029" max="1029" width="14.28515625" customWidth="1"/>
    <col min="1030" max="1030" width="14.85546875" customWidth="1"/>
    <col min="1031" max="1031" width="8.7109375" customWidth="1"/>
    <col min="1032" max="1032" width="13.85546875" customWidth="1"/>
    <col min="1270" max="1270" width="41.42578125" customWidth="1"/>
    <col min="1271" max="1271" width="12.140625" customWidth="1"/>
    <col min="1272" max="1272" width="6.140625" customWidth="1"/>
    <col min="1273" max="1273" width="13.85546875" customWidth="1"/>
    <col min="1274" max="1274" width="12.140625" customWidth="1"/>
    <col min="1275" max="1275" width="6.140625" customWidth="1"/>
    <col min="1276" max="1276" width="14.42578125" customWidth="1"/>
    <col min="1277" max="1277" width="13.42578125" customWidth="1"/>
    <col min="1278" max="1278" width="6.5703125" customWidth="1"/>
    <col min="1279" max="1279" width="14.28515625" customWidth="1"/>
    <col min="1280" max="1280" width="13.28515625" customWidth="1"/>
    <col min="1281" max="1281" width="8.42578125" customWidth="1"/>
    <col min="1282" max="1282" width="14" customWidth="1"/>
    <col min="1283" max="1283" width="14.42578125" customWidth="1"/>
    <col min="1284" max="1284" width="7.5703125" customWidth="1"/>
    <col min="1285" max="1285" width="14.28515625" customWidth="1"/>
    <col min="1286" max="1286" width="14.85546875" customWidth="1"/>
    <col min="1287" max="1287" width="8.7109375" customWidth="1"/>
    <col min="1288" max="1288" width="13.85546875" customWidth="1"/>
    <col min="1526" max="1526" width="41.42578125" customWidth="1"/>
    <col min="1527" max="1527" width="12.140625" customWidth="1"/>
    <col min="1528" max="1528" width="6.140625" customWidth="1"/>
    <col min="1529" max="1529" width="13.85546875" customWidth="1"/>
    <col min="1530" max="1530" width="12.140625" customWidth="1"/>
    <col min="1531" max="1531" width="6.140625" customWidth="1"/>
    <col min="1532" max="1532" width="14.42578125" customWidth="1"/>
    <col min="1533" max="1533" width="13.42578125" customWidth="1"/>
    <col min="1534" max="1534" width="6.5703125" customWidth="1"/>
    <col min="1535" max="1535" width="14.28515625" customWidth="1"/>
    <col min="1536" max="1536" width="13.28515625" customWidth="1"/>
    <col min="1537" max="1537" width="8.42578125" customWidth="1"/>
    <col min="1538" max="1538" width="14" customWidth="1"/>
    <col min="1539" max="1539" width="14.42578125" customWidth="1"/>
    <col min="1540" max="1540" width="7.5703125" customWidth="1"/>
    <col min="1541" max="1541" width="14.28515625" customWidth="1"/>
    <col min="1542" max="1542" width="14.85546875" customWidth="1"/>
    <col min="1543" max="1543" width="8.7109375" customWidth="1"/>
    <col min="1544" max="1544" width="13.85546875" customWidth="1"/>
    <col min="1782" max="1782" width="41.42578125" customWidth="1"/>
    <col min="1783" max="1783" width="12.140625" customWidth="1"/>
    <col min="1784" max="1784" width="6.140625" customWidth="1"/>
    <col min="1785" max="1785" width="13.85546875" customWidth="1"/>
    <col min="1786" max="1786" width="12.140625" customWidth="1"/>
    <col min="1787" max="1787" width="6.140625" customWidth="1"/>
    <col min="1788" max="1788" width="14.42578125" customWidth="1"/>
    <col min="1789" max="1789" width="13.42578125" customWidth="1"/>
    <col min="1790" max="1790" width="6.5703125" customWidth="1"/>
    <col min="1791" max="1791" width="14.28515625" customWidth="1"/>
    <col min="1792" max="1792" width="13.28515625" customWidth="1"/>
    <col min="1793" max="1793" width="8.42578125" customWidth="1"/>
    <col min="1794" max="1794" width="14" customWidth="1"/>
    <col min="1795" max="1795" width="14.42578125" customWidth="1"/>
    <col min="1796" max="1796" width="7.5703125" customWidth="1"/>
    <col min="1797" max="1797" width="14.28515625" customWidth="1"/>
    <col min="1798" max="1798" width="14.85546875" customWidth="1"/>
    <col min="1799" max="1799" width="8.7109375" customWidth="1"/>
    <col min="1800" max="1800" width="13.85546875" customWidth="1"/>
    <col min="2038" max="2038" width="41.42578125" customWidth="1"/>
    <col min="2039" max="2039" width="12.140625" customWidth="1"/>
    <col min="2040" max="2040" width="6.140625" customWidth="1"/>
    <col min="2041" max="2041" width="13.85546875" customWidth="1"/>
    <col min="2042" max="2042" width="12.140625" customWidth="1"/>
    <col min="2043" max="2043" width="6.140625" customWidth="1"/>
    <col min="2044" max="2044" width="14.42578125" customWidth="1"/>
    <col min="2045" max="2045" width="13.42578125" customWidth="1"/>
    <col min="2046" max="2046" width="6.5703125" customWidth="1"/>
    <col min="2047" max="2047" width="14.28515625" customWidth="1"/>
    <col min="2048" max="2048" width="13.28515625" customWidth="1"/>
    <col min="2049" max="2049" width="8.42578125" customWidth="1"/>
    <col min="2050" max="2050" width="14" customWidth="1"/>
    <col min="2051" max="2051" width="14.42578125" customWidth="1"/>
    <col min="2052" max="2052" width="7.5703125" customWidth="1"/>
    <col min="2053" max="2053" width="14.28515625" customWidth="1"/>
    <col min="2054" max="2054" width="14.85546875" customWidth="1"/>
    <col min="2055" max="2055" width="8.7109375" customWidth="1"/>
    <col min="2056" max="2056" width="13.85546875" customWidth="1"/>
    <col min="2294" max="2294" width="41.42578125" customWidth="1"/>
    <col min="2295" max="2295" width="12.140625" customWidth="1"/>
    <col min="2296" max="2296" width="6.140625" customWidth="1"/>
    <col min="2297" max="2297" width="13.85546875" customWidth="1"/>
    <col min="2298" max="2298" width="12.140625" customWidth="1"/>
    <col min="2299" max="2299" width="6.140625" customWidth="1"/>
    <col min="2300" max="2300" width="14.42578125" customWidth="1"/>
    <col min="2301" max="2301" width="13.42578125" customWidth="1"/>
    <col min="2302" max="2302" width="6.5703125" customWidth="1"/>
    <col min="2303" max="2303" width="14.28515625" customWidth="1"/>
    <col min="2304" max="2304" width="13.28515625" customWidth="1"/>
    <col min="2305" max="2305" width="8.42578125" customWidth="1"/>
    <col min="2306" max="2306" width="14" customWidth="1"/>
    <col min="2307" max="2307" width="14.42578125" customWidth="1"/>
    <col min="2308" max="2308" width="7.5703125" customWidth="1"/>
    <col min="2309" max="2309" width="14.28515625" customWidth="1"/>
    <col min="2310" max="2310" width="14.85546875" customWidth="1"/>
    <col min="2311" max="2311" width="8.7109375" customWidth="1"/>
    <col min="2312" max="2312" width="13.85546875" customWidth="1"/>
    <col min="2550" max="2550" width="41.42578125" customWidth="1"/>
    <col min="2551" max="2551" width="12.140625" customWidth="1"/>
    <col min="2552" max="2552" width="6.140625" customWidth="1"/>
    <col min="2553" max="2553" width="13.85546875" customWidth="1"/>
    <col min="2554" max="2554" width="12.140625" customWidth="1"/>
    <col min="2555" max="2555" width="6.140625" customWidth="1"/>
    <col min="2556" max="2556" width="14.42578125" customWidth="1"/>
    <col min="2557" max="2557" width="13.42578125" customWidth="1"/>
    <col min="2558" max="2558" width="6.5703125" customWidth="1"/>
    <col min="2559" max="2559" width="14.28515625" customWidth="1"/>
    <col min="2560" max="2560" width="13.28515625" customWidth="1"/>
    <col min="2561" max="2561" width="8.42578125" customWidth="1"/>
    <col min="2562" max="2562" width="14" customWidth="1"/>
    <col min="2563" max="2563" width="14.42578125" customWidth="1"/>
    <col min="2564" max="2564" width="7.5703125" customWidth="1"/>
    <col min="2565" max="2565" width="14.28515625" customWidth="1"/>
    <col min="2566" max="2566" width="14.85546875" customWidth="1"/>
    <col min="2567" max="2567" width="8.7109375" customWidth="1"/>
    <col min="2568" max="2568" width="13.85546875" customWidth="1"/>
    <col min="2806" max="2806" width="41.42578125" customWidth="1"/>
    <col min="2807" max="2807" width="12.140625" customWidth="1"/>
    <col min="2808" max="2808" width="6.140625" customWidth="1"/>
    <col min="2809" max="2809" width="13.85546875" customWidth="1"/>
    <col min="2810" max="2810" width="12.140625" customWidth="1"/>
    <col min="2811" max="2811" width="6.140625" customWidth="1"/>
    <col min="2812" max="2812" width="14.42578125" customWidth="1"/>
    <col min="2813" max="2813" width="13.42578125" customWidth="1"/>
    <col min="2814" max="2814" width="6.5703125" customWidth="1"/>
    <col min="2815" max="2815" width="14.28515625" customWidth="1"/>
    <col min="2816" max="2816" width="13.28515625" customWidth="1"/>
    <col min="2817" max="2817" width="8.42578125" customWidth="1"/>
    <col min="2818" max="2818" width="14" customWidth="1"/>
    <col min="2819" max="2819" width="14.42578125" customWidth="1"/>
    <col min="2820" max="2820" width="7.5703125" customWidth="1"/>
    <col min="2821" max="2821" width="14.28515625" customWidth="1"/>
    <col min="2822" max="2822" width="14.85546875" customWidth="1"/>
    <col min="2823" max="2823" width="8.7109375" customWidth="1"/>
    <col min="2824" max="2824" width="13.85546875" customWidth="1"/>
    <col min="3062" max="3062" width="41.42578125" customWidth="1"/>
    <col min="3063" max="3063" width="12.140625" customWidth="1"/>
    <col min="3064" max="3064" width="6.140625" customWidth="1"/>
    <col min="3065" max="3065" width="13.85546875" customWidth="1"/>
    <col min="3066" max="3066" width="12.140625" customWidth="1"/>
    <col min="3067" max="3067" width="6.140625" customWidth="1"/>
    <col min="3068" max="3068" width="14.42578125" customWidth="1"/>
    <col min="3069" max="3069" width="13.42578125" customWidth="1"/>
    <col min="3070" max="3070" width="6.5703125" customWidth="1"/>
    <col min="3071" max="3071" width="14.28515625" customWidth="1"/>
    <col min="3072" max="3072" width="13.28515625" customWidth="1"/>
    <col min="3073" max="3073" width="8.42578125" customWidth="1"/>
    <col min="3074" max="3074" width="14" customWidth="1"/>
    <col min="3075" max="3075" width="14.42578125" customWidth="1"/>
    <col min="3076" max="3076" width="7.5703125" customWidth="1"/>
    <col min="3077" max="3077" width="14.28515625" customWidth="1"/>
    <col min="3078" max="3078" width="14.85546875" customWidth="1"/>
    <col min="3079" max="3079" width="8.7109375" customWidth="1"/>
    <col min="3080" max="3080" width="13.85546875" customWidth="1"/>
    <col min="3318" max="3318" width="41.42578125" customWidth="1"/>
    <col min="3319" max="3319" width="12.140625" customWidth="1"/>
    <col min="3320" max="3320" width="6.140625" customWidth="1"/>
    <col min="3321" max="3321" width="13.85546875" customWidth="1"/>
    <col min="3322" max="3322" width="12.140625" customWidth="1"/>
    <col min="3323" max="3323" width="6.140625" customWidth="1"/>
    <col min="3324" max="3324" width="14.42578125" customWidth="1"/>
    <col min="3325" max="3325" width="13.42578125" customWidth="1"/>
    <col min="3326" max="3326" width="6.5703125" customWidth="1"/>
    <col min="3327" max="3327" width="14.28515625" customWidth="1"/>
    <col min="3328" max="3328" width="13.28515625" customWidth="1"/>
    <col min="3329" max="3329" width="8.42578125" customWidth="1"/>
    <col min="3330" max="3330" width="14" customWidth="1"/>
    <col min="3331" max="3331" width="14.42578125" customWidth="1"/>
    <col min="3332" max="3332" width="7.5703125" customWidth="1"/>
    <col min="3333" max="3333" width="14.28515625" customWidth="1"/>
    <col min="3334" max="3334" width="14.85546875" customWidth="1"/>
    <col min="3335" max="3335" width="8.7109375" customWidth="1"/>
    <col min="3336" max="3336" width="13.85546875" customWidth="1"/>
    <col min="3574" max="3574" width="41.42578125" customWidth="1"/>
    <col min="3575" max="3575" width="12.140625" customWidth="1"/>
    <col min="3576" max="3576" width="6.140625" customWidth="1"/>
    <col min="3577" max="3577" width="13.85546875" customWidth="1"/>
    <col min="3578" max="3578" width="12.140625" customWidth="1"/>
    <col min="3579" max="3579" width="6.140625" customWidth="1"/>
    <col min="3580" max="3580" width="14.42578125" customWidth="1"/>
    <col min="3581" max="3581" width="13.42578125" customWidth="1"/>
    <col min="3582" max="3582" width="6.5703125" customWidth="1"/>
    <col min="3583" max="3583" width="14.28515625" customWidth="1"/>
    <col min="3584" max="3584" width="13.28515625" customWidth="1"/>
    <col min="3585" max="3585" width="8.42578125" customWidth="1"/>
    <col min="3586" max="3586" width="14" customWidth="1"/>
    <col min="3587" max="3587" width="14.42578125" customWidth="1"/>
    <col min="3588" max="3588" width="7.5703125" customWidth="1"/>
    <col min="3589" max="3589" width="14.28515625" customWidth="1"/>
    <col min="3590" max="3590" width="14.85546875" customWidth="1"/>
    <col min="3591" max="3591" width="8.7109375" customWidth="1"/>
    <col min="3592" max="3592" width="13.85546875" customWidth="1"/>
    <col min="3830" max="3830" width="41.42578125" customWidth="1"/>
    <col min="3831" max="3831" width="12.140625" customWidth="1"/>
    <col min="3832" max="3832" width="6.140625" customWidth="1"/>
    <col min="3833" max="3833" width="13.85546875" customWidth="1"/>
    <col min="3834" max="3834" width="12.140625" customWidth="1"/>
    <col min="3835" max="3835" width="6.140625" customWidth="1"/>
    <col min="3836" max="3836" width="14.42578125" customWidth="1"/>
    <col min="3837" max="3837" width="13.42578125" customWidth="1"/>
    <col min="3838" max="3838" width="6.5703125" customWidth="1"/>
    <col min="3839" max="3839" width="14.28515625" customWidth="1"/>
    <col min="3840" max="3840" width="13.28515625" customWidth="1"/>
    <col min="3841" max="3841" width="8.42578125" customWidth="1"/>
    <col min="3842" max="3842" width="14" customWidth="1"/>
    <col min="3843" max="3843" width="14.42578125" customWidth="1"/>
    <col min="3844" max="3844" width="7.5703125" customWidth="1"/>
    <col min="3845" max="3845" width="14.28515625" customWidth="1"/>
    <col min="3846" max="3846" width="14.85546875" customWidth="1"/>
    <col min="3847" max="3847" width="8.7109375" customWidth="1"/>
    <col min="3848" max="3848" width="13.85546875" customWidth="1"/>
    <col min="4086" max="4086" width="41.42578125" customWidth="1"/>
    <col min="4087" max="4087" width="12.140625" customWidth="1"/>
    <col min="4088" max="4088" width="6.140625" customWidth="1"/>
    <col min="4089" max="4089" width="13.85546875" customWidth="1"/>
    <col min="4090" max="4090" width="12.140625" customWidth="1"/>
    <col min="4091" max="4091" width="6.140625" customWidth="1"/>
    <col min="4092" max="4092" width="14.42578125" customWidth="1"/>
    <col min="4093" max="4093" width="13.42578125" customWidth="1"/>
    <col min="4094" max="4094" width="6.5703125" customWidth="1"/>
    <col min="4095" max="4095" width="14.28515625" customWidth="1"/>
    <col min="4096" max="4096" width="13.28515625" customWidth="1"/>
    <col min="4097" max="4097" width="8.42578125" customWidth="1"/>
    <col min="4098" max="4098" width="14" customWidth="1"/>
    <col min="4099" max="4099" width="14.42578125" customWidth="1"/>
    <col min="4100" max="4100" width="7.5703125" customWidth="1"/>
    <col min="4101" max="4101" width="14.28515625" customWidth="1"/>
    <col min="4102" max="4102" width="14.85546875" customWidth="1"/>
    <col min="4103" max="4103" width="8.7109375" customWidth="1"/>
    <col min="4104" max="4104" width="13.85546875" customWidth="1"/>
    <col min="4342" max="4342" width="41.42578125" customWidth="1"/>
    <col min="4343" max="4343" width="12.140625" customWidth="1"/>
    <col min="4344" max="4344" width="6.140625" customWidth="1"/>
    <col min="4345" max="4345" width="13.85546875" customWidth="1"/>
    <col min="4346" max="4346" width="12.140625" customWidth="1"/>
    <col min="4347" max="4347" width="6.140625" customWidth="1"/>
    <col min="4348" max="4348" width="14.42578125" customWidth="1"/>
    <col min="4349" max="4349" width="13.42578125" customWidth="1"/>
    <col min="4350" max="4350" width="6.5703125" customWidth="1"/>
    <col min="4351" max="4351" width="14.28515625" customWidth="1"/>
    <col min="4352" max="4352" width="13.28515625" customWidth="1"/>
    <col min="4353" max="4353" width="8.42578125" customWidth="1"/>
    <col min="4354" max="4354" width="14" customWidth="1"/>
    <col min="4355" max="4355" width="14.42578125" customWidth="1"/>
    <col min="4356" max="4356" width="7.5703125" customWidth="1"/>
    <col min="4357" max="4357" width="14.28515625" customWidth="1"/>
    <col min="4358" max="4358" width="14.85546875" customWidth="1"/>
    <col min="4359" max="4359" width="8.7109375" customWidth="1"/>
    <col min="4360" max="4360" width="13.85546875" customWidth="1"/>
    <col min="4598" max="4598" width="41.42578125" customWidth="1"/>
    <col min="4599" max="4599" width="12.140625" customWidth="1"/>
    <col min="4600" max="4600" width="6.140625" customWidth="1"/>
    <col min="4601" max="4601" width="13.85546875" customWidth="1"/>
    <col min="4602" max="4602" width="12.140625" customWidth="1"/>
    <col min="4603" max="4603" width="6.140625" customWidth="1"/>
    <col min="4604" max="4604" width="14.42578125" customWidth="1"/>
    <col min="4605" max="4605" width="13.42578125" customWidth="1"/>
    <col min="4606" max="4606" width="6.5703125" customWidth="1"/>
    <col min="4607" max="4607" width="14.28515625" customWidth="1"/>
    <col min="4608" max="4608" width="13.28515625" customWidth="1"/>
    <col min="4609" max="4609" width="8.42578125" customWidth="1"/>
    <col min="4610" max="4610" width="14" customWidth="1"/>
    <col min="4611" max="4611" width="14.42578125" customWidth="1"/>
    <col min="4612" max="4612" width="7.5703125" customWidth="1"/>
    <col min="4613" max="4613" width="14.28515625" customWidth="1"/>
    <col min="4614" max="4614" width="14.85546875" customWidth="1"/>
    <col min="4615" max="4615" width="8.7109375" customWidth="1"/>
    <col min="4616" max="4616" width="13.85546875" customWidth="1"/>
    <col min="4854" max="4854" width="41.42578125" customWidth="1"/>
    <col min="4855" max="4855" width="12.140625" customWidth="1"/>
    <col min="4856" max="4856" width="6.140625" customWidth="1"/>
    <col min="4857" max="4857" width="13.85546875" customWidth="1"/>
    <col min="4858" max="4858" width="12.140625" customWidth="1"/>
    <col min="4859" max="4859" width="6.140625" customWidth="1"/>
    <col min="4860" max="4860" width="14.42578125" customWidth="1"/>
    <col min="4861" max="4861" width="13.42578125" customWidth="1"/>
    <col min="4862" max="4862" width="6.5703125" customWidth="1"/>
    <col min="4863" max="4863" width="14.28515625" customWidth="1"/>
    <col min="4864" max="4864" width="13.28515625" customWidth="1"/>
    <col min="4865" max="4865" width="8.42578125" customWidth="1"/>
    <col min="4866" max="4866" width="14" customWidth="1"/>
    <col min="4867" max="4867" width="14.42578125" customWidth="1"/>
    <col min="4868" max="4868" width="7.5703125" customWidth="1"/>
    <col min="4869" max="4869" width="14.28515625" customWidth="1"/>
    <col min="4870" max="4870" width="14.85546875" customWidth="1"/>
    <col min="4871" max="4871" width="8.7109375" customWidth="1"/>
    <col min="4872" max="4872" width="13.85546875" customWidth="1"/>
    <col min="5110" max="5110" width="41.42578125" customWidth="1"/>
    <col min="5111" max="5111" width="12.140625" customWidth="1"/>
    <col min="5112" max="5112" width="6.140625" customWidth="1"/>
    <col min="5113" max="5113" width="13.85546875" customWidth="1"/>
    <col min="5114" max="5114" width="12.140625" customWidth="1"/>
    <col min="5115" max="5115" width="6.140625" customWidth="1"/>
    <col min="5116" max="5116" width="14.42578125" customWidth="1"/>
    <col min="5117" max="5117" width="13.42578125" customWidth="1"/>
    <col min="5118" max="5118" width="6.5703125" customWidth="1"/>
    <col min="5119" max="5119" width="14.28515625" customWidth="1"/>
    <col min="5120" max="5120" width="13.28515625" customWidth="1"/>
    <col min="5121" max="5121" width="8.42578125" customWidth="1"/>
    <col min="5122" max="5122" width="14" customWidth="1"/>
    <col min="5123" max="5123" width="14.42578125" customWidth="1"/>
    <col min="5124" max="5124" width="7.5703125" customWidth="1"/>
    <col min="5125" max="5125" width="14.28515625" customWidth="1"/>
    <col min="5126" max="5126" width="14.85546875" customWidth="1"/>
    <col min="5127" max="5127" width="8.7109375" customWidth="1"/>
    <col min="5128" max="5128" width="13.85546875" customWidth="1"/>
    <col min="5366" max="5366" width="41.42578125" customWidth="1"/>
    <col min="5367" max="5367" width="12.140625" customWidth="1"/>
    <col min="5368" max="5368" width="6.140625" customWidth="1"/>
    <col min="5369" max="5369" width="13.85546875" customWidth="1"/>
    <col min="5370" max="5370" width="12.140625" customWidth="1"/>
    <col min="5371" max="5371" width="6.140625" customWidth="1"/>
    <col min="5372" max="5372" width="14.42578125" customWidth="1"/>
    <col min="5373" max="5373" width="13.42578125" customWidth="1"/>
    <col min="5374" max="5374" width="6.5703125" customWidth="1"/>
    <col min="5375" max="5375" width="14.28515625" customWidth="1"/>
    <col min="5376" max="5376" width="13.28515625" customWidth="1"/>
    <col min="5377" max="5377" width="8.42578125" customWidth="1"/>
    <col min="5378" max="5378" width="14" customWidth="1"/>
    <col min="5379" max="5379" width="14.42578125" customWidth="1"/>
    <col min="5380" max="5380" width="7.5703125" customWidth="1"/>
    <col min="5381" max="5381" width="14.28515625" customWidth="1"/>
    <col min="5382" max="5382" width="14.85546875" customWidth="1"/>
    <col min="5383" max="5383" width="8.7109375" customWidth="1"/>
    <col min="5384" max="5384" width="13.85546875" customWidth="1"/>
    <col min="5622" max="5622" width="41.42578125" customWidth="1"/>
    <col min="5623" max="5623" width="12.140625" customWidth="1"/>
    <col min="5624" max="5624" width="6.140625" customWidth="1"/>
    <col min="5625" max="5625" width="13.85546875" customWidth="1"/>
    <col min="5626" max="5626" width="12.140625" customWidth="1"/>
    <col min="5627" max="5627" width="6.140625" customWidth="1"/>
    <col min="5628" max="5628" width="14.42578125" customWidth="1"/>
    <col min="5629" max="5629" width="13.42578125" customWidth="1"/>
    <col min="5630" max="5630" width="6.5703125" customWidth="1"/>
    <col min="5631" max="5631" width="14.28515625" customWidth="1"/>
    <col min="5632" max="5632" width="13.28515625" customWidth="1"/>
    <col min="5633" max="5633" width="8.42578125" customWidth="1"/>
    <col min="5634" max="5634" width="14" customWidth="1"/>
    <col min="5635" max="5635" width="14.42578125" customWidth="1"/>
    <col min="5636" max="5636" width="7.5703125" customWidth="1"/>
    <col min="5637" max="5637" width="14.28515625" customWidth="1"/>
    <col min="5638" max="5638" width="14.85546875" customWidth="1"/>
    <col min="5639" max="5639" width="8.7109375" customWidth="1"/>
    <col min="5640" max="5640" width="13.85546875" customWidth="1"/>
    <col min="5878" max="5878" width="41.42578125" customWidth="1"/>
    <col min="5879" max="5879" width="12.140625" customWidth="1"/>
    <col min="5880" max="5880" width="6.140625" customWidth="1"/>
    <col min="5881" max="5881" width="13.85546875" customWidth="1"/>
    <col min="5882" max="5882" width="12.140625" customWidth="1"/>
    <col min="5883" max="5883" width="6.140625" customWidth="1"/>
    <col min="5884" max="5884" width="14.42578125" customWidth="1"/>
    <col min="5885" max="5885" width="13.42578125" customWidth="1"/>
    <col min="5886" max="5886" width="6.5703125" customWidth="1"/>
    <col min="5887" max="5887" width="14.28515625" customWidth="1"/>
    <col min="5888" max="5888" width="13.28515625" customWidth="1"/>
    <col min="5889" max="5889" width="8.42578125" customWidth="1"/>
    <col min="5890" max="5890" width="14" customWidth="1"/>
    <col min="5891" max="5891" width="14.42578125" customWidth="1"/>
    <col min="5892" max="5892" width="7.5703125" customWidth="1"/>
    <col min="5893" max="5893" width="14.28515625" customWidth="1"/>
    <col min="5894" max="5894" width="14.85546875" customWidth="1"/>
    <col min="5895" max="5895" width="8.7109375" customWidth="1"/>
    <col min="5896" max="5896" width="13.85546875" customWidth="1"/>
    <col min="6134" max="6134" width="41.42578125" customWidth="1"/>
    <col min="6135" max="6135" width="12.140625" customWidth="1"/>
    <col min="6136" max="6136" width="6.140625" customWidth="1"/>
    <col min="6137" max="6137" width="13.85546875" customWidth="1"/>
    <col min="6138" max="6138" width="12.140625" customWidth="1"/>
    <col min="6139" max="6139" width="6.140625" customWidth="1"/>
    <col min="6140" max="6140" width="14.42578125" customWidth="1"/>
    <col min="6141" max="6141" width="13.42578125" customWidth="1"/>
    <col min="6142" max="6142" width="6.5703125" customWidth="1"/>
    <col min="6143" max="6143" width="14.28515625" customWidth="1"/>
    <col min="6144" max="6144" width="13.28515625" customWidth="1"/>
    <col min="6145" max="6145" width="8.42578125" customWidth="1"/>
    <col min="6146" max="6146" width="14" customWidth="1"/>
    <col min="6147" max="6147" width="14.42578125" customWidth="1"/>
    <col min="6148" max="6148" width="7.5703125" customWidth="1"/>
    <col min="6149" max="6149" width="14.28515625" customWidth="1"/>
    <col min="6150" max="6150" width="14.85546875" customWidth="1"/>
    <col min="6151" max="6151" width="8.7109375" customWidth="1"/>
    <col min="6152" max="6152" width="13.85546875" customWidth="1"/>
    <col min="6390" max="6390" width="41.42578125" customWidth="1"/>
    <col min="6391" max="6391" width="12.140625" customWidth="1"/>
    <col min="6392" max="6392" width="6.140625" customWidth="1"/>
    <col min="6393" max="6393" width="13.85546875" customWidth="1"/>
    <col min="6394" max="6394" width="12.140625" customWidth="1"/>
    <col min="6395" max="6395" width="6.140625" customWidth="1"/>
    <col min="6396" max="6396" width="14.42578125" customWidth="1"/>
    <col min="6397" max="6397" width="13.42578125" customWidth="1"/>
    <col min="6398" max="6398" width="6.5703125" customWidth="1"/>
    <col min="6399" max="6399" width="14.28515625" customWidth="1"/>
    <col min="6400" max="6400" width="13.28515625" customWidth="1"/>
    <col min="6401" max="6401" width="8.42578125" customWidth="1"/>
    <col min="6402" max="6402" width="14" customWidth="1"/>
    <col min="6403" max="6403" width="14.42578125" customWidth="1"/>
    <col min="6404" max="6404" width="7.5703125" customWidth="1"/>
    <col min="6405" max="6405" width="14.28515625" customWidth="1"/>
    <col min="6406" max="6406" width="14.85546875" customWidth="1"/>
    <col min="6407" max="6407" width="8.7109375" customWidth="1"/>
    <col min="6408" max="6408" width="13.85546875" customWidth="1"/>
    <col min="6646" max="6646" width="41.42578125" customWidth="1"/>
    <col min="6647" max="6647" width="12.140625" customWidth="1"/>
    <col min="6648" max="6648" width="6.140625" customWidth="1"/>
    <col min="6649" max="6649" width="13.85546875" customWidth="1"/>
    <col min="6650" max="6650" width="12.140625" customWidth="1"/>
    <col min="6651" max="6651" width="6.140625" customWidth="1"/>
    <col min="6652" max="6652" width="14.42578125" customWidth="1"/>
    <col min="6653" max="6653" width="13.42578125" customWidth="1"/>
    <col min="6654" max="6654" width="6.5703125" customWidth="1"/>
    <col min="6655" max="6655" width="14.28515625" customWidth="1"/>
    <col min="6656" max="6656" width="13.28515625" customWidth="1"/>
    <col min="6657" max="6657" width="8.42578125" customWidth="1"/>
    <col min="6658" max="6658" width="14" customWidth="1"/>
    <col min="6659" max="6659" width="14.42578125" customWidth="1"/>
    <col min="6660" max="6660" width="7.5703125" customWidth="1"/>
    <col min="6661" max="6661" width="14.28515625" customWidth="1"/>
    <col min="6662" max="6662" width="14.85546875" customWidth="1"/>
    <col min="6663" max="6663" width="8.7109375" customWidth="1"/>
    <col min="6664" max="6664" width="13.85546875" customWidth="1"/>
    <col min="6902" max="6902" width="41.42578125" customWidth="1"/>
    <col min="6903" max="6903" width="12.140625" customWidth="1"/>
    <col min="6904" max="6904" width="6.140625" customWidth="1"/>
    <col min="6905" max="6905" width="13.85546875" customWidth="1"/>
    <col min="6906" max="6906" width="12.140625" customWidth="1"/>
    <col min="6907" max="6907" width="6.140625" customWidth="1"/>
    <col min="6908" max="6908" width="14.42578125" customWidth="1"/>
    <col min="6909" max="6909" width="13.42578125" customWidth="1"/>
    <col min="6910" max="6910" width="6.5703125" customWidth="1"/>
    <col min="6911" max="6911" width="14.28515625" customWidth="1"/>
    <col min="6912" max="6912" width="13.28515625" customWidth="1"/>
    <col min="6913" max="6913" width="8.42578125" customWidth="1"/>
    <col min="6914" max="6914" width="14" customWidth="1"/>
    <col min="6915" max="6915" width="14.42578125" customWidth="1"/>
    <col min="6916" max="6916" width="7.5703125" customWidth="1"/>
    <col min="6917" max="6917" width="14.28515625" customWidth="1"/>
    <col min="6918" max="6918" width="14.85546875" customWidth="1"/>
    <col min="6919" max="6919" width="8.7109375" customWidth="1"/>
    <col min="6920" max="6920" width="13.85546875" customWidth="1"/>
    <col min="7158" max="7158" width="41.42578125" customWidth="1"/>
    <col min="7159" max="7159" width="12.140625" customWidth="1"/>
    <col min="7160" max="7160" width="6.140625" customWidth="1"/>
    <col min="7161" max="7161" width="13.85546875" customWidth="1"/>
    <col min="7162" max="7162" width="12.140625" customWidth="1"/>
    <col min="7163" max="7163" width="6.140625" customWidth="1"/>
    <col min="7164" max="7164" width="14.42578125" customWidth="1"/>
    <col min="7165" max="7165" width="13.42578125" customWidth="1"/>
    <col min="7166" max="7166" width="6.5703125" customWidth="1"/>
    <col min="7167" max="7167" width="14.28515625" customWidth="1"/>
    <col min="7168" max="7168" width="13.28515625" customWidth="1"/>
    <col min="7169" max="7169" width="8.42578125" customWidth="1"/>
    <col min="7170" max="7170" width="14" customWidth="1"/>
    <col min="7171" max="7171" width="14.42578125" customWidth="1"/>
    <col min="7172" max="7172" width="7.5703125" customWidth="1"/>
    <col min="7173" max="7173" width="14.28515625" customWidth="1"/>
    <col min="7174" max="7174" width="14.85546875" customWidth="1"/>
    <col min="7175" max="7175" width="8.7109375" customWidth="1"/>
    <col min="7176" max="7176" width="13.85546875" customWidth="1"/>
    <col min="7414" max="7414" width="41.42578125" customWidth="1"/>
    <col min="7415" max="7415" width="12.140625" customWidth="1"/>
    <col min="7416" max="7416" width="6.140625" customWidth="1"/>
    <col min="7417" max="7417" width="13.85546875" customWidth="1"/>
    <col min="7418" max="7418" width="12.140625" customWidth="1"/>
    <col min="7419" max="7419" width="6.140625" customWidth="1"/>
    <col min="7420" max="7420" width="14.42578125" customWidth="1"/>
    <col min="7421" max="7421" width="13.42578125" customWidth="1"/>
    <col min="7422" max="7422" width="6.5703125" customWidth="1"/>
    <col min="7423" max="7423" width="14.28515625" customWidth="1"/>
    <col min="7424" max="7424" width="13.28515625" customWidth="1"/>
    <col min="7425" max="7425" width="8.42578125" customWidth="1"/>
    <col min="7426" max="7426" width="14" customWidth="1"/>
    <col min="7427" max="7427" width="14.42578125" customWidth="1"/>
    <col min="7428" max="7428" width="7.5703125" customWidth="1"/>
    <col min="7429" max="7429" width="14.28515625" customWidth="1"/>
    <col min="7430" max="7430" width="14.85546875" customWidth="1"/>
    <col min="7431" max="7431" width="8.7109375" customWidth="1"/>
    <col min="7432" max="7432" width="13.85546875" customWidth="1"/>
    <col min="7670" max="7670" width="41.42578125" customWidth="1"/>
    <col min="7671" max="7671" width="12.140625" customWidth="1"/>
    <col min="7672" max="7672" width="6.140625" customWidth="1"/>
    <col min="7673" max="7673" width="13.85546875" customWidth="1"/>
    <col min="7674" max="7674" width="12.140625" customWidth="1"/>
    <col min="7675" max="7675" width="6.140625" customWidth="1"/>
    <col min="7676" max="7676" width="14.42578125" customWidth="1"/>
    <col min="7677" max="7677" width="13.42578125" customWidth="1"/>
    <col min="7678" max="7678" width="6.5703125" customWidth="1"/>
    <col min="7679" max="7679" width="14.28515625" customWidth="1"/>
    <col min="7680" max="7680" width="13.28515625" customWidth="1"/>
    <col min="7681" max="7681" width="8.42578125" customWidth="1"/>
    <col min="7682" max="7682" width="14" customWidth="1"/>
    <col min="7683" max="7683" width="14.42578125" customWidth="1"/>
    <col min="7684" max="7684" width="7.5703125" customWidth="1"/>
    <col min="7685" max="7685" width="14.28515625" customWidth="1"/>
    <col min="7686" max="7686" width="14.85546875" customWidth="1"/>
    <col min="7687" max="7687" width="8.7109375" customWidth="1"/>
    <col min="7688" max="7688" width="13.85546875" customWidth="1"/>
    <col min="7926" max="7926" width="41.42578125" customWidth="1"/>
    <col min="7927" max="7927" width="12.140625" customWidth="1"/>
    <col min="7928" max="7928" width="6.140625" customWidth="1"/>
    <col min="7929" max="7929" width="13.85546875" customWidth="1"/>
    <col min="7930" max="7930" width="12.140625" customWidth="1"/>
    <col min="7931" max="7931" width="6.140625" customWidth="1"/>
    <col min="7932" max="7932" width="14.42578125" customWidth="1"/>
    <col min="7933" max="7933" width="13.42578125" customWidth="1"/>
    <col min="7934" max="7934" width="6.5703125" customWidth="1"/>
    <col min="7935" max="7935" width="14.28515625" customWidth="1"/>
    <col min="7936" max="7936" width="13.28515625" customWidth="1"/>
    <col min="7937" max="7937" width="8.42578125" customWidth="1"/>
    <col min="7938" max="7938" width="14" customWidth="1"/>
    <col min="7939" max="7939" width="14.42578125" customWidth="1"/>
    <col min="7940" max="7940" width="7.5703125" customWidth="1"/>
    <col min="7941" max="7941" width="14.28515625" customWidth="1"/>
    <col min="7942" max="7942" width="14.85546875" customWidth="1"/>
    <col min="7943" max="7943" width="8.7109375" customWidth="1"/>
    <col min="7944" max="7944" width="13.85546875" customWidth="1"/>
    <col min="8182" max="8182" width="41.42578125" customWidth="1"/>
    <col min="8183" max="8183" width="12.140625" customWidth="1"/>
    <col min="8184" max="8184" width="6.140625" customWidth="1"/>
    <col min="8185" max="8185" width="13.85546875" customWidth="1"/>
    <col min="8186" max="8186" width="12.140625" customWidth="1"/>
    <col min="8187" max="8187" width="6.140625" customWidth="1"/>
    <col min="8188" max="8188" width="14.42578125" customWidth="1"/>
    <col min="8189" max="8189" width="13.42578125" customWidth="1"/>
    <col min="8190" max="8190" width="6.5703125" customWidth="1"/>
    <col min="8191" max="8191" width="14.28515625" customWidth="1"/>
    <col min="8192" max="8192" width="13.28515625" customWidth="1"/>
    <col min="8193" max="8193" width="8.42578125" customWidth="1"/>
    <col min="8194" max="8194" width="14" customWidth="1"/>
    <col min="8195" max="8195" width="14.42578125" customWidth="1"/>
    <col min="8196" max="8196" width="7.5703125" customWidth="1"/>
    <col min="8197" max="8197" width="14.28515625" customWidth="1"/>
    <col min="8198" max="8198" width="14.85546875" customWidth="1"/>
    <col min="8199" max="8199" width="8.7109375" customWidth="1"/>
    <col min="8200" max="8200" width="13.85546875" customWidth="1"/>
    <col min="8438" max="8438" width="41.42578125" customWidth="1"/>
    <col min="8439" max="8439" width="12.140625" customWidth="1"/>
    <col min="8440" max="8440" width="6.140625" customWidth="1"/>
    <col min="8441" max="8441" width="13.85546875" customWidth="1"/>
    <col min="8442" max="8442" width="12.140625" customWidth="1"/>
    <col min="8443" max="8443" width="6.140625" customWidth="1"/>
    <col min="8444" max="8444" width="14.42578125" customWidth="1"/>
    <col min="8445" max="8445" width="13.42578125" customWidth="1"/>
    <col min="8446" max="8446" width="6.5703125" customWidth="1"/>
    <col min="8447" max="8447" width="14.28515625" customWidth="1"/>
    <col min="8448" max="8448" width="13.28515625" customWidth="1"/>
    <col min="8449" max="8449" width="8.42578125" customWidth="1"/>
    <col min="8450" max="8450" width="14" customWidth="1"/>
    <col min="8451" max="8451" width="14.42578125" customWidth="1"/>
    <col min="8452" max="8452" width="7.5703125" customWidth="1"/>
    <col min="8453" max="8453" width="14.28515625" customWidth="1"/>
    <col min="8454" max="8454" width="14.85546875" customWidth="1"/>
    <col min="8455" max="8455" width="8.7109375" customWidth="1"/>
    <col min="8456" max="8456" width="13.85546875" customWidth="1"/>
    <col min="8694" max="8694" width="41.42578125" customWidth="1"/>
    <col min="8695" max="8695" width="12.140625" customWidth="1"/>
    <col min="8696" max="8696" width="6.140625" customWidth="1"/>
    <col min="8697" max="8697" width="13.85546875" customWidth="1"/>
    <col min="8698" max="8698" width="12.140625" customWidth="1"/>
    <col min="8699" max="8699" width="6.140625" customWidth="1"/>
    <col min="8700" max="8700" width="14.42578125" customWidth="1"/>
    <col min="8701" max="8701" width="13.42578125" customWidth="1"/>
    <col min="8702" max="8702" width="6.5703125" customWidth="1"/>
    <col min="8703" max="8703" width="14.28515625" customWidth="1"/>
    <col min="8704" max="8704" width="13.28515625" customWidth="1"/>
    <col min="8705" max="8705" width="8.42578125" customWidth="1"/>
    <col min="8706" max="8706" width="14" customWidth="1"/>
    <col min="8707" max="8707" width="14.42578125" customWidth="1"/>
    <col min="8708" max="8708" width="7.5703125" customWidth="1"/>
    <col min="8709" max="8709" width="14.28515625" customWidth="1"/>
    <col min="8710" max="8710" width="14.85546875" customWidth="1"/>
    <col min="8711" max="8711" width="8.7109375" customWidth="1"/>
    <col min="8712" max="8712" width="13.85546875" customWidth="1"/>
    <col min="8950" max="8950" width="41.42578125" customWidth="1"/>
    <col min="8951" max="8951" width="12.140625" customWidth="1"/>
    <col min="8952" max="8952" width="6.140625" customWidth="1"/>
    <col min="8953" max="8953" width="13.85546875" customWidth="1"/>
    <col min="8954" max="8954" width="12.140625" customWidth="1"/>
    <col min="8955" max="8955" width="6.140625" customWidth="1"/>
    <col min="8956" max="8956" width="14.42578125" customWidth="1"/>
    <col min="8957" max="8957" width="13.42578125" customWidth="1"/>
    <col min="8958" max="8958" width="6.5703125" customWidth="1"/>
    <col min="8959" max="8959" width="14.28515625" customWidth="1"/>
    <col min="8960" max="8960" width="13.28515625" customWidth="1"/>
    <col min="8961" max="8961" width="8.42578125" customWidth="1"/>
    <col min="8962" max="8962" width="14" customWidth="1"/>
    <col min="8963" max="8963" width="14.42578125" customWidth="1"/>
    <col min="8964" max="8964" width="7.5703125" customWidth="1"/>
    <col min="8965" max="8965" width="14.28515625" customWidth="1"/>
    <col min="8966" max="8966" width="14.85546875" customWidth="1"/>
    <col min="8967" max="8967" width="8.7109375" customWidth="1"/>
    <col min="8968" max="8968" width="13.85546875" customWidth="1"/>
    <col min="9206" max="9206" width="41.42578125" customWidth="1"/>
    <col min="9207" max="9207" width="12.140625" customWidth="1"/>
    <col min="9208" max="9208" width="6.140625" customWidth="1"/>
    <col min="9209" max="9209" width="13.85546875" customWidth="1"/>
    <col min="9210" max="9210" width="12.140625" customWidth="1"/>
    <col min="9211" max="9211" width="6.140625" customWidth="1"/>
    <col min="9212" max="9212" width="14.42578125" customWidth="1"/>
    <col min="9213" max="9213" width="13.42578125" customWidth="1"/>
    <col min="9214" max="9214" width="6.5703125" customWidth="1"/>
    <col min="9215" max="9215" width="14.28515625" customWidth="1"/>
    <col min="9216" max="9216" width="13.28515625" customWidth="1"/>
    <col min="9217" max="9217" width="8.42578125" customWidth="1"/>
    <col min="9218" max="9218" width="14" customWidth="1"/>
    <col min="9219" max="9219" width="14.42578125" customWidth="1"/>
    <col min="9220" max="9220" width="7.5703125" customWidth="1"/>
    <col min="9221" max="9221" width="14.28515625" customWidth="1"/>
    <col min="9222" max="9222" width="14.85546875" customWidth="1"/>
    <col min="9223" max="9223" width="8.7109375" customWidth="1"/>
    <col min="9224" max="9224" width="13.85546875" customWidth="1"/>
    <col min="9462" max="9462" width="41.42578125" customWidth="1"/>
    <col min="9463" max="9463" width="12.140625" customWidth="1"/>
    <col min="9464" max="9464" width="6.140625" customWidth="1"/>
    <col min="9465" max="9465" width="13.85546875" customWidth="1"/>
    <col min="9466" max="9466" width="12.140625" customWidth="1"/>
    <col min="9467" max="9467" width="6.140625" customWidth="1"/>
    <col min="9468" max="9468" width="14.42578125" customWidth="1"/>
    <col min="9469" max="9469" width="13.42578125" customWidth="1"/>
    <col min="9470" max="9470" width="6.5703125" customWidth="1"/>
    <col min="9471" max="9471" width="14.28515625" customWidth="1"/>
    <col min="9472" max="9472" width="13.28515625" customWidth="1"/>
    <col min="9473" max="9473" width="8.42578125" customWidth="1"/>
    <col min="9474" max="9474" width="14" customWidth="1"/>
    <col min="9475" max="9475" width="14.42578125" customWidth="1"/>
    <col min="9476" max="9476" width="7.5703125" customWidth="1"/>
    <col min="9477" max="9477" width="14.28515625" customWidth="1"/>
    <col min="9478" max="9478" width="14.85546875" customWidth="1"/>
    <col min="9479" max="9479" width="8.7109375" customWidth="1"/>
    <col min="9480" max="9480" width="13.85546875" customWidth="1"/>
    <col min="9718" max="9718" width="41.42578125" customWidth="1"/>
    <col min="9719" max="9719" width="12.140625" customWidth="1"/>
    <col min="9720" max="9720" width="6.140625" customWidth="1"/>
    <col min="9721" max="9721" width="13.85546875" customWidth="1"/>
    <col min="9722" max="9722" width="12.140625" customWidth="1"/>
    <col min="9723" max="9723" width="6.140625" customWidth="1"/>
    <col min="9724" max="9724" width="14.42578125" customWidth="1"/>
    <col min="9725" max="9725" width="13.42578125" customWidth="1"/>
    <col min="9726" max="9726" width="6.5703125" customWidth="1"/>
    <col min="9727" max="9727" width="14.28515625" customWidth="1"/>
    <col min="9728" max="9728" width="13.28515625" customWidth="1"/>
    <col min="9729" max="9729" width="8.42578125" customWidth="1"/>
    <col min="9730" max="9730" width="14" customWidth="1"/>
    <col min="9731" max="9731" width="14.42578125" customWidth="1"/>
    <col min="9732" max="9732" width="7.5703125" customWidth="1"/>
    <col min="9733" max="9733" width="14.28515625" customWidth="1"/>
    <col min="9734" max="9734" width="14.85546875" customWidth="1"/>
    <col min="9735" max="9735" width="8.7109375" customWidth="1"/>
    <col min="9736" max="9736" width="13.85546875" customWidth="1"/>
    <col min="9974" max="9974" width="41.42578125" customWidth="1"/>
    <col min="9975" max="9975" width="12.140625" customWidth="1"/>
    <col min="9976" max="9976" width="6.140625" customWidth="1"/>
    <col min="9977" max="9977" width="13.85546875" customWidth="1"/>
    <col min="9978" max="9978" width="12.140625" customWidth="1"/>
    <col min="9979" max="9979" width="6.140625" customWidth="1"/>
    <col min="9980" max="9980" width="14.42578125" customWidth="1"/>
    <col min="9981" max="9981" width="13.42578125" customWidth="1"/>
    <col min="9982" max="9982" width="6.5703125" customWidth="1"/>
    <col min="9983" max="9983" width="14.28515625" customWidth="1"/>
    <col min="9984" max="9984" width="13.28515625" customWidth="1"/>
    <col min="9985" max="9985" width="8.42578125" customWidth="1"/>
    <col min="9986" max="9986" width="14" customWidth="1"/>
    <col min="9987" max="9987" width="14.42578125" customWidth="1"/>
    <col min="9988" max="9988" width="7.5703125" customWidth="1"/>
    <col min="9989" max="9989" width="14.28515625" customWidth="1"/>
    <col min="9990" max="9990" width="14.85546875" customWidth="1"/>
    <col min="9991" max="9991" width="8.7109375" customWidth="1"/>
    <col min="9992" max="9992" width="13.85546875" customWidth="1"/>
    <col min="10230" max="10230" width="41.42578125" customWidth="1"/>
    <col min="10231" max="10231" width="12.140625" customWidth="1"/>
    <col min="10232" max="10232" width="6.140625" customWidth="1"/>
    <col min="10233" max="10233" width="13.85546875" customWidth="1"/>
    <col min="10234" max="10234" width="12.140625" customWidth="1"/>
    <col min="10235" max="10235" width="6.140625" customWidth="1"/>
    <col min="10236" max="10236" width="14.42578125" customWidth="1"/>
    <col min="10237" max="10237" width="13.42578125" customWidth="1"/>
    <col min="10238" max="10238" width="6.5703125" customWidth="1"/>
    <col min="10239" max="10239" width="14.28515625" customWidth="1"/>
    <col min="10240" max="10240" width="13.28515625" customWidth="1"/>
    <col min="10241" max="10241" width="8.42578125" customWidth="1"/>
    <col min="10242" max="10242" width="14" customWidth="1"/>
    <col min="10243" max="10243" width="14.42578125" customWidth="1"/>
    <col min="10244" max="10244" width="7.5703125" customWidth="1"/>
    <col min="10245" max="10245" width="14.28515625" customWidth="1"/>
    <col min="10246" max="10246" width="14.85546875" customWidth="1"/>
    <col min="10247" max="10247" width="8.7109375" customWidth="1"/>
    <col min="10248" max="10248" width="13.85546875" customWidth="1"/>
    <col min="10486" max="10486" width="41.42578125" customWidth="1"/>
    <col min="10487" max="10487" width="12.140625" customWidth="1"/>
    <col min="10488" max="10488" width="6.140625" customWidth="1"/>
    <col min="10489" max="10489" width="13.85546875" customWidth="1"/>
    <col min="10490" max="10490" width="12.140625" customWidth="1"/>
    <col min="10491" max="10491" width="6.140625" customWidth="1"/>
    <col min="10492" max="10492" width="14.42578125" customWidth="1"/>
    <col min="10493" max="10493" width="13.42578125" customWidth="1"/>
    <col min="10494" max="10494" width="6.5703125" customWidth="1"/>
    <col min="10495" max="10495" width="14.28515625" customWidth="1"/>
    <col min="10496" max="10496" width="13.28515625" customWidth="1"/>
    <col min="10497" max="10497" width="8.42578125" customWidth="1"/>
    <col min="10498" max="10498" width="14" customWidth="1"/>
    <col min="10499" max="10499" width="14.42578125" customWidth="1"/>
    <col min="10500" max="10500" width="7.5703125" customWidth="1"/>
    <col min="10501" max="10501" width="14.28515625" customWidth="1"/>
    <col min="10502" max="10502" width="14.85546875" customWidth="1"/>
    <col min="10503" max="10503" width="8.7109375" customWidth="1"/>
    <col min="10504" max="10504" width="13.85546875" customWidth="1"/>
    <col min="10742" max="10742" width="41.42578125" customWidth="1"/>
    <col min="10743" max="10743" width="12.140625" customWidth="1"/>
    <col min="10744" max="10744" width="6.140625" customWidth="1"/>
    <col min="10745" max="10745" width="13.85546875" customWidth="1"/>
    <col min="10746" max="10746" width="12.140625" customWidth="1"/>
    <col min="10747" max="10747" width="6.140625" customWidth="1"/>
    <col min="10748" max="10748" width="14.42578125" customWidth="1"/>
    <col min="10749" max="10749" width="13.42578125" customWidth="1"/>
    <col min="10750" max="10750" width="6.5703125" customWidth="1"/>
    <col min="10751" max="10751" width="14.28515625" customWidth="1"/>
    <col min="10752" max="10752" width="13.28515625" customWidth="1"/>
    <col min="10753" max="10753" width="8.42578125" customWidth="1"/>
    <col min="10754" max="10754" width="14" customWidth="1"/>
    <col min="10755" max="10755" width="14.42578125" customWidth="1"/>
    <col min="10756" max="10756" width="7.5703125" customWidth="1"/>
    <col min="10757" max="10757" width="14.28515625" customWidth="1"/>
    <col min="10758" max="10758" width="14.85546875" customWidth="1"/>
    <col min="10759" max="10759" width="8.7109375" customWidth="1"/>
    <col min="10760" max="10760" width="13.85546875" customWidth="1"/>
    <col min="10998" max="10998" width="41.42578125" customWidth="1"/>
    <col min="10999" max="10999" width="12.140625" customWidth="1"/>
    <col min="11000" max="11000" width="6.140625" customWidth="1"/>
    <col min="11001" max="11001" width="13.85546875" customWidth="1"/>
    <col min="11002" max="11002" width="12.140625" customWidth="1"/>
    <col min="11003" max="11003" width="6.140625" customWidth="1"/>
    <col min="11004" max="11004" width="14.42578125" customWidth="1"/>
    <col min="11005" max="11005" width="13.42578125" customWidth="1"/>
    <col min="11006" max="11006" width="6.5703125" customWidth="1"/>
    <col min="11007" max="11007" width="14.28515625" customWidth="1"/>
    <col min="11008" max="11008" width="13.28515625" customWidth="1"/>
    <col min="11009" max="11009" width="8.42578125" customWidth="1"/>
    <col min="11010" max="11010" width="14" customWidth="1"/>
    <col min="11011" max="11011" width="14.42578125" customWidth="1"/>
    <col min="11012" max="11012" width="7.5703125" customWidth="1"/>
    <col min="11013" max="11013" width="14.28515625" customWidth="1"/>
    <col min="11014" max="11014" width="14.85546875" customWidth="1"/>
    <col min="11015" max="11015" width="8.7109375" customWidth="1"/>
    <col min="11016" max="11016" width="13.85546875" customWidth="1"/>
    <col min="11254" max="11254" width="41.42578125" customWidth="1"/>
    <col min="11255" max="11255" width="12.140625" customWidth="1"/>
    <col min="11256" max="11256" width="6.140625" customWidth="1"/>
    <col min="11257" max="11257" width="13.85546875" customWidth="1"/>
    <col min="11258" max="11258" width="12.140625" customWidth="1"/>
    <col min="11259" max="11259" width="6.140625" customWidth="1"/>
    <col min="11260" max="11260" width="14.42578125" customWidth="1"/>
    <col min="11261" max="11261" width="13.42578125" customWidth="1"/>
    <col min="11262" max="11262" width="6.5703125" customWidth="1"/>
    <col min="11263" max="11263" width="14.28515625" customWidth="1"/>
    <col min="11264" max="11264" width="13.28515625" customWidth="1"/>
    <col min="11265" max="11265" width="8.42578125" customWidth="1"/>
    <col min="11266" max="11266" width="14" customWidth="1"/>
    <col min="11267" max="11267" width="14.42578125" customWidth="1"/>
    <col min="11268" max="11268" width="7.5703125" customWidth="1"/>
    <col min="11269" max="11269" width="14.28515625" customWidth="1"/>
    <col min="11270" max="11270" width="14.85546875" customWidth="1"/>
    <col min="11271" max="11271" width="8.7109375" customWidth="1"/>
    <col min="11272" max="11272" width="13.85546875" customWidth="1"/>
    <col min="11510" max="11510" width="41.42578125" customWidth="1"/>
    <col min="11511" max="11511" width="12.140625" customWidth="1"/>
    <col min="11512" max="11512" width="6.140625" customWidth="1"/>
    <col min="11513" max="11513" width="13.85546875" customWidth="1"/>
    <col min="11514" max="11514" width="12.140625" customWidth="1"/>
    <col min="11515" max="11515" width="6.140625" customWidth="1"/>
    <col min="11516" max="11516" width="14.42578125" customWidth="1"/>
    <col min="11517" max="11517" width="13.42578125" customWidth="1"/>
    <col min="11518" max="11518" width="6.5703125" customWidth="1"/>
    <col min="11519" max="11519" width="14.28515625" customWidth="1"/>
    <col min="11520" max="11520" width="13.28515625" customWidth="1"/>
    <col min="11521" max="11521" width="8.42578125" customWidth="1"/>
    <col min="11522" max="11522" width="14" customWidth="1"/>
    <col min="11523" max="11523" width="14.42578125" customWidth="1"/>
    <col min="11524" max="11524" width="7.5703125" customWidth="1"/>
    <col min="11525" max="11525" width="14.28515625" customWidth="1"/>
    <col min="11526" max="11526" width="14.85546875" customWidth="1"/>
    <col min="11527" max="11527" width="8.7109375" customWidth="1"/>
    <col min="11528" max="11528" width="13.85546875" customWidth="1"/>
    <col min="11766" max="11766" width="41.42578125" customWidth="1"/>
    <col min="11767" max="11767" width="12.140625" customWidth="1"/>
    <col min="11768" max="11768" width="6.140625" customWidth="1"/>
    <col min="11769" max="11769" width="13.85546875" customWidth="1"/>
    <col min="11770" max="11770" width="12.140625" customWidth="1"/>
    <col min="11771" max="11771" width="6.140625" customWidth="1"/>
    <col min="11772" max="11772" width="14.42578125" customWidth="1"/>
    <col min="11773" max="11773" width="13.42578125" customWidth="1"/>
    <col min="11774" max="11774" width="6.5703125" customWidth="1"/>
    <col min="11775" max="11775" width="14.28515625" customWidth="1"/>
    <col min="11776" max="11776" width="13.28515625" customWidth="1"/>
    <col min="11777" max="11777" width="8.42578125" customWidth="1"/>
    <col min="11778" max="11778" width="14" customWidth="1"/>
    <col min="11779" max="11779" width="14.42578125" customWidth="1"/>
    <col min="11780" max="11780" width="7.5703125" customWidth="1"/>
    <col min="11781" max="11781" width="14.28515625" customWidth="1"/>
    <col min="11782" max="11782" width="14.85546875" customWidth="1"/>
    <col min="11783" max="11783" width="8.7109375" customWidth="1"/>
    <col min="11784" max="11784" width="13.85546875" customWidth="1"/>
    <col min="12022" max="12022" width="41.42578125" customWidth="1"/>
    <col min="12023" max="12023" width="12.140625" customWidth="1"/>
    <col min="12024" max="12024" width="6.140625" customWidth="1"/>
    <col min="12025" max="12025" width="13.85546875" customWidth="1"/>
    <col min="12026" max="12026" width="12.140625" customWidth="1"/>
    <col min="12027" max="12027" width="6.140625" customWidth="1"/>
    <col min="12028" max="12028" width="14.42578125" customWidth="1"/>
    <col min="12029" max="12029" width="13.42578125" customWidth="1"/>
    <col min="12030" max="12030" width="6.5703125" customWidth="1"/>
    <col min="12031" max="12031" width="14.28515625" customWidth="1"/>
    <col min="12032" max="12032" width="13.28515625" customWidth="1"/>
    <col min="12033" max="12033" width="8.42578125" customWidth="1"/>
    <col min="12034" max="12034" width="14" customWidth="1"/>
    <col min="12035" max="12035" width="14.42578125" customWidth="1"/>
    <col min="12036" max="12036" width="7.5703125" customWidth="1"/>
    <col min="12037" max="12037" width="14.28515625" customWidth="1"/>
    <col min="12038" max="12038" width="14.85546875" customWidth="1"/>
    <col min="12039" max="12039" width="8.7109375" customWidth="1"/>
    <col min="12040" max="12040" width="13.85546875" customWidth="1"/>
    <col min="12278" max="12278" width="41.42578125" customWidth="1"/>
    <col min="12279" max="12279" width="12.140625" customWidth="1"/>
    <col min="12280" max="12280" width="6.140625" customWidth="1"/>
    <col min="12281" max="12281" width="13.85546875" customWidth="1"/>
    <col min="12282" max="12282" width="12.140625" customWidth="1"/>
    <col min="12283" max="12283" width="6.140625" customWidth="1"/>
    <col min="12284" max="12284" width="14.42578125" customWidth="1"/>
    <col min="12285" max="12285" width="13.42578125" customWidth="1"/>
    <col min="12286" max="12286" width="6.5703125" customWidth="1"/>
    <col min="12287" max="12287" width="14.28515625" customWidth="1"/>
    <col min="12288" max="12288" width="13.28515625" customWidth="1"/>
    <col min="12289" max="12289" width="8.42578125" customWidth="1"/>
    <col min="12290" max="12290" width="14" customWidth="1"/>
    <col min="12291" max="12291" width="14.42578125" customWidth="1"/>
    <col min="12292" max="12292" width="7.5703125" customWidth="1"/>
    <col min="12293" max="12293" width="14.28515625" customWidth="1"/>
    <col min="12294" max="12294" width="14.85546875" customWidth="1"/>
    <col min="12295" max="12295" width="8.7109375" customWidth="1"/>
    <col min="12296" max="12296" width="13.85546875" customWidth="1"/>
    <col min="12534" max="12534" width="41.42578125" customWidth="1"/>
    <col min="12535" max="12535" width="12.140625" customWidth="1"/>
    <col min="12536" max="12536" width="6.140625" customWidth="1"/>
    <col min="12537" max="12537" width="13.85546875" customWidth="1"/>
    <col min="12538" max="12538" width="12.140625" customWidth="1"/>
    <col min="12539" max="12539" width="6.140625" customWidth="1"/>
    <col min="12540" max="12540" width="14.42578125" customWidth="1"/>
    <col min="12541" max="12541" width="13.42578125" customWidth="1"/>
    <col min="12542" max="12542" width="6.5703125" customWidth="1"/>
    <col min="12543" max="12543" width="14.28515625" customWidth="1"/>
    <col min="12544" max="12544" width="13.28515625" customWidth="1"/>
    <col min="12545" max="12545" width="8.42578125" customWidth="1"/>
    <col min="12546" max="12546" width="14" customWidth="1"/>
    <col min="12547" max="12547" width="14.42578125" customWidth="1"/>
    <col min="12548" max="12548" width="7.5703125" customWidth="1"/>
    <col min="12549" max="12549" width="14.28515625" customWidth="1"/>
    <col min="12550" max="12550" width="14.85546875" customWidth="1"/>
    <col min="12551" max="12551" width="8.7109375" customWidth="1"/>
    <col min="12552" max="12552" width="13.85546875" customWidth="1"/>
    <col min="12790" max="12790" width="41.42578125" customWidth="1"/>
    <col min="12791" max="12791" width="12.140625" customWidth="1"/>
    <col min="12792" max="12792" width="6.140625" customWidth="1"/>
    <col min="12793" max="12793" width="13.85546875" customWidth="1"/>
    <col min="12794" max="12794" width="12.140625" customWidth="1"/>
    <col min="12795" max="12795" width="6.140625" customWidth="1"/>
    <col min="12796" max="12796" width="14.42578125" customWidth="1"/>
    <col min="12797" max="12797" width="13.42578125" customWidth="1"/>
    <col min="12798" max="12798" width="6.5703125" customWidth="1"/>
    <col min="12799" max="12799" width="14.28515625" customWidth="1"/>
    <col min="12800" max="12800" width="13.28515625" customWidth="1"/>
    <col min="12801" max="12801" width="8.42578125" customWidth="1"/>
    <col min="12802" max="12802" width="14" customWidth="1"/>
    <col min="12803" max="12803" width="14.42578125" customWidth="1"/>
    <col min="12804" max="12804" width="7.5703125" customWidth="1"/>
    <col min="12805" max="12805" width="14.28515625" customWidth="1"/>
    <col min="12806" max="12806" width="14.85546875" customWidth="1"/>
    <col min="12807" max="12807" width="8.7109375" customWidth="1"/>
    <col min="12808" max="12808" width="13.85546875" customWidth="1"/>
    <col min="13046" max="13046" width="41.42578125" customWidth="1"/>
    <col min="13047" max="13047" width="12.140625" customWidth="1"/>
    <col min="13048" max="13048" width="6.140625" customWidth="1"/>
    <col min="13049" max="13049" width="13.85546875" customWidth="1"/>
    <col min="13050" max="13050" width="12.140625" customWidth="1"/>
    <col min="13051" max="13051" width="6.140625" customWidth="1"/>
    <col min="13052" max="13052" width="14.42578125" customWidth="1"/>
    <col min="13053" max="13053" width="13.42578125" customWidth="1"/>
    <col min="13054" max="13054" width="6.5703125" customWidth="1"/>
    <col min="13055" max="13055" width="14.28515625" customWidth="1"/>
    <col min="13056" max="13056" width="13.28515625" customWidth="1"/>
    <col min="13057" max="13057" width="8.42578125" customWidth="1"/>
    <col min="13058" max="13058" width="14" customWidth="1"/>
    <col min="13059" max="13059" width="14.42578125" customWidth="1"/>
    <col min="13060" max="13060" width="7.5703125" customWidth="1"/>
    <col min="13061" max="13061" width="14.28515625" customWidth="1"/>
    <col min="13062" max="13062" width="14.85546875" customWidth="1"/>
    <col min="13063" max="13063" width="8.7109375" customWidth="1"/>
    <col min="13064" max="13064" width="13.85546875" customWidth="1"/>
    <col min="13302" max="13302" width="41.42578125" customWidth="1"/>
    <col min="13303" max="13303" width="12.140625" customWidth="1"/>
    <col min="13304" max="13304" width="6.140625" customWidth="1"/>
    <col min="13305" max="13305" width="13.85546875" customWidth="1"/>
    <col min="13306" max="13306" width="12.140625" customWidth="1"/>
    <col min="13307" max="13307" width="6.140625" customWidth="1"/>
    <col min="13308" max="13308" width="14.42578125" customWidth="1"/>
    <col min="13309" max="13309" width="13.42578125" customWidth="1"/>
    <col min="13310" max="13310" width="6.5703125" customWidth="1"/>
    <col min="13311" max="13311" width="14.28515625" customWidth="1"/>
    <col min="13312" max="13312" width="13.28515625" customWidth="1"/>
    <col min="13313" max="13313" width="8.42578125" customWidth="1"/>
    <col min="13314" max="13314" width="14" customWidth="1"/>
    <col min="13315" max="13315" width="14.42578125" customWidth="1"/>
    <col min="13316" max="13316" width="7.5703125" customWidth="1"/>
    <col min="13317" max="13317" width="14.28515625" customWidth="1"/>
    <col min="13318" max="13318" width="14.85546875" customWidth="1"/>
    <col min="13319" max="13319" width="8.7109375" customWidth="1"/>
    <col min="13320" max="13320" width="13.85546875" customWidth="1"/>
    <col min="13558" max="13558" width="41.42578125" customWidth="1"/>
    <col min="13559" max="13559" width="12.140625" customWidth="1"/>
    <col min="13560" max="13560" width="6.140625" customWidth="1"/>
    <col min="13561" max="13561" width="13.85546875" customWidth="1"/>
    <col min="13562" max="13562" width="12.140625" customWidth="1"/>
    <col min="13563" max="13563" width="6.140625" customWidth="1"/>
    <col min="13564" max="13564" width="14.42578125" customWidth="1"/>
    <col min="13565" max="13565" width="13.42578125" customWidth="1"/>
    <col min="13566" max="13566" width="6.5703125" customWidth="1"/>
    <col min="13567" max="13567" width="14.28515625" customWidth="1"/>
    <col min="13568" max="13568" width="13.28515625" customWidth="1"/>
    <col min="13569" max="13569" width="8.42578125" customWidth="1"/>
    <col min="13570" max="13570" width="14" customWidth="1"/>
    <col min="13571" max="13571" width="14.42578125" customWidth="1"/>
    <col min="13572" max="13572" width="7.5703125" customWidth="1"/>
    <col min="13573" max="13573" width="14.28515625" customWidth="1"/>
    <col min="13574" max="13574" width="14.85546875" customWidth="1"/>
    <col min="13575" max="13575" width="8.7109375" customWidth="1"/>
    <col min="13576" max="13576" width="13.85546875" customWidth="1"/>
    <col min="13814" max="13814" width="41.42578125" customWidth="1"/>
    <col min="13815" max="13815" width="12.140625" customWidth="1"/>
    <col min="13816" max="13816" width="6.140625" customWidth="1"/>
    <col min="13817" max="13817" width="13.85546875" customWidth="1"/>
    <col min="13818" max="13818" width="12.140625" customWidth="1"/>
    <col min="13819" max="13819" width="6.140625" customWidth="1"/>
    <col min="13820" max="13820" width="14.42578125" customWidth="1"/>
    <col min="13821" max="13821" width="13.42578125" customWidth="1"/>
    <col min="13822" max="13822" width="6.5703125" customWidth="1"/>
    <col min="13823" max="13823" width="14.28515625" customWidth="1"/>
    <col min="13824" max="13824" width="13.28515625" customWidth="1"/>
    <col min="13825" max="13825" width="8.42578125" customWidth="1"/>
    <col min="13826" max="13826" width="14" customWidth="1"/>
    <col min="13827" max="13827" width="14.42578125" customWidth="1"/>
    <col min="13828" max="13828" width="7.5703125" customWidth="1"/>
    <col min="13829" max="13829" width="14.28515625" customWidth="1"/>
    <col min="13830" max="13830" width="14.85546875" customWidth="1"/>
    <col min="13831" max="13831" width="8.7109375" customWidth="1"/>
    <col min="13832" max="13832" width="13.85546875" customWidth="1"/>
    <col min="14070" max="14070" width="41.42578125" customWidth="1"/>
    <col min="14071" max="14071" width="12.140625" customWidth="1"/>
    <col min="14072" max="14072" width="6.140625" customWidth="1"/>
    <col min="14073" max="14073" width="13.85546875" customWidth="1"/>
    <col min="14074" max="14074" width="12.140625" customWidth="1"/>
    <col min="14075" max="14075" width="6.140625" customWidth="1"/>
    <col min="14076" max="14076" width="14.42578125" customWidth="1"/>
    <col min="14077" max="14077" width="13.42578125" customWidth="1"/>
    <col min="14078" max="14078" width="6.5703125" customWidth="1"/>
    <col min="14079" max="14079" width="14.28515625" customWidth="1"/>
    <col min="14080" max="14080" width="13.28515625" customWidth="1"/>
    <col min="14081" max="14081" width="8.42578125" customWidth="1"/>
    <col min="14082" max="14082" width="14" customWidth="1"/>
    <col min="14083" max="14083" width="14.42578125" customWidth="1"/>
    <col min="14084" max="14084" width="7.5703125" customWidth="1"/>
    <col min="14085" max="14085" width="14.28515625" customWidth="1"/>
    <col min="14086" max="14086" width="14.85546875" customWidth="1"/>
    <col min="14087" max="14087" width="8.7109375" customWidth="1"/>
    <col min="14088" max="14088" width="13.85546875" customWidth="1"/>
    <col min="14326" max="14326" width="41.42578125" customWidth="1"/>
    <col min="14327" max="14327" width="12.140625" customWidth="1"/>
    <col min="14328" max="14328" width="6.140625" customWidth="1"/>
    <col min="14329" max="14329" width="13.85546875" customWidth="1"/>
    <col min="14330" max="14330" width="12.140625" customWidth="1"/>
    <col min="14331" max="14331" width="6.140625" customWidth="1"/>
    <col min="14332" max="14332" width="14.42578125" customWidth="1"/>
    <col min="14333" max="14333" width="13.42578125" customWidth="1"/>
    <col min="14334" max="14334" width="6.5703125" customWidth="1"/>
    <col min="14335" max="14335" width="14.28515625" customWidth="1"/>
    <col min="14336" max="14336" width="13.28515625" customWidth="1"/>
    <col min="14337" max="14337" width="8.42578125" customWidth="1"/>
    <col min="14338" max="14338" width="14" customWidth="1"/>
    <col min="14339" max="14339" width="14.42578125" customWidth="1"/>
    <col min="14340" max="14340" width="7.5703125" customWidth="1"/>
    <col min="14341" max="14341" width="14.28515625" customWidth="1"/>
    <col min="14342" max="14342" width="14.85546875" customWidth="1"/>
    <col min="14343" max="14343" width="8.7109375" customWidth="1"/>
    <col min="14344" max="14344" width="13.85546875" customWidth="1"/>
    <col min="14582" max="14582" width="41.42578125" customWidth="1"/>
    <col min="14583" max="14583" width="12.140625" customWidth="1"/>
    <col min="14584" max="14584" width="6.140625" customWidth="1"/>
    <col min="14585" max="14585" width="13.85546875" customWidth="1"/>
    <col min="14586" max="14586" width="12.140625" customWidth="1"/>
    <col min="14587" max="14587" width="6.140625" customWidth="1"/>
    <col min="14588" max="14588" width="14.42578125" customWidth="1"/>
    <col min="14589" max="14589" width="13.42578125" customWidth="1"/>
    <col min="14590" max="14590" width="6.5703125" customWidth="1"/>
    <col min="14591" max="14591" width="14.28515625" customWidth="1"/>
    <col min="14592" max="14592" width="13.28515625" customWidth="1"/>
    <col min="14593" max="14593" width="8.42578125" customWidth="1"/>
    <col min="14594" max="14594" width="14" customWidth="1"/>
    <col min="14595" max="14595" width="14.42578125" customWidth="1"/>
    <col min="14596" max="14596" width="7.5703125" customWidth="1"/>
    <col min="14597" max="14597" width="14.28515625" customWidth="1"/>
    <col min="14598" max="14598" width="14.85546875" customWidth="1"/>
    <col min="14599" max="14599" width="8.7109375" customWidth="1"/>
    <col min="14600" max="14600" width="13.85546875" customWidth="1"/>
    <col min="14838" max="14838" width="41.42578125" customWidth="1"/>
    <col min="14839" max="14839" width="12.140625" customWidth="1"/>
    <col min="14840" max="14840" width="6.140625" customWidth="1"/>
    <col min="14841" max="14841" width="13.85546875" customWidth="1"/>
    <col min="14842" max="14842" width="12.140625" customWidth="1"/>
    <col min="14843" max="14843" width="6.140625" customWidth="1"/>
    <col min="14844" max="14844" width="14.42578125" customWidth="1"/>
    <col min="14845" max="14845" width="13.42578125" customWidth="1"/>
    <col min="14846" max="14846" width="6.5703125" customWidth="1"/>
    <col min="14847" max="14847" width="14.28515625" customWidth="1"/>
    <col min="14848" max="14848" width="13.28515625" customWidth="1"/>
    <col min="14849" max="14849" width="8.42578125" customWidth="1"/>
    <col min="14850" max="14850" width="14" customWidth="1"/>
    <col min="14851" max="14851" width="14.42578125" customWidth="1"/>
    <col min="14852" max="14852" width="7.5703125" customWidth="1"/>
    <col min="14853" max="14853" width="14.28515625" customWidth="1"/>
    <col min="14854" max="14854" width="14.85546875" customWidth="1"/>
    <col min="14855" max="14855" width="8.7109375" customWidth="1"/>
    <col min="14856" max="14856" width="13.85546875" customWidth="1"/>
    <col min="15094" max="15094" width="41.42578125" customWidth="1"/>
    <col min="15095" max="15095" width="12.140625" customWidth="1"/>
    <col min="15096" max="15096" width="6.140625" customWidth="1"/>
    <col min="15097" max="15097" width="13.85546875" customWidth="1"/>
    <col min="15098" max="15098" width="12.140625" customWidth="1"/>
    <col min="15099" max="15099" width="6.140625" customWidth="1"/>
    <col min="15100" max="15100" width="14.42578125" customWidth="1"/>
    <col min="15101" max="15101" width="13.42578125" customWidth="1"/>
    <col min="15102" max="15102" width="6.5703125" customWidth="1"/>
    <col min="15103" max="15103" width="14.28515625" customWidth="1"/>
    <col min="15104" max="15104" width="13.28515625" customWidth="1"/>
    <col min="15105" max="15105" width="8.42578125" customWidth="1"/>
    <col min="15106" max="15106" width="14" customWidth="1"/>
    <col min="15107" max="15107" width="14.42578125" customWidth="1"/>
    <col min="15108" max="15108" width="7.5703125" customWidth="1"/>
    <col min="15109" max="15109" width="14.28515625" customWidth="1"/>
    <col min="15110" max="15110" width="14.85546875" customWidth="1"/>
    <col min="15111" max="15111" width="8.7109375" customWidth="1"/>
    <col min="15112" max="15112" width="13.85546875" customWidth="1"/>
    <col min="15350" max="15350" width="41.42578125" customWidth="1"/>
    <col min="15351" max="15351" width="12.140625" customWidth="1"/>
    <col min="15352" max="15352" width="6.140625" customWidth="1"/>
    <col min="15353" max="15353" width="13.85546875" customWidth="1"/>
    <col min="15354" max="15354" width="12.140625" customWidth="1"/>
    <col min="15355" max="15355" width="6.140625" customWidth="1"/>
    <col min="15356" max="15356" width="14.42578125" customWidth="1"/>
    <col min="15357" max="15357" width="13.42578125" customWidth="1"/>
    <col min="15358" max="15358" width="6.5703125" customWidth="1"/>
    <col min="15359" max="15359" width="14.28515625" customWidth="1"/>
    <col min="15360" max="15360" width="13.28515625" customWidth="1"/>
    <col min="15361" max="15361" width="8.42578125" customWidth="1"/>
    <col min="15362" max="15362" width="14" customWidth="1"/>
    <col min="15363" max="15363" width="14.42578125" customWidth="1"/>
    <col min="15364" max="15364" width="7.5703125" customWidth="1"/>
    <col min="15365" max="15365" width="14.28515625" customWidth="1"/>
    <col min="15366" max="15366" width="14.85546875" customWidth="1"/>
    <col min="15367" max="15367" width="8.7109375" customWidth="1"/>
    <col min="15368" max="15368" width="13.85546875" customWidth="1"/>
    <col min="15606" max="15606" width="41.42578125" customWidth="1"/>
    <col min="15607" max="15607" width="12.140625" customWidth="1"/>
    <col min="15608" max="15608" width="6.140625" customWidth="1"/>
    <col min="15609" max="15609" width="13.85546875" customWidth="1"/>
    <col min="15610" max="15610" width="12.140625" customWidth="1"/>
    <col min="15611" max="15611" width="6.140625" customWidth="1"/>
    <col min="15612" max="15612" width="14.42578125" customWidth="1"/>
    <col min="15613" max="15613" width="13.42578125" customWidth="1"/>
    <col min="15614" max="15614" width="6.5703125" customWidth="1"/>
    <col min="15615" max="15615" width="14.28515625" customWidth="1"/>
    <col min="15616" max="15616" width="13.28515625" customWidth="1"/>
    <col min="15617" max="15617" width="8.42578125" customWidth="1"/>
    <col min="15618" max="15618" width="14" customWidth="1"/>
    <col min="15619" max="15619" width="14.42578125" customWidth="1"/>
    <col min="15620" max="15620" width="7.5703125" customWidth="1"/>
    <col min="15621" max="15621" width="14.28515625" customWidth="1"/>
    <col min="15622" max="15622" width="14.85546875" customWidth="1"/>
    <col min="15623" max="15623" width="8.7109375" customWidth="1"/>
    <col min="15624" max="15624" width="13.85546875" customWidth="1"/>
    <col min="15862" max="15862" width="41.42578125" customWidth="1"/>
    <col min="15863" max="15863" width="12.140625" customWidth="1"/>
    <col min="15864" max="15864" width="6.140625" customWidth="1"/>
    <col min="15865" max="15865" width="13.85546875" customWidth="1"/>
    <col min="15866" max="15866" width="12.140625" customWidth="1"/>
    <col min="15867" max="15867" width="6.140625" customWidth="1"/>
    <col min="15868" max="15868" width="14.42578125" customWidth="1"/>
    <col min="15869" max="15869" width="13.42578125" customWidth="1"/>
    <col min="15870" max="15870" width="6.5703125" customWidth="1"/>
    <col min="15871" max="15871" width="14.28515625" customWidth="1"/>
    <col min="15872" max="15872" width="13.28515625" customWidth="1"/>
    <col min="15873" max="15873" width="8.42578125" customWidth="1"/>
    <col min="15874" max="15874" width="14" customWidth="1"/>
    <col min="15875" max="15875" width="14.42578125" customWidth="1"/>
    <col min="15876" max="15876" width="7.5703125" customWidth="1"/>
    <col min="15877" max="15877" width="14.28515625" customWidth="1"/>
    <col min="15878" max="15878" width="14.85546875" customWidth="1"/>
    <col min="15879" max="15879" width="8.7109375" customWidth="1"/>
    <col min="15880" max="15880" width="13.85546875" customWidth="1"/>
    <col min="16118" max="16118" width="41.42578125" customWidth="1"/>
    <col min="16119" max="16119" width="12.140625" customWidth="1"/>
    <col min="16120" max="16120" width="6.140625" customWidth="1"/>
    <col min="16121" max="16121" width="13.85546875" customWidth="1"/>
    <col min="16122" max="16122" width="12.140625" customWidth="1"/>
    <col min="16123" max="16123" width="6.140625" customWidth="1"/>
    <col min="16124" max="16124" width="14.42578125" customWidth="1"/>
    <col min="16125" max="16125" width="13.42578125" customWidth="1"/>
    <col min="16126" max="16126" width="6.5703125" customWidth="1"/>
    <col min="16127" max="16127" width="14.28515625" customWidth="1"/>
    <col min="16128" max="16128" width="13.28515625" customWidth="1"/>
    <col min="16129" max="16129" width="8.42578125" customWidth="1"/>
    <col min="16130" max="16130" width="14" customWidth="1"/>
    <col min="16131" max="16131" width="14.42578125" customWidth="1"/>
    <col min="16132" max="16132" width="7.5703125" customWidth="1"/>
    <col min="16133" max="16133" width="14.28515625" customWidth="1"/>
    <col min="16134" max="16134" width="14.85546875" customWidth="1"/>
    <col min="16135" max="16135" width="8.7109375" customWidth="1"/>
    <col min="16136" max="16136" width="13.85546875" customWidth="1"/>
  </cols>
  <sheetData>
    <row r="1" spans="1:23" ht="34.5" customHeight="1" thickBot="1">
      <c r="A1" s="172" t="s">
        <v>114</v>
      </c>
      <c r="B1" s="172"/>
      <c r="C1" s="172"/>
      <c r="D1" s="172"/>
      <c r="E1" s="172"/>
      <c r="F1" s="172"/>
      <c r="G1" s="172"/>
      <c r="H1" s="172"/>
      <c r="I1" s="172"/>
      <c r="K1" s="185" t="s">
        <v>113</v>
      </c>
      <c r="L1" s="185"/>
      <c r="M1" s="185"/>
      <c r="N1" s="185"/>
      <c r="O1" s="185"/>
      <c r="P1" s="185"/>
    </row>
    <row r="2" spans="1:23" s="12" customFormat="1" ht="17.25" customHeight="1" thickBot="1">
      <c r="A2" s="182"/>
      <c r="B2" s="179" t="s">
        <v>50</v>
      </c>
      <c r="C2" s="180"/>
      <c r="D2" s="180"/>
      <c r="E2" s="180"/>
      <c r="F2" s="180"/>
      <c r="G2" s="180"/>
      <c r="H2" s="180"/>
      <c r="I2" s="181"/>
      <c r="K2" s="188"/>
      <c r="L2" s="190" t="s">
        <v>102</v>
      </c>
      <c r="M2" s="190" t="s">
        <v>104</v>
      </c>
      <c r="N2" s="186" t="s">
        <v>107</v>
      </c>
      <c r="O2" s="187"/>
      <c r="P2" s="82" t="s">
        <v>86</v>
      </c>
    </row>
    <row r="3" spans="1:23" s="12" customFormat="1" ht="14.25" customHeight="1" thickBot="1">
      <c r="A3" s="183"/>
      <c r="C3" s="46"/>
      <c r="D3" s="173" t="s">
        <v>51</v>
      </c>
      <c r="E3" s="174"/>
      <c r="G3" s="37"/>
      <c r="H3" s="175" t="s">
        <v>53</v>
      </c>
      <c r="I3" s="176"/>
      <c r="K3" s="189"/>
      <c r="L3" s="191"/>
      <c r="M3" s="191"/>
      <c r="N3" s="72" t="s">
        <v>53</v>
      </c>
      <c r="O3" s="72" t="s">
        <v>52</v>
      </c>
      <c r="P3" s="83"/>
    </row>
    <row r="4" spans="1:23" s="12" customFormat="1" ht="43.5" customHeight="1" thickBot="1">
      <c r="A4" s="184"/>
      <c r="B4" s="41" t="s">
        <v>83</v>
      </c>
      <c r="C4" s="47" t="s">
        <v>54</v>
      </c>
      <c r="D4" s="52" t="s">
        <v>76</v>
      </c>
      <c r="E4" s="45" t="s">
        <v>105</v>
      </c>
      <c r="F4" s="13" t="s">
        <v>83</v>
      </c>
      <c r="G4" s="55" t="s">
        <v>54</v>
      </c>
      <c r="H4" s="58" t="s">
        <v>76</v>
      </c>
      <c r="I4" s="14" t="s">
        <v>105</v>
      </c>
      <c r="K4" s="68" t="s">
        <v>103</v>
      </c>
      <c r="L4" s="69">
        <f>L8*1.6</f>
        <v>270.40000000000003</v>
      </c>
      <c r="M4" s="69">
        <v>301.10000000000002</v>
      </c>
      <c r="N4" s="69">
        <f>(2567.1-O4-M4)*1.1</f>
        <v>1898.71</v>
      </c>
      <c r="O4" s="69">
        <f>210.6+243.3+33.5+52.5</f>
        <v>539.9</v>
      </c>
      <c r="P4" s="71"/>
    </row>
    <row r="5" spans="1:23" s="18" customFormat="1" ht="15.75">
      <c r="A5" s="98" t="s">
        <v>56</v>
      </c>
      <c r="B5" s="99">
        <v>8976699.6984082852</v>
      </c>
      <c r="C5" s="100"/>
      <c r="D5" s="99">
        <v>40708.810024072765</v>
      </c>
      <c r="E5" s="101">
        <f>D5*U16*T16</f>
        <v>44325.787794711629</v>
      </c>
      <c r="F5" s="99">
        <v>49190613.190936193</v>
      </c>
      <c r="G5" s="102"/>
      <c r="H5" s="99">
        <v>29410.548677729334</v>
      </c>
      <c r="I5" s="101">
        <f>H5*U16*T16</f>
        <v>32023.675927745582</v>
      </c>
      <c r="K5" s="26" t="s">
        <v>106</v>
      </c>
      <c r="L5" s="70">
        <f>E26*L4</f>
        <v>70682618.70526363</v>
      </c>
      <c r="M5" s="70">
        <f>M4*E26</f>
        <v>78707605.370395258</v>
      </c>
      <c r="N5" s="70">
        <f>I26*N4</f>
        <v>152688670.31058294</v>
      </c>
      <c r="O5" s="70">
        <f>O4*E26</f>
        <v>141129977.2151325</v>
      </c>
      <c r="P5" s="73">
        <f>L5+M5+N5+O5</f>
        <v>443208871.60137427</v>
      </c>
    </row>
    <row r="6" spans="1:23" s="18" customFormat="1" ht="15" customHeight="1">
      <c r="A6" s="15" t="s">
        <v>57</v>
      </c>
      <c r="B6" s="16">
        <v>3119462.7771668993</v>
      </c>
      <c r="C6" s="48"/>
      <c r="D6" s="16">
        <v>14146.581910874334</v>
      </c>
      <c r="E6" s="17">
        <f>D6*T16*U16</f>
        <v>15403.505713655519</v>
      </c>
      <c r="F6" s="16">
        <v>17350310.768736202</v>
      </c>
      <c r="G6" s="56"/>
      <c r="H6" s="16">
        <v>10373.567767024126</v>
      </c>
      <c r="I6" s="17">
        <f>H6*U16*T16</f>
        <v>11295.259263124219</v>
      </c>
      <c r="K6" s="26" t="s">
        <v>109</v>
      </c>
      <c r="L6" s="64">
        <v>28</v>
      </c>
      <c r="M6" s="64"/>
      <c r="N6" s="64"/>
      <c r="O6" s="64"/>
      <c r="P6" s="74"/>
    </row>
    <row r="7" spans="1:23" s="18" customFormat="1" ht="15.75">
      <c r="A7" s="15" t="s">
        <v>58</v>
      </c>
      <c r="B7" s="16">
        <v>95784.316229978445</v>
      </c>
      <c r="C7" s="48"/>
      <c r="D7" s="16">
        <v>434.37629236759534</v>
      </c>
      <c r="E7" s="17">
        <f>D7</f>
        <v>434.37629236759534</v>
      </c>
      <c r="F7" s="16">
        <v>472628.74838074559</v>
      </c>
      <c r="G7" s="56"/>
      <c r="H7" s="16">
        <v>282.57974253729071</v>
      </c>
      <c r="I7" s="17">
        <f>H7</f>
        <v>282.57974253729071</v>
      </c>
      <c r="K7" s="26" t="s">
        <v>110</v>
      </c>
      <c r="L7" s="64">
        <f>7500*1.037</f>
        <v>7777.4999999999991</v>
      </c>
      <c r="M7" s="64"/>
      <c r="N7" s="64"/>
      <c r="O7" s="64"/>
      <c r="P7" s="74"/>
    </row>
    <row r="8" spans="1:23" s="18" customFormat="1" ht="30">
      <c r="A8" s="15" t="s">
        <v>59</v>
      </c>
      <c r="B8" s="16">
        <v>3425187.2900346247</v>
      </c>
      <c r="C8" s="48"/>
      <c r="D8" s="16">
        <v>15533.024760938846</v>
      </c>
      <c r="E8" s="17">
        <f>E10+E12+E14</f>
        <v>16816.487530885701</v>
      </c>
      <c r="F8" s="16">
        <v>30759500.195529565</v>
      </c>
      <c r="G8" s="56"/>
      <c r="H8" s="16">
        <v>18390.780661582354</v>
      </c>
      <c r="I8" s="17">
        <f>I10+I12+I14+I15+I16+I17</f>
        <v>19910.374086087581</v>
      </c>
      <c r="K8" s="67" t="s">
        <v>111</v>
      </c>
      <c r="L8" s="64">
        <v>169</v>
      </c>
      <c r="M8" s="64"/>
      <c r="N8" s="64"/>
      <c r="O8" s="64"/>
      <c r="P8" s="74"/>
    </row>
    <row r="9" spans="1:23" s="18" customFormat="1" ht="15.75">
      <c r="A9" s="19" t="s">
        <v>55</v>
      </c>
      <c r="B9" s="16"/>
      <c r="C9" s="48"/>
      <c r="D9" s="16"/>
      <c r="E9" s="17"/>
      <c r="F9" s="16"/>
      <c r="G9" s="56"/>
      <c r="H9" s="16"/>
      <c r="I9" s="17"/>
      <c r="K9" s="26" t="s">
        <v>108</v>
      </c>
      <c r="L9" s="70">
        <f>L6*L7*L8</f>
        <v>36803129.999999993</v>
      </c>
      <c r="M9" s="70" t="e">
        <f>#REF!*1000</f>
        <v>#REF!</v>
      </c>
      <c r="N9" s="198">
        <v>68322.31</v>
      </c>
      <c r="O9" s="199"/>
      <c r="P9" s="73" t="e">
        <f>#REF!*1000</f>
        <v>#REF!</v>
      </c>
    </row>
    <row r="10" spans="1:23" s="18" customFormat="1" ht="15.75" thickBot="1">
      <c r="A10" s="20" t="s">
        <v>60</v>
      </c>
      <c r="B10" s="21">
        <v>2980511.7638669768</v>
      </c>
      <c r="C10" s="49"/>
      <c r="D10" s="25">
        <v>13516.447162790699</v>
      </c>
      <c r="E10" s="22">
        <f>D10*U17*T17</f>
        <v>14633.284158957767</v>
      </c>
      <c r="F10" s="21">
        <v>24392221.669475846</v>
      </c>
      <c r="G10" s="49"/>
      <c r="H10" s="25">
        <v>14583.852004110997</v>
      </c>
      <c r="I10" s="22">
        <f>H10*U17*T17</f>
        <v>15788.88652750668</v>
      </c>
      <c r="K10" s="65" t="s">
        <v>112</v>
      </c>
      <c r="L10" s="66">
        <f>L5-L9</f>
        <v>33879488.705263637</v>
      </c>
      <c r="M10" s="66" t="e">
        <f>M5-M9</f>
        <v>#REF!</v>
      </c>
      <c r="N10" s="177">
        <f>N5+O5-N9</f>
        <v>293750325.21571547</v>
      </c>
      <c r="O10" s="178"/>
      <c r="P10" s="75" t="e">
        <f>#REF!*1000</f>
        <v>#REF!</v>
      </c>
    </row>
    <row r="11" spans="1:23" s="18" customFormat="1">
      <c r="A11" s="20" t="s">
        <v>61</v>
      </c>
      <c r="B11" s="21">
        <v>0</v>
      </c>
      <c r="C11" s="49"/>
      <c r="D11" s="25">
        <v>0</v>
      </c>
      <c r="E11" s="22"/>
      <c r="F11" s="21">
        <v>0</v>
      </c>
      <c r="G11" s="49"/>
      <c r="H11" s="25"/>
      <c r="I11" s="22"/>
    </row>
    <row r="12" spans="1:23" s="18" customFormat="1" ht="15.75" thickBot="1">
      <c r="A12" s="20" t="s">
        <v>62</v>
      </c>
      <c r="B12" s="21">
        <v>81423.762214159447</v>
      </c>
      <c r="C12" s="49"/>
      <c r="D12" s="25">
        <v>369.25201675279783</v>
      </c>
      <c r="E12" s="22">
        <f>D12*U17*T17</f>
        <v>399.762572393048</v>
      </c>
      <c r="F12" s="21">
        <v>539702.34816745401</v>
      </c>
      <c r="G12" s="49"/>
      <c r="H12" s="25">
        <v>322.68234023942722</v>
      </c>
      <c r="I12" s="22">
        <f>H12*U17*T17</f>
        <v>349.3449366487306</v>
      </c>
      <c r="K12" s="162" t="s">
        <v>101</v>
      </c>
      <c r="L12" s="162"/>
      <c r="M12" s="162"/>
      <c r="N12" s="162"/>
      <c r="O12" s="162"/>
      <c r="P12" s="162"/>
    </row>
    <row r="13" spans="1:23" s="18" customFormat="1" ht="45.75" thickBot="1">
      <c r="A13" s="20" t="s">
        <v>63</v>
      </c>
      <c r="B13" s="21"/>
      <c r="C13" s="49"/>
      <c r="D13" s="25"/>
      <c r="E13" s="22"/>
      <c r="F13" s="21">
        <v>0</v>
      </c>
      <c r="G13" s="49"/>
      <c r="H13" s="25"/>
      <c r="I13" s="22"/>
      <c r="K13" s="84"/>
      <c r="L13" s="61" t="s">
        <v>81</v>
      </c>
      <c r="M13" s="61" t="s">
        <v>80</v>
      </c>
      <c r="N13" s="61" t="s">
        <v>49</v>
      </c>
      <c r="O13" s="61" t="s">
        <v>49</v>
      </c>
      <c r="P13" s="62" t="s">
        <v>82</v>
      </c>
    </row>
    <row r="14" spans="1:23" s="18" customFormat="1" ht="24">
      <c r="A14" s="20" t="s">
        <v>64</v>
      </c>
      <c r="B14" s="21">
        <v>363251.76395348838</v>
      </c>
      <c r="C14" s="49"/>
      <c r="D14" s="25">
        <v>1647.325581395349</v>
      </c>
      <c r="E14" s="22">
        <f>D14*U17*T17</f>
        <v>1783.4407995348838</v>
      </c>
      <c r="F14" s="21">
        <v>2558098.471976704</v>
      </c>
      <c r="G14" s="49"/>
      <c r="H14" s="25">
        <v>1529.4600890715997</v>
      </c>
      <c r="I14" s="22">
        <f>H14*U17*T17</f>
        <v>1655.8363173114076</v>
      </c>
      <c r="K14" s="85" t="s">
        <v>89</v>
      </c>
      <c r="L14" s="63">
        <v>4185838</v>
      </c>
      <c r="M14" s="63">
        <v>4018569</v>
      </c>
      <c r="N14" s="63">
        <v>6705434.5800000001</v>
      </c>
      <c r="O14" s="63">
        <v>6705434.5800000001</v>
      </c>
      <c r="P14" s="86"/>
    </row>
    <row r="15" spans="1:23" s="18" customFormat="1">
      <c r="A15" s="23" t="s">
        <v>65</v>
      </c>
      <c r="B15" s="21"/>
      <c r="C15" s="49"/>
      <c r="D15" s="25"/>
      <c r="E15" s="22"/>
      <c r="F15" s="21">
        <v>3147941.9375128467</v>
      </c>
      <c r="G15" s="49"/>
      <c r="H15" s="25">
        <v>1882.1212744090442</v>
      </c>
      <c r="I15" s="22">
        <f>H15*U17*T17</f>
        <v>2037.6371910709147</v>
      </c>
      <c r="K15" s="87" t="s">
        <v>90</v>
      </c>
      <c r="L15" s="43">
        <v>6358036</v>
      </c>
      <c r="M15" s="43">
        <v>6197280</v>
      </c>
      <c r="N15" s="43">
        <v>6681667.5800000001</v>
      </c>
      <c r="O15" s="43">
        <v>6681667.5800000001</v>
      </c>
      <c r="P15" s="88"/>
      <c r="S15" s="30"/>
      <c r="T15" s="31">
        <v>2019</v>
      </c>
      <c r="U15" s="31">
        <v>2020</v>
      </c>
      <c r="V15" s="31">
        <v>2021</v>
      </c>
      <c r="W15" s="31">
        <v>2022</v>
      </c>
    </row>
    <row r="16" spans="1:23" s="18" customFormat="1" ht="24">
      <c r="A16" s="20" t="s">
        <v>66</v>
      </c>
      <c r="B16" s="21"/>
      <c r="C16" s="49"/>
      <c r="D16" s="25"/>
      <c r="E16" s="22"/>
      <c r="F16" s="21">
        <v>7263.1873244261724</v>
      </c>
      <c r="G16" s="49"/>
      <c r="H16" s="25">
        <v>4.3425830763960258</v>
      </c>
      <c r="I16" s="22">
        <f>H16*U17*T17</f>
        <v>4.701402030832476</v>
      </c>
      <c r="K16" s="89" t="s">
        <v>91</v>
      </c>
      <c r="L16" s="43">
        <v>4048210</v>
      </c>
      <c r="M16" s="43">
        <v>3911494</v>
      </c>
      <c r="N16" s="43"/>
      <c r="O16" s="43"/>
      <c r="P16" s="88"/>
      <c r="S16" s="32" t="s">
        <v>77</v>
      </c>
      <c r="T16" s="32">
        <v>1.05</v>
      </c>
      <c r="U16" s="32">
        <v>1.0369999999999999</v>
      </c>
      <c r="V16" s="30">
        <v>1.04</v>
      </c>
      <c r="W16" s="32">
        <v>1.04</v>
      </c>
    </row>
    <row r="17" spans="1:23" s="18" customFormat="1">
      <c r="A17" s="20" t="s">
        <v>67</v>
      </c>
      <c r="B17" s="21"/>
      <c r="C17" s="49"/>
      <c r="D17" s="25"/>
      <c r="E17" s="22"/>
      <c r="F17" s="21">
        <v>114272.58107228501</v>
      </c>
      <c r="G17" s="49"/>
      <c r="H17" s="25">
        <v>68.32237067488866</v>
      </c>
      <c r="I17" s="22">
        <f>H17*U17*T17</f>
        <v>73.967711519013349</v>
      </c>
      <c r="K17" s="87" t="s">
        <v>92</v>
      </c>
      <c r="L17" s="43">
        <v>4090042</v>
      </c>
      <c r="M17" s="43">
        <v>3936136</v>
      </c>
      <c r="N17" s="90">
        <v>4925926</v>
      </c>
      <c r="O17" s="90">
        <v>4925926</v>
      </c>
      <c r="P17" s="88"/>
      <c r="S17" s="33" t="s">
        <v>78</v>
      </c>
      <c r="T17" s="34">
        <v>1.044</v>
      </c>
      <c r="U17" s="34">
        <v>1.0369999999999999</v>
      </c>
      <c r="V17" s="30">
        <v>1.038</v>
      </c>
      <c r="W17" s="35">
        <v>1.04</v>
      </c>
    </row>
    <row r="18" spans="1:23" s="18" customFormat="1" ht="15" customHeight="1">
      <c r="A18" s="24" t="s">
        <v>68</v>
      </c>
      <c r="B18" s="16">
        <v>51794066.893672287</v>
      </c>
      <c r="C18" s="48"/>
      <c r="D18" s="16">
        <v>234883.07511528861</v>
      </c>
      <c r="E18" s="17">
        <f>E20+E21+E23+E24+E25</f>
        <v>184420.05977364443</v>
      </c>
      <c r="F18" s="16">
        <v>26820319.815585203</v>
      </c>
      <c r="G18" s="48"/>
      <c r="H18" s="16">
        <v>16035.586269818663</v>
      </c>
      <c r="I18" s="17">
        <f>I20+I21+I23+I24+I25</f>
        <v>16905.167987938232</v>
      </c>
      <c r="K18" s="89" t="s">
        <v>93</v>
      </c>
      <c r="L18" s="43">
        <v>4008834</v>
      </c>
      <c r="M18" s="43">
        <v>3872639</v>
      </c>
      <c r="N18" s="43">
        <v>5763303.5800000001</v>
      </c>
      <c r="O18" s="43">
        <v>5763303.5800000001</v>
      </c>
      <c r="P18" s="88"/>
      <c r="S18" s="33" t="s">
        <v>79</v>
      </c>
      <c r="T18" s="34">
        <v>1.0009999999999999</v>
      </c>
      <c r="U18" s="34">
        <v>0.99099999999999999</v>
      </c>
      <c r="V18" s="30">
        <v>1.014</v>
      </c>
      <c r="W18" s="36">
        <v>1.0169999999999999</v>
      </c>
    </row>
    <row r="19" spans="1:23" s="18" customFormat="1">
      <c r="A19" s="19" t="s">
        <v>55</v>
      </c>
      <c r="B19" s="25"/>
      <c r="C19" s="50"/>
      <c r="D19" s="25"/>
      <c r="E19" s="22"/>
      <c r="F19" s="25"/>
      <c r="G19" s="50"/>
      <c r="H19" s="25"/>
      <c r="I19" s="22"/>
      <c r="K19" s="87" t="s">
        <v>94</v>
      </c>
      <c r="L19" s="43">
        <v>4005350</v>
      </c>
      <c r="M19" s="43">
        <v>3865782</v>
      </c>
      <c r="N19" s="43">
        <v>5809678.5800000001</v>
      </c>
      <c r="O19" s="43">
        <v>5809678.5800000001</v>
      </c>
      <c r="P19" s="88"/>
    </row>
    <row r="20" spans="1:23" s="18" customFormat="1" ht="33" customHeight="1">
      <c r="A20" s="20" t="s">
        <v>69</v>
      </c>
      <c r="B20" s="21">
        <v>232636</v>
      </c>
      <c r="C20" s="49"/>
      <c r="D20" s="25">
        <v>1054.9907033694617</v>
      </c>
      <c r="E20" s="22">
        <f>D20*U16*T16</f>
        <v>1148.7266273638384</v>
      </c>
      <c r="F20" s="21">
        <v>215646</v>
      </c>
      <c r="G20" s="49"/>
      <c r="H20" s="25">
        <v>128.93246838659533</v>
      </c>
      <c r="I20" s="22">
        <f>H20*U16*T16</f>
        <v>140.38811820274432</v>
      </c>
      <c r="K20" s="89" t="s">
        <v>95</v>
      </c>
      <c r="L20" s="43">
        <v>3925826</v>
      </c>
      <c r="M20" s="43">
        <v>3804903</v>
      </c>
      <c r="N20" s="43">
        <v>5701087.5800000001</v>
      </c>
      <c r="O20" s="43">
        <v>5701087.5800000001</v>
      </c>
      <c r="P20" s="88"/>
    </row>
    <row r="21" spans="1:23" s="18" customFormat="1" ht="21.75" customHeight="1">
      <c r="A21" s="20" t="s">
        <v>70</v>
      </c>
      <c r="B21" s="21">
        <v>3206083.15</v>
      </c>
      <c r="C21" s="49"/>
      <c r="D21" s="25">
        <v>14539.400253956737</v>
      </c>
      <c r="E21" s="22">
        <f>D21*U16*T16</f>
        <v>15831.225966520791</v>
      </c>
      <c r="F21" s="21">
        <v>8833879.6999999993</v>
      </c>
      <c r="G21" s="49"/>
      <c r="H21" s="25">
        <v>5281.6834773250421</v>
      </c>
      <c r="I21" s="22">
        <f>H21*U16*T16</f>
        <v>5750.9610542853716</v>
      </c>
      <c r="K21" s="87" t="s">
        <v>96</v>
      </c>
      <c r="L21" s="43">
        <v>3918514</v>
      </c>
      <c r="M21" s="43">
        <v>3794095</v>
      </c>
      <c r="N21" s="43">
        <v>5744821.5800000001</v>
      </c>
      <c r="O21" s="43">
        <v>5744821.5800000001</v>
      </c>
      <c r="P21" s="88"/>
    </row>
    <row r="22" spans="1:23" s="18" customFormat="1" ht="15" customHeight="1">
      <c r="A22" s="20" t="s">
        <v>71</v>
      </c>
      <c r="B22" s="21"/>
      <c r="C22" s="49"/>
      <c r="D22" s="25"/>
      <c r="E22" s="22"/>
      <c r="F22" s="21">
        <v>309135</v>
      </c>
      <c r="G22" s="49"/>
      <c r="H22" s="25">
        <v>184.82855520014351</v>
      </c>
      <c r="I22" s="22">
        <f>H22*U16*T16</f>
        <v>201.25057232967626</v>
      </c>
      <c r="K22" s="89" t="s">
        <v>97</v>
      </c>
      <c r="L22" s="43">
        <v>3874494</v>
      </c>
      <c r="M22" s="43">
        <v>3757861</v>
      </c>
      <c r="N22" s="43">
        <v>8640296.5800000001</v>
      </c>
      <c r="O22" s="43">
        <v>8640296.5800000001</v>
      </c>
      <c r="P22" s="88"/>
    </row>
    <row r="23" spans="1:23" s="18" customFormat="1">
      <c r="A23" s="20" t="s">
        <v>72</v>
      </c>
      <c r="B23" s="21">
        <v>64983.784186046512</v>
      </c>
      <c r="C23" s="49"/>
      <c r="D23" s="25">
        <v>294.69767441860466</v>
      </c>
      <c r="E23" s="22">
        <f>D23*U16*T16</f>
        <v>320.88156279069767</v>
      </c>
      <c r="F23" s="21">
        <v>245086.16022610481</v>
      </c>
      <c r="G23" s="49"/>
      <c r="H23" s="25">
        <v>146.5344295991778</v>
      </c>
      <c r="I23" s="22">
        <f>H23*U16*T16</f>
        <v>159.55401366906474</v>
      </c>
      <c r="K23" s="87" t="s">
        <v>98</v>
      </c>
      <c r="L23" s="43">
        <v>3797572</v>
      </c>
      <c r="M23" s="43">
        <v>3699463</v>
      </c>
      <c r="N23" s="43">
        <v>5631820.5800000001</v>
      </c>
      <c r="O23" s="43">
        <v>5631820.5800000001</v>
      </c>
      <c r="P23" s="88"/>
    </row>
    <row r="24" spans="1:23" s="18" customFormat="1" ht="46.5" customHeight="1">
      <c r="A24" s="20" t="s">
        <v>73</v>
      </c>
      <c r="B24" s="21">
        <v>45363118.741000004</v>
      </c>
      <c r="C24" s="49"/>
      <c r="D24" s="53">
        <v>205719.10000000003</v>
      </c>
      <c r="E24" s="40">
        <f>P30</f>
        <v>156264.96081518804</v>
      </c>
      <c r="F24" s="21">
        <v>0</v>
      </c>
      <c r="G24" s="49"/>
      <c r="H24" s="59"/>
      <c r="I24" s="42"/>
      <c r="K24" s="89" t="s">
        <v>99</v>
      </c>
      <c r="L24" s="43">
        <v>3784345</v>
      </c>
      <c r="M24" s="43">
        <v>3684134</v>
      </c>
      <c r="N24" s="43">
        <v>5672613.5800000001</v>
      </c>
      <c r="O24" s="43">
        <v>5672613.5800000001</v>
      </c>
      <c r="P24" s="88"/>
    </row>
    <row r="25" spans="1:23" s="18" customFormat="1" ht="24.75" thickBot="1">
      <c r="A25" s="27" t="s">
        <v>74</v>
      </c>
      <c r="B25" s="21">
        <v>2198166.8103418658</v>
      </c>
      <c r="C25" s="49"/>
      <c r="D25" s="25">
        <v>9968.5583889250647</v>
      </c>
      <c r="E25" s="22">
        <f>D25*U16*T16</f>
        <v>10854.264801781057</v>
      </c>
      <c r="F25" s="21">
        <v>16672912.333396608</v>
      </c>
      <c r="G25" s="49"/>
      <c r="H25" s="25">
        <v>9968.5583889250593</v>
      </c>
      <c r="I25" s="22">
        <f>H25*U16*T16</f>
        <v>10854.264801781052</v>
      </c>
      <c r="K25" s="87" t="s">
        <v>100</v>
      </c>
      <c r="L25" s="43">
        <v>3709217</v>
      </c>
      <c r="M25" s="43">
        <v>3627431</v>
      </c>
      <c r="N25" s="43">
        <v>5567235.5800000001</v>
      </c>
      <c r="O25" s="43">
        <v>5567235.5800000001</v>
      </c>
      <c r="P25" s="88"/>
    </row>
    <row r="26" spans="1:23" s="18" customFormat="1" ht="15.75" thickBot="1">
      <c r="A26" s="28" t="s">
        <v>75</v>
      </c>
      <c r="B26" s="38">
        <v>67411200.975512072</v>
      </c>
      <c r="C26" s="51">
        <f>220.51+260.39</f>
        <v>480.9</v>
      </c>
      <c r="D26" s="54">
        <v>305705.86810354213</v>
      </c>
      <c r="E26" s="39">
        <f>E5+E6+E7+E8+E18</f>
        <v>261400.21710526489</v>
      </c>
      <c r="F26" s="38">
        <v>124593372.71916789</v>
      </c>
      <c r="G26" s="57">
        <v>1672.55</v>
      </c>
      <c r="H26" s="60">
        <v>74493.063118691774</v>
      </c>
      <c r="I26" s="39">
        <f>I5+I6+I7+I8+I18</f>
        <v>80417.057007432901</v>
      </c>
      <c r="K26" s="91" t="s">
        <v>86</v>
      </c>
      <c r="L26" s="44">
        <f t="shared" ref="L26:M26" si="0">SUM(L14:L25)</f>
        <v>49706278</v>
      </c>
      <c r="M26" s="44">
        <f t="shared" si="0"/>
        <v>48169787</v>
      </c>
      <c r="N26" s="44">
        <f>SUM(N14:N25)</f>
        <v>66843885.79999999</v>
      </c>
      <c r="O26" s="44">
        <f>SUM(O14:O25)</f>
        <v>66843885.79999999</v>
      </c>
      <c r="P26" s="88"/>
    </row>
    <row r="27" spans="1:23" s="18" customFormat="1" ht="29.25" customHeight="1" thickBot="1">
      <c r="A27" s="81"/>
      <c r="B27" s="81"/>
      <c r="C27" s="81"/>
      <c r="D27" s="81"/>
      <c r="E27" s="81"/>
      <c r="F27" s="81"/>
      <c r="G27" s="81"/>
      <c r="H27" s="81"/>
      <c r="I27" s="81"/>
      <c r="K27" s="94" t="s">
        <v>87</v>
      </c>
      <c r="L27" s="95">
        <f t="shared" ref="L27:M27" si="1">L26/1.2</f>
        <v>41421898.333333336</v>
      </c>
      <c r="M27" s="95">
        <f t="shared" si="1"/>
        <v>40141489.166666672</v>
      </c>
      <c r="N27" s="95">
        <f>N26/1.2</f>
        <v>55703238.166666657</v>
      </c>
      <c r="O27" s="95">
        <f>O26/1.2</f>
        <v>55703238.166666657</v>
      </c>
      <c r="P27" s="96">
        <f>SUM(L27:O27)</f>
        <v>192969863.83333331</v>
      </c>
      <c r="Q27" s="80"/>
      <c r="R27" s="80"/>
      <c r="S27" s="80"/>
      <c r="T27" s="80"/>
    </row>
    <row r="28" spans="1:23" s="18" customFormat="1" ht="22.5" customHeight="1">
      <c r="K28" s="196" t="s">
        <v>84</v>
      </c>
      <c r="L28" s="197"/>
      <c r="M28" s="197"/>
      <c r="N28" s="197"/>
      <c r="O28" s="197"/>
      <c r="P28" s="97">
        <f>P27*0.9</f>
        <v>173672877.44999999</v>
      </c>
      <c r="Q28" s="29"/>
      <c r="R28" s="81"/>
    </row>
    <row r="29" spans="1:23" ht="15" customHeight="1">
      <c r="K29" s="192" t="s">
        <v>85</v>
      </c>
      <c r="L29" s="193"/>
      <c r="M29" s="193"/>
      <c r="N29" s="193"/>
      <c r="O29" s="193"/>
      <c r="P29" s="92">
        <f>O4+L4+M4</f>
        <v>1111.4000000000001</v>
      </c>
      <c r="Q29" s="29"/>
      <c r="R29" s="29"/>
    </row>
    <row r="30" spans="1:23" ht="19.5" customHeight="1" thickBot="1">
      <c r="K30" s="194" t="s">
        <v>88</v>
      </c>
      <c r="L30" s="195"/>
      <c r="M30" s="195"/>
      <c r="N30" s="195"/>
      <c r="O30" s="195"/>
      <c r="P30" s="93">
        <f>P28/P29</f>
        <v>156264.96081518804</v>
      </c>
      <c r="Q30" s="29"/>
      <c r="R30" s="29"/>
    </row>
    <row r="31" spans="1:23" ht="13.5" customHeight="1">
      <c r="Q31" s="29"/>
      <c r="R31" s="29"/>
    </row>
    <row r="32" spans="1:23">
      <c r="Q32" s="29"/>
      <c r="R32" s="29"/>
    </row>
    <row r="33" spans="17:19">
      <c r="Q33" s="29"/>
    </row>
    <row r="34" spans="17:19">
      <c r="Q34" s="29"/>
    </row>
    <row r="35" spans="17:19">
      <c r="Q35" s="29"/>
    </row>
    <row r="36" spans="17:19">
      <c r="Q36" s="29"/>
    </row>
    <row r="37" spans="17:19">
      <c r="Q37" s="29"/>
    </row>
    <row r="38" spans="17:19">
      <c r="Q38" s="29"/>
    </row>
    <row r="39" spans="17:19">
      <c r="Q39" s="29"/>
    </row>
    <row r="40" spans="17:19">
      <c r="Q40" s="29"/>
    </row>
    <row r="41" spans="17:19">
      <c r="Q41" s="29"/>
    </row>
    <row r="42" spans="17:19">
      <c r="Q42" s="29"/>
    </row>
    <row r="43" spans="17:19" ht="15" customHeight="1">
      <c r="Q43" s="76"/>
      <c r="R43" s="76"/>
      <c r="S43" s="77"/>
    </row>
    <row r="44" spans="17:19" ht="15.75" customHeight="1">
      <c r="Q44" s="76"/>
      <c r="R44" s="76"/>
      <c r="S44" s="77"/>
    </row>
    <row r="45" spans="17:19" ht="15.75" thickBot="1">
      <c r="Q45" s="78"/>
      <c r="R45" s="78"/>
      <c r="S45" s="79"/>
    </row>
    <row r="46" spans="17:19" ht="19.5" customHeight="1"/>
    <row r="47" spans="17:19" ht="16.5" customHeight="1"/>
  </sheetData>
  <mergeCells count="16">
    <mergeCell ref="K29:O29"/>
    <mergeCell ref="K30:O30"/>
    <mergeCell ref="K12:P12"/>
    <mergeCell ref="K28:O28"/>
    <mergeCell ref="N9:O9"/>
    <mergeCell ref="A1:I1"/>
    <mergeCell ref="D3:E3"/>
    <mergeCell ref="H3:I3"/>
    <mergeCell ref="N10:O10"/>
    <mergeCell ref="B2:I2"/>
    <mergeCell ref="A2:A4"/>
    <mergeCell ref="K1:P1"/>
    <mergeCell ref="N2:O2"/>
    <mergeCell ref="K2:K3"/>
    <mergeCell ref="L2:L3"/>
    <mergeCell ref="M2:M3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Водные</vt:lpstr>
      <vt:lpstr>Лизинг</vt:lpstr>
      <vt:lpstr>авиа расчет</vt:lpstr>
      <vt:lpstr>'авиа расчет'!Область_печати</vt:lpstr>
      <vt:lpstr>Водные!Область_печати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lastPrinted>2020-10-10T16:09:05Z</cp:lastPrinted>
  <dcterms:created xsi:type="dcterms:W3CDTF">2017-08-04T07:55:22Z</dcterms:created>
  <dcterms:modified xsi:type="dcterms:W3CDTF">2020-10-10T16:09:34Z</dcterms:modified>
</cp:coreProperties>
</file>