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9040" windowHeight="15840" tabRatio="839"/>
  </bookViews>
  <sheets>
    <sheet name="Показатели объема гос.услуг" sheetId="1" r:id="rId1"/>
    <sheet name="Объемы ассигн без имущ и нал" sheetId="6" state="hidden" r:id="rId2"/>
    <sheet name="Объемы бюдж.ассигн." sheetId="7" r:id="rId3"/>
    <sheet name="Объемы ассигн на имущ и нал" sheetId="8" state="hidden" r:id="rId4"/>
    <sheet name="Колич.гос. учрежд." sheetId="5" r:id="rId5"/>
  </sheets>
  <definedNames>
    <definedName name="_xlnm._FilterDatabase" localSheetId="1" hidden="1">'Объемы ассигн без имущ и нал'!$A$10:$V$139</definedName>
    <definedName name="_xlnm.Print_Titles" localSheetId="4">'Колич.гос. учрежд.'!$6:$9</definedName>
    <definedName name="_xlnm.Print_Titles" localSheetId="1">'Объемы ассигн без имущ и нал'!$8:$10</definedName>
    <definedName name="_xlnm.Print_Titles" localSheetId="3">'Объемы ассигн на имущ и нал'!$8:$10</definedName>
    <definedName name="_xlnm.Print_Titles" localSheetId="2">'Объемы бюдж.ассигн.'!$4:$6</definedName>
    <definedName name="_xlnm.Print_Titles" localSheetId="0">'Показатели объема гос.услуг'!$5:$7</definedName>
    <definedName name="_xlnm.Print_Area" localSheetId="4">'Колич.гос. учрежд.'!$A$1:$M$63</definedName>
    <definedName name="_xlnm.Print_Area" localSheetId="1">'Объемы ассигн без имущ и нал'!$A$5:$J$142</definedName>
    <definedName name="_xlnm.Print_Area" localSheetId="3">'Объемы ассигн на имущ и нал'!$A$1:$I$34</definedName>
    <definedName name="_xlnm.Print_Area" localSheetId="2">'Объемы бюдж.ассигн.'!$A$1:$I$27</definedName>
    <definedName name="_xlnm.Print_Area" localSheetId="0">'Показатели объема гос.услуг'!$A$1:$G$63</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7"/>
  <c r="H9"/>
  <c r="G103" i="6" l="1"/>
  <c r="H103"/>
  <c r="I103"/>
  <c r="J103"/>
  <c r="H102"/>
  <c r="I102"/>
  <c r="J102"/>
  <c r="G102"/>
  <c r="G104" s="1"/>
  <c r="K104"/>
  <c r="J104" l="1"/>
  <c r="I104"/>
  <c r="H104"/>
  <c r="H137"/>
  <c r="I137"/>
  <c r="J137"/>
  <c r="J136"/>
  <c r="H136"/>
  <c r="K133"/>
  <c r="K122" l="1"/>
  <c r="O134" l="1"/>
  <c r="J134" s="1"/>
  <c r="O131"/>
  <c r="O128"/>
  <c r="O124"/>
  <c r="O120"/>
  <c r="O113"/>
  <c r="O107"/>
  <c r="M130"/>
  <c r="M122"/>
  <c r="M108"/>
  <c r="L134"/>
  <c r="L128"/>
  <c r="L120"/>
  <c r="L107"/>
  <c r="O133"/>
  <c r="J133" s="1"/>
  <c r="O130"/>
  <c r="O122"/>
  <c r="O108"/>
  <c r="M126"/>
  <c r="L137"/>
  <c r="L124"/>
  <c r="L163"/>
  <c r="N133"/>
  <c r="I133" s="1"/>
  <c r="N122"/>
  <c r="N108"/>
  <c r="M124"/>
  <c r="L136"/>
  <c r="L122"/>
  <c r="N134"/>
  <c r="I134" s="1"/>
  <c r="N131"/>
  <c r="N128"/>
  <c r="N124"/>
  <c r="N120"/>
  <c r="N113"/>
  <c r="N107"/>
  <c r="M134"/>
  <c r="H134" s="1"/>
  <c r="M128"/>
  <c r="M120"/>
  <c r="M107"/>
  <c r="L133"/>
  <c r="L126"/>
  <c r="L118"/>
  <c r="L106"/>
  <c r="O126"/>
  <c r="O118"/>
  <c r="J118" s="1"/>
  <c r="J119" s="1"/>
  <c r="O106"/>
  <c r="M133"/>
  <c r="H133" s="1"/>
  <c r="M118"/>
  <c r="H118" s="1"/>
  <c r="H119" s="1"/>
  <c r="L131"/>
  <c r="L113"/>
  <c r="M106"/>
  <c r="N130"/>
  <c r="N126"/>
  <c r="N118"/>
  <c r="I118" s="1"/>
  <c r="I119" s="1"/>
  <c r="N106"/>
  <c r="M131"/>
  <c r="M113"/>
  <c r="L130"/>
  <c r="L108"/>
  <c r="K138"/>
  <c r="I136"/>
  <c r="G138"/>
  <c r="L80" l="1"/>
  <c r="F31" i="8"/>
  <c r="G31"/>
  <c r="H31"/>
  <c r="I31"/>
  <c r="F7" i="7"/>
  <c r="G98" i="6" s="1"/>
  <c r="G7" i="7"/>
  <c r="H7"/>
  <c r="I7"/>
  <c r="F8"/>
  <c r="G100" i="6" s="1"/>
  <c r="G8" i="7"/>
  <c r="H8"/>
  <c r="I8"/>
  <c r="F9"/>
  <c r="G9"/>
  <c r="I9"/>
  <c r="F10"/>
  <c r="G10"/>
  <c r="H10"/>
  <c r="I10"/>
  <c r="F13"/>
  <c r="G13"/>
  <c r="H13"/>
  <c r="I13"/>
  <c r="F14"/>
  <c r="G14"/>
  <c r="H14"/>
  <c r="I14"/>
  <c r="F15"/>
  <c r="G15"/>
  <c r="H15"/>
  <c r="I15"/>
  <c r="F16"/>
  <c r="G16"/>
  <c r="H16"/>
  <c r="I16"/>
  <c r="F17"/>
  <c r="G17"/>
  <c r="H17"/>
  <c r="I17"/>
  <c r="F18"/>
  <c r="G18"/>
  <c r="H18"/>
  <c r="I18"/>
  <c r="F19"/>
  <c r="G19"/>
  <c r="H19"/>
  <c r="I19"/>
  <c r="F20"/>
  <c r="G20"/>
  <c r="H20"/>
  <c r="I20"/>
  <c r="F22"/>
  <c r="G95" i="6" s="1"/>
  <c r="G22" i="7"/>
  <c r="H22"/>
  <c r="I22"/>
  <c r="F23"/>
  <c r="G96" i="6" s="1"/>
  <c r="G157" s="1"/>
  <c r="L157" s="1"/>
  <c r="G23" i="7"/>
  <c r="H23"/>
  <c r="I23"/>
  <c r="F24"/>
  <c r="G115" i="6" s="1"/>
  <c r="G24" i="7"/>
  <c r="H24"/>
  <c r="I24"/>
  <c r="F25"/>
  <c r="G25"/>
  <c r="H25"/>
  <c r="I25"/>
  <c r="F26"/>
  <c r="G134" i="6" s="1"/>
  <c r="G160" s="1"/>
  <c r="L160" s="1"/>
  <c r="G26" i="7"/>
  <c r="H26"/>
  <c r="I26"/>
  <c r="K11" i="6"/>
  <c r="K13"/>
  <c r="K14"/>
  <c r="K16"/>
  <c r="K17"/>
  <c r="K19"/>
  <c r="K21"/>
  <c r="K23"/>
  <c r="K24"/>
  <c r="K27"/>
  <c r="K30"/>
  <c r="K31" s="1"/>
  <c r="K32" s="1"/>
  <c r="K34"/>
  <c r="K35"/>
  <c r="K36"/>
  <c r="K38"/>
  <c r="K39" s="1"/>
  <c r="K40" s="1"/>
  <c r="K41"/>
  <c r="K42"/>
  <c r="K43" s="1"/>
  <c r="K44"/>
  <c r="L47"/>
  <c r="M47"/>
  <c r="N47"/>
  <c r="O47"/>
  <c r="K48"/>
  <c r="L49"/>
  <c r="M49"/>
  <c r="N49"/>
  <c r="O49"/>
  <c r="K51"/>
  <c r="K54"/>
  <c r="K56"/>
  <c r="L57"/>
  <c r="M57"/>
  <c r="N57"/>
  <c r="O57"/>
  <c r="K58"/>
  <c r="L59"/>
  <c r="M59"/>
  <c r="N59"/>
  <c r="O59"/>
  <c r="K60"/>
  <c r="L61"/>
  <c r="M61"/>
  <c r="N61"/>
  <c r="O61"/>
  <c r="K62"/>
  <c r="K63"/>
  <c r="K65" s="1"/>
  <c r="K64"/>
  <c r="K67"/>
  <c r="K66" s="1"/>
  <c r="K69"/>
  <c r="L69"/>
  <c r="M69"/>
  <c r="N69"/>
  <c r="O69"/>
  <c r="K70"/>
  <c r="K73"/>
  <c r="K74"/>
  <c r="K78"/>
  <c r="K77" s="1"/>
  <c r="L72" s="1"/>
  <c r="M80"/>
  <c r="N80"/>
  <c r="O80"/>
  <c r="K81"/>
  <c r="L82"/>
  <c r="M82"/>
  <c r="N82"/>
  <c r="O82"/>
  <c r="K83"/>
  <c r="K85"/>
  <c r="L87"/>
  <c r="M87"/>
  <c r="N87"/>
  <c r="O87"/>
  <c r="K88"/>
  <c r="G89"/>
  <c r="G90" s="1"/>
  <c r="L89"/>
  <c r="M89"/>
  <c r="N89"/>
  <c r="O89"/>
  <c r="K90"/>
  <c r="L91"/>
  <c r="M91"/>
  <c r="N91"/>
  <c r="O91"/>
  <c r="K92"/>
  <c r="L93"/>
  <c r="M93"/>
  <c r="N93"/>
  <c r="O93"/>
  <c r="G154"/>
  <c r="L154" s="1"/>
  <c r="H154"/>
  <c r="M154" s="1"/>
  <c r="I154"/>
  <c r="J154"/>
  <c r="K94"/>
  <c r="L95"/>
  <c r="M95"/>
  <c r="N95"/>
  <c r="O95"/>
  <c r="L96"/>
  <c r="M96"/>
  <c r="N96"/>
  <c r="O96"/>
  <c r="K97"/>
  <c r="K98"/>
  <c r="K99" s="1"/>
  <c r="K101"/>
  <c r="G106"/>
  <c r="H106"/>
  <c r="I106"/>
  <c r="J106"/>
  <c r="G107"/>
  <c r="H107"/>
  <c r="I107"/>
  <c r="J107"/>
  <c r="G108"/>
  <c r="H108"/>
  <c r="I108"/>
  <c r="J108"/>
  <c r="K109"/>
  <c r="L110"/>
  <c r="G110" s="1"/>
  <c r="M110"/>
  <c r="H110" s="1"/>
  <c r="N110"/>
  <c r="I110" s="1"/>
  <c r="O110"/>
  <c r="J110" s="1"/>
  <c r="K111"/>
  <c r="K112" s="1"/>
  <c r="L111"/>
  <c r="G111" s="1"/>
  <c r="G155" s="1"/>
  <c r="M111"/>
  <c r="H111" s="1"/>
  <c r="H155" s="1"/>
  <c r="N111"/>
  <c r="I111" s="1"/>
  <c r="I155" s="1"/>
  <c r="O111"/>
  <c r="J111" s="1"/>
  <c r="J155" s="1"/>
  <c r="G113"/>
  <c r="G114" s="1"/>
  <c r="H113"/>
  <c r="H114" s="1"/>
  <c r="I113"/>
  <c r="I114" s="1"/>
  <c r="J113"/>
  <c r="J114" s="1"/>
  <c r="K114"/>
  <c r="G118"/>
  <c r="G119" s="1"/>
  <c r="K119"/>
  <c r="G120"/>
  <c r="G121" s="1"/>
  <c r="H120"/>
  <c r="H121" s="1"/>
  <c r="I120"/>
  <c r="J120"/>
  <c r="J121" s="1"/>
  <c r="K121"/>
  <c r="G122"/>
  <c r="G123" s="1"/>
  <c r="H122"/>
  <c r="H123" s="1"/>
  <c r="I122"/>
  <c r="I123" s="1"/>
  <c r="J122"/>
  <c r="J123" s="1"/>
  <c r="K123"/>
  <c r="G124"/>
  <c r="G125" s="1"/>
  <c r="H124"/>
  <c r="H125" s="1"/>
  <c r="I124"/>
  <c r="I125" s="1"/>
  <c r="J124"/>
  <c r="J125" s="1"/>
  <c r="K125"/>
  <c r="G126"/>
  <c r="G127" s="1"/>
  <c r="H126"/>
  <c r="H127" s="1"/>
  <c r="I126"/>
  <c r="I127" s="1"/>
  <c r="J126"/>
  <c r="J127" s="1"/>
  <c r="K127"/>
  <c r="G128"/>
  <c r="G129" s="1"/>
  <c r="H128"/>
  <c r="H129" s="1"/>
  <c r="I128"/>
  <c r="I129" s="1"/>
  <c r="J128"/>
  <c r="J129" s="1"/>
  <c r="K129"/>
  <c r="G130"/>
  <c r="H130"/>
  <c r="I130"/>
  <c r="J130"/>
  <c r="G131"/>
  <c r="H131"/>
  <c r="I131"/>
  <c r="I132" s="1"/>
  <c r="J131"/>
  <c r="K132"/>
  <c r="G133"/>
  <c r="H160"/>
  <c r="J160"/>
  <c r="K135"/>
  <c r="N70" l="1"/>
  <c r="I70" s="1"/>
  <c r="G57"/>
  <c r="G58" s="1"/>
  <c r="K20"/>
  <c r="L35" s="1"/>
  <c r="K37"/>
  <c r="G49"/>
  <c r="O19"/>
  <c r="M38"/>
  <c r="N63"/>
  <c r="O44"/>
  <c r="J44" s="1"/>
  <c r="N41"/>
  <c r="K71"/>
  <c r="O52"/>
  <c r="O23"/>
  <c r="J23" s="1"/>
  <c r="K18"/>
  <c r="H115"/>
  <c r="H116" s="1"/>
  <c r="H96"/>
  <c r="H157" s="1"/>
  <c r="M157" s="1"/>
  <c r="H89"/>
  <c r="H90" s="1"/>
  <c r="H95"/>
  <c r="H156" s="1"/>
  <c r="M156" s="1"/>
  <c r="H47"/>
  <c r="H48" s="1"/>
  <c r="F27" i="7"/>
  <c r="J100" i="6"/>
  <c r="J101" s="1"/>
  <c r="J98"/>
  <c r="J99" s="1"/>
  <c r="G35"/>
  <c r="J115"/>
  <c r="J116" s="1"/>
  <c r="J96"/>
  <c r="J157" s="1"/>
  <c r="O157" s="1"/>
  <c r="J95"/>
  <c r="J156" s="1"/>
  <c r="O156" s="1"/>
  <c r="J89"/>
  <c r="J90" s="1"/>
  <c r="I100"/>
  <c r="I101" s="1"/>
  <c r="I98"/>
  <c r="I99" s="1"/>
  <c r="I160"/>
  <c r="N160" s="1"/>
  <c r="I115"/>
  <c r="I116" s="1"/>
  <c r="I96"/>
  <c r="I157" s="1"/>
  <c r="N157" s="1"/>
  <c r="I95"/>
  <c r="I156" s="1"/>
  <c r="N156" s="1"/>
  <c r="I89"/>
  <c r="I146" s="1"/>
  <c r="N146" s="1"/>
  <c r="H100"/>
  <c r="H162" s="1"/>
  <c r="M162" s="1"/>
  <c r="H98"/>
  <c r="H99" s="1"/>
  <c r="G27" i="7"/>
  <c r="H80" i="6"/>
  <c r="H81" s="1"/>
  <c r="H69"/>
  <c r="H57"/>
  <c r="H58" s="1"/>
  <c r="H49"/>
  <c r="M160"/>
  <c r="G61"/>
  <c r="G62" s="1"/>
  <c r="I61"/>
  <c r="I152" s="1"/>
  <c r="N152" s="1"/>
  <c r="O160"/>
  <c r="J59"/>
  <c r="J60" s="1"/>
  <c r="I27" i="7"/>
  <c r="O154" i="6"/>
  <c r="J57"/>
  <c r="J58" s="1"/>
  <c r="J49"/>
  <c r="G146"/>
  <c r="L146" s="1"/>
  <c r="N154"/>
  <c r="H82"/>
  <c r="O10" i="7" s="1"/>
  <c r="I80" i="6"/>
  <c r="I81" s="1"/>
  <c r="I63"/>
  <c r="H59"/>
  <c r="H60" s="1"/>
  <c r="I57"/>
  <c r="I58" s="1"/>
  <c r="I49"/>
  <c r="J47"/>
  <c r="J48" s="1"/>
  <c r="J158"/>
  <c r="O158" s="1"/>
  <c r="K163"/>
  <c r="I162"/>
  <c r="N162" s="1"/>
  <c r="G116"/>
  <c r="G158"/>
  <c r="L158" s="1"/>
  <c r="G97"/>
  <c r="G156"/>
  <c r="L156" s="1"/>
  <c r="G162"/>
  <c r="L162" s="1"/>
  <c r="G101"/>
  <c r="G99"/>
  <c r="G161"/>
  <c r="L161" s="1"/>
  <c r="N64"/>
  <c r="I64" s="1"/>
  <c r="M13"/>
  <c r="H13" s="1"/>
  <c r="K15"/>
  <c r="H27" i="7"/>
  <c r="J162" i="6"/>
  <c r="O162" s="1"/>
  <c r="J146"/>
  <c r="O146" s="1"/>
  <c r="G87"/>
  <c r="M64"/>
  <c r="H64" s="1"/>
  <c r="G69"/>
  <c r="G47"/>
  <c r="G48" s="1"/>
  <c r="O16"/>
  <c r="J16" s="1"/>
  <c r="L19"/>
  <c r="G19" s="1"/>
  <c r="H135"/>
  <c r="N13"/>
  <c r="I13" s="1"/>
  <c r="G135"/>
  <c r="G82"/>
  <c r="G83" s="1"/>
  <c r="O70"/>
  <c r="J70" s="1"/>
  <c r="I69"/>
  <c r="M67"/>
  <c r="H67" s="1"/>
  <c r="L64"/>
  <c r="G64" s="1"/>
  <c r="G59"/>
  <c r="G60" s="1"/>
  <c r="O27"/>
  <c r="J27" s="1"/>
  <c r="O13"/>
  <c r="J13" s="1"/>
  <c r="G80"/>
  <c r="G81" s="1"/>
  <c r="J82"/>
  <c r="G112"/>
  <c r="H93"/>
  <c r="H94" s="1"/>
  <c r="N66"/>
  <c r="I66" s="1"/>
  <c r="H91"/>
  <c r="O66"/>
  <c r="J66" s="1"/>
  <c r="G132"/>
  <c r="H112"/>
  <c r="I109"/>
  <c r="G93"/>
  <c r="G94" s="1"/>
  <c r="M63"/>
  <c r="H63" s="1"/>
  <c r="J132"/>
  <c r="J93"/>
  <c r="J94" s="1"/>
  <c r="G91"/>
  <c r="G92" s="1"/>
  <c r="I112"/>
  <c r="I91"/>
  <c r="M72"/>
  <c r="H72" s="1"/>
  <c r="H73" s="1"/>
  <c r="J52"/>
  <c r="I82"/>
  <c r="J91"/>
  <c r="J80"/>
  <c r="J81" s="1"/>
  <c r="J69"/>
  <c r="H61"/>
  <c r="O19" i="7" s="1"/>
  <c r="I59" i="6"/>
  <c r="I47"/>
  <c r="I48" s="1"/>
  <c r="I41"/>
  <c r="H38"/>
  <c r="J19"/>
  <c r="J135"/>
  <c r="I135"/>
  <c r="J61"/>
  <c r="Q19" i="7" s="1"/>
  <c r="J109" i="6"/>
  <c r="J159"/>
  <c r="O159" s="1"/>
  <c r="H159"/>
  <c r="M159" s="1"/>
  <c r="H132"/>
  <c r="I159"/>
  <c r="N159" s="1"/>
  <c r="I121"/>
  <c r="G159"/>
  <c r="L159" s="1"/>
  <c r="J112"/>
  <c r="G109"/>
  <c r="I93"/>
  <c r="I94" s="1"/>
  <c r="O74"/>
  <c r="J74" s="1"/>
  <c r="L77"/>
  <c r="G77" s="1"/>
  <c r="K79"/>
  <c r="H109"/>
  <c r="O77"/>
  <c r="J77" s="1"/>
  <c r="N74"/>
  <c r="I74" s="1"/>
  <c r="G72"/>
  <c r="M70"/>
  <c r="K68"/>
  <c r="L67"/>
  <c r="G67" s="1"/>
  <c r="M66"/>
  <c r="H66" s="1"/>
  <c r="O64"/>
  <c r="J64" s="1"/>
  <c r="L63"/>
  <c r="G63" s="1"/>
  <c r="L44"/>
  <c r="G44" s="1"/>
  <c r="K45"/>
  <c r="K46" s="1"/>
  <c r="N30"/>
  <c r="I30" s="1"/>
  <c r="M44"/>
  <c r="H44" s="1"/>
  <c r="O30"/>
  <c r="J30" s="1"/>
  <c r="N44"/>
  <c r="I44" s="1"/>
  <c r="N20"/>
  <c r="I20" s="1"/>
  <c r="O20"/>
  <c r="J20" s="1"/>
  <c r="M35"/>
  <c r="H35" s="1"/>
  <c r="L20"/>
  <c r="G20" s="1"/>
  <c r="N35"/>
  <c r="I35" s="1"/>
  <c r="M20"/>
  <c r="H20" s="1"/>
  <c r="O35"/>
  <c r="J35" s="1"/>
  <c r="N77"/>
  <c r="I77" s="1"/>
  <c r="M74"/>
  <c r="H74" s="1"/>
  <c r="O72"/>
  <c r="J72" s="1"/>
  <c r="L70"/>
  <c r="G70" s="1"/>
  <c r="O67"/>
  <c r="J67" s="1"/>
  <c r="L66"/>
  <c r="G66" s="1"/>
  <c r="O63"/>
  <c r="J63" s="1"/>
  <c r="L30"/>
  <c r="G30" s="1"/>
  <c r="M77"/>
  <c r="H77" s="1"/>
  <c r="K75"/>
  <c r="L74"/>
  <c r="G74" s="1"/>
  <c r="N72"/>
  <c r="I72" s="1"/>
  <c r="N67"/>
  <c r="I67" s="1"/>
  <c r="M30"/>
  <c r="H30" s="1"/>
  <c r="N52"/>
  <c r="I52" s="1"/>
  <c r="M41"/>
  <c r="H41" s="1"/>
  <c r="L38"/>
  <c r="G38" s="1"/>
  <c r="N27"/>
  <c r="I27" s="1"/>
  <c r="M24"/>
  <c r="H24" s="1"/>
  <c r="N23"/>
  <c r="I23" s="1"/>
  <c r="K22"/>
  <c r="N19"/>
  <c r="I19" s="1"/>
  <c r="M16"/>
  <c r="H16" s="1"/>
  <c r="L13"/>
  <c r="G13" s="1"/>
  <c r="M52"/>
  <c r="H52" s="1"/>
  <c r="L41"/>
  <c r="G41" s="1"/>
  <c r="O38"/>
  <c r="J38" s="1"/>
  <c r="M27"/>
  <c r="H27" s="1"/>
  <c r="K25"/>
  <c r="L24"/>
  <c r="G24" s="1"/>
  <c r="M23"/>
  <c r="H23" s="1"/>
  <c r="M19"/>
  <c r="H19" s="1"/>
  <c r="L16"/>
  <c r="G16" s="1"/>
  <c r="L52"/>
  <c r="G52" s="1"/>
  <c r="O41"/>
  <c r="J41" s="1"/>
  <c r="N38"/>
  <c r="I38" s="1"/>
  <c r="K28"/>
  <c r="O28" s="1"/>
  <c r="J28" s="1"/>
  <c r="L27"/>
  <c r="G27" s="1"/>
  <c r="O24"/>
  <c r="J24" s="1"/>
  <c r="L23"/>
  <c r="G23" s="1"/>
  <c r="K12"/>
  <c r="N24"/>
  <c r="I24" s="1"/>
  <c r="N16"/>
  <c r="I16" s="1"/>
  <c r="I71" l="1"/>
  <c r="Q20" i="7"/>
  <c r="I161" i="6"/>
  <c r="N161" s="1"/>
  <c r="H146"/>
  <c r="M146" s="1"/>
  <c r="H161"/>
  <c r="M161" s="1"/>
  <c r="I90"/>
  <c r="H97"/>
  <c r="H101"/>
  <c r="H158"/>
  <c r="M158" s="1"/>
  <c r="I62"/>
  <c r="I158"/>
  <c r="N158" s="1"/>
  <c r="J97"/>
  <c r="I97"/>
  <c r="J161"/>
  <c r="O161" s="1"/>
  <c r="O17" i="7"/>
  <c r="P19"/>
  <c r="G152" i="6"/>
  <c r="L152" s="1"/>
  <c r="H150"/>
  <c r="M150" s="1"/>
  <c r="I65"/>
  <c r="Q17" i="7"/>
  <c r="H145" i="6"/>
  <c r="M145" s="1"/>
  <c r="P17" i="7"/>
  <c r="J150" i="6"/>
  <c r="O150" s="1"/>
  <c r="H83"/>
  <c r="J71"/>
  <c r="K165"/>
  <c r="L164"/>
  <c r="G71"/>
  <c r="G149"/>
  <c r="L149" s="1"/>
  <c r="G145"/>
  <c r="L145" s="1"/>
  <c r="G150"/>
  <c r="L150" s="1"/>
  <c r="H68"/>
  <c r="H92"/>
  <c r="O20" i="7"/>
  <c r="P18"/>
  <c r="I92" i="6"/>
  <c r="P20" i="7"/>
  <c r="H70" i="6"/>
  <c r="O18" i="7" s="1"/>
  <c r="Q18"/>
  <c r="O16"/>
  <c r="Q16"/>
  <c r="P16"/>
  <c r="O14"/>
  <c r="Q14"/>
  <c r="P14"/>
  <c r="I145" i="6"/>
  <c r="N145" s="1"/>
  <c r="P10" i="7"/>
  <c r="J83" i="6"/>
  <c r="Q10" i="7"/>
  <c r="J145" i="6"/>
  <c r="O145" s="1"/>
  <c r="J68"/>
  <c r="G153"/>
  <c r="L153" s="1"/>
  <c r="K76"/>
  <c r="L75"/>
  <c r="G75" s="1"/>
  <c r="G76" s="1"/>
  <c r="I83"/>
  <c r="J29"/>
  <c r="I151"/>
  <c r="N151" s="1"/>
  <c r="J147"/>
  <c r="O147" s="1"/>
  <c r="K29"/>
  <c r="H153"/>
  <c r="M153" s="1"/>
  <c r="M14"/>
  <c r="H14" s="1"/>
  <c r="H15" s="1"/>
  <c r="O39"/>
  <c r="J39" s="1"/>
  <c r="J40" s="1"/>
  <c r="I149"/>
  <c r="N149" s="1"/>
  <c r="H65"/>
  <c r="J62"/>
  <c r="J152"/>
  <c r="O152" s="1"/>
  <c r="I60"/>
  <c r="I150"/>
  <c r="N150" s="1"/>
  <c r="H149"/>
  <c r="M149" s="1"/>
  <c r="H62"/>
  <c r="H152"/>
  <c r="M152" s="1"/>
  <c r="J92"/>
  <c r="J153"/>
  <c r="O153" s="1"/>
  <c r="H147"/>
  <c r="M147" s="1"/>
  <c r="L31"/>
  <c r="G31" s="1"/>
  <c r="G32" s="1"/>
  <c r="N14"/>
  <c r="I14" s="1"/>
  <c r="I15" s="1"/>
  <c r="O25"/>
  <c r="J25" s="1"/>
  <c r="J26" s="1"/>
  <c r="M31"/>
  <c r="H31" s="1"/>
  <c r="H32" s="1"/>
  <c r="N21"/>
  <c r="I21" s="1"/>
  <c r="I22" s="1"/>
  <c r="O33"/>
  <c r="J33" s="1"/>
  <c r="J34" s="1"/>
  <c r="L33"/>
  <c r="G33" s="1"/>
  <c r="G34" s="1"/>
  <c r="O14"/>
  <c r="J14" s="1"/>
  <c r="J15" s="1"/>
  <c r="L21"/>
  <c r="G21" s="1"/>
  <c r="G22" s="1"/>
  <c r="L25"/>
  <c r="G25" s="1"/>
  <c r="G26" s="1"/>
  <c r="N31"/>
  <c r="I31" s="1"/>
  <c r="I32" s="1"/>
  <c r="I73"/>
  <c r="J65"/>
  <c r="J151"/>
  <c r="O151" s="1"/>
  <c r="J73"/>
  <c r="G65"/>
  <c r="G151"/>
  <c r="L151" s="1"/>
  <c r="I153"/>
  <c r="N153" s="1"/>
  <c r="H151"/>
  <c r="M151" s="1"/>
  <c r="O11"/>
  <c r="J11" s="1"/>
  <c r="L14"/>
  <c r="G14" s="1"/>
  <c r="G15" s="1"/>
  <c r="M17"/>
  <c r="H17" s="1"/>
  <c r="H18" s="1"/>
  <c r="M21"/>
  <c r="H21" s="1"/>
  <c r="H22" s="1"/>
  <c r="M25"/>
  <c r="H25" s="1"/>
  <c r="H26" s="1"/>
  <c r="N42"/>
  <c r="I42" s="1"/>
  <c r="I43" s="1"/>
  <c r="O45"/>
  <c r="J45" s="1"/>
  <c r="J46" s="1"/>
  <c r="M50"/>
  <c r="H50" s="1"/>
  <c r="H51" s="1"/>
  <c r="L53"/>
  <c r="G53" s="1"/>
  <c r="G54" s="1"/>
  <c r="O55"/>
  <c r="J55" s="1"/>
  <c r="J56" s="1"/>
  <c r="O42"/>
  <c r="J42" s="1"/>
  <c r="J43" s="1"/>
  <c r="L45"/>
  <c r="G45" s="1"/>
  <c r="G46" s="1"/>
  <c r="N50"/>
  <c r="I50" s="1"/>
  <c r="I51" s="1"/>
  <c r="M53"/>
  <c r="L55"/>
  <c r="G55" s="1"/>
  <c r="G56" s="1"/>
  <c r="L42"/>
  <c r="G42" s="1"/>
  <c r="G43" s="1"/>
  <c r="M45"/>
  <c r="H45" s="1"/>
  <c r="H46" s="1"/>
  <c r="O50"/>
  <c r="J50" s="1"/>
  <c r="J51" s="1"/>
  <c r="N53"/>
  <c r="M55"/>
  <c r="H55" s="1"/>
  <c r="H56" s="1"/>
  <c r="N33"/>
  <c r="I33" s="1"/>
  <c r="I34" s="1"/>
  <c r="O36"/>
  <c r="J36" s="1"/>
  <c r="J37" s="1"/>
  <c r="O31"/>
  <c r="J31" s="1"/>
  <c r="J32" s="1"/>
  <c r="L50"/>
  <c r="G50" s="1"/>
  <c r="G51" s="1"/>
  <c r="N28"/>
  <c r="I28" s="1"/>
  <c r="I29" s="1"/>
  <c r="N45"/>
  <c r="I45" s="1"/>
  <c r="I46" s="1"/>
  <c r="L39"/>
  <c r="G39" s="1"/>
  <c r="G40" s="1"/>
  <c r="M42"/>
  <c r="H42" s="1"/>
  <c r="H43" s="1"/>
  <c r="O53"/>
  <c r="N55"/>
  <c r="I55" s="1"/>
  <c r="I56" s="1"/>
  <c r="N25"/>
  <c r="I25" s="1"/>
  <c r="I26" s="1"/>
  <c r="L11"/>
  <c r="G11" s="1"/>
  <c r="G12" s="1"/>
  <c r="G147"/>
  <c r="L147" s="1"/>
  <c r="L36"/>
  <c r="G36" s="1"/>
  <c r="G37" s="1"/>
  <c r="O17"/>
  <c r="J17" s="1"/>
  <c r="J18" s="1"/>
  <c r="L28"/>
  <c r="G28" s="1"/>
  <c r="G29" s="1"/>
  <c r="M36"/>
  <c r="H36" s="1"/>
  <c r="H37" s="1"/>
  <c r="K26"/>
  <c r="M33"/>
  <c r="H33" s="1"/>
  <c r="H34" s="1"/>
  <c r="G68"/>
  <c r="J149"/>
  <c r="O149" s="1"/>
  <c r="N11"/>
  <c r="I11" s="1"/>
  <c r="L17"/>
  <c r="G17" s="1"/>
  <c r="G18" s="1"/>
  <c r="N36"/>
  <c r="I36" s="1"/>
  <c r="I37" s="1"/>
  <c r="N75"/>
  <c r="I75" s="1"/>
  <c r="I76" s="1"/>
  <c r="O78"/>
  <c r="J78" s="1"/>
  <c r="J79" s="1"/>
  <c r="O75"/>
  <c r="J75" s="1"/>
  <c r="L78"/>
  <c r="G78" s="1"/>
  <c r="G79" s="1"/>
  <c r="M84"/>
  <c r="H84" s="1"/>
  <c r="H85" s="1"/>
  <c r="L86"/>
  <c r="G86" s="1"/>
  <c r="G88" s="1"/>
  <c r="M78"/>
  <c r="N84"/>
  <c r="I84" s="1"/>
  <c r="I85" s="1"/>
  <c r="M86"/>
  <c r="H86" s="1"/>
  <c r="H88" s="1"/>
  <c r="M75"/>
  <c r="H75" s="1"/>
  <c r="N78"/>
  <c r="I78" s="1"/>
  <c r="O84"/>
  <c r="J84" s="1"/>
  <c r="J85" s="1"/>
  <c r="N86"/>
  <c r="I86" s="1"/>
  <c r="I88" s="1"/>
  <c r="L84"/>
  <c r="G84" s="1"/>
  <c r="G85" s="1"/>
  <c r="O86"/>
  <c r="G73"/>
  <c r="I68"/>
  <c r="M11"/>
  <c r="H11" s="1"/>
  <c r="H12" s="1"/>
  <c r="N17"/>
  <c r="I17" s="1"/>
  <c r="I18" s="1"/>
  <c r="M39"/>
  <c r="H39" s="1"/>
  <c r="H40" s="1"/>
  <c r="O21"/>
  <c r="J21" s="1"/>
  <c r="J22" s="1"/>
  <c r="N39"/>
  <c r="I39" s="1"/>
  <c r="I40" s="1"/>
  <c r="I147"/>
  <c r="N147" s="1"/>
  <c r="M28"/>
  <c r="H28" s="1"/>
  <c r="H29" s="1"/>
  <c r="G139" l="1"/>
  <c r="F29" i="7" s="1"/>
  <c r="F30" s="1"/>
  <c r="J86" i="6"/>
  <c r="J88" s="1"/>
  <c r="H71"/>
  <c r="J53"/>
  <c r="J148" s="1"/>
  <c r="O148" s="1"/>
  <c r="I53"/>
  <c r="I148" s="1"/>
  <c r="N148" s="1"/>
  <c r="I12"/>
  <c r="H53"/>
  <c r="O15" i="7" s="1"/>
  <c r="J12" i="6"/>
  <c r="P9" i="7"/>
  <c r="H78" i="6"/>
  <c r="O9" i="7" s="1"/>
  <c r="K139" i="6"/>
  <c r="I144"/>
  <c r="N144" s="1"/>
  <c r="G144"/>
  <c r="L144" s="1"/>
  <c r="H76"/>
  <c r="J76"/>
  <c r="G148"/>
  <c r="L148" s="1"/>
  <c r="I79"/>
  <c r="Q9" i="7" l="1"/>
  <c r="J144" i="6"/>
  <c r="O144" s="1"/>
  <c r="Q15" i="7"/>
  <c r="H54" i="6"/>
  <c r="I54"/>
  <c r="H148"/>
  <c r="M148" s="1"/>
  <c r="P15" i="7"/>
  <c r="H79" i="6"/>
  <c r="J54"/>
  <c r="H144"/>
  <c r="M144" s="1"/>
  <c r="J138" l="1"/>
  <c r="J139" s="1"/>
  <c r="I29" i="7" s="1"/>
  <c r="I30" s="1"/>
  <c r="H138" i="6"/>
  <c r="H139" s="1"/>
  <c r="G29" i="7" s="1"/>
  <c r="G30" s="1"/>
  <c r="I138" i="6"/>
  <c r="I139" s="1"/>
  <c r="H29" i="7" s="1"/>
  <c r="H30" s="1"/>
</calcChain>
</file>

<file path=xl/sharedStrings.xml><?xml version="1.0" encoding="utf-8"?>
<sst xmlns="http://schemas.openxmlformats.org/spreadsheetml/2006/main" count="1054" uniqueCount="221">
  <si>
    <t>Таблица № 1</t>
  </si>
  <si>
    <t xml:space="preserve"> Показатели объема государственных услуг (работ)</t>
  </si>
  <si>
    <t>Наименование государственной услуги (работы)</t>
  </si>
  <si>
    <t>Показатель объема государственной услуги (работы)</t>
  </si>
  <si>
    <t xml:space="preserve">Значения показателей объема государственных услуг (работ) </t>
  </si>
  <si>
    <t>наименование</t>
  </si>
  <si>
    <t>наименование единицы измерения</t>
  </si>
  <si>
    <t>I. Государственные услуги</t>
  </si>
  <si>
    <t>Таблица № 2</t>
  </si>
  <si>
    <t>Код расходов по БК</t>
  </si>
  <si>
    <t>глава</t>
  </si>
  <si>
    <t>раздел</t>
  </si>
  <si>
    <t>подраздел</t>
  </si>
  <si>
    <t xml:space="preserve">целевая статья </t>
  </si>
  <si>
    <t xml:space="preserve">вид расходов </t>
  </si>
  <si>
    <t>II. Работы</t>
  </si>
  <si>
    <t>Всего</t>
  </si>
  <si>
    <t>Таблица № 3</t>
  </si>
  <si>
    <t>Количество государственных учреждений Архангельской области, оказывающих государственные услуги (выполняющих работы), ед.</t>
  </si>
  <si>
    <t>бюджетные учреждения</t>
  </si>
  <si>
    <t>автономные учреждения</t>
  </si>
  <si>
    <t>казенные учреждения</t>
  </si>
  <si>
    <t>СПРАВОЧНО:                                                               Общее количество подведомственных государственных учреждений</t>
  </si>
  <si>
    <t xml:space="preserve">Руководитель                                                                                                                                                                                                                                                                                                                                                                                                                                                                                                                    (уполномоченное лицо)   </t>
  </si>
  <si>
    <t xml:space="preserve">                                                                                                                                                                                                                                                                                            ______________________________</t>
  </si>
  <si>
    <t xml:space="preserve">                                                                                                                                                                                                                                                                                           ______________________________</t>
  </si>
  <si>
    <t>(подпись)</t>
  </si>
  <si>
    <t>(расшифровка подписи)</t>
  </si>
  <si>
    <t>Исполнитель</t>
  </si>
  <si>
    <t>Главный распорядитель средств областного бюджета</t>
  </si>
  <si>
    <t>2020 год</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</si>
  <si>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</si>
  <si>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t>
  </si>
  <si>
    <t>(наименование органа исполнительной власти Архангельской области)</t>
  </si>
  <si>
    <t>(должность)</t>
  </si>
  <si>
    <t>телефон</t>
  </si>
  <si>
    <t>Сведения о количестве подведомственных государственных учреждений Архангельской области, оказывающих государственные услуги (выполняющих работы)</t>
  </si>
  <si>
    <t>2021 год</t>
  </si>
  <si>
    <t>2022 год</t>
  </si>
  <si>
    <t>* - показатель указывается в случае, если установленный в государственном задании показатель объема работы имеет количественное выражение</t>
  </si>
  <si>
    <t>II. Работы *</t>
  </si>
  <si>
    <t>Итого по государственной услуге</t>
  </si>
  <si>
    <t>Итого по работе</t>
  </si>
  <si>
    <t>2023 год</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</si>
  <si>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ситуациях/санитарно-авиационная эвакуация</t>
  </si>
  <si>
    <t>количество вызовов</t>
  </si>
  <si>
    <t>единица</t>
  </si>
  <si>
    <t>количество полетных часов</t>
  </si>
  <si>
    <t>условная единица</t>
  </si>
  <si>
    <t>Первичная медико-санитарная помощь, включенная в базовую программу обязательного медицинского страхования</t>
  </si>
  <si>
    <t xml:space="preserve">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лечения/венерология </t>
  </si>
  <si>
    <t xml:space="preserve">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лечения/психиатрия </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</si>
  <si>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лечения/психиатрия-наркология</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</si>
  <si>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лечения/фтизиатрия</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</si>
  <si>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лечения/ВИЧ-инфекция</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</si>
  <si>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лечения/генетика</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</si>
  <si>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лечения/психотерапия</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</si>
  <si>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лечения/профпатология</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</si>
  <si>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лечения/клиническая лабораторная диагностика</t>
  </si>
  <si>
    <t>Медицинское освидетельствование на состояние опьянения (алкогольного, наркотического или иного токсического)</t>
  </si>
  <si>
    <t>паллиатиная медицинская помощь в амбулаторных условиях</t>
  </si>
  <si>
    <t>число посещений</t>
  </si>
  <si>
    <t>число обращений</t>
  </si>
  <si>
    <t xml:space="preserve">количество исследований </t>
  </si>
  <si>
    <t>Специализированная (за исключением высокотехнологичной) медицинская помощь, не включенная в базовую программу ОМС/стационар/психиатрия</t>
  </si>
  <si>
    <t>Специализированная (за исключением высокотехнологичной) медицинская помощь, не включенная в базовую программу ОМС/стационар/психиатрия-наркология</t>
  </si>
  <si>
    <t>Специализированная (за исключением высокотехнологичной) медицинская помощь, не включенная в базовую программу ОМС/стационар/фтизиатрия</t>
  </si>
  <si>
    <t>Специализированная (за исключением высокотехнологичной) медицинская помощь, не включенная в базовую программу ОМС/стационар/венерология</t>
  </si>
  <si>
    <t>Специализированная (за исключением высокотехнологичной) медицинская помощь, не включенная в базовую программу ОМС/стационар/профпатология</t>
  </si>
  <si>
    <t>Специализированная (за исключением высокотехнологичной) медицинская помощь, не включенная в базовую программу ОМС/стационар/медицинская реабилитация</t>
  </si>
  <si>
    <t>случаев госпитализации</t>
  </si>
  <si>
    <t>койко-день</t>
  </si>
  <si>
    <t>количество койко-дней</t>
  </si>
  <si>
    <t>Специализированная (за исключением высокотехнологичной) медицинская помощь, не включенная в базовую программу ОМС/дневной стационар/психиатрия</t>
  </si>
  <si>
    <t>Специализированная (за исключением высокотехнологичной) медицинская помощь, не включенная в базовую программу ОМС/дневной стационар/психиатрия-наркология</t>
  </si>
  <si>
    <t>Специализированная (за исключением высокотехнологичной) медицинская помощь, не включенная в базовую программу ОМС/дневной стационар/фтизиатрия</t>
  </si>
  <si>
    <t>паллиатиная медицинская помощь/дневной стационар</t>
  </si>
  <si>
    <t>случаев лечения</t>
  </si>
  <si>
    <t>паллиатиная медицинская помощь/стационар/койки паллиативные</t>
  </si>
  <si>
    <t>паллиатиная медицинская помощь/стационар/койки сестринского ухода</t>
  </si>
  <si>
    <t>Санаторно-курортное лечение</t>
  </si>
  <si>
    <t xml:space="preserve">Заготовка, хранение, транспортировка и обеспечение безопасности донорской крови и ее компонентов </t>
  </si>
  <si>
    <t xml:space="preserve">Ведение информационных ресурсов и баз данных </t>
  </si>
  <si>
    <t>Обеспечение мероприятий, направленных на охрану и укрепление здоровья</t>
  </si>
  <si>
    <t>Обеспечение повседневной оперативной деятельности</t>
  </si>
  <si>
    <t xml:space="preserve">Работы по профилактике неинфекционных заболеваний, формированию здорового образа жизни и санитарно-гигиеническому просвещению населения </t>
  </si>
  <si>
    <t xml:space="preserve">Судебно-медицинская экспертиза </t>
  </si>
  <si>
    <t>Осуществление издательской деятельности</t>
  </si>
  <si>
    <t xml:space="preserve">Обеспечение специальными молочными продуктами детского питания </t>
  </si>
  <si>
    <t xml:space="preserve">Осуществление управления проектами, информационно-аналитической и организационно-методической деятельности, сбора и обработки статистической информации, проведение образовательных мероприятий </t>
  </si>
  <si>
    <t>Осуществление работ по обеспечению требований информационной безопасности</t>
  </si>
  <si>
    <t>Проведение санитарно-противоэпидемических (профилактических) мероприятий по недопущению распространения новой коронавирусной инфекции, вызванной 2019-NCO</t>
  </si>
  <si>
    <t>Обеспечение закупки авиационных работ в целях оказания медицинской помощи/национальный проект</t>
  </si>
  <si>
    <t>Обеспечение закупки авиационных работ в целях оказания медицинской помощи/областной бюджет</t>
  </si>
  <si>
    <t>число койко-дней</t>
  </si>
  <si>
    <t>количество литров</t>
  </si>
  <si>
    <t>количество мероприятий</t>
  </si>
  <si>
    <t>штук</t>
  </si>
  <si>
    <t>количество обслуживаемых ли</t>
  </si>
  <si>
    <t>Количество ИС обеспечения специальной деятельности</t>
  </si>
  <si>
    <t>объем тиража</t>
  </si>
  <si>
    <t>Объем работ</t>
  </si>
  <si>
    <t>летный час</t>
  </si>
  <si>
    <t>Количество работ</t>
  </si>
  <si>
    <t xml:space="preserve"> единица</t>
  </si>
  <si>
    <t>Количество информационных ресурсов и баз данных</t>
  </si>
  <si>
    <t>количество экспертиз</t>
  </si>
  <si>
    <t>количество единиц</t>
  </si>
  <si>
    <t>Количество выполненных работ</t>
  </si>
  <si>
    <t>Патолого-анатомическое вскрытие</t>
  </si>
  <si>
    <t>Количество вскрытий</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</si>
  <si>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 (за исключением санитарно-авиационной эвакуации)</t>
  </si>
  <si>
    <t>Специализированная (за исключением высокотехнологичной) медицинская помощь, включенная в базовую программу ОМС/стационар</t>
  </si>
  <si>
    <t>Х</t>
  </si>
  <si>
    <t>621</t>
  </si>
  <si>
    <t>01 700 70100</t>
  </si>
  <si>
    <t>0705</t>
  </si>
  <si>
    <t>0704</t>
  </si>
  <si>
    <t>01 Б37 70100</t>
  </si>
  <si>
    <t>0909</t>
  </si>
  <si>
    <t>611</t>
  </si>
  <si>
    <t>01 214 70100</t>
  </si>
  <si>
    <t>0906</t>
  </si>
  <si>
    <t>01 519 70100</t>
  </si>
  <si>
    <t>0905</t>
  </si>
  <si>
    <t>01 200 55540</t>
  </si>
  <si>
    <t>0904</t>
  </si>
  <si>
    <t>811</t>
  </si>
  <si>
    <t>01 200 70460</t>
  </si>
  <si>
    <t>01 200 70100</t>
  </si>
  <si>
    <t>01 621 70100</t>
  </si>
  <si>
    <t>0903</t>
  </si>
  <si>
    <t>01 205 70100</t>
  </si>
  <si>
    <t>0902</t>
  </si>
  <si>
    <t>01 103 70100</t>
  </si>
  <si>
    <t>0901</t>
  </si>
  <si>
    <t>Исп. Соляник Татьяна Александровна, 45-44-90</t>
  </si>
  <si>
    <t>М.А. Будейкина</t>
  </si>
  <si>
    <t>Заместитель министра</t>
  </si>
  <si>
    <t>Всего по работам и услугам</t>
  </si>
  <si>
    <t>0900</t>
  </si>
  <si>
    <t>062</t>
  </si>
  <si>
    <t>Обеспечение мероприятий, направленных на охрану и укрепление здоровья (количество мероприятий)</t>
  </si>
  <si>
    <t>Осуществление управления проектами, информационно-аналитической и организационно-методической деятельности, сбора и обработки статитстической информации, проведение образовательных мероприятий (количество единиц)</t>
  </si>
  <si>
    <t>Осуществление работ по обеспечению требований информационной безопасности (количество единиц)</t>
  </si>
  <si>
    <t>Работы по профилактике неинфекционных заболеваний, формированию здорового образа жизни и санитарно-гигиеническому просвещению населения (количество единиц)</t>
  </si>
  <si>
    <t>Осуществление издательской деятельности (количество экземпляров изданий)</t>
  </si>
  <si>
    <t>Ведение информационных ресурсов и баз данных (количество информационных ресурсов и баз данных)</t>
  </si>
  <si>
    <t>Заготовка, хранение, транспортировка и обеспечение безопасности донорской крови и ее компонентов (условная единица продукта, переработки (в перерасчете на 1 литр цельной крови))</t>
  </si>
  <si>
    <t>Обеспечение специальными молочными продуктами детского питания (количество обслуживаемых лиц)</t>
  </si>
  <si>
    <t>Обеспечение закупки авиационных работ в целях оказания медицинской помощи (количество полетных часов)</t>
  </si>
  <si>
    <t>Первичная медико-санитарная помощь, в части диагностики и лечения /Клиническая лабораторная диагностика (количество исследований)</t>
  </si>
  <si>
    <t>0700</t>
  </si>
  <si>
    <t>Реализация дополнительных профессиональных программ повышения квалификации</t>
  </si>
  <si>
    <t>Реализация основных профессиональных образовательных программ среднего профессионального образования</t>
  </si>
  <si>
    <t>Санаторно-курортное лечение (количество койко-дней)</t>
  </si>
  <si>
    <t>01 211 70100</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</si>
  <si>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ситуациях/Скорая, в том числе скорая специализированная, медицинская помощь (за исключением санитарно-авиационной эвакуации) (количество вызовов)</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</si>
  <si>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ситуациях/Скорая, в том числе скорая специализированная, медицинская помощь /санитарно-авиационная эвакуация (количество вызовов)</t>
  </si>
  <si>
    <t>Паллиативная медицинская помощь (количество койко-дней)</t>
  </si>
  <si>
    <t>01 215 70100</t>
  </si>
  <si>
    <t>Специализированная медицинская помощь (за исключением высокотехнологичной медицинской помощи), включенная в базовую программу обязательного медицинского страхования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</si>
  <si>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Профпатология (число случаев госпитализации)</t>
  </si>
  <si>
    <t>01 208 70100</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</si>
  <si>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Дерматовенерология (в части венерологии)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</si>
  <si>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Фтизиатрия (число случаев госпитализации)</t>
  </si>
  <si>
    <t>01 209 70100</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</si>
  <si>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Психиатрия-наркология (в части наркологии)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</si>
  <si>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 (число случаев госпитализации)</t>
  </si>
  <si>
    <t>Медицинская реабилитация при заболеваниях, не входящих в базовую программу обязательного медицинского страхования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</si>
  <si>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Фтизиатрия (число случаев лечения)</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</si>
  <si>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Психиатрия-наркология (число случаев лечения)</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</si>
  <si>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 (число случаев лечения)</t>
  </si>
  <si>
    <t>Специализированная медицинская помощь (за исключением высокотехнологичной медицинской помощи), не включенная в базовую программу ОМС в условиях дневного стационара, паллиативная помощь (случаи лечения)</t>
  </si>
  <si>
    <t>Паллиативная медицинская помощь в амбулаторных условиях (число  посещение при оказании паллиативной медицинской помощи на дому выездными патронажными бригадами паллиативной медицинской помощи)</t>
  </si>
  <si>
    <t>Паллиативная медицинская помощь (число посещений)</t>
  </si>
  <si>
    <t>Первичная медико-санитарная помощь, включенная в базовую программу обязательного медицинского страхования (число обращений)</t>
  </si>
  <si>
    <t>Первичная медико-санитарная помощь, включенная в базовую программу обязательного медицинского страхования (число посещений)</t>
  </si>
  <si>
    <t>01 207 70100</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</si>
  <si>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инфекционные болезни (в части синдрома приобретенного иммунодефицита (ВИЧ-инфекции))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</si>
  <si>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инфекционные болезни (в части синдрома приобретенного иммунодефицита (ВИЧ-инфекции))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</si>
  <si>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фтизиатрия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</si>
  <si>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психиатрия-наркология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</si>
  <si>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</si>
  <si>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дерматовенерология (в части венерологии) (число обращений)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</si>
  <si>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лечения/Профпатология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</si>
  <si>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Фтизиатрия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</si>
  <si>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психиатрия-наркология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</si>
  <si>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</si>
  <si>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дерматовенерология (в части венерологии) (число посещений)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</si>
  <si>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лечения/Психотерапия (число обращений)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</si>
  <si>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лечения/Психотерапия (число посещений)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</si>
  <si>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лечения/Генетика (число обращений)</t>
  </si>
  <si>
    <t>2020 год (текущий                финансовый                год)</t>
  </si>
  <si>
    <t>2023 год                  (2-й год           планового            периода)</t>
  </si>
  <si>
    <t>2022 год                     (1-й год                 планового               периода)</t>
  </si>
  <si>
    <t>2021 год (очередной        финансовый            год)</t>
  </si>
  <si>
    <t>вид расходов</t>
  </si>
  <si>
    <t>целевая статья</t>
  </si>
  <si>
    <t>подраз-дел</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</si>
  <si>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</si>
  <si>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</si>
  <si>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01 Б00 70100</t>
  </si>
  <si>
    <t>01 500 70100</t>
  </si>
  <si>
    <t>01 600 70100</t>
  </si>
  <si>
    <t>01 100 70100</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</si>
  <si>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</si>
  <si>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</si>
  <si>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Судебно-медицинская экспертиза (количество экспертиз)</t>
  </si>
  <si>
    <t>Судебно-медицинская экспертиза (количество вскрытий)</t>
  </si>
  <si>
    <t>министр</t>
  </si>
  <si>
    <t>А.А. Карпунов</t>
  </si>
  <si>
    <t>зам.начальника отдела</t>
  </si>
  <si>
    <t>Т.А. Соляник</t>
  </si>
  <si>
    <t>ведущий консультант</t>
  </si>
  <si>
    <t>Л.Н. Яковлева</t>
  </si>
  <si>
    <t>45-44-90</t>
  </si>
  <si>
    <t>45-44-97</t>
  </si>
  <si>
    <t>Высокотехнологичная медицинская помощь, не включенная в базовую программу обязательного медицинского страхования</t>
  </si>
  <si>
    <t>01 200 R4020</t>
  </si>
  <si>
    <t>министерство здравоохранения Архангельской области</t>
  </si>
</sst>
</file>

<file path=xl/styles.xml><?xml version="1.0" encoding="utf-8"?>
<styleSheet xmlns="http://schemas.openxmlformats.org/spreadsheetml/2006/main">
  <numFmts count="3">
    <numFmt numFmtId="164" formatCode="_-* #,##0.0_р_._-;\-* #,##0.0_р_._-;_-* &quot;-&quot;?_р_._-;_-@_-"/>
    <numFmt numFmtId="165" formatCode="#,##0.0"/>
    <numFmt numFmtId="166" formatCode="#,##0.00_ ;\-#,##0.00\ "/>
  </numFmts>
  <fonts count="31">
    <font>
      <sz val="10"/>
      <name val="Arial Cyr"/>
      <charset val="204"/>
    </font>
    <font>
      <sz val="10"/>
      <name val="Arial"/>
      <family val="2"/>
      <charset val="204"/>
    </font>
    <font>
      <sz val="11"/>
      <name val="Times New Roman"/>
      <family val="1"/>
      <charset val="204"/>
    </font>
    <font>
      <sz val="10"/>
      <name val="Times New Roman"/>
      <family val="1"/>
      <charset val="204"/>
    </font>
    <font>
      <sz val="12"/>
      <name val="Times New Roman"/>
      <family val="1"/>
      <charset val="204"/>
    </font>
    <font>
      <sz val="10"/>
      <color indexed="8"/>
      <name val="Times New Roman"/>
      <family val="1"/>
      <charset val="204"/>
    </font>
    <font>
      <sz val="10"/>
      <color indexed="10"/>
      <name val="Times New Roman"/>
      <family val="1"/>
      <charset val="204"/>
    </font>
    <font>
      <sz val="16"/>
      <name val="Times New Roman"/>
      <family val="1"/>
      <charset val="204"/>
    </font>
    <font>
      <sz val="14"/>
      <name val="Times New Roman"/>
      <family val="1"/>
      <charset val="204"/>
    </font>
    <font>
      <sz val="13"/>
      <name val="Times New Roman"/>
      <family val="1"/>
      <charset val="204"/>
    </font>
    <font>
      <sz val="16"/>
      <name val="Arial"/>
      <family val="2"/>
      <charset val="204"/>
    </font>
    <font>
      <sz val="10"/>
      <name val="Arial Cyr"/>
      <family val="2"/>
      <charset val="204"/>
    </font>
    <font>
      <sz val="13"/>
      <name val="Arial"/>
      <family val="2"/>
      <charset val="204"/>
    </font>
    <font>
      <sz val="13"/>
      <name val="Arial Cyr"/>
      <family val="2"/>
      <charset val="204"/>
    </font>
    <font>
      <b/>
      <sz val="13"/>
      <name val="Times New Roman"/>
      <family val="1"/>
      <charset val="204"/>
    </font>
    <font>
      <b/>
      <sz val="8"/>
      <name val="Times New Roman"/>
      <family val="1"/>
      <charset val="204"/>
    </font>
    <font>
      <sz val="8"/>
      <color indexed="8"/>
      <name val="Times New Roman"/>
      <family val="1"/>
      <charset val="204"/>
    </font>
    <font>
      <b/>
      <sz val="9"/>
      <color indexed="10"/>
      <name val="Times New Roman"/>
      <family val="1"/>
      <charset val="204"/>
    </font>
    <font>
      <b/>
      <sz val="14"/>
      <name val="Times New Roman"/>
      <family val="1"/>
      <charset val="204"/>
    </font>
    <font>
      <sz val="12"/>
      <color indexed="8"/>
      <name val="Times New Roman"/>
      <family val="1"/>
      <charset val="204"/>
    </font>
    <font>
      <sz val="14"/>
      <color indexed="8"/>
      <name val="Times New Roman"/>
      <family val="1"/>
      <charset val="204"/>
    </font>
    <font>
      <sz val="8"/>
      <name val="Arial Cyr"/>
      <family val="2"/>
      <charset val="204"/>
    </font>
    <font>
      <sz val="8"/>
      <name val="Arial"/>
      <family val="2"/>
      <charset val="204"/>
    </font>
    <font>
      <b/>
      <sz val="13"/>
      <name val="Arial"/>
      <family val="2"/>
      <charset val="204"/>
    </font>
    <font>
      <b/>
      <sz val="8"/>
      <name val="Arial"/>
      <family val="2"/>
      <charset val="204"/>
    </font>
    <font>
      <sz val="8"/>
      <color indexed="8"/>
      <name val="Arial"/>
      <family val="2"/>
      <charset val="204"/>
    </font>
    <font>
      <b/>
      <sz val="9"/>
      <color indexed="10"/>
      <name val="Arial"/>
      <family val="2"/>
      <charset val="204"/>
    </font>
    <font>
      <b/>
      <sz val="14"/>
      <name val="Arial"/>
      <family val="2"/>
      <charset val="204"/>
    </font>
    <font>
      <sz val="12"/>
      <color indexed="8"/>
      <name val="Arial"/>
      <family val="2"/>
      <charset val="204"/>
    </font>
    <font>
      <sz val="14"/>
      <color indexed="8"/>
      <name val="Arial"/>
      <family val="2"/>
      <charset val="204"/>
    </font>
    <font>
      <b/>
      <sz val="12"/>
      <name val="Times New Roman"/>
      <family val="1"/>
      <charset val="204"/>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s>
  <cellStyleXfs count="10">
    <xf numFmtId="0" fontId="0"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cellStyleXfs>
  <cellXfs count="187">
    <xf numFmtId="0" fontId="0" fillId="0" borderId="0" xfId="0"/>
    <xf numFmtId="0" fontId="3" fillId="0" borderId="0" xfId="1" applyFont="1" applyFill="1" applyProtection="1">
      <protection locked="0"/>
    </xf>
    <xf numFmtId="0" fontId="3" fillId="0" borderId="0" xfId="0" applyFont="1" applyAlignment="1"/>
    <xf numFmtId="0" fontId="5" fillId="0" borderId="0" xfId="1" applyNumberFormat="1" applyFont="1" applyFill="1" applyBorder="1" applyAlignment="1" applyProtection="1">
      <alignment horizontal="right" vertical="center" wrapText="1"/>
      <protection locked="0"/>
    </xf>
    <xf numFmtId="0" fontId="5" fillId="0" borderId="0" xfId="1" applyNumberFormat="1" applyFont="1" applyFill="1" applyBorder="1" applyAlignment="1" applyProtection="1">
      <alignment vertical="top"/>
      <protection locked="0"/>
    </xf>
    <xf numFmtId="0" fontId="3" fillId="0" borderId="6" xfId="1" applyNumberFormat="1" applyFont="1" applyFill="1" applyBorder="1" applyAlignment="1" applyProtection="1">
      <alignment horizontal="center" vertical="center" wrapText="1"/>
      <protection locked="0"/>
    </xf>
    <xf numFmtId="10" fontId="3" fillId="0" borderId="0" xfId="1" applyNumberFormat="1" applyFont="1" applyFill="1" applyBorder="1" applyAlignment="1" applyProtection="1">
      <alignment horizontal="center" vertical="center"/>
      <protection locked="0"/>
    </xf>
    <xf numFmtId="49" fontId="3" fillId="0" borderId="0" xfId="1" applyNumberFormat="1" applyFont="1" applyBorder="1" applyAlignment="1">
      <alignment horizontal="center" vertical="top"/>
    </xf>
    <xf numFmtId="0" fontId="3" fillId="0" borderId="0" xfId="1" applyFont="1" applyAlignment="1">
      <alignment vertical="top"/>
    </xf>
    <xf numFmtId="0" fontId="6" fillId="0" borderId="0" xfId="1" applyNumberFormat="1" applyFont="1" applyFill="1" applyBorder="1" applyAlignment="1" applyProtection="1">
      <alignment vertical="top"/>
      <protection locked="0"/>
    </xf>
    <xf numFmtId="49" fontId="3" fillId="0" borderId="6" xfId="1" applyNumberFormat="1" applyFont="1" applyFill="1" applyBorder="1" applyAlignment="1" applyProtection="1">
      <alignment horizontal="center" vertical="center"/>
      <protection locked="0"/>
    </xf>
    <xf numFmtId="164" fontId="3" fillId="0" borderId="6" xfId="1" applyNumberFormat="1" applyFont="1" applyFill="1" applyBorder="1" applyAlignment="1" applyProtection="1">
      <alignment horizontal="center" vertical="center"/>
      <protection locked="0"/>
    </xf>
    <xf numFmtId="164" fontId="3" fillId="0" borderId="7" xfId="1" applyNumberFormat="1" applyFont="1" applyFill="1" applyBorder="1" applyAlignment="1" applyProtection="1">
      <alignment horizontal="center" vertical="center"/>
      <protection locked="0"/>
    </xf>
    <xf numFmtId="164" fontId="3" fillId="0" borderId="10" xfId="1" applyNumberFormat="1" applyFont="1" applyFill="1" applyBorder="1" applyAlignment="1" applyProtection="1">
      <alignment horizontal="center" vertical="center"/>
      <protection locked="0"/>
    </xf>
    <xf numFmtId="0" fontId="5" fillId="0" borderId="0" xfId="1" applyNumberFormat="1" applyFont="1" applyFill="1" applyBorder="1" applyAlignment="1" applyProtection="1">
      <alignment horizontal="right" vertical="center"/>
      <protection locked="0"/>
    </xf>
    <xf numFmtId="0" fontId="3" fillId="0" borderId="9" xfId="1" applyNumberFormat="1" applyFont="1" applyFill="1" applyBorder="1" applyAlignment="1" applyProtection="1">
      <alignment horizontal="center" vertical="center" wrapText="1"/>
      <protection locked="0"/>
    </xf>
    <xf numFmtId="164" fontId="3" fillId="0" borderId="17" xfId="1" applyNumberFormat="1" applyFont="1" applyFill="1" applyBorder="1" applyAlignment="1" applyProtection="1">
      <alignment horizontal="center" vertical="center"/>
      <protection locked="0"/>
    </xf>
    <xf numFmtId="0" fontId="3" fillId="0" borderId="0" xfId="1" applyNumberFormat="1" applyFont="1" applyFill="1" applyBorder="1" applyAlignment="1" applyProtection="1">
      <alignment horizontal="center" vertical="top" wrapText="1"/>
      <protection locked="0"/>
    </xf>
    <xf numFmtId="0" fontId="3" fillId="0" borderId="0" xfId="1" applyFont="1" applyFill="1" applyAlignment="1" applyProtection="1">
      <alignment vertical="top"/>
      <protection locked="0"/>
    </xf>
    <xf numFmtId="0" fontId="3" fillId="0" borderId="0" xfId="0" applyFont="1" applyAlignment="1">
      <alignment vertical="top" wrapText="1"/>
    </xf>
    <xf numFmtId="0" fontId="3" fillId="0" borderId="0" xfId="1" applyFont="1" applyAlignment="1">
      <alignment horizontal="left" wrapText="1"/>
    </xf>
    <xf numFmtId="0" fontId="3" fillId="0" borderId="0" xfId="0" applyFont="1"/>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1" applyFont="1" applyBorder="1" applyAlignment="1">
      <alignment vertical="top"/>
    </xf>
    <xf numFmtId="0" fontId="3" fillId="0" borderId="15" xfId="1" applyNumberFormat="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center" vertical="top"/>
      <protection locked="0"/>
    </xf>
    <xf numFmtId="49" fontId="3" fillId="0" borderId="12" xfId="1" applyNumberFormat="1" applyFont="1" applyFill="1" applyBorder="1" applyAlignment="1" applyProtection="1">
      <alignment vertical="center"/>
      <protection locked="0"/>
    </xf>
    <xf numFmtId="0" fontId="3" fillId="0" borderId="0" xfId="0" applyFont="1" applyAlignment="1">
      <alignment vertical="top"/>
    </xf>
    <xf numFmtId="1" fontId="3" fillId="0" borderId="6" xfId="1" applyNumberFormat="1" applyFont="1" applyFill="1" applyBorder="1" applyAlignment="1" applyProtection="1">
      <alignment horizontal="center" vertical="center"/>
      <protection locked="0"/>
    </xf>
    <xf numFmtId="0" fontId="3" fillId="0" borderId="0" xfId="1" applyFont="1" applyAlignment="1">
      <alignment wrapText="1"/>
    </xf>
    <xf numFmtId="0" fontId="3" fillId="0" borderId="0" xfId="0" applyFont="1" applyBorder="1" applyAlignment="1">
      <alignment horizontal="center" vertical="top" wrapText="1"/>
    </xf>
    <xf numFmtId="0" fontId="3" fillId="0" borderId="0" xfId="1" applyFont="1" applyBorder="1" applyAlignment="1">
      <alignment horizontal="left" vertical="top" wrapText="1"/>
    </xf>
    <xf numFmtId="0" fontId="3" fillId="0" borderId="16" xfId="0" applyFont="1" applyBorder="1" applyAlignment="1"/>
    <xf numFmtId="0" fontId="5" fillId="0" borderId="16" xfId="1" applyNumberFormat="1" applyFont="1" applyFill="1" applyBorder="1" applyAlignment="1" applyProtection="1">
      <alignment horizontal="right" vertical="center" wrapText="1"/>
      <protection locked="0"/>
    </xf>
    <xf numFmtId="0" fontId="3" fillId="0" borderId="6" xfId="1"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1" applyFont="1" applyFill="1" applyBorder="1" applyAlignment="1" applyProtection="1">
      <alignment wrapText="1"/>
      <protection locked="0"/>
    </xf>
    <xf numFmtId="0" fontId="3" fillId="0" borderId="0" xfId="1" applyFont="1" applyBorder="1" applyAlignment="1">
      <alignment vertical="top" wrapText="1"/>
    </xf>
    <xf numFmtId="0" fontId="3" fillId="0" borderId="0" xfId="1" applyFont="1" applyBorder="1" applyAlignment="1">
      <alignment wrapText="1"/>
    </xf>
    <xf numFmtId="0" fontId="3" fillId="0" borderId="0" xfId="1" applyNumberFormat="1" applyFont="1" applyFill="1" applyBorder="1" applyAlignment="1" applyProtection="1">
      <alignment vertical="top"/>
      <protection locked="0"/>
    </xf>
    <xf numFmtId="0" fontId="3" fillId="0" borderId="6" xfId="1" applyNumberFormat="1" applyFont="1" applyFill="1" applyBorder="1" applyAlignment="1" applyProtection="1">
      <alignment horizontal="center" vertical="center" wrapText="1"/>
      <protection locked="0"/>
    </xf>
    <xf numFmtId="49" fontId="3" fillId="0" borderId="1" xfId="1" applyNumberFormat="1" applyFont="1" applyFill="1" applyBorder="1" applyAlignment="1" applyProtection="1">
      <alignment horizontal="left" vertical="center" wrapText="1"/>
      <protection locked="0"/>
    </xf>
    <xf numFmtId="49" fontId="3" fillId="0" borderId="6" xfId="1" applyNumberFormat="1" applyFont="1" applyFill="1" applyBorder="1" applyAlignment="1" applyProtection="1">
      <alignment horizontal="left" vertical="center" wrapText="1"/>
      <protection locked="0"/>
    </xf>
    <xf numFmtId="0" fontId="3" fillId="0" borderId="0" xfId="0" applyFont="1" applyAlignment="1">
      <alignment wrapText="1"/>
    </xf>
    <xf numFmtId="0" fontId="2" fillId="0" borderId="0" xfId="0" applyFont="1" applyBorder="1" applyAlignment="1">
      <alignment wrapText="1"/>
    </xf>
    <xf numFmtId="0" fontId="6" fillId="0" borderId="0" xfId="1" applyNumberFormat="1" applyFont="1" applyFill="1" applyBorder="1" applyAlignment="1" applyProtection="1">
      <alignment vertical="top" wrapText="1"/>
      <protection locked="0"/>
    </xf>
    <xf numFmtId="0" fontId="3" fillId="0" borderId="0" xfId="1" applyFont="1" applyFill="1" applyAlignment="1" applyProtection="1">
      <alignment wrapText="1"/>
      <protection locked="0"/>
    </xf>
    <xf numFmtId="49" fontId="3" fillId="0" borderId="0" xfId="1" applyNumberFormat="1" applyFont="1" applyBorder="1" applyAlignment="1">
      <alignment horizontal="center" vertical="top" wrapText="1"/>
    </xf>
    <xf numFmtId="49" fontId="3" fillId="0" borderId="7" xfId="1" applyNumberFormat="1" applyFont="1" applyFill="1" applyBorder="1" applyAlignment="1" applyProtection="1">
      <alignment horizontal="center" vertical="center" wrapText="1"/>
      <protection locked="0"/>
    </xf>
    <xf numFmtId="49" fontId="3" fillId="0" borderId="8" xfId="1" applyNumberFormat="1" applyFont="1" applyFill="1" applyBorder="1" applyAlignment="1" applyProtection="1">
      <alignment horizontal="center" vertical="center" wrapText="1"/>
      <protection locked="0"/>
    </xf>
    <xf numFmtId="49" fontId="3" fillId="0" borderId="10" xfId="1" applyNumberFormat="1" applyFont="1" applyFill="1" applyBorder="1" applyAlignment="1" applyProtection="1">
      <alignment horizontal="center" vertical="center" wrapText="1"/>
      <protection locked="0"/>
    </xf>
    <xf numFmtId="49" fontId="3" fillId="0" borderId="11" xfId="1" applyNumberFormat="1" applyFont="1" applyFill="1" applyBorder="1" applyAlignment="1" applyProtection="1">
      <alignment horizontal="center" vertical="center" wrapText="1"/>
      <protection locked="0"/>
    </xf>
    <xf numFmtId="49" fontId="3" fillId="0" borderId="6" xfId="1" applyNumberFormat="1" applyFont="1" applyFill="1" applyBorder="1" applyAlignment="1" applyProtection="1">
      <alignment horizontal="center" vertical="center" wrapText="1"/>
      <protection locked="0"/>
    </xf>
    <xf numFmtId="49" fontId="3" fillId="0" borderId="8" xfId="1" applyNumberFormat="1" applyFont="1" applyFill="1" applyBorder="1" applyAlignment="1" applyProtection="1">
      <alignment horizontal="left" vertical="center" wrapText="1"/>
      <protection locked="0"/>
    </xf>
    <xf numFmtId="166" fontId="3" fillId="0" borderId="6" xfId="1" applyNumberFormat="1" applyFont="1" applyFill="1" applyBorder="1" applyAlignment="1" applyProtection="1">
      <alignment horizontal="center" vertical="center"/>
      <protection locked="0"/>
    </xf>
    <xf numFmtId="164" fontId="3" fillId="0" borderId="5" xfId="1" applyNumberFormat="1" applyFont="1" applyFill="1" applyBorder="1" applyAlignment="1" applyProtection="1">
      <alignment horizontal="center" vertical="center"/>
      <protection locked="0"/>
    </xf>
    <xf numFmtId="0" fontId="3" fillId="0" borderId="6" xfId="1" applyNumberFormat="1"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0" xfId="0" applyFont="1" applyAlignment="1"/>
    <xf numFmtId="0" fontId="3" fillId="0" borderId="6" xfId="1" applyNumberFormat="1" applyFont="1" applyFill="1" applyBorder="1" applyAlignment="1" applyProtection="1">
      <alignment horizontal="center" vertical="center" wrapText="1"/>
      <protection locked="0"/>
    </xf>
    <xf numFmtId="0" fontId="3" fillId="0" borderId="0" xfId="1" applyFont="1" applyAlignment="1">
      <alignment horizontal="left" wrapText="1"/>
    </xf>
    <xf numFmtId="0" fontId="3" fillId="0" borderId="0" xfId="0" applyFont="1" applyAlignment="1">
      <alignment vertical="top" wrapText="1"/>
    </xf>
    <xf numFmtId="0" fontId="3" fillId="0" borderId="0" xfId="1" applyFont="1" applyProtection="1">
      <protection locked="0"/>
    </xf>
    <xf numFmtId="0" fontId="7" fillId="0" borderId="0" xfId="1" applyFont="1" applyProtection="1">
      <protection locked="0"/>
    </xf>
    <xf numFmtId="165" fontId="3" fillId="0" borderId="0" xfId="1" applyNumberFormat="1" applyFont="1" applyProtection="1">
      <protection locked="0"/>
    </xf>
    <xf numFmtId="165" fontId="8" fillId="0" borderId="0" xfId="1" applyNumberFormat="1" applyFont="1" applyProtection="1">
      <protection locked="0"/>
    </xf>
    <xf numFmtId="49" fontId="9" fillId="0" borderId="6" xfId="1" applyNumberFormat="1" applyFont="1" applyBorder="1" applyAlignment="1" applyProtection="1">
      <alignment horizontal="center" vertical="center"/>
      <protection locked="0"/>
    </xf>
    <xf numFmtId="0" fontId="1" fillId="0" borderId="0" xfId="9" applyAlignment="1" applyProtection="1">
      <alignment wrapText="1"/>
      <protection locked="0"/>
    </xf>
    <xf numFmtId="0" fontId="10" fillId="0" borderId="0" xfId="9" applyFont="1" applyAlignment="1" applyProtection="1">
      <alignment wrapText="1"/>
      <protection locked="0"/>
    </xf>
    <xf numFmtId="0" fontId="12" fillId="0" borderId="0" xfId="9" applyFont="1" applyAlignment="1" applyProtection="1">
      <alignment horizontal="left" wrapText="1"/>
      <protection locked="0"/>
    </xf>
    <xf numFmtId="0" fontId="10" fillId="0" borderId="0" xfId="9" applyFont="1" applyAlignment="1" applyProtection="1">
      <alignment horizontal="left" wrapText="1"/>
      <protection locked="0"/>
    </xf>
    <xf numFmtId="0" fontId="13" fillId="0" borderId="0" xfId="9" applyFont="1" applyAlignment="1">
      <alignment horizontal="left" wrapText="1"/>
    </xf>
    <xf numFmtId="165" fontId="13" fillId="0" borderId="0" xfId="9" applyNumberFormat="1" applyFont="1" applyAlignment="1">
      <alignment horizontal="center" wrapText="1"/>
    </xf>
    <xf numFmtId="49" fontId="13" fillId="0" borderId="0" xfId="9" applyNumberFormat="1" applyFont="1" applyAlignment="1">
      <alignment horizontal="left" wrapText="1"/>
    </xf>
    <xf numFmtId="165" fontId="14" fillId="0" borderId="0" xfId="1" applyNumberFormat="1" applyFont="1" applyBorder="1" applyAlignment="1" applyProtection="1">
      <alignment horizontal="center" vertical="center"/>
      <protection locked="0"/>
    </xf>
    <xf numFmtId="165" fontId="14" fillId="0" borderId="6" xfId="1" applyNumberFormat="1" applyFont="1" applyBorder="1" applyAlignment="1" applyProtection="1">
      <alignment horizontal="center" vertical="center"/>
      <protection locked="0"/>
    </xf>
    <xf numFmtId="165" fontId="9" fillId="0" borderId="0" xfId="1" applyNumberFormat="1" applyFont="1" applyBorder="1" applyAlignment="1" applyProtection="1">
      <alignment horizontal="center" vertical="center"/>
      <protection locked="0"/>
    </xf>
    <xf numFmtId="165" fontId="9" fillId="0" borderId="6" xfId="1" applyNumberFormat="1" applyFont="1" applyBorder="1" applyAlignment="1" applyProtection="1">
      <alignment horizontal="center" vertical="center"/>
      <protection locked="0"/>
    </xf>
    <xf numFmtId="49" fontId="9" fillId="0" borderId="6" xfId="1" applyNumberFormat="1" applyFont="1" applyBorder="1" applyAlignment="1" applyProtection="1">
      <alignment horizontal="center" vertical="center" wrapText="1"/>
      <protection locked="0"/>
    </xf>
    <xf numFmtId="4" fontId="0" fillId="0" borderId="0" xfId="0" applyNumberFormat="1"/>
    <xf numFmtId="49" fontId="9" fillId="0" borderId="3" xfId="0" applyNumberFormat="1" applyFont="1" applyBorder="1" applyAlignment="1">
      <alignment vertical="center"/>
    </xf>
    <xf numFmtId="49" fontId="9" fillId="0" borderId="4" xfId="0" applyNumberFormat="1" applyFont="1" applyBorder="1" applyAlignment="1">
      <alignment vertical="center"/>
    </xf>
    <xf numFmtId="49" fontId="9" fillId="0" borderId="2" xfId="1" applyNumberFormat="1" applyFont="1" applyBorder="1" applyAlignment="1" applyProtection="1">
      <alignment vertical="center"/>
      <protection locked="0"/>
    </xf>
    <xf numFmtId="49" fontId="14" fillId="0" borderId="6" xfId="1" applyNumberFormat="1" applyFont="1" applyBorder="1" applyAlignment="1" applyProtection="1">
      <alignment horizontal="center" vertical="center"/>
      <protection locked="0"/>
    </xf>
    <xf numFmtId="2" fontId="9" fillId="0" borderId="6" xfId="1" applyNumberFormat="1" applyFont="1" applyBorder="1" applyAlignment="1" applyProtection="1">
      <alignment horizontal="center" vertical="center" wrapText="1"/>
      <protection locked="0"/>
    </xf>
    <xf numFmtId="49" fontId="9" fillId="0" borderId="3" xfId="1" applyNumberFormat="1" applyFont="1" applyBorder="1" applyAlignment="1" applyProtection="1">
      <alignment vertical="center"/>
      <protection locked="0"/>
    </xf>
    <xf numFmtId="49" fontId="9" fillId="0" borderId="4" xfId="1" applyNumberFormat="1" applyFont="1" applyBorder="1" applyAlignment="1" applyProtection="1">
      <alignment vertical="center"/>
      <protection locked="0"/>
    </xf>
    <xf numFmtId="0" fontId="15" fillId="0" borderId="0" xfId="1" applyFont="1" applyBorder="1" applyAlignment="1" applyProtection="1">
      <alignment horizontal="center" vertical="center" wrapText="1"/>
      <protection locked="0"/>
    </xf>
    <xf numFmtId="0" fontId="15" fillId="0" borderId="6" xfId="1" applyFont="1" applyBorder="1" applyAlignment="1" applyProtection="1">
      <alignment horizontal="center" vertical="center" wrapText="1"/>
      <protection locked="0"/>
    </xf>
    <xf numFmtId="0" fontId="9" fillId="0" borderId="0"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6" fillId="0" borderId="0" xfId="1" applyFont="1" applyAlignment="1" applyProtection="1">
      <alignment vertical="top"/>
      <protection locked="0"/>
    </xf>
    <xf numFmtId="0" fontId="17" fillId="0" borderId="0" xfId="1" applyFont="1" applyAlignment="1" applyProtection="1">
      <alignment vertical="top"/>
      <protection locked="0"/>
    </xf>
    <xf numFmtId="0" fontId="18" fillId="0" borderId="0" xfId="1" applyFont="1" applyAlignment="1" applyProtection="1">
      <alignment horizontal="center" vertical="center" wrapText="1"/>
      <protection locked="0"/>
    </xf>
    <xf numFmtId="0" fontId="19" fillId="0" borderId="0" xfId="1" applyFont="1" applyAlignment="1" applyProtection="1">
      <alignment horizontal="right" vertical="center" wrapText="1"/>
      <protection locked="0"/>
    </xf>
    <xf numFmtId="0" fontId="20" fillId="0" borderId="0" xfId="1" applyFont="1" applyAlignment="1" applyProtection="1">
      <alignment horizontal="right" vertical="center" wrapText="1"/>
      <protection locked="0"/>
    </xf>
    <xf numFmtId="0" fontId="16" fillId="0" borderId="0" xfId="1" applyFont="1" applyAlignment="1" applyProtection="1">
      <alignment horizontal="center" vertical="top"/>
      <protection locked="0"/>
    </xf>
    <xf numFmtId="165" fontId="3" fillId="0" borderId="0" xfId="1" applyNumberFormat="1" applyFont="1" applyAlignment="1">
      <alignment vertical="top"/>
    </xf>
    <xf numFmtId="0" fontId="1" fillId="0" borderId="0" xfId="1" applyProtection="1">
      <protection locked="0"/>
    </xf>
    <xf numFmtId="0" fontId="21" fillId="0" borderId="0" xfId="1" applyFont="1" applyAlignment="1">
      <alignment vertical="top"/>
    </xf>
    <xf numFmtId="49" fontId="21" fillId="0" borderId="0" xfId="1" applyNumberFormat="1" applyFont="1" applyAlignment="1">
      <alignment horizontal="center" vertical="top"/>
    </xf>
    <xf numFmtId="49" fontId="13" fillId="0" borderId="0" xfId="9" applyNumberFormat="1" applyFont="1" applyAlignment="1">
      <alignment horizontal="left"/>
    </xf>
    <xf numFmtId="10" fontId="22" fillId="0" borderId="0" xfId="1" applyNumberFormat="1" applyFont="1" applyAlignment="1" applyProtection="1">
      <alignment horizontal="center" vertical="center"/>
      <protection locked="0"/>
    </xf>
    <xf numFmtId="164" fontId="23" fillId="0" borderId="6" xfId="1" applyNumberFormat="1" applyFont="1" applyBorder="1" applyAlignment="1" applyProtection="1">
      <alignment horizontal="center" vertical="center"/>
      <protection locked="0"/>
    </xf>
    <xf numFmtId="164" fontId="12" fillId="0" borderId="6" xfId="1" applyNumberFormat="1" applyFont="1" applyBorder="1" applyAlignment="1" applyProtection="1">
      <alignment horizontal="center" vertical="center"/>
      <protection locked="0"/>
    </xf>
    <xf numFmtId="49" fontId="12" fillId="0" borderId="6" xfId="1" applyNumberFormat="1" applyFont="1" applyBorder="1" applyAlignment="1" applyProtection="1">
      <alignment horizontal="center" vertical="center"/>
      <protection locked="0"/>
    </xf>
    <xf numFmtId="49" fontId="12" fillId="0" borderId="18" xfId="1" applyNumberFormat="1" applyFont="1" applyBorder="1" applyAlignment="1" applyProtection="1">
      <alignment horizontal="center" vertical="center"/>
      <protection locked="0"/>
    </xf>
    <xf numFmtId="0" fontId="24" fillId="0" borderId="6" xfId="1" applyFont="1" applyBorder="1" applyAlignment="1" applyProtection="1">
      <alignment horizontal="center" vertical="center" wrapText="1"/>
      <protection locked="0"/>
    </xf>
    <xf numFmtId="0" fontId="12" fillId="0" borderId="6" xfId="1" applyFont="1" applyBorder="1" applyAlignment="1" applyProtection="1">
      <alignment horizontal="center" vertical="center" wrapText="1"/>
      <protection locked="0"/>
    </xf>
    <xf numFmtId="0" fontId="25" fillId="0" borderId="0" xfId="1" applyFont="1" applyAlignment="1" applyProtection="1">
      <alignment vertical="top"/>
      <protection locked="0"/>
    </xf>
    <xf numFmtId="0" fontId="26" fillId="0" borderId="0" xfId="1" applyFont="1" applyAlignment="1" applyProtection="1">
      <alignment vertical="top"/>
      <protection locked="0"/>
    </xf>
    <xf numFmtId="0" fontId="27" fillId="0" borderId="0" xfId="1" applyFont="1" applyAlignment="1" applyProtection="1">
      <alignment horizontal="center" vertical="top" wrapText="1"/>
      <protection locked="0"/>
    </xf>
    <xf numFmtId="0" fontId="28" fillId="0" borderId="0" xfId="1" applyFont="1" applyAlignment="1" applyProtection="1">
      <alignment horizontal="right" vertical="center" wrapText="1"/>
      <protection locked="0"/>
    </xf>
    <xf numFmtId="0" fontId="29" fillId="0" borderId="0" xfId="1" applyFont="1" applyAlignment="1" applyProtection="1">
      <alignment horizontal="right" vertical="center" wrapText="1"/>
      <protection locked="0"/>
    </xf>
    <xf numFmtId="0" fontId="25" fillId="0" borderId="0" xfId="1" applyFont="1" applyAlignment="1" applyProtection="1">
      <alignment horizontal="center" vertical="top"/>
      <protection locked="0"/>
    </xf>
    <xf numFmtId="165" fontId="3" fillId="0" borderId="0" xfId="0" applyNumberFormat="1" applyFont="1" applyAlignment="1"/>
    <xf numFmtId="165" fontId="3" fillId="0" borderId="0" xfId="1" applyNumberFormat="1" applyFont="1" applyFill="1" applyProtection="1">
      <protection locked="0"/>
    </xf>
    <xf numFmtId="2" fontId="9" fillId="0" borderId="12" xfId="1" applyNumberFormat="1" applyFont="1" applyBorder="1" applyAlignment="1" applyProtection="1">
      <alignment horizontal="center" vertical="center" wrapText="1"/>
      <protection locked="0"/>
    </xf>
    <xf numFmtId="49" fontId="9" fillId="0" borderId="6" xfId="1" applyNumberFormat="1" applyFont="1" applyFill="1" applyBorder="1" applyAlignment="1" applyProtection="1">
      <alignment horizontal="center" vertical="center"/>
      <protection locked="0"/>
    </xf>
    <xf numFmtId="49" fontId="9" fillId="0" borderId="6" xfId="1" applyNumberFormat="1" applyFont="1" applyFill="1" applyBorder="1" applyAlignment="1" applyProtection="1">
      <alignment horizontal="center" vertical="center" wrapText="1"/>
      <protection locked="0"/>
    </xf>
    <xf numFmtId="164" fontId="3" fillId="0" borderId="1" xfId="1" applyNumberFormat="1" applyFont="1" applyFill="1" applyBorder="1" applyAlignment="1" applyProtection="1">
      <alignment horizontal="center" vertical="center"/>
      <protection locked="0"/>
    </xf>
    <xf numFmtId="49" fontId="3" fillId="0" borderId="6" xfId="9" applyNumberFormat="1" applyFont="1" applyBorder="1" applyAlignment="1" applyProtection="1">
      <alignment horizontal="left" vertical="center" wrapText="1"/>
      <protection locked="0"/>
    </xf>
    <xf numFmtId="49" fontId="3" fillId="0" borderId="1" xfId="1" applyNumberFormat="1" applyFont="1" applyFill="1" applyBorder="1" applyAlignment="1" applyProtection="1">
      <alignment horizontal="left" vertical="center" wrapText="1"/>
      <protection locked="0"/>
    </xf>
    <xf numFmtId="165" fontId="3" fillId="0" borderId="6" xfId="1" applyNumberFormat="1" applyFont="1" applyFill="1" applyBorder="1" applyAlignment="1" applyProtection="1">
      <alignment vertical="center" wrapText="1"/>
      <protection locked="0"/>
    </xf>
    <xf numFmtId="165" fontId="3" fillId="0" borderId="6" xfId="1" applyNumberFormat="1" applyFont="1" applyFill="1" applyBorder="1" applyAlignment="1" applyProtection="1">
      <alignment vertical="center"/>
      <protection locked="0"/>
    </xf>
    <xf numFmtId="2" fontId="3" fillId="0" borderId="1" xfId="1" applyNumberFormat="1" applyFont="1" applyFill="1" applyBorder="1" applyAlignment="1" applyProtection="1">
      <alignment horizontal="left" vertical="center" wrapText="1"/>
      <protection locked="0"/>
    </xf>
    <xf numFmtId="0" fontId="4" fillId="0" borderId="16" xfId="0" applyFont="1" applyBorder="1" applyAlignment="1"/>
    <xf numFmtId="0" fontId="4" fillId="0" borderId="0" xfId="1" applyNumberFormat="1" applyFont="1" applyFill="1" applyBorder="1" applyAlignment="1" applyProtection="1">
      <alignment horizontal="center" vertical="center"/>
      <protection locked="0"/>
    </xf>
    <xf numFmtId="0" fontId="3" fillId="0" borderId="6" xfId="1" applyNumberFormat="1" applyFont="1" applyFill="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0" xfId="1" applyFont="1" applyBorder="1" applyAlignment="1">
      <alignment horizontal="left" vertical="center"/>
    </xf>
    <xf numFmtId="0" fontId="3" fillId="0" borderId="0" xfId="1" applyFont="1" applyAlignment="1">
      <alignment horizontal="left" wrapText="1"/>
    </xf>
    <xf numFmtId="49" fontId="3" fillId="0" borderId="1" xfId="1" applyNumberFormat="1" applyFont="1" applyFill="1" applyBorder="1" applyAlignment="1" applyProtection="1">
      <alignment horizontal="left" vertical="center" wrapText="1"/>
      <protection locked="0"/>
    </xf>
    <xf numFmtId="49" fontId="3" fillId="0" borderId="9" xfId="1" applyNumberFormat="1" applyFont="1" applyFill="1" applyBorder="1" applyAlignment="1" applyProtection="1">
      <alignment horizontal="left" vertical="center" wrapText="1"/>
      <protection locked="0"/>
    </xf>
    <xf numFmtId="0" fontId="0" fillId="0" borderId="5" xfId="0" applyBorder="1" applyAlignment="1">
      <alignment horizontal="left" vertical="center" wrapText="1"/>
    </xf>
    <xf numFmtId="49" fontId="9" fillId="0" borderId="12" xfId="1" applyNumberFormat="1" applyFont="1" applyBorder="1" applyAlignment="1" applyProtection="1">
      <alignment horizontal="center" vertical="center" wrapText="1"/>
      <protection locked="0"/>
    </xf>
    <xf numFmtId="49" fontId="9" fillId="0" borderId="14" xfId="1" applyNumberFormat="1" applyFont="1" applyBorder="1" applyAlignment="1" applyProtection="1">
      <alignment horizontal="center" vertical="center" wrapText="1"/>
      <protection locked="0"/>
    </xf>
    <xf numFmtId="49" fontId="9" fillId="0" borderId="1" xfId="1" applyNumberFormat="1" applyFont="1" applyFill="1" applyBorder="1" applyAlignment="1" applyProtection="1">
      <alignment horizontal="center" vertical="center" wrapText="1"/>
      <protection locked="0"/>
    </xf>
    <xf numFmtId="49" fontId="9" fillId="0" borderId="5" xfId="1" applyNumberFormat="1" applyFont="1" applyFill="1" applyBorder="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2" fontId="9" fillId="0" borderId="1" xfId="1" applyNumberFormat="1" applyFont="1" applyBorder="1" applyAlignment="1" applyProtection="1">
      <alignment horizontal="center" vertical="center" wrapText="1"/>
      <protection locked="0"/>
    </xf>
    <xf numFmtId="2" fontId="9" fillId="0" borderId="9" xfId="1" applyNumberFormat="1" applyFont="1" applyBorder="1" applyAlignment="1" applyProtection="1">
      <alignment horizontal="center" vertical="center" wrapText="1"/>
      <protection locked="0"/>
    </xf>
    <xf numFmtId="2" fontId="9" fillId="0" borderId="5" xfId="1" applyNumberFormat="1" applyFont="1" applyBorder="1" applyAlignment="1" applyProtection="1">
      <alignment horizontal="center" vertical="center" wrapText="1"/>
      <protection locked="0"/>
    </xf>
    <xf numFmtId="2" fontId="9" fillId="0" borderId="12" xfId="1" applyNumberFormat="1" applyFont="1" applyBorder="1" applyAlignment="1" applyProtection="1">
      <alignment horizontal="center" vertical="center" wrapText="1"/>
      <protection locked="0"/>
    </xf>
    <xf numFmtId="2" fontId="9" fillId="0" borderId="14" xfId="1" applyNumberFormat="1" applyFont="1" applyBorder="1" applyAlignment="1" applyProtection="1">
      <alignment horizontal="center" vertical="center" wrapText="1"/>
      <protection locked="0"/>
    </xf>
    <xf numFmtId="49" fontId="9" fillId="0" borderId="9" xfId="1" applyNumberFormat="1" applyFont="1" applyFill="1" applyBorder="1" applyAlignment="1" applyProtection="1">
      <alignment horizontal="center" vertical="center" wrapText="1"/>
      <protection locked="0"/>
    </xf>
    <xf numFmtId="49" fontId="9" fillId="0" borderId="1" xfId="1" applyNumberFormat="1" applyFont="1" applyBorder="1" applyAlignment="1" applyProtection="1">
      <alignment horizontal="center" vertical="center" wrapText="1"/>
      <protection locked="0"/>
    </xf>
    <xf numFmtId="49" fontId="9" fillId="0" borderId="5" xfId="1" applyNumberFormat="1" applyFont="1" applyBorder="1" applyAlignment="1" applyProtection="1">
      <alignment horizontal="center" vertical="center" wrapText="1"/>
      <protection locked="0"/>
    </xf>
    <xf numFmtId="49" fontId="9" fillId="0" borderId="6" xfId="1" applyNumberFormat="1" applyFont="1" applyBorder="1" applyAlignment="1" applyProtection="1">
      <alignment horizontal="left" vertical="center" indent="1"/>
      <protection locked="0"/>
    </xf>
    <xf numFmtId="49" fontId="9" fillId="0" borderId="6" xfId="0" applyNumberFormat="1" applyFont="1" applyBorder="1" applyAlignment="1">
      <alignment horizontal="left" vertical="center" indent="1"/>
    </xf>
    <xf numFmtId="49" fontId="9" fillId="0" borderId="1" xfId="1"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49" fontId="14" fillId="0" borderId="6" xfId="0" applyNumberFormat="1" applyFont="1" applyBorder="1" applyAlignment="1">
      <alignment horizontal="left" vertical="center" indent="1"/>
    </xf>
    <xf numFmtId="0" fontId="11" fillId="0" borderId="0" xfId="9" applyFont="1" applyAlignment="1">
      <alignment horizontal="left" wrapText="1"/>
    </xf>
    <xf numFmtId="49" fontId="9" fillId="0" borderId="6" xfId="1" applyNumberFormat="1" applyFont="1" applyFill="1" applyBorder="1" applyAlignment="1" applyProtection="1">
      <alignment horizontal="center" vertical="center" wrapText="1"/>
      <protection locked="0"/>
    </xf>
    <xf numFmtId="0" fontId="4" fillId="0" borderId="0" xfId="1" applyNumberFormat="1" applyFont="1" applyFill="1" applyBorder="1" applyAlignment="1" applyProtection="1">
      <alignment horizontal="center" vertical="top" wrapText="1"/>
      <protection locked="0"/>
    </xf>
    <xf numFmtId="0" fontId="4" fillId="0" borderId="0" xfId="0" applyFont="1" applyBorder="1" applyAlignment="1">
      <alignment horizontal="center" vertical="top" wrapText="1"/>
    </xf>
    <xf numFmtId="0" fontId="3" fillId="0" borderId="2" xfId="1" applyNumberFormat="1" applyFont="1" applyFill="1" applyBorder="1" applyAlignment="1" applyProtection="1">
      <alignment horizontal="center" vertical="center" wrapText="1"/>
      <protection locked="0"/>
    </xf>
    <xf numFmtId="0" fontId="3" fillId="0" borderId="4" xfId="1" applyNumberFormat="1" applyFont="1" applyFill="1" applyBorder="1" applyAlignment="1" applyProtection="1">
      <alignment horizontal="center" vertical="center" wrapText="1"/>
      <protection locked="0"/>
    </xf>
    <xf numFmtId="0" fontId="3" fillId="0" borderId="3" xfId="1"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165" fontId="3" fillId="0" borderId="6" xfId="1" applyNumberFormat="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11" fillId="0" borderId="0" xfId="1" applyFont="1" applyAlignment="1">
      <alignment horizontal="left" wrapText="1"/>
    </xf>
    <xf numFmtId="0" fontId="27" fillId="0" borderId="0" xfId="1" applyFont="1" applyAlignment="1" applyProtection="1">
      <alignment horizontal="center" vertical="center" wrapText="1"/>
      <protection locked="0"/>
    </xf>
    <xf numFmtId="0" fontId="12" fillId="0" borderId="6" xfId="1" applyFont="1" applyBorder="1" applyAlignment="1" applyProtection="1">
      <alignment horizontal="center" vertical="center" wrapText="1"/>
      <protection locked="0"/>
    </xf>
    <xf numFmtId="165" fontId="23" fillId="0" borderId="6" xfId="1" applyNumberFormat="1" applyFont="1" applyBorder="1" applyAlignment="1" applyProtection="1">
      <alignment horizontal="center" vertical="center"/>
      <protection locked="0"/>
    </xf>
    <xf numFmtId="0" fontId="3" fillId="0" borderId="13" xfId="0" applyFont="1" applyBorder="1" applyAlignment="1">
      <alignment horizontal="center" vertical="top" wrapText="1"/>
    </xf>
    <xf numFmtId="0" fontId="3" fillId="0" borderId="16" xfId="0"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xf>
    <xf numFmtId="0" fontId="3" fillId="0" borderId="1" xfId="1" applyNumberFormat="1" applyFont="1" applyFill="1" applyBorder="1" applyAlignment="1" applyProtection="1">
      <alignment horizontal="center" vertical="center" wrapText="1"/>
      <protection locked="0"/>
    </xf>
    <xf numFmtId="0" fontId="3" fillId="0" borderId="9" xfId="1" applyNumberFormat="1" applyFont="1" applyFill="1" applyBorder="1" applyAlignment="1" applyProtection="1">
      <alignment horizontal="center" vertical="center" wrapText="1"/>
      <protection locked="0"/>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1" applyNumberFormat="1" applyFont="1" applyFill="1" applyBorder="1" applyAlignment="1" applyProtection="1">
      <alignment horizontal="center" vertical="top"/>
      <protection locked="0"/>
    </xf>
    <xf numFmtId="0" fontId="3" fillId="0" borderId="13" xfId="1" applyNumberFormat="1" applyFont="1" applyFill="1" applyBorder="1" applyAlignment="1" applyProtection="1">
      <alignment horizontal="center" vertical="top"/>
      <protection locked="0"/>
    </xf>
    <xf numFmtId="0" fontId="4" fillId="0" borderId="16" xfId="1" applyNumberFormat="1" applyFont="1" applyFill="1" applyBorder="1" applyAlignment="1" applyProtection="1">
      <alignment horizontal="center" vertical="top"/>
      <protection locked="0"/>
    </xf>
    <xf numFmtId="0" fontId="30" fillId="0" borderId="16" xfId="0" applyFont="1" applyBorder="1" applyAlignment="1"/>
  </cellXfs>
  <cellStyles count="10">
    <cellStyle name="Обычный" xfId="0" builtinId="0"/>
    <cellStyle name="Обычный 2" xfId="2"/>
    <cellStyle name="Стиль 1" xfId="3"/>
    <cellStyle name="Стиль 2" xfId="4"/>
    <cellStyle name="Стиль 3" xfId="5"/>
    <cellStyle name="Стиль 4" xfId="6"/>
    <cellStyle name="Стиль 5" xfId="7"/>
    <cellStyle name="Стиль 6" xfId="8"/>
    <cellStyle name="Финансовый [0]_Копия CAU83JUD" xfId="1"/>
    <cellStyle name="Финансовый [0]_Копия CAU83JUD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G66"/>
  <sheetViews>
    <sheetView showGridLines="0" tabSelected="1" view="pageBreakPreview" zoomScaleSheetLayoutView="100" workbookViewId="0">
      <pane xSplit="4" ySplit="6" topLeftCell="E7" activePane="bottomRight" state="frozen"/>
      <selection pane="topRight" activeCell="E1" sqref="E1"/>
      <selection pane="bottomLeft" activeCell="A7" sqref="A7"/>
      <selection pane="bottomRight" activeCell="A3" sqref="A3"/>
    </sheetView>
  </sheetViews>
  <sheetFormatPr defaultRowHeight="12.75"/>
  <cols>
    <col min="1" max="1" width="50.42578125" style="48" customWidth="1"/>
    <col min="2" max="2" width="19.5703125" style="1" customWidth="1"/>
    <col min="3" max="3" width="19.42578125" style="1" customWidth="1"/>
    <col min="4" max="4" width="12.140625" style="1" customWidth="1"/>
    <col min="5" max="5" width="12.5703125" style="1" customWidth="1"/>
    <col min="6" max="6" width="14" style="1" customWidth="1"/>
    <col min="7" max="7" width="13.7109375" style="1" customWidth="1"/>
    <col min="8" max="16384" width="9.140625" style="1"/>
  </cols>
  <sheetData>
    <row r="1" spans="1:7">
      <c r="A1" s="45"/>
      <c r="B1" s="2"/>
      <c r="C1" s="2"/>
      <c r="D1" s="2"/>
      <c r="E1" s="2"/>
      <c r="F1" s="2"/>
      <c r="G1" s="14" t="s">
        <v>0</v>
      </c>
    </row>
    <row r="2" spans="1:7" ht="15.75">
      <c r="A2" s="132" t="s">
        <v>1</v>
      </c>
      <c r="B2" s="132"/>
      <c r="C2" s="132"/>
      <c r="D2" s="132"/>
      <c r="E2" s="132"/>
      <c r="F2" s="132"/>
      <c r="G2" s="132"/>
    </row>
    <row r="3" spans="1:7" ht="30">
      <c r="A3" s="46" t="s">
        <v>29</v>
      </c>
      <c r="B3" s="186" t="s">
        <v>220</v>
      </c>
      <c r="C3" s="131"/>
      <c r="D3" s="33"/>
      <c r="E3" s="33"/>
      <c r="F3" s="33"/>
      <c r="G3" s="34"/>
    </row>
    <row r="4" spans="1:7">
      <c r="A4" s="47"/>
      <c r="B4" s="9"/>
      <c r="C4" s="4"/>
      <c r="D4" s="4"/>
      <c r="E4" s="4"/>
      <c r="F4" s="4"/>
      <c r="G4" s="4"/>
    </row>
    <row r="5" spans="1:7" ht="31.5" customHeight="1">
      <c r="A5" s="133" t="s">
        <v>2</v>
      </c>
      <c r="B5" s="133" t="s">
        <v>3</v>
      </c>
      <c r="C5" s="133"/>
      <c r="D5" s="133" t="s">
        <v>4</v>
      </c>
      <c r="E5" s="133"/>
      <c r="F5" s="133"/>
      <c r="G5" s="134"/>
    </row>
    <row r="6" spans="1:7" ht="25.5">
      <c r="A6" s="134"/>
      <c r="B6" s="5" t="s">
        <v>5</v>
      </c>
      <c r="C6" s="5" t="s">
        <v>6</v>
      </c>
      <c r="D6" s="35" t="s">
        <v>30</v>
      </c>
      <c r="E6" s="35" t="s">
        <v>37</v>
      </c>
      <c r="F6" s="35" t="s">
        <v>38</v>
      </c>
      <c r="G6" s="35" t="s">
        <v>43</v>
      </c>
    </row>
    <row r="7" spans="1:7">
      <c r="A7" s="42">
        <v>1</v>
      </c>
      <c r="B7" s="5">
        <v>2</v>
      </c>
      <c r="C7" s="5">
        <v>3</v>
      </c>
      <c r="D7" s="5">
        <v>4</v>
      </c>
      <c r="E7" s="5">
        <v>5</v>
      </c>
      <c r="F7" s="5">
        <v>6</v>
      </c>
      <c r="G7" s="5">
        <v>7</v>
      </c>
    </row>
    <row r="8" spans="1:7">
      <c r="A8" s="137" t="s">
        <v>7</v>
      </c>
      <c r="B8" s="50"/>
      <c r="C8" s="51"/>
      <c r="D8" s="12"/>
      <c r="E8" s="12"/>
      <c r="F8" s="12"/>
      <c r="G8" s="12"/>
    </row>
    <row r="9" spans="1:7">
      <c r="A9" s="138"/>
      <c r="B9" s="52"/>
      <c r="C9" s="53"/>
      <c r="D9" s="13"/>
      <c r="E9" s="13"/>
      <c r="F9" s="13"/>
      <c r="G9" s="13"/>
    </row>
    <row r="10" spans="1:7">
      <c r="A10" s="138"/>
      <c r="B10" s="52"/>
      <c r="C10" s="53"/>
      <c r="D10" s="13"/>
      <c r="E10" s="13"/>
      <c r="F10" s="13"/>
      <c r="G10" s="13"/>
    </row>
    <row r="11" spans="1:7" ht="76.5">
      <c r="A11" s="130" t="s">
        <v>44</v>
      </c>
      <c r="B11" s="50" t="s">
        <v>45</v>
      </c>
      <c r="C11" s="51" t="s">
        <v>46</v>
      </c>
      <c r="D11" s="12">
        <v>725</v>
      </c>
      <c r="E11" s="12">
        <v>750</v>
      </c>
      <c r="F11" s="12">
        <v>750</v>
      </c>
      <c r="G11" s="12">
        <v>750</v>
      </c>
    </row>
    <row r="12" spans="1:7" ht="76.5">
      <c r="A12" s="130" t="s">
        <v>111</v>
      </c>
      <c r="B12" s="50" t="s">
        <v>45</v>
      </c>
      <c r="C12" s="51" t="s">
        <v>46</v>
      </c>
      <c r="D12" s="12">
        <v>49259</v>
      </c>
      <c r="E12" s="12">
        <v>49324</v>
      </c>
      <c r="F12" s="12">
        <v>49324</v>
      </c>
      <c r="G12" s="12">
        <v>49324</v>
      </c>
    </row>
    <row r="13" spans="1:7">
      <c r="A13" s="137" t="s">
        <v>49</v>
      </c>
      <c r="B13" s="50" t="s">
        <v>61</v>
      </c>
      <c r="C13" s="51" t="s">
        <v>48</v>
      </c>
      <c r="D13" s="12">
        <v>225883</v>
      </c>
      <c r="E13" s="12">
        <v>226408</v>
      </c>
      <c r="F13" s="12">
        <v>223895</v>
      </c>
      <c r="G13" s="12">
        <v>221208</v>
      </c>
    </row>
    <row r="14" spans="1:7">
      <c r="A14" s="139"/>
      <c r="B14" s="50" t="s">
        <v>62</v>
      </c>
      <c r="C14" s="51" t="s">
        <v>48</v>
      </c>
      <c r="D14" s="12">
        <v>2081</v>
      </c>
      <c r="E14" s="12">
        <v>850</v>
      </c>
      <c r="F14" s="12">
        <v>840</v>
      </c>
      <c r="G14" s="12">
        <v>830</v>
      </c>
    </row>
    <row r="15" spans="1:7">
      <c r="A15" s="137" t="s">
        <v>50</v>
      </c>
      <c r="B15" s="50" t="s">
        <v>61</v>
      </c>
      <c r="C15" s="51" t="s">
        <v>48</v>
      </c>
      <c r="D15" s="12">
        <v>72173</v>
      </c>
      <c r="E15" s="12">
        <v>65187</v>
      </c>
      <c r="F15" s="12">
        <v>64463</v>
      </c>
      <c r="G15" s="12">
        <v>63690</v>
      </c>
    </row>
    <row r="16" spans="1:7">
      <c r="A16" s="139"/>
      <c r="B16" s="50" t="s">
        <v>62</v>
      </c>
      <c r="C16" s="51" t="s">
        <v>48</v>
      </c>
      <c r="D16" s="12">
        <v>23540</v>
      </c>
      <c r="E16" s="12">
        <v>23250</v>
      </c>
      <c r="F16" s="12">
        <v>22971</v>
      </c>
      <c r="G16" s="12">
        <v>22695</v>
      </c>
    </row>
    <row r="17" spans="1:7">
      <c r="A17" s="137" t="s">
        <v>51</v>
      </c>
      <c r="B17" s="50" t="s">
        <v>61</v>
      </c>
      <c r="C17" s="51" t="s">
        <v>48</v>
      </c>
      <c r="D17" s="12">
        <v>158720</v>
      </c>
      <c r="E17" s="12">
        <v>180945</v>
      </c>
      <c r="F17" s="12">
        <v>178937</v>
      </c>
      <c r="G17" s="12">
        <v>176789</v>
      </c>
    </row>
    <row r="18" spans="1:7">
      <c r="A18" s="139"/>
      <c r="B18" s="50" t="s">
        <v>62</v>
      </c>
      <c r="C18" s="51" t="s">
        <v>48</v>
      </c>
      <c r="D18" s="12">
        <v>37886</v>
      </c>
      <c r="E18" s="12">
        <v>43638</v>
      </c>
      <c r="F18" s="12">
        <v>43114</v>
      </c>
      <c r="G18" s="12">
        <v>42696</v>
      </c>
    </row>
    <row r="19" spans="1:7">
      <c r="A19" s="137" t="s">
        <v>52</v>
      </c>
      <c r="B19" s="50" t="s">
        <v>61</v>
      </c>
      <c r="C19" s="51" t="s">
        <v>48</v>
      </c>
      <c r="D19" s="12">
        <v>74319</v>
      </c>
      <c r="E19" s="12">
        <v>99587</v>
      </c>
      <c r="F19" s="12">
        <v>98482</v>
      </c>
      <c r="G19" s="12">
        <v>97300</v>
      </c>
    </row>
    <row r="20" spans="1:7">
      <c r="A20" s="139"/>
      <c r="B20" s="50" t="s">
        <v>62</v>
      </c>
      <c r="C20" s="51" t="s">
        <v>48</v>
      </c>
      <c r="D20" s="12">
        <v>14547</v>
      </c>
      <c r="E20" s="12">
        <v>15348</v>
      </c>
      <c r="F20" s="12">
        <v>15253</v>
      </c>
      <c r="G20" s="12">
        <v>15070</v>
      </c>
    </row>
    <row r="21" spans="1:7">
      <c r="A21" s="137" t="s">
        <v>53</v>
      </c>
      <c r="B21" s="50" t="s">
        <v>61</v>
      </c>
      <c r="C21" s="51" t="s">
        <v>48</v>
      </c>
      <c r="D21" s="12">
        <v>105763</v>
      </c>
      <c r="E21" s="12">
        <v>90682</v>
      </c>
      <c r="F21" s="12">
        <v>89675</v>
      </c>
      <c r="G21" s="12">
        <v>88599</v>
      </c>
    </row>
    <row r="22" spans="1:7">
      <c r="A22" s="139"/>
      <c r="B22" s="50" t="s">
        <v>62</v>
      </c>
      <c r="C22" s="51" t="s">
        <v>48</v>
      </c>
      <c r="D22" s="12">
        <v>47706</v>
      </c>
      <c r="E22" s="12">
        <v>47398</v>
      </c>
      <c r="F22" s="12">
        <v>46829</v>
      </c>
      <c r="G22" s="12">
        <v>46267</v>
      </c>
    </row>
    <row r="23" spans="1:7">
      <c r="A23" s="137" t="s">
        <v>54</v>
      </c>
      <c r="B23" s="50" t="s">
        <v>61</v>
      </c>
      <c r="C23" s="51" t="s">
        <v>48</v>
      </c>
      <c r="D23" s="12">
        <v>10700</v>
      </c>
      <c r="E23" s="12">
        <v>19950</v>
      </c>
      <c r="F23" s="12">
        <v>19729</v>
      </c>
      <c r="G23" s="12">
        <v>19492</v>
      </c>
    </row>
    <row r="24" spans="1:7">
      <c r="A24" s="139"/>
      <c r="B24" s="50" t="s">
        <v>62</v>
      </c>
      <c r="C24" s="51" t="s">
        <v>48</v>
      </c>
      <c r="D24" s="12">
        <v>3265</v>
      </c>
      <c r="E24" s="12">
        <v>3265</v>
      </c>
      <c r="F24" s="12">
        <v>3226</v>
      </c>
      <c r="G24" s="12">
        <v>3187</v>
      </c>
    </row>
    <row r="25" spans="1:7" ht="51">
      <c r="A25" s="43" t="s">
        <v>55</v>
      </c>
      <c r="B25" s="50" t="s">
        <v>62</v>
      </c>
      <c r="C25" s="51" t="s">
        <v>48</v>
      </c>
      <c r="D25" s="12">
        <v>1700</v>
      </c>
      <c r="E25" s="12">
        <v>1400</v>
      </c>
      <c r="F25" s="12">
        <v>1400</v>
      </c>
      <c r="G25" s="12">
        <v>1400</v>
      </c>
    </row>
    <row r="26" spans="1:7">
      <c r="A26" s="137" t="s">
        <v>56</v>
      </c>
      <c r="B26" s="50" t="s">
        <v>61</v>
      </c>
      <c r="C26" s="51" t="s">
        <v>48</v>
      </c>
      <c r="D26" s="12">
        <v>8414</v>
      </c>
      <c r="E26" s="12">
        <v>9349</v>
      </c>
      <c r="F26" s="12">
        <v>9245</v>
      </c>
      <c r="G26" s="12">
        <v>9134</v>
      </c>
    </row>
    <row r="27" spans="1:7">
      <c r="A27" s="139"/>
      <c r="B27" s="50" t="s">
        <v>62</v>
      </c>
      <c r="C27" s="51" t="s">
        <v>48</v>
      </c>
      <c r="D27" s="12">
        <v>5068</v>
      </c>
      <c r="E27" s="12">
        <v>4182</v>
      </c>
      <c r="F27" s="12">
        <v>4132</v>
      </c>
      <c r="G27" s="12">
        <v>4080</v>
      </c>
    </row>
    <row r="28" spans="1:7" ht="51">
      <c r="A28" s="43" t="s">
        <v>57</v>
      </c>
      <c r="B28" s="50" t="s">
        <v>61</v>
      </c>
      <c r="C28" s="51" t="s">
        <v>48</v>
      </c>
      <c r="D28" s="12">
        <v>1600</v>
      </c>
      <c r="E28" s="12">
        <v>1600</v>
      </c>
      <c r="F28" s="12">
        <v>1582</v>
      </c>
      <c r="G28" s="12">
        <v>1563</v>
      </c>
    </row>
    <row r="29" spans="1:7" ht="63.75">
      <c r="A29" s="43" t="s">
        <v>58</v>
      </c>
      <c r="B29" s="44" t="s">
        <v>63</v>
      </c>
      <c r="C29" s="51" t="s">
        <v>46</v>
      </c>
      <c r="D29" s="12">
        <v>110444</v>
      </c>
      <c r="E29" s="12">
        <v>106444</v>
      </c>
      <c r="F29" s="12">
        <v>106444</v>
      </c>
      <c r="G29" s="12">
        <v>106444</v>
      </c>
    </row>
    <row r="30" spans="1:7" ht="25.5">
      <c r="A30" s="43" t="s">
        <v>59</v>
      </c>
      <c r="B30" s="50" t="s">
        <v>61</v>
      </c>
      <c r="C30" s="51" t="s">
        <v>48</v>
      </c>
      <c r="D30" s="12">
        <v>3087</v>
      </c>
      <c r="E30" s="12">
        <v>4260</v>
      </c>
      <c r="F30" s="12">
        <v>4213</v>
      </c>
      <c r="G30" s="12">
        <v>4162</v>
      </c>
    </row>
    <row r="31" spans="1:7" ht="25.5">
      <c r="A31" s="43" t="s">
        <v>60</v>
      </c>
      <c r="B31" s="50" t="s">
        <v>61</v>
      </c>
      <c r="C31" s="51" t="s">
        <v>48</v>
      </c>
      <c r="D31" s="12">
        <v>8321</v>
      </c>
      <c r="E31" s="12">
        <v>8752</v>
      </c>
      <c r="F31" s="12">
        <v>8614</v>
      </c>
      <c r="G31" s="12">
        <v>8513</v>
      </c>
    </row>
    <row r="32" spans="1:7" ht="25.5">
      <c r="A32" s="43" t="s">
        <v>78</v>
      </c>
      <c r="B32" s="50" t="s">
        <v>72</v>
      </c>
      <c r="C32" s="51" t="s">
        <v>71</v>
      </c>
      <c r="D32" s="12">
        <v>53282</v>
      </c>
      <c r="E32" s="12">
        <v>55002</v>
      </c>
      <c r="F32" s="12">
        <v>55002</v>
      </c>
      <c r="G32" s="12">
        <v>55002</v>
      </c>
    </row>
    <row r="33" spans="1:7" ht="25.5">
      <c r="A33" s="43" t="s">
        <v>79</v>
      </c>
      <c r="B33" s="50" t="s">
        <v>72</v>
      </c>
      <c r="C33" s="51" t="s">
        <v>71</v>
      </c>
      <c r="D33" s="12">
        <v>69760</v>
      </c>
      <c r="E33" s="12">
        <v>68056</v>
      </c>
      <c r="F33" s="12">
        <v>68056</v>
      </c>
      <c r="G33" s="12">
        <v>68056</v>
      </c>
    </row>
    <row r="34" spans="1:7">
      <c r="A34" s="43" t="s">
        <v>76</v>
      </c>
      <c r="B34" s="50" t="s">
        <v>77</v>
      </c>
      <c r="C34" s="51" t="s">
        <v>48</v>
      </c>
      <c r="D34" s="12">
        <v>76</v>
      </c>
      <c r="E34" s="12">
        <v>76</v>
      </c>
      <c r="F34" s="12">
        <v>76</v>
      </c>
      <c r="G34" s="12">
        <v>76</v>
      </c>
    </row>
    <row r="35" spans="1:7" ht="38.25">
      <c r="A35" s="43" t="s">
        <v>112</v>
      </c>
      <c r="B35" s="50" t="s">
        <v>70</v>
      </c>
      <c r="C35" s="51" t="s">
        <v>48</v>
      </c>
      <c r="D35" s="12">
        <v>4095</v>
      </c>
      <c r="E35" s="12">
        <v>4026</v>
      </c>
      <c r="F35" s="12">
        <v>3978</v>
      </c>
      <c r="G35" s="12">
        <v>3930</v>
      </c>
    </row>
    <row r="36" spans="1:7" ht="51">
      <c r="A36" s="43" t="s">
        <v>64</v>
      </c>
      <c r="B36" s="50" t="s">
        <v>70</v>
      </c>
      <c r="C36" s="51" t="s">
        <v>48</v>
      </c>
      <c r="D36" s="12">
        <v>3871</v>
      </c>
      <c r="E36" s="12">
        <v>4258</v>
      </c>
      <c r="F36" s="12">
        <v>4198</v>
      </c>
      <c r="G36" s="12">
        <v>4135</v>
      </c>
    </row>
    <row r="37" spans="1:7" ht="51">
      <c r="A37" s="43" t="s">
        <v>65</v>
      </c>
      <c r="B37" s="50" t="s">
        <v>70</v>
      </c>
      <c r="C37" s="51" t="s">
        <v>48</v>
      </c>
      <c r="D37" s="12">
        <v>3601</v>
      </c>
      <c r="E37" s="12">
        <v>4252</v>
      </c>
      <c r="F37" s="12">
        <v>4208</v>
      </c>
      <c r="G37" s="12">
        <v>4164</v>
      </c>
    </row>
    <row r="38" spans="1:7" ht="51">
      <c r="A38" s="43" t="s">
        <v>66</v>
      </c>
      <c r="B38" s="50" t="s">
        <v>70</v>
      </c>
      <c r="C38" s="51" t="s">
        <v>48</v>
      </c>
      <c r="D38" s="12">
        <v>384</v>
      </c>
      <c r="E38" s="12">
        <v>500</v>
      </c>
      <c r="F38" s="12">
        <v>494</v>
      </c>
      <c r="G38" s="12">
        <v>488</v>
      </c>
    </row>
    <row r="39" spans="1:7" ht="51">
      <c r="A39" s="43" t="s">
        <v>67</v>
      </c>
      <c r="B39" s="50" t="s">
        <v>70</v>
      </c>
      <c r="C39" s="51" t="s">
        <v>48</v>
      </c>
      <c r="D39" s="12">
        <v>200</v>
      </c>
      <c r="E39" s="12">
        <v>300</v>
      </c>
      <c r="F39" s="12">
        <v>296</v>
      </c>
      <c r="G39" s="12">
        <v>293</v>
      </c>
    </row>
    <row r="40" spans="1:7" ht="51">
      <c r="A40" s="43" t="s">
        <v>68</v>
      </c>
      <c r="B40" s="50" t="s">
        <v>70</v>
      </c>
      <c r="C40" s="51" t="s">
        <v>48</v>
      </c>
      <c r="D40" s="12">
        <v>710</v>
      </c>
      <c r="E40" s="12">
        <v>710</v>
      </c>
      <c r="F40" s="12">
        <v>710</v>
      </c>
      <c r="G40" s="12">
        <v>710</v>
      </c>
    </row>
    <row r="41" spans="1:7" ht="51">
      <c r="A41" s="43" t="s">
        <v>69</v>
      </c>
      <c r="B41" s="50" t="s">
        <v>70</v>
      </c>
      <c r="C41" s="51" t="s">
        <v>48</v>
      </c>
      <c r="D41" s="12">
        <v>90</v>
      </c>
      <c r="E41" s="12">
        <v>90</v>
      </c>
      <c r="F41" s="12">
        <v>90</v>
      </c>
      <c r="G41" s="12">
        <v>90</v>
      </c>
    </row>
    <row r="42" spans="1:7" ht="51">
      <c r="A42" s="43" t="s">
        <v>73</v>
      </c>
      <c r="B42" s="50" t="s">
        <v>77</v>
      </c>
      <c r="C42" s="51" t="s">
        <v>48</v>
      </c>
      <c r="D42" s="12">
        <v>2425</v>
      </c>
      <c r="E42" s="12">
        <v>2425</v>
      </c>
      <c r="F42" s="12">
        <v>2398</v>
      </c>
      <c r="G42" s="12">
        <v>2370</v>
      </c>
    </row>
    <row r="43" spans="1:7" ht="51">
      <c r="A43" s="43" t="s">
        <v>74</v>
      </c>
      <c r="B43" s="50" t="s">
        <v>77</v>
      </c>
      <c r="C43" s="51" t="s">
        <v>48</v>
      </c>
      <c r="D43" s="12">
        <v>555</v>
      </c>
      <c r="E43" s="12">
        <v>508</v>
      </c>
      <c r="F43" s="12">
        <v>502</v>
      </c>
      <c r="G43" s="12">
        <v>496</v>
      </c>
    </row>
    <row r="44" spans="1:7" ht="51">
      <c r="A44" s="43" t="s">
        <v>75</v>
      </c>
      <c r="B44" s="50" t="s">
        <v>77</v>
      </c>
      <c r="C44" s="51" t="s">
        <v>48</v>
      </c>
      <c r="D44" s="12">
        <v>860</v>
      </c>
      <c r="E44" s="12">
        <v>860</v>
      </c>
      <c r="F44" s="12">
        <v>851</v>
      </c>
      <c r="G44" s="12">
        <v>840</v>
      </c>
    </row>
    <row r="45" spans="1:7">
      <c r="A45" s="44" t="s">
        <v>80</v>
      </c>
      <c r="B45" s="54" t="s">
        <v>94</v>
      </c>
      <c r="C45" s="54" t="s">
        <v>71</v>
      </c>
      <c r="D45" s="11">
        <v>62220</v>
      </c>
      <c r="E45" s="11">
        <v>62220</v>
      </c>
      <c r="F45" s="11">
        <v>62220</v>
      </c>
      <c r="G45" s="11">
        <v>62220</v>
      </c>
    </row>
    <row r="46" spans="1:7" ht="38.25">
      <c r="A46" s="126" t="s">
        <v>218</v>
      </c>
      <c r="B46" s="50" t="s">
        <v>77</v>
      </c>
      <c r="C46" s="51" t="s">
        <v>48</v>
      </c>
      <c r="D46" s="11">
        <v>834</v>
      </c>
      <c r="E46" s="11">
        <v>837</v>
      </c>
      <c r="F46" s="11">
        <v>850</v>
      </c>
      <c r="G46" s="125">
        <v>850</v>
      </c>
    </row>
    <row r="47" spans="1:7">
      <c r="A47" s="44" t="s">
        <v>40</v>
      </c>
      <c r="B47" s="54"/>
      <c r="C47" s="54"/>
      <c r="D47" s="11"/>
      <c r="E47" s="11"/>
      <c r="F47" s="11"/>
      <c r="G47" s="12"/>
    </row>
    <row r="48" spans="1:7" ht="25.5">
      <c r="A48" s="44" t="s">
        <v>81</v>
      </c>
      <c r="B48" s="54" t="s">
        <v>95</v>
      </c>
      <c r="C48" s="51" t="s">
        <v>48</v>
      </c>
      <c r="D48" s="11">
        <v>9000</v>
      </c>
      <c r="E48" s="11">
        <v>9000</v>
      </c>
      <c r="F48" s="11">
        <v>9000</v>
      </c>
      <c r="G48" s="11">
        <v>9000</v>
      </c>
    </row>
    <row r="49" spans="1:7" ht="38.25">
      <c r="A49" s="43" t="s">
        <v>82</v>
      </c>
      <c r="B49" s="51" t="s">
        <v>105</v>
      </c>
      <c r="C49" s="51" t="s">
        <v>104</v>
      </c>
      <c r="D49" s="11">
        <v>52</v>
      </c>
      <c r="E49" s="11">
        <v>61</v>
      </c>
      <c r="F49" s="11">
        <v>61</v>
      </c>
      <c r="G49" s="13">
        <v>61</v>
      </c>
    </row>
    <row r="50" spans="1:7" ht="26.25" customHeight="1">
      <c r="A50" s="43" t="s">
        <v>83</v>
      </c>
      <c r="B50" s="54" t="s">
        <v>96</v>
      </c>
      <c r="C50" s="54" t="s">
        <v>97</v>
      </c>
      <c r="D50" s="11">
        <v>123</v>
      </c>
      <c r="E50" s="11">
        <v>157</v>
      </c>
      <c r="F50" s="11">
        <v>157</v>
      </c>
      <c r="G50" s="13">
        <v>157</v>
      </c>
    </row>
    <row r="51" spans="1:7" ht="25.5" customHeight="1">
      <c r="A51" s="44" t="s">
        <v>84</v>
      </c>
      <c r="B51" s="54" t="s">
        <v>108</v>
      </c>
      <c r="C51" s="51" t="s">
        <v>48</v>
      </c>
      <c r="D51" s="11">
        <v>2</v>
      </c>
      <c r="E51" s="11">
        <v>2</v>
      </c>
      <c r="F51" s="11">
        <v>2</v>
      </c>
      <c r="G51" s="11">
        <v>2</v>
      </c>
    </row>
    <row r="52" spans="1:7" ht="38.25">
      <c r="A52" s="44" t="s">
        <v>85</v>
      </c>
      <c r="B52" s="51" t="s">
        <v>107</v>
      </c>
      <c r="C52" s="51" t="s">
        <v>48</v>
      </c>
      <c r="D52" s="11">
        <v>1100</v>
      </c>
      <c r="E52" s="11">
        <v>1100</v>
      </c>
      <c r="F52" s="11">
        <v>1100</v>
      </c>
      <c r="G52" s="11">
        <v>1100</v>
      </c>
    </row>
    <row r="53" spans="1:7">
      <c r="A53" s="44" t="s">
        <v>86</v>
      </c>
      <c r="B53" s="54" t="s">
        <v>106</v>
      </c>
      <c r="C53" s="54" t="s">
        <v>46</v>
      </c>
      <c r="D53" s="11">
        <v>44300</v>
      </c>
      <c r="E53" s="11">
        <v>43300</v>
      </c>
      <c r="F53" s="11">
        <v>43300</v>
      </c>
      <c r="G53" s="11">
        <v>43300</v>
      </c>
    </row>
    <row r="54" spans="1:7">
      <c r="A54" s="55" t="s">
        <v>109</v>
      </c>
      <c r="B54" s="54" t="s">
        <v>110</v>
      </c>
      <c r="C54" s="51" t="s">
        <v>48</v>
      </c>
      <c r="D54" s="11" t="s">
        <v>113</v>
      </c>
      <c r="E54" s="11">
        <v>1000</v>
      </c>
      <c r="F54" s="11">
        <v>1000</v>
      </c>
      <c r="G54" s="11">
        <v>1000</v>
      </c>
    </row>
    <row r="55" spans="1:7">
      <c r="A55" s="44" t="s">
        <v>87</v>
      </c>
      <c r="B55" s="54" t="s">
        <v>100</v>
      </c>
      <c r="C55" s="54" t="s">
        <v>97</v>
      </c>
      <c r="D55" s="11">
        <v>104000</v>
      </c>
      <c r="E55" s="11">
        <v>104000</v>
      </c>
      <c r="F55" s="11">
        <v>104000</v>
      </c>
      <c r="G55" s="11">
        <v>104000</v>
      </c>
    </row>
    <row r="56" spans="1:7" ht="25.5">
      <c r="A56" s="44" t="s">
        <v>88</v>
      </c>
      <c r="B56" s="54" t="s">
        <v>98</v>
      </c>
      <c r="C56" s="54" t="s">
        <v>46</v>
      </c>
      <c r="D56" s="11">
        <v>1280</v>
      </c>
      <c r="E56" s="11">
        <v>1280</v>
      </c>
      <c r="F56" s="11">
        <v>1280</v>
      </c>
      <c r="G56" s="11">
        <v>1280</v>
      </c>
    </row>
    <row r="57" spans="1:7" ht="51">
      <c r="A57" s="44" t="s">
        <v>89</v>
      </c>
      <c r="B57" s="54" t="s">
        <v>101</v>
      </c>
      <c r="C57" s="51" t="s">
        <v>48</v>
      </c>
      <c r="D57" s="11">
        <v>1</v>
      </c>
      <c r="E57" s="11">
        <v>1</v>
      </c>
      <c r="F57" s="11">
        <v>1</v>
      </c>
      <c r="G57" s="11">
        <v>1</v>
      </c>
    </row>
    <row r="58" spans="1:7" ht="51">
      <c r="A58" s="44" t="s">
        <v>90</v>
      </c>
      <c r="B58" s="54" t="s">
        <v>99</v>
      </c>
      <c r="C58" s="54" t="s">
        <v>46</v>
      </c>
      <c r="D58" s="11">
        <v>11</v>
      </c>
      <c r="E58" s="11">
        <v>11</v>
      </c>
      <c r="F58" s="11">
        <v>11</v>
      </c>
      <c r="G58" s="11">
        <v>11</v>
      </c>
    </row>
    <row r="59" spans="1:7" ht="51">
      <c r="A59" s="44" t="s">
        <v>91</v>
      </c>
      <c r="B59" s="54" t="s">
        <v>103</v>
      </c>
      <c r="C59" s="51" t="s">
        <v>48</v>
      </c>
      <c r="D59" s="11">
        <v>8</v>
      </c>
      <c r="E59" s="11" t="s">
        <v>113</v>
      </c>
      <c r="F59" s="11" t="s">
        <v>113</v>
      </c>
      <c r="G59" s="16" t="s">
        <v>113</v>
      </c>
    </row>
    <row r="60" spans="1:7" ht="25.5">
      <c r="A60" s="44" t="s">
        <v>92</v>
      </c>
      <c r="B60" s="54" t="s">
        <v>47</v>
      </c>
      <c r="C60" s="54" t="s">
        <v>102</v>
      </c>
      <c r="D60" s="56">
        <v>671.17</v>
      </c>
      <c r="E60" s="11">
        <v>686</v>
      </c>
      <c r="F60" s="11">
        <v>711</v>
      </c>
      <c r="G60" s="11">
        <v>735</v>
      </c>
    </row>
    <row r="61" spans="1:7" ht="25.5">
      <c r="A61" s="44" t="s">
        <v>93</v>
      </c>
      <c r="B61" s="54" t="s">
        <v>47</v>
      </c>
      <c r="C61" s="54" t="s">
        <v>102</v>
      </c>
      <c r="D61" s="56">
        <v>1690.83</v>
      </c>
      <c r="E61" s="11">
        <v>1764</v>
      </c>
      <c r="F61" s="11">
        <v>1827</v>
      </c>
      <c r="G61" s="11">
        <v>1891</v>
      </c>
    </row>
    <row r="62" spans="1:7">
      <c r="A62" s="44"/>
      <c r="B62" s="54"/>
      <c r="C62" s="54"/>
      <c r="D62" s="11"/>
      <c r="E62" s="11"/>
      <c r="F62" s="11"/>
      <c r="G62" s="57"/>
    </row>
    <row r="63" spans="1:7">
      <c r="A63" s="135" t="s">
        <v>39</v>
      </c>
      <c r="B63" s="135"/>
      <c r="C63" s="135"/>
      <c r="D63" s="135"/>
      <c r="E63" s="135"/>
      <c r="F63" s="135"/>
      <c r="G63" s="135"/>
    </row>
    <row r="65" spans="1:7">
      <c r="A65" s="49"/>
      <c r="B65" s="7"/>
      <c r="C65" s="7"/>
      <c r="D65" s="8"/>
      <c r="E65" s="8"/>
      <c r="F65" s="8"/>
      <c r="G65" s="8"/>
    </row>
    <row r="66" spans="1:7">
      <c r="A66" s="136"/>
      <c r="B66" s="136"/>
      <c r="C66" s="136"/>
      <c r="D66" s="136"/>
      <c r="E66" s="136"/>
      <c r="F66" s="136"/>
      <c r="G66" s="136"/>
    </row>
  </sheetData>
  <mergeCells count="14">
    <mergeCell ref="A2:G2"/>
    <mergeCell ref="B5:C5"/>
    <mergeCell ref="D5:G5"/>
    <mergeCell ref="A63:G63"/>
    <mergeCell ref="A66:G66"/>
    <mergeCell ref="A8:A10"/>
    <mergeCell ref="A5:A6"/>
    <mergeCell ref="A13:A14"/>
    <mergeCell ref="A15:A16"/>
    <mergeCell ref="A26:A27"/>
    <mergeCell ref="A23:A24"/>
    <mergeCell ref="A21:A22"/>
    <mergeCell ref="A17:A18"/>
    <mergeCell ref="A19:A20"/>
  </mergeCells>
  <printOptions horizontalCentered="1"/>
  <pageMargins left="0.78740157480314965" right="0.39370078740157483" top="0.78740157480314965" bottom="0.59055118110236227" header="0.15748031496062992" footer="0.35433070866141736"/>
  <pageSetup paperSize="9" scale="96" firstPageNumber="37"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T165"/>
  <sheetViews>
    <sheetView showGridLines="0" view="pageBreakPreview" zoomScale="70" zoomScaleSheetLayoutView="70" workbookViewId="0">
      <pane xSplit="1" ySplit="10" topLeftCell="B135" activePane="bottomRight" state="frozen"/>
      <selection activeCell="A134" sqref="A134:XFD136"/>
      <selection pane="topRight" activeCell="A134" sqref="A134:XFD136"/>
      <selection pane="bottomLeft" activeCell="A134" sqref="A134:XFD136"/>
      <selection pane="bottomRight" activeCell="G94" sqref="G94:J94"/>
    </sheetView>
  </sheetViews>
  <sheetFormatPr defaultColWidth="9.140625" defaultRowHeight="20.25"/>
  <cols>
    <col min="1" max="1" width="59.42578125" style="64" customWidth="1"/>
    <col min="2" max="2" width="10.42578125" style="64" customWidth="1"/>
    <col min="3" max="3" width="11.28515625" style="64" customWidth="1"/>
    <col min="4" max="4" width="12.28515625" style="64" customWidth="1"/>
    <col min="5" max="5" width="21.28515625" style="64" customWidth="1"/>
    <col min="6" max="6" width="12.42578125" style="64" customWidth="1"/>
    <col min="7" max="9" width="21.85546875" style="64" customWidth="1"/>
    <col min="10" max="10" width="21.140625" style="64" customWidth="1"/>
    <col min="11" max="11" width="21.85546875" style="64" hidden="1" customWidth="1"/>
    <col min="12" max="15" width="21.140625" style="64" hidden="1" customWidth="1"/>
    <col min="16" max="18" width="20.7109375" style="65" hidden="1" customWidth="1"/>
    <col min="19" max="19" width="21.85546875" style="65" hidden="1" customWidth="1"/>
    <col min="20" max="20" width="9.140625" style="65"/>
    <col min="21" max="21" width="9.140625" style="64"/>
    <col min="22" max="22" width="10.5703125" style="64" bestFit="1" customWidth="1"/>
    <col min="23" max="16384" width="9.140625" style="64"/>
  </cols>
  <sheetData>
    <row r="1" spans="1:20" ht="0.4" hidden="1" customHeight="1">
      <c r="A1" s="96"/>
      <c r="B1" s="96"/>
      <c r="C1" s="101"/>
      <c r="D1" s="101"/>
      <c r="E1" s="101"/>
      <c r="F1" s="96"/>
      <c r="G1" s="96"/>
      <c r="H1" s="96"/>
      <c r="I1" s="96"/>
      <c r="J1" s="96"/>
      <c r="K1" s="96"/>
      <c r="L1" s="96"/>
      <c r="M1" s="96"/>
      <c r="N1" s="96"/>
      <c r="O1" s="96"/>
      <c r="P1" s="64"/>
      <c r="Q1" s="64"/>
      <c r="R1" s="64"/>
      <c r="S1" s="64"/>
      <c r="T1" s="64"/>
    </row>
    <row r="2" spans="1:20" ht="0.4" hidden="1" customHeight="1">
      <c r="A2" s="96"/>
      <c r="B2" s="96"/>
      <c r="C2" s="101"/>
      <c r="D2" s="101"/>
      <c r="E2" s="101"/>
      <c r="F2" s="96"/>
      <c r="G2" s="96"/>
      <c r="H2" s="96"/>
      <c r="I2" s="96"/>
      <c r="J2" s="96"/>
      <c r="K2" s="96"/>
      <c r="L2" s="96"/>
      <c r="M2" s="96"/>
      <c r="N2" s="96"/>
      <c r="O2" s="96"/>
      <c r="P2" s="64"/>
      <c r="Q2" s="64"/>
      <c r="R2" s="64"/>
      <c r="S2" s="64"/>
      <c r="T2" s="64"/>
    </row>
    <row r="3" spans="1:20" ht="0.4" customHeight="1">
      <c r="A3" s="96"/>
      <c r="B3" s="96"/>
      <c r="C3" s="101"/>
      <c r="D3" s="101"/>
      <c r="E3" s="101"/>
      <c r="F3" s="96"/>
      <c r="G3" s="96"/>
      <c r="H3" s="96"/>
      <c r="I3" s="96"/>
      <c r="J3" s="96"/>
      <c r="K3" s="96"/>
      <c r="L3" s="96"/>
      <c r="M3" s="96"/>
      <c r="N3" s="96"/>
      <c r="O3" s="96"/>
    </row>
    <row r="4" spans="1:20" ht="9.75" hidden="1" customHeight="1">
      <c r="A4" s="97"/>
      <c r="B4" s="97"/>
      <c r="C4" s="97"/>
      <c r="D4" s="97"/>
      <c r="E4" s="97"/>
      <c r="F4" s="96"/>
      <c r="G4" s="96"/>
      <c r="H4" s="96"/>
      <c r="I4" s="96"/>
      <c r="J4" s="100"/>
      <c r="K4" s="96"/>
      <c r="L4" s="100"/>
      <c r="M4" s="100"/>
      <c r="N4" s="100"/>
      <c r="O4" s="100"/>
      <c r="P4" s="64"/>
      <c r="Q4" s="64"/>
      <c r="R4" s="64"/>
      <c r="S4" s="64"/>
      <c r="T4" s="64"/>
    </row>
    <row r="5" spans="1:20" ht="47.25" customHeight="1">
      <c r="A5" s="97"/>
      <c r="B5" s="97"/>
      <c r="C5" s="97"/>
      <c r="D5" s="97"/>
      <c r="E5" s="97"/>
      <c r="F5" s="96"/>
      <c r="G5" s="96"/>
      <c r="H5" s="96"/>
      <c r="I5" s="96"/>
      <c r="J5" s="99" t="s">
        <v>8</v>
      </c>
      <c r="K5" s="96"/>
      <c r="L5" s="99"/>
      <c r="M5" s="99"/>
      <c r="N5" s="99"/>
      <c r="O5" s="99"/>
    </row>
    <row r="6" spans="1:20" ht="69" customHeight="1">
      <c r="A6" s="144" t="s">
        <v>201</v>
      </c>
      <c r="B6" s="144"/>
      <c r="C6" s="144"/>
      <c r="D6" s="144"/>
      <c r="E6" s="144"/>
      <c r="F6" s="144"/>
      <c r="G6" s="144"/>
      <c r="H6" s="144"/>
      <c r="I6" s="144"/>
      <c r="J6" s="144"/>
      <c r="K6" s="98"/>
      <c r="L6" s="98"/>
      <c r="M6" s="98"/>
      <c r="N6" s="98"/>
      <c r="O6" s="98"/>
    </row>
    <row r="7" spans="1:20" ht="13.5" customHeight="1">
      <c r="A7" s="97"/>
      <c r="B7" s="97"/>
      <c r="C7" s="97"/>
      <c r="D7" s="97"/>
      <c r="E7" s="97"/>
      <c r="F7" s="96"/>
      <c r="G7" s="96"/>
      <c r="H7" s="96"/>
      <c r="I7" s="96"/>
      <c r="J7" s="96"/>
      <c r="K7" s="96"/>
      <c r="L7" s="96"/>
      <c r="M7" s="96"/>
      <c r="N7" s="96"/>
      <c r="O7" s="96"/>
    </row>
    <row r="8" spans="1:20" ht="112.5" customHeight="1">
      <c r="A8" s="145" t="s">
        <v>2</v>
      </c>
      <c r="B8" s="145" t="s">
        <v>9</v>
      </c>
      <c r="C8" s="146"/>
      <c r="D8" s="146"/>
      <c r="E8" s="146"/>
      <c r="F8" s="146"/>
      <c r="G8" s="145" t="s">
        <v>200</v>
      </c>
      <c r="H8" s="145"/>
      <c r="I8" s="145"/>
      <c r="J8" s="146"/>
      <c r="K8" s="95"/>
      <c r="L8" s="94"/>
      <c r="M8" s="94"/>
      <c r="N8" s="94"/>
      <c r="O8" s="94"/>
    </row>
    <row r="9" spans="1:20" ht="91.5" customHeight="1">
      <c r="A9" s="146"/>
      <c r="B9" s="93" t="s">
        <v>10</v>
      </c>
      <c r="C9" s="92" t="s">
        <v>11</v>
      </c>
      <c r="D9" s="92" t="s">
        <v>199</v>
      </c>
      <c r="E9" s="92" t="s">
        <v>198</v>
      </c>
      <c r="F9" s="92" t="s">
        <v>197</v>
      </c>
      <c r="G9" s="92" t="s">
        <v>193</v>
      </c>
      <c r="H9" s="92" t="s">
        <v>196</v>
      </c>
      <c r="I9" s="92" t="s">
        <v>195</v>
      </c>
      <c r="J9" s="92" t="s">
        <v>194</v>
      </c>
      <c r="K9" s="92" t="s">
        <v>193</v>
      </c>
      <c r="L9" s="91"/>
      <c r="M9" s="91"/>
      <c r="N9" s="91"/>
      <c r="O9" s="91"/>
    </row>
    <row r="10" spans="1:20" ht="14.25" customHeight="1">
      <c r="A10" s="90">
        <v>1</v>
      </c>
      <c r="B10" s="90">
        <v>2</v>
      </c>
      <c r="C10" s="90">
        <v>3</v>
      </c>
      <c r="D10" s="90">
        <v>4</v>
      </c>
      <c r="E10" s="90">
        <v>5</v>
      </c>
      <c r="F10" s="90">
        <v>6</v>
      </c>
      <c r="G10" s="90">
        <v>7</v>
      </c>
      <c r="H10" s="90">
        <v>8</v>
      </c>
      <c r="I10" s="90">
        <v>9</v>
      </c>
      <c r="J10" s="90">
        <v>10</v>
      </c>
      <c r="K10" s="90">
        <v>7</v>
      </c>
      <c r="L10" s="89"/>
      <c r="M10" s="89"/>
      <c r="N10" s="89"/>
      <c r="O10" s="89"/>
    </row>
    <row r="11" spans="1:20" ht="84" customHeight="1">
      <c r="A11" s="80" t="s">
        <v>192</v>
      </c>
      <c r="B11" s="68" t="s">
        <v>141</v>
      </c>
      <c r="C11" s="68" t="s">
        <v>140</v>
      </c>
      <c r="D11" s="68" t="s">
        <v>133</v>
      </c>
      <c r="E11" s="68" t="s">
        <v>160</v>
      </c>
      <c r="F11" s="68" t="s">
        <v>120</v>
      </c>
      <c r="G11" s="79">
        <f>ROUND(L11*('Объемы бюдж.ассигн.'!F$15-'Объемы ассигн на имущ и нал'!F$19)/'Объемы бюдж.ассигн.'!F$15,1)</f>
        <v>4620.3999999999996</v>
      </c>
      <c r="H11" s="79">
        <f>ROUND(M11*('Объемы бюдж.ассигн.'!G$15-'Объемы ассигн на имущ и нал'!G$19)/'Объемы бюдж.ассигн.'!G$15,1)</f>
        <v>4747.5</v>
      </c>
      <c r="I11" s="79">
        <f>ROUND(N11*('Объемы бюдж.ассигн.'!H$15-'Объемы ассигн на имущ и нал'!H$19)/'Объемы бюдж.ассигн.'!H$15,1)</f>
        <v>4838.8999999999996</v>
      </c>
      <c r="J11" s="79">
        <f>ROUND(O11*('Объемы бюдж.ассигн.'!I$15-'Объемы ассигн на имущ и нал'!I$19)/'Объемы бюдж.ассигн.'!I$15,1)</f>
        <v>4980</v>
      </c>
      <c r="K11" s="79">
        <f>4912.2-43.2</f>
        <v>4869</v>
      </c>
      <c r="L11" s="78">
        <f>P$11/1000/($K$11+$K$14+$K$17+$K$21+$K$25+$K$28+$K$31+$K$33+$K$36+$K$39+$K$42+$K$45+$K$50+$K$53+$K$55)*$K11</f>
        <v>4668.7689224133283</v>
      </c>
      <c r="M11" s="78">
        <f>Q$11/1000/($K$11+$K$14+$K$17+$K$21+$K$25+$K$28+$K$31+$K$33+$K$36+$K$39+$K$42+$K$45+$K$50+$K$53+$K$55)*$K11</f>
        <v>4791.6845025874427</v>
      </c>
      <c r="N11" s="78">
        <f>R$11/1000/($K$11+$K$14+$K$17+$K$21+$K$25+$K$28+$K$31+$K$33+$K$36+$K$39+$K$42+$K$45+$K$50+$K$53+$K$55)*$K11</f>
        <v>4882.8710092257625</v>
      </c>
      <c r="O11" s="78">
        <f>S$11/1000/($K$11+$K$14+$K$17+$K$21+$K$25+$K$28+$K$31+$K$33+$K$36+$K$39+$K$42+$K$45+$K$50+$K$53+$K$55)*$K11</f>
        <v>5023.6232812095268</v>
      </c>
      <c r="P11" s="64">
        <v>242105345.84999999</v>
      </c>
      <c r="Q11" s="64">
        <v>248479300</v>
      </c>
      <c r="R11" s="64">
        <v>253207900</v>
      </c>
      <c r="S11" s="64">
        <v>260506800</v>
      </c>
      <c r="T11" s="64"/>
    </row>
    <row r="12" spans="1:20" ht="22.15" customHeight="1">
      <c r="A12" s="84" t="s">
        <v>41</v>
      </c>
      <c r="B12" s="83"/>
      <c r="C12" s="83"/>
      <c r="D12" s="83"/>
      <c r="E12" s="83"/>
      <c r="F12" s="82"/>
      <c r="G12" s="79">
        <f>G11</f>
        <v>4620.3999999999996</v>
      </c>
      <c r="H12" s="79">
        <f>H11</f>
        <v>4747.5</v>
      </c>
      <c r="I12" s="79">
        <f>I11</f>
        <v>4838.8999999999996</v>
      </c>
      <c r="J12" s="79">
        <f>J11</f>
        <v>4980</v>
      </c>
      <c r="K12" s="79">
        <f>K11</f>
        <v>4869</v>
      </c>
      <c r="L12" s="78"/>
      <c r="M12" s="78"/>
      <c r="N12" s="78"/>
      <c r="O12" s="78"/>
      <c r="P12" s="64"/>
      <c r="Q12" s="64"/>
      <c r="R12" s="64"/>
      <c r="S12" s="64"/>
      <c r="T12" s="64"/>
    </row>
    <row r="13" spans="1:20" ht="43.5" customHeight="1">
      <c r="A13" s="140" t="s">
        <v>191</v>
      </c>
      <c r="B13" s="68" t="s">
        <v>141</v>
      </c>
      <c r="C13" s="68" t="s">
        <v>140</v>
      </c>
      <c r="D13" s="68" t="s">
        <v>133</v>
      </c>
      <c r="E13" s="68" t="s">
        <v>166</v>
      </c>
      <c r="F13" s="68" t="s">
        <v>120</v>
      </c>
      <c r="G13" s="79">
        <f>ROUND(L13*('Объемы бюдж.ассигн.'!F$15-'Объемы ассигн на имущ и нал'!F$19)/'Объемы бюдж.ассигн.'!F$15,1)</f>
        <v>2508.9</v>
      </c>
      <c r="H13" s="79">
        <f>ROUND(M13*('Объемы бюдж.ассигн.'!G$15-'Объемы ассигн на имущ и нал'!G$19)/'Объемы бюдж.ассигн.'!G$15,1)</f>
        <v>3034.2</v>
      </c>
      <c r="I13" s="79">
        <f>ROUND(N13*('Объемы бюдж.ассигн.'!H$15-'Объемы ассигн на имущ и нал'!H$19)/'Объемы бюдж.ассигн.'!H$15,1)</f>
        <v>3136.9</v>
      </c>
      <c r="J13" s="79">
        <f>ROUND(O13*('Объемы бюдж.ассигн.'!I$15-'Объемы ассигн на имущ и нал'!I$19)/'Объемы бюдж.ассигн.'!I$15,1)</f>
        <v>3277.2</v>
      </c>
      <c r="K13" s="79">
        <f>1039.4-9.1+2210.2-19.4</f>
        <v>3221.1</v>
      </c>
      <c r="L13" s="78">
        <f>P$13/1000/($K$13+$K$16+$K$24+$K$27+$K$38+$K$41)*$K13</f>
        <v>2535.1881950118131</v>
      </c>
      <c r="M13" s="78">
        <f>Q$13/1000/($K$13+$K$16+$K$24+$K$27+$K$38+$K$41)*$K13</f>
        <v>3062.4207413146364</v>
      </c>
      <c r="N13" s="78">
        <f>R$13/1000/($K$13+$K$16+$K$24+$K$27+$K$38+$K$41)*$K13</f>
        <v>3165.3461956229912</v>
      </c>
      <c r="O13" s="78">
        <f>S$13/1000/($K$13+$K$16+$K$24+$K$27+$K$38+$K$41)*$K13</f>
        <v>3305.9524144120646</v>
      </c>
      <c r="P13" s="64">
        <v>184685520.34999999</v>
      </c>
      <c r="Q13" s="64">
        <v>223093800</v>
      </c>
      <c r="R13" s="64">
        <v>230591800</v>
      </c>
      <c r="S13" s="64">
        <v>240834800</v>
      </c>
      <c r="T13" s="64"/>
    </row>
    <row r="14" spans="1:20" ht="43.5" customHeight="1">
      <c r="A14" s="141"/>
      <c r="B14" s="68" t="s">
        <v>141</v>
      </c>
      <c r="C14" s="68" t="s">
        <v>140</v>
      </c>
      <c r="D14" s="68" t="s">
        <v>133</v>
      </c>
      <c r="E14" s="68" t="s">
        <v>160</v>
      </c>
      <c r="F14" s="68" t="s">
        <v>120</v>
      </c>
      <c r="G14" s="79">
        <f>ROUND(L14*('Объемы бюдж.ассигн.'!F$15-'Объемы ассигн на имущ и нал'!F$19)/'Объемы бюдж.ассигн.'!F$15,1)</f>
        <v>844.8</v>
      </c>
      <c r="H14" s="79">
        <f>ROUND(M14*('Объемы бюдж.ассигн.'!G$15-'Объемы ассигн на имущ и нал'!G$19)/'Объемы бюдж.ассигн.'!G$15,1)</f>
        <v>868</v>
      </c>
      <c r="I14" s="79">
        <f>ROUND(N14*('Объемы бюдж.ассигн.'!H$15-'Объемы ассигн на имущ и нал'!H$19)/'Объемы бюдж.ассигн.'!H$15,1)</f>
        <v>884.7</v>
      </c>
      <c r="J14" s="79">
        <f>ROUND(O14*('Объемы бюдж.ассигн.'!I$15-'Объемы ассигн на имущ и нал'!I$19)/'Объемы бюдж.ассигн.'!I$15,1)</f>
        <v>910.5</v>
      </c>
      <c r="K14" s="79">
        <f>898.1-7.9</f>
        <v>890.2</v>
      </c>
      <c r="L14" s="78">
        <f>P$11/1000/($K$11+$K$14+$K$17+$K$21+$K$25+$K$28+$K$31+$K$33+$K$36+$K$39+$K$42+$K$45+$K$50+$K$53+$K$55)*$K14</f>
        <v>853.59172206456049</v>
      </c>
      <c r="M14" s="78">
        <f>Q$11/1000/($K$11+$K$14+$K$17+$K$21+$K$25+$K$28+$K$31+$K$33+$K$36+$K$39+$K$42+$K$45+$K$50+$K$53+$K$55)*$K14</f>
        <v>876.06439601629529</v>
      </c>
      <c r="N14" s="78">
        <f>R$11/1000/($K$11+$K$14+$K$17+$K$21+$K$25+$K$28+$K$31+$K$33+$K$36+$K$39+$K$42+$K$45+$K$50+$K$53+$K$55)*$K14</f>
        <v>892.73603869640044</v>
      </c>
      <c r="O14" s="78">
        <f>S$11/1000/($K$11+$K$14+$K$17+$K$21+$K$25+$K$28+$K$31+$K$33+$K$36+$K$39+$K$42+$K$45+$K$50+$K$53+$K$55)*$K14</f>
        <v>918.46979768591518</v>
      </c>
      <c r="P14" s="64"/>
      <c r="Q14" s="64"/>
      <c r="R14" s="64"/>
      <c r="S14" s="64"/>
      <c r="T14" s="64"/>
    </row>
    <row r="15" spans="1:20" ht="24.6" customHeight="1">
      <c r="A15" s="84" t="s">
        <v>41</v>
      </c>
      <c r="B15" s="83"/>
      <c r="C15" s="83"/>
      <c r="D15" s="83"/>
      <c r="E15" s="83"/>
      <c r="F15" s="82"/>
      <c r="G15" s="79">
        <f>SUM(G13:G14)</f>
        <v>3353.7</v>
      </c>
      <c r="H15" s="79">
        <f>SUM(H13:H14)</f>
        <v>3902.2</v>
      </c>
      <c r="I15" s="79">
        <f>SUM(I13:I14)</f>
        <v>4021.6000000000004</v>
      </c>
      <c r="J15" s="79">
        <f>SUM(J13:J14)</f>
        <v>4187.7</v>
      </c>
      <c r="K15" s="79">
        <f>SUM(K13:K14)</f>
        <v>4111.3</v>
      </c>
      <c r="L15" s="78"/>
      <c r="M15" s="78"/>
      <c r="N15" s="78"/>
      <c r="O15" s="78"/>
      <c r="P15" s="64"/>
      <c r="Q15" s="64"/>
      <c r="R15" s="64"/>
      <c r="S15" s="64"/>
      <c r="T15" s="64"/>
    </row>
    <row r="16" spans="1:20" ht="42" customHeight="1">
      <c r="A16" s="140" t="s">
        <v>190</v>
      </c>
      <c r="B16" s="68" t="s">
        <v>141</v>
      </c>
      <c r="C16" s="68" t="s">
        <v>140</v>
      </c>
      <c r="D16" s="68" t="s">
        <v>133</v>
      </c>
      <c r="E16" s="68" t="s">
        <v>166</v>
      </c>
      <c r="F16" s="68" t="s">
        <v>120</v>
      </c>
      <c r="G16" s="79">
        <f>ROUND(L16*('Объемы бюдж.ассигн.'!F$15-'Объемы ассигн на имущ и нал'!F$19)/'Объемы бюдж.ассигн.'!F$15,1)</f>
        <v>5566.7</v>
      </c>
      <c r="H16" s="79">
        <f>ROUND(M16*('Объемы бюдж.ассигн.'!G$15-'Объемы ассигн на имущ и нал'!G$19)/'Объемы бюдж.ассигн.'!G$15,1)</f>
        <v>6732</v>
      </c>
      <c r="I16" s="79">
        <f>ROUND(N16*('Объемы бюдж.ассигн.'!H$15-'Объемы ассигн на имущ и нал'!H$19)/'Объемы бюдж.ассигн.'!H$15,1)</f>
        <v>6959.9</v>
      </c>
      <c r="J16" s="79">
        <f>ROUND(O16*('Объемы бюдж.ассигн.'!I$15-'Объемы ассигн на имущ и нал'!I$19)/'Объемы бюдж.ассигн.'!I$15,1)</f>
        <v>7271.3</v>
      </c>
      <c r="K16" s="79">
        <f>1330.1-11.7+5880.1-51.7</f>
        <v>7146.8</v>
      </c>
      <c r="L16" s="78">
        <f>P$13/1000/($K$13+$K$16+$K$24+$K$27+$K$38+$K$41)*$K16</f>
        <v>5624.9365099222086</v>
      </c>
      <c r="M16" s="78">
        <f>Q$13/1000/($K$13+$K$16+$K$24+$K$27+$K$38+$K$41)*$K16</f>
        <v>6794.7311645175396</v>
      </c>
      <c r="N16" s="78">
        <f>R$13/1000/($K$13+$K$16+$K$24+$K$27+$K$38+$K$41)*$K16</f>
        <v>7023.0965169905912</v>
      </c>
      <c r="O16" s="78">
        <f>S$13/1000/($K$13+$K$16+$K$24+$K$27+$K$38+$K$41)*$K16</f>
        <v>7335.0658828723563</v>
      </c>
      <c r="P16" s="64"/>
      <c r="Q16" s="64"/>
      <c r="R16" s="64"/>
      <c r="S16" s="64"/>
      <c r="T16" s="64"/>
    </row>
    <row r="17" spans="1:20" ht="42" customHeight="1">
      <c r="A17" s="141"/>
      <c r="B17" s="68" t="s">
        <v>141</v>
      </c>
      <c r="C17" s="68" t="s">
        <v>140</v>
      </c>
      <c r="D17" s="68" t="s">
        <v>133</v>
      </c>
      <c r="E17" s="68" t="s">
        <v>160</v>
      </c>
      <c r="F17" s="68" t="s">
        <v>120</v>
      </c>
      <c r="G17" s="79">
        <f>ROUND(L17*('Объемы бюдж.ассигн.'!F$15-'Объемы ассигн на имущ и нал'!F$19)/'Объемы бюдж.ассигн.'!F$15,1)</f>
        <v>462</v>
      </c>
      <c r="H17" s="79">
        <f>ROUND(M17*('Объемы бюдж.ассигн.'!G$15-'Объемы ассигн на имущ и нал'!G$19)/'Объемы бюдж.ассигн.'!G$15,1)</f>
        <v>474.7</v>
      </c>
      <c r="I17" s="79">
        <f>ROUND(N17*('Объемы бюдж.ассигн.'!H$15-'Объемы ассигн на имущ и нал'!H$19)/'Объемы бюдж.ассигн.'!H$15,1)</f>
        <v>483.9</v>
      </c>
      <c r="J17" s="79">
        <f>ROUND(O17*('Объемы бюдж.ассигн.'!I$15-'Объемы ассигн на имущ и нал'!I$19)/'Объемы бюдж.ассигн.'!I$15,1)</f>
        <v>498</v>
      </c>
      <c r="K17" s="79">
        <f>491.2-4.3</f>
        <v>486.9</v>
      </c>
      <c r="L17" s="78">
        <f>P$11/1000/($K$11+$K$14+$K$17+$K$21+$K$25+$K$28+$K$31+$K$33+$K$36+$K$39+$K$42+$K$45+$K$50+$K$53+$K$55)*$K17</f>
        <v>466.87689224133277</v>
      </c>
      <c r="M17" s="78">
        <f>Q$11/1000/($K$11+$K$14+$K$17+$K$21+$K$25+$K$28+$K$31+$K$33+$K$36+$K$39+$K$42+$K$45+$K$50+$K$53+$K$55)*$K17</f>
        <v>479.16845025874426</v>
      </c>
      <c r="N17" s="78">
        <f>R$11/1000/($K$11+$K$14+$K$17+$K$21+$K$25+$K$28+$K$31+$K$33+$K$36+$K$39+$K$42+$K$45+$K$50+$K$53+$K$55)*$K17</f>
        <v>488.2871009225762</v>
      </c>
      <c r="O17" s="78">
        <f>S$11/1000/($K$11+$K$14+$K$17+$K$21+$K$25+$K$28+$K$31+$K$33+$K$36+$K$39+$K$42+$K$45+$K$50+$K$53+$K$55)*$K17</f>
        <v>502.36232812095261</v>
      </c>
      <c r="P17" s="64"/>
      <c r="Q17" s="64"/>
      <c r="R17" s="64"/>
      <c r="S17" s="64"/>
      <c r="T17" s="64"/>
    </row>
    <row r="18" spans="1:20" ht="24.6" customHeight="1">
      <c r="A18" s="84" t="s">
        <v>41</v>
      </c>
      <c r="B18" s="83"/>
      <c r="C18" s="83"/>
      <c r="D18" s="83"/>
      <c r="E18" s="83"/>
      <c r="F18" s="82"/>
      <c r="G18" s="79">
        <f>SUM(G16:G17)</f>
        <v>6028.7</v>
      </c>
      <c r="H18" s="79">
        <f>SUM(H16:H17)</f>
        <v>7206.7</v>
      </c>
      <c r="I18" s="79">
        <f>SUM(I16:I17)</f>
        <v>7443.7999999999993</v>
      </c>
      <c r="J18" s="79">
        <f>SUM(J16:J17)</f>
        <v>7769.3</v>
      </c>
      <c r="K18" s="79">
        <f>SUM(K16:K17)</f>
        <v>7633.7</v>
      </c>
      <c r="L18" s="78"/>
      <c r="M18" s="78"/>
      <c r="N18" s="78"/>
      <c r="O18" s="78"/>
      <c r="P18" s="64"/>
      <c r="Q18" s="64"/>
      <c r="R18" s="64"/>
      <c r="S18" s="64"/>
      <c r="T18" s="64"/>
    </row>
    <row r="19" spans="1:20" ht="48.75" customHeight="1">
      <c r="A19" s="147" t="s">
        <v>189</v>
      </c>
      <c r="B19" s="68" t="s">
        <v>141</v>
      </c>
      <c r="C19" s="68" t="s">
        <v>140</v>
      </c>
      <c r="D19" s="68" t="s">
        <v>133</v>
      </c>
      <c r="E19" s="68" t="s">
        <v>134</v>
      </c>
      <c r="F19" s="68" t="s">
        <v>120</v>
      </c>
      <c r="G19" s="79">
        <f>ROUND(L19*('Объемы бюдж.ассигн.'!F$14-'Объемы ассигн на имущ и нал'!F$18)/'Объемы бюдж.ассигн.'!F$14,1)</f>
        <v>9159.7999999999993</v>
      </c>
      <c r="H19" s="79">
        <f>ROUND(M19*('Объемы бюдж.ассигн.'!G$14-'Объемы ассигн на имущ и нал'!G$18)/'Объемы бюдж.ассигн.'!G$14,1)</f>
        <v>8908.1</v>
      </c>
      <c r="I19" s="79">
        <f>ROUND(N19*('Объемы бюдж.ассигн.'!H$14-'Объемы ассигн на имущ и нал'!H$18)/'Объемы бюдж.ассигн.'!H$14,1)</f>
        <v>9133.7000000000007</v>
      </c>
      <c r="J19" s="79">
        <f>ROUND(O19*('Объемы бюдж.ассигн.'!I$14-'Объемы ассигн на имущ и нал'!I$18)/'Объемы бюдж.ассигн.'!I$14,1)</f>
        <v>9457.5</v>
      </c>
      <c r="K19" s="79">
        <f>7585.5-66.8</f>
        <v>7518.7</v>
      </c>
      <c r="L19" s="78">
        <f>P$19/1000/($K$19+$K$23+$K$52)*$K19</f>
        <v>9226.5363009054636</v>
      </c>
      <c r="M19" s="78">
        <f>Q$19/1000/($K$19+$K$23+$K$52)*$K19</f>
        <v>8978.6019977008291</v>
      </c>
      <c r="N19" s="78">
        <f>R$19/1000/($K$19+$K$23+$K$52)*$K19</f>
        <v>9204.1476360715569</v>
      </c>
      <c r="O19" s="78">
        <f>S$19/1000/($K$19+$K$23+$K$52)*$K19</f>
        <v>9527.9549579932136</v>
      </c>
      <c r="P19" s="64">
        <v>139944983.69999999</v>
      </c>
      <c r="Q19" s="64">
        <v>136184400</v>
      </c>
      <c r="R19" s="64">
        <v>139605400</v>
      </c>
      <c r="S19" s="64">
        <v>144516800</v>
      </c>
      <c r="T19" s="64"/>
    </row>
    <row r="20" spans="1:20" ht="48.75" customHeight="1">
      <c r="A20" s="148"/>
      <c r="B20" s="68" t="s">
        <v>141</v>
      </c>
      <c r="C20" s="68" t="s">
        <v>140</v>
      </c>
      <c r="D20" s="68" t="s">
        <v>133</v>
      </c>
      <c r="E20" s="68" t="s">
        <v>163</v>
      </c>
      <c r="F20" s="68" t="s">
        <v>114</v>
      </c>
      <c r="G20" s="79">
        <f>ROUND(L20*('Объемы бюдж.ассигн.'!F$16-'Объемы ассигн на имущ и нал'!F$20)/'Объемы бюдж.ассигн.'!F$16,1)</f>
        <v>8783</v>
      </c>
      <c r="H20" s="79">
        <f>ROUND(M20*('Объемы бюдж.ассигн.'!G$16-'Объемы ассигн на имущ и нал'!G$20)/'Объемы бюдж.ассигн.'!G$16,1)</f>
        <v>8436.1</v>
      </c>
      <c r="I20" s="79">
        <f>ROUND(N20*('Объемы бюдж.ассигн.'!H$16-'Объемы ассигн на имущ и нал'!H$20)/'Объемы бюдж.ассигн.'!H$16,1)</f>
        <v>8575</v>
      </c>
      <c r="J20" s="79">
        <f>ROUND(O20*('Объемы бюдж.ассигн.'!I$16-'Объемы ассигн на имущ и нал'!I$20)/'Объемы бюдж.ассигн.'!I$16,1)</f>
        <v>8830.5</v>
      </c>
      <c r="K20" s="79">
        <f>43264.6-380.7-K21-K19</f>
        <v>9567.7999999999993</v>
      </c>
      <c r="L20" s="78">
        <f>P$20/1000/($K$20+$K$35)*$K20</f>
        <v>8842.8790503078526</v>
      </c>
      <c r="M20" s="78">
        <f>Q$20/1000/($K$20+$K$35)*$K20</f>
        <v>8497.3441356261519</v>
      </c>
      <c r="N20" s="78">
        <f>R$20/1000/($K$20+$K$35)*$K20</f>
        <v>8636.1548529180436</v>
      </c>
      <c r="O20" s="78">
        <f>S$20/1000/($K$20+$K$35)*$K20</f>
        <v>8891.9130054174293</v>
      </c>
      <c r="P20" s="64">
        <v>33489500</v>
      </c>
      <c r="Q20" s="64">
        <v>32180900</v>
      </c>
      <c r="R20" s="64">
        <v>32706600</v>
      </c>
      <c r="S20" s="64">
        <v>33675200</v>
      </c>
      <c r="T20" s="64"/>
    </row>
    <row r="21" spans="1:20" ht="48.75" customHeight="1">
      <c r="A21" s="149"/>
      <c r="B21" s="68" t="s">
        <v>141</v>
      </c>
      <c r="C21" s="68" t="s">
        <v>140</v>
      </c>
      <c r="D21" s="68" t="s">
        <v>133</v>
      </c>
      <c r="E21" s="68" t="s">
        <v>160</v>
      </c>
      <c r="F21" s="68" t="s">
        <v>120</v>
      </c>
      <c r="G21" s="79">
        <f>ROUND(L21*('Объемы бюдж.ассигн.'!F$15-'Объемы ассигн на имущ и нал'!F$19)/'Объемы бюдж.ассигн.'!F$15,1)</f>
        <v>24480.400000000001</v>
      </c>
      <c r="H21" s="79">
        <f>ROUND(M21*('Объемы бюдж.ассигн.'!G$15-'Объемы ассигн на имущ и нал'!G$19)/'Объемы бюдж.ассигн.'!G$15,1)</f>
        <v>25153.5</v>
      </c>
      <c r="I21" s="79">
        <f>ROUND(N21*('Объемы бюдж.ассигн.'!H$15-'Объемы ассигн на имущ и нал'!H$19)/'Объемы бюдж.ассигн.'!H$15,1)</f>
        <v>25638.2</v>
      </c>
      <c r="J21" s="79">
        <f>ROUND(O21*('Объемы бюдж.ассигн.'!I$15-'Объемы ассигн на имущ и нал'!I$19)/'Объемы бюдж.ассигн.'!I$15,1)</f>
        <v>26385.3</v>
      </c>
      <c r="K21" s="79">
        <f>ROUND((18045.6-158.8+7910.6016),1)</f>
        <v>25797.4</v>
      </c>
      <c r="L21" s="78">
        <f>P$11/1000/($K$11+$K$14+$K$17+$K$21+$K$25+$K$28+$K$31+$K$33+$K$36+$K$39+$K$42+$K$45+$K$50+$K$53+$K$55)*$K21</f>
        <v>24736.516615129513</v>
      </c>
      <c r="M21" s="78">
        <f>Q$11/1000/($K$11+$K$14+$K$17+$K$21+$K$25+$K$28+$K$31+$K$33+$K$36+$K$39+$K$42+$K$45+$K$50+$K$53+$K$55)*$K21</f>
        <v>25387.759660515363</v>
      </c>
      <c r="N21" s="78">
        <f>R$11/1000/($K$11+$K$14+$K$17+$K$21+$K$25+$K$28+$K$31+$K$33+$K$36+$K$39+$K$42+$K$45+$K$50+$K$53+$K$55)*$K21</f>
        <v>25870.892703512156</v>
      </c>
      <c r="O21" s="78">
        <f>S$11/1000/($K$11+$K$14+$K$17+$K$21+$K$25+$K$28+$K$31+$K$33+$K$36+$K$39+$K$42+$K$45+$K$50+$K$53+$K$55)*$K21</f>
        <v>26616.63980995577</v>
      </c>
      <c r="P21" s="64"/>
      <c r="Q21" s="64"/>
      <c r="R21" s="64"/>
      <c r="S21" s="64"/>
      <c r="T21" s="64"/>
    </row>
    <row r="22" spans="1:20" ht="24.6" customHeight="1">
      <c r="A22" s="84" t="s">
        <v>41</v>
      </c>
      <c r="B22" s="83"/>
      <c r="C22" s="83"/>
      <c r="D22" s="83"/>
      <c r="E22" s="83"/>
      <c r="F22" s="82"/>
      <c r="G22" s="79">
        <f>G19+G20+G21</f>
        <v>42423.199999999997</v>
      </c>
      <c r="H22" s="79">
        <f>H19+H20+H21</f>
        <v>42497.7</v>
      </c>
      <c r="I22" s="79">
        <f>I19+I20+I21</f>
        <v>43346.9</v>
      </c>
      <c r="J22" s="79">
        <f>J19+J20+J21</f>
        <v>44673.3</v>
      </c>
      <c r="K22" s="79">
        <f>K19+K20+K21</f>
        <v>42883.9</v>
      </c>
      <c r="L22" s="78"/>
      <c r="M22" s="78"/>
      <c r="N22" s="78"/>
      <c r="O22" s="78"/>
      <c r="P22" s="64"/>
      <c r="Q22" s="64"/>
      <c r="R22" s="64"/>
      <c r="S22" s="64"/>
      <c r="T22" s="64"/>
    </row>
    <row r="23" spans="1:20" ht="51.75" customHeight="1">
      <c r="A23" s="147" t="s">
        <v>188</v>
      </c>
      <c r="B23" s="68" t="s">
        <v>141</v>
      </c>
      <c r="C23" s="68" t="s">
        <v>140</v>
      </c>
      <c r="D23" s="68" t="s">
        <v>133</v>
      </c>
      <c r="E23" s="68" t="s">
        <v>134</v>
      </c>
      <c r="F23" s="68" t="s">
        <v>120</v>
      </c>
      <c r="G23" s="79">
        <f>ROUND(L23*('Объемы бюдж.ассигн.'!F$14-'Объемы ассигн на имущ и нал'!F$18)/'Объемы бюдж.ассигн.'!F$14,1)</f>
        <v>3500.9</v>
      </c>
      <c r="H23" s="79">
        <f>ROUND(M23*('Объемы бюдж.ассигн.'!G$14-'Объемы ассигн на имущ и нал'!G$18)/'Объемы бюдж.ассигн.'!G$14,1)</f>
        <v>3404.7</v>
      </c>
      <c r="I23" s="79">
        <f>ROUND(N23*('Объемы бюдж.ассигн.'!H$14-'Объемы ассигн на имущ и нал'!H$18)/'Объемы бюдж.ассигн.'!H$14,1)</f>
        <v>3490.9</v>
      </c>
      <c r="J23" s="79">
        <f>ROUND(O23*('Объемы бюдж.ассигн.'!I$14-'Объемы ассигн на имущ и нал'!I$18)/'Объемы бюдж.ассигн.'!I$14,1)</f>
        <v>3614.7</v>
      </c>
      <c r="K23" s="79">
        <f>2899.2-25.5</f>
        <v>2873.7</v>
      </c>
      <c r="L23" s="78">
        <f>P$19/1000/($K$19+$K$23+$K$52)*$K23</f>
        <v>3526.4470410991298</v>
      </c>
      <c r="M23" s="78">
        <f>Q$19/1000/($K$19+$K$23+$K$52)*$K23</f>
        <v>3431.6848073194665</v>
      </c>
      <c r="N23" s="78">
        <f>R$19/1000/($K$19+$K$23+$K$52)*$K23</f>
        <v>3517.889935996759</v>
      </c>
      <c r="O23" s="78">
        <f>S$19/1000/($K$19+$K$23+$K$52)*$K23</f>
        <v>3641.6513709531032</v>
      </c>
      <c r="P23" s="64"/>
      <c r="Q23" s="64"/>
      <c r="R23" s="64"/>
      <c r="S23" s="64"/>
      <c r="T23" s="64"/>
    </row>
    <row r="24" spans="1:20" ht="51.75" customHeight="1">
      <c r="A24" s="148"/>
      <c r="B24" s="68" t="s">
        <v>141</v>
      </c>
      <c r="C24" s="68" t="s">
        <v>140</v>
      </c>
      <c r="D24" s="68" t="s">
        <v>133</v>
      </c>
      <c r="E24" s="68" t="s">
        <v>166</v>
      </c>
      <c r="F24" s="68" t="s">
        <v>120</v>
      </c>
      <c r="G24" s="79">
        <f>ROUND(L24*('Объемы бюдж.ассигн.'!F$15-'Объемы ассигн на имущ и нал'!F$19)/'Объемы бюдж.ассигн.'!F$15,1)</f>
        <v>86518.399999999994</v>
      </c>
      <c r="H24" s="79">
        <f>ROUND(M24*('Объемы бюдж.ассигн.'!G$15-'Объемы ассигн на имущ и нал'!G$19)/'Объемы бюдж.ассигн.'!G$15,1)</f>
        <v>104630.2</v>
      </c>
      <c r="I24" s="79">
        <f>ROUND(N24*('Объемы бюдж.ассигн.'!H$15-'Объемы ассигн на имущ и нал'!H$19)/'Объемы бюдж.ассигн.'!H$15,1)</f>
        <v>108172.1</v>
      </c>
      <c r="J24" s="79">
        <f>ROUND(O24*('Объемы бюдж.ассигн.'!I$15-'Объемы ассигн на имущ и нал'!I$19)/'Объемы бюдж.ассигн.'!I$15,1)</f>
        <v>113011.9</v>
      </c>
      <c r="K24" s="79">
        <f>21669.5-190.7+25597.8-225.3+64812.5-587.1</f>
        <v>111076.69999999998</v>
      </c>
      <c r="L24" s="78">
        <f>P$13/1000/($K$13+$K$16+$K$24+$K$27+$K$38+$K$41)*$K24</f>
        <v>87423.656074281651</v>
      </c>
      <c r="M24" s="78">
        <f>Q$13/1000/($K$13+$K$16+$K$24+$K$27+$K$38+$K$41)*$K24</f>
        <v>105604.790275615</v>
      </c>
      <c r="N24" s="78">
        <f>R$13/1000/($K$13+$K$16+$K$24+$K$27+$K$38+$K$41)*$K24</f>
        <v>109154.08083181406</v>
      </c>
      <c r="O24" s="78">
        <f>S$13/1000/($K$13+$K$16+$K$24+$K$27+$K$38+$K$41)*$K24</f>
        <v>114002.75823474109</v>
      </c>
      <c r="P24" s="64"/>
      <c r="Q24" s="64"/>
      <c r="R24" s="64"/>
      <c r="S24" s="64"/>
      <c r="T24" s="64"/>
    </row>
    <row r="25" spans="1:20" ht="51.75" customHeight="1">
      <c r="A25" s="149"/>
      <c r="B25" s="68" t="s">
        <v>141</v>
      </c>
      <c r="C25" s="68" t="s">
        <v>140</v>
      </c>
      <c r="D25" s="68" t="s">
        <v>133</v>
      </c>
      <c r="E25" s="68" t="s">
        <v>160</v>
      </c>
      <c r="F25" s="68" t="s">
        <v>120</v>
      </c>
      <c r="G25" s="79">
        <f>ROUND(L25*('Объемы бюдж.ассигн.'!F$15-'Объемы ассигн на имущ и нал'!F$19)/'Объемы бюдж.ассигн.'!F$15,1)</f>
        <v>36178</v>
      </c>
      <c r="H25" s="79">
        <f>ROUND(M25*('Объемы бюдж.ассигн.'!G$15-'Объемы ассигн на имущ и нал'!G$19)/'Объемы бюдж.ассигн.'!G$15,1)</f>
        <v>37172.800000000003</v>
      </c>
      <c r="I25" s="79">
        <f>ROUND(N25*('Объемы бюдж.ассигн.'!H$15-'Объемы ассигн на имущ и нал'!H$19)/'Объемы бюдж.ассигн.'!H$15,1)</f>
        <v>37889.1</v>
      </c>
      <c r="J25" s="79">
        <f>ROUND(O25*('Объемы бюдж.ассигн.'!I$15-'Объемы ассигн на имущ и нал'!I$19)/'Объемы бюдж.ассигн.'!I$15,1)</f>
        <v>38993.199999999997</v>
      </c>
      <c r="K25" s="79">
        <f>ROUND((152553.1-1359.3-K23-K24+881.004),1)</f>
        <v>38124.400000000001</v>
      </c>
      <c r="L25" s="78">
        <f>P$11/1000/($K$11+$K$14+$K$17+$K$21+$K$25+$K$28+$K$31+$K$33+$K$36+$K$39+$K$42+$K$45+$K$50+$K$53+$K$55)*$K25</f>
        <v>36556.585316421173</v>
      </c>
      <c r="M25" s="78">
        <f>Q$11/1000/($K$11+$K$14+$K$17+$K$21+$K$25+$K$28+$K$31+$K$33+$K$36+$K$39+$K$42+$K$45+$K$50+$K$53+$K$55)*$K25</f>
        <v>37519.01759097242</v>
      </c>
      <c r="N25" s="78">
        <f>R$11/1000/($K$11+$K$14+$K$17+$K$21+$K$25+$K$28+$K$31+$K$33+$K$36+$K$39+$K$42+$K$45+$K$50+$K$53+$K$55)*$K25</f>
        <v>38233.010372587116</v>
      </c>
      <c r="O25" s="78">
        <f>S$11/1000/($K$11+$K$14+$K$17+$K$21+$K$25+$K$28+$K$31+$K$33+$K$36+$K$39+$K$42+$K$45+$K$50+$K$53+$K$55)*$K25</f>
        <v>39335.104420239164</v>
      </c>
      <c r="P25" s="64"/>
      <c r="Q25" s="64"/>
      <c r="R25" s="64"/>
      <c r="S25" s="64"/>
      <c r="T25" s="64"/>
    </row>
    <row r="26" spans="1:20" ht="24.6" customHeight="1">
      <c r="A26" s="84" t="s">
        <v>41</v>
      </c>
      <c r="B26" s="83"/>
      <c r="C26" s="83"/>
      <c r="D26" s="83"/>
      <c r="E26" s="83"/>
      <c r="F26" s="82"/>
      <c r="G26" s="79">
        <f>G23+G24+G25</f>
        <v>126197.29999999999</v>
      </c>
      <c r="H26" s="79">
        <f>H23+H24+H25</f>
        <v>145207.70000000001</v>
      </c>
      <c r="I26" s="79">
        <f>I23+I24+I25</f>
        <v>149552.1</v>
      </c>
      <c r="J26" s="79">
        <f>J23+J24+J25</f>
        <v>155619.79999999999</v>
      </c>
      <c r="K26" s="79">
        <f>K23+K24+K25</f>
        <v>152074.79999999999</v>
      </c>
      <c r="L26" s="78"/>
      <c r="M26" s="78"/>
      <c r="N26" s="78"/>
      <c r="O26" s="78"/>
      <c r="P26" s="64"/>
      <c r="Q26" s="64"/>
      <c r="R26" s="64"/>
      <c r="S26" s="64"/>
      <c r="T26" s="64"/>
    </row>
    <row r="27" spans="1:20" ht="75.75" customHeight="1">
      <c r="A27" s="150" t="s">
        <v>187</v>
      </c>
      <c r="B27" s="68" t="s">
        <v>141</v>
      </c>
      <c r="C27" s="68" t="s">
        <v>140</v>
      </c>
      <c r="D27" s="68" t="s">
        <v>133</v>
      </c>
      <c r="E27" s="68" t="s">
        <v>166</v>
      </c>
      <c r="F27" s="68" t="s">
        <v>120</v>
      </c>
      <c r="G27" s="79">
        <f>ROUND(L27*('Объемы бюдж.ассигн.'!F$15-'Объемы ассигн на имущ и нал'!F$19)/'Объемы бюдж.ассигн.'!F$15,1)</f>
        <v>31657.9</v>
      </c>
      <c r="H27" s="79">
        <f>ROUND(M27*('Объемы бюдж.ассигн.'!G$15-'Объемы ассигн на имущ и нал'!G$19)/'Объемы бюдж.ассигн.'!G$15,1)</f>
        <v>38285.199999999997</v>
      </c>
      <c r="I27" s="79">
        <f>ROUND(N27*('Объемы бюдж.ассигн.'!H$15-'Объемы ассигн на имущ и нал'!H$19)/'Объемы бюдж.ассигн.'!H$15,1)</f>
        <v>39581.199999999997</v>
      </c>
      <c r="J27" s="79">
        <f>ROUND(O27*('Объемы бюдж.ассигн.'!I$15-'Объемы ассигн на имущ и нал'!I$19)/'Объемы бюдж.ассигн.'!I$15,1)</f>
        <v>41352.1</v>
      </c>
      <c r="K27" s="79">
        <f>9287.1-81.7+10328.7-90.9+21389-188.2</f>
        <v>40644</v>
      </c>
      <c r="L27" s="78">
        <f>P$13/1000/($K$13+$K$16+$K$24+$K$27+$K$38+$K$41)*$K27</f>
        <v>31989.13073113537</v>
      </c>
      <c r="M27" s="78">
        <f>Q$13/1000/($K$13+$K$16+$K$24+$K$27+$K$38+$K$41)*$K27</f>
        <v>38641.777222064542</v>
      </c>
      <c r="N27" s="78">
        <f>R$13/1000/($K$13+$K$16+$K$24+$K$27+$K$38+$K$41)*$K27</f>
        <v>39940.49572347982</v>
      </c>
      <c r="O27" s="78">
        <f>S$13/1000/($K$13+$K$16+$K$24+$K$27+$K$38+$K$41)*$K27</f>
        <v>41714.671985149158</v>
      </c>
      <c r="P27" s="64"/>
      <c r="Q27" s="64"/>
      <c r="R27" s="64"/>
      <c r="S27" s="64"/>
      <c r="T27" s="64"/>
    </row>
    <row r="28" spans="1:20" ht="75.75" customHeight="1">
      <c r="A28" s="151"/>
      <c r="B28" s="68" t="s">
        <v>141</v>
      </c>
      <c r="C28" s="68" t="s">
        <v>140</v>
      </c>
      <c r="D28" s="68" t="s">
        <v>133</v>
      </c>
      <c r="E28" s="68" t="s">
        <v>160</v>
      </c>
      <c r="F28" s="68" t="s">
        <v>120</v>
      </c>
      <c r="G28" s="79">
        <f>ROUND(L28*('Объемы бюдж.ассигн.'!F$15-'Объемы ассигн на имущ и нал'!F$19)/'Объемы бюдж.ассигн.'!F$15,1)</f>
        <v>12645</v>
      </c>
      <c r="H28" s="79">
        <f>ROUND(M28*('Объемы бюдж.ассигн.'!G$15-'Объемы ассигн на имущ и нал'!G$19)/'Объемы бюдж.ассигн.'!G$15,1)</f>
        <v>12992.7</v>
      </c>
      <c r="I28" s="79">
        <f>ROUND(N28*('Объемы бюдж.ассигн.'!H$15-'Объемы ассигн на имущ и нал'!H$19)/'Объемы бюдж.ассигн.'!H$15,1)</f>
        <v>13243</v>
      </c>
      <c r="J28" s="79">
        <f>ROUND(O28*('Объемы бюдж.ассигн.'!I$15-'Объемы ассигн на имущ и нал'!I$19)/'Объемы бюдж.ассигн.'!I$15,1)</f>
        <v>13629</v>
      </c>
      <c r="K28" s="79">
        <f>53969.3-K27</f>
        <v>13325.300000000003</v>
      </c>
      <c r="L28" s="78">
        <f>P$11/1000/($K$11+$K$14+$K$17+$K$21+$K$25+$K$28+$K$31+$K$33+$K$36+$K$39+$K$42+$K$45+$K$50+$K$53+$K$55)*$K28</f>
        <v>12777.314956219827</v>
      </c>
      <c r="M28" s="78">
        <f>Q$11/1000/($K$11+$K$14+$K$17+$K$21+$K$25+$K$28+$K$31+$K$33+$K$36+$K$39+$K$42+$K$45+$K$50+$K$53+$K$55)*$K28</f>
        <v>13113.705792221906</v>
      </c>
      <c r="N28" s="78">
        <f>R$11/1000/($K$11+$K$14+$K$17+$K$21+$K$25+$K$28+$K$31+$K$33+$K$36+$K$39+$K$42+$K$45+$K$50+$K$53+$K$55)*$K28</f>
        <v>13363.261667536673</v>
      </c>
      <c r="O28" s="78">
        <f>S$11/1000/($K$11+$K$14+$K$17+$K$21+$K$25+$K$28+$K$31+$K$33+$K$36+$K$39+$K$42+$K$45+$K$50+$K$53+$K$55)*$K28</f>
        <v>13748.467305216947</v>
      </c>
      <c r="P28" s="64"/>
      <c r="Q28" s="64"/>
      <c r="R28" s="64"/>
      <c r="S28" s="64"/>
      <c r="T28" s="64"/>
    </row>
    <row r="29" spans="1:20" ht="24.6" customHeight="1">
      <c r="A29" s="84" t="s">
        <v>41</v>
      </c>
      <c r="B29" s="88"/>
      <c r="C29" s="88"/>
      <c r="D29" s="88"/>
      <c r="E29" s="88"/>
      <c r="F29" s="87"/>
      <c r="G29" s="79">
        <f>SUM(G27:G28)</f>
        <v>44302.9</v>
      </c>
      <c r="H29" s="79">
        <f>SUM(H27:H28)</f>
        <v>51277.899999999994</v>
      </c>
      <c r="I29" s="79">
        <f>SUM(I27:I28)</f>
        <v>52824.2</v>
      </c>
      <c r="J29" s="79">
        <f>SUM(J27:J28)</f>
        <v>54981.1</v>
      </c>
      <c r="K29" s="79">
        <f>SUM(K27:K28)</f>
        <v>53969.3</v>
      </c>
      <c r="L29" s="78"/>
      <c r="M29" s="78"/>
      <c r="N29" s="78"/>
      <c r="O29" s="78"/>
      <c r="P29" s="64"/>
      <c r="Q29" s="64"/>
      <c r="R29" s="64"/>
      <c r="S29" s="64"/>
      <c r="T29" s="64"/>
    </row>
    <row r="30" spans="1:20" ht="76.5" customHeight="1">
      <c r="A30" s="150" t="s">
        <v>186</v>
      </c>
      <c r="B30" s="68" t="s">
        <v>141</v>
      </c>
      <c r="C30" s="68" t="s">
        <v>140</v>
      </c>
      <c r="D30" s="68" t="s">
        <v>133</v>
      </c>
      <c r="E30" s="68" t="s">
        <v>132</v>
      </c>
      <c r="F30" s="68" t="s">
        <v>120</v>
      </c>
      <c r="G30" s="79">
        <f>ROUND(L30*('Объемы бюдж.ассигн.'!F$15-'Объемы ассигн на имущ и нал'!F$19)/'Объемы бюдж.ассигн.'!F$15,1)</f>
        <v>37706.800000000003</v>
      </c>
      <c r="H30" s="79">
        <f>ROUND(M30*('Объемы бюдж.ассигн.'!G$15-'Объемы ассигн на имущ и нал'!G$19)/'Объемы бюдж.ассигн.'!G$15,1)</f>
        <v>38892.5</v>
      </c>
      <c r="I30" s="79">
        <f>ROUND(N30*('Объемы бюдж.ассигн.'!H$15-'Объемы ассигн на имущ и нал'!H$19)/'Объемы бюдж.ассигн.'!H$15,1)</f>
        <v>39893.5</v>
      </c>
      <c r="J30" s="79">
        <f>ROUND(O30*('Объемы бюдж.ассигн.'!I$15-'Объемы ассигн на имущ и нал'!I$19)/'Объемы бюдж.ассигн.'!I$15,1)</f>
        <v>41067.599999999999</v>
      </c>
      <c r="K30" s="79">
        <f>38556.2-339.3</f>
        <v>38216.899999999994</v>
      </c>
      <c r="L30" s="78">
        <f>P$30/1000/($K$30+$K$44)*$K30</f>
        <v>38101.382007414235</v>
      </c>
      <c r="M30" s="78">
        <f>Q$30/1000/($K$30+$K$44)*$K30</f>
        <v>39254.78790695715</v>
      </c>
      <c r="N30" s="78">
        <f>R$30/1000/($K$30+$K$44)*$K30</f>
        <v>40255.668799860949</v>
      </c>
      <c r="O30" s="78">
        <f>S$30/1000/($K$30+$K$44)*$K30</f>
        <v>41427.681347495367</v>
      </c>
      <c r="P30" s="64">
        <v>92352600</v>
      </c>
      <c r="Q30" s="64">
        <v>95148300</v>
      </c>
      <c r="R30" s="64">
        <v>97574300</v>
      </c>
      <c r="S30" s="64">
        <v>100415100</v>
      </c>
      <c r="T30" s="64"/>
    </row>
    <row r="31" spans="1:20" ht="76.5" customHeight="1">
      <c r="A31" s="151"/>
      <c r="B31" s="68" t="s">
        <v>141</v>
      </c>
      <c r="C31" s="68" t="s">
        <v>140</v>
      </c>
      <c r="D31" s="68" t="s">
        <v>133</v>
      </c>
      <c r="E31" s="68" t="s">
        <v>160</v>
      </c>
      <c r="F31" s="68" t="s">
        <v>120</v>
      </c>
      <c r="G31" s="79">
        <f>ROUND(L31*('Объемы бюдж.ассигн.'!F$15-'Объемы ассигн на имущ и нал'!F$19)/'Объемы бюдж.ассигн.'!F$15,1)</f>
        <v>23635.3</v>
      </c>
      <c r="H31" s="79">
        <f>ROUND(M31*('Объемы бюдж.ассигн.'!G$15-'Объемы ассигн на имущ и нал'!G$19)/'Объемы бюдж.ассигн.'!G$15,1)</f>
        <v>24285.200000000001</v>
      </c>
      <c r="I31" s="79">
        <f>ROUND(N31*('Объемы бюдж.ассигн.'!H$15-'Объемы ассигн на имущ и нал'!H$19)/'Объемы бюдж.ассигн.'!H$15,1)</f>
        <v>24753.1</v>
      </c>
      <c r="J31" s="79">
        <f>ROUND(O31*('Объемы бюдж.ассигн.'!I$15-'Объемы ассигн на имущ и нал'!I$19)/'Объемы бюдж.ассигн.'!I$15,1)</f>
        <v>25474.5</v>
      </c>
      <c r="K31" s="79">
        <f>63123.8-K30</f>
        <v>24906.900000000009</v>
      </c>
      <c r="L31" s="78">
        <f>P$11/1000/($K$11+$K$14+$K$17+$K$21+$K$25+$K$28+$K$31+$K$33+$K$36+$K$39+$K$42+$K$45+$K$50+$K$53+$K$55)*$K31</f>
        <v>23882.637230161545</v>
      </c>
      <c r="M31" s="78">
        <f>Q$11/1000/($K$11+$K$14+$K$17+$K$21+$K$25+$K$28+$K$31+$K$33+$K$36+$K$39+$K$42+$K$45+$K$50+$K$53+$K$55)*$K31</f>
        <v>24511.400028238902</v>
      </c>
      <c r="N31" s="78">
        <f>R$11/1000/($K$11+$K$14+$K$17+$K$21+$K$25+$K$28+$K$31+$K$33+$K$36+$K$39+$K$42+$K$45+$K$50+$K$53+$K$55)*$K31</f>
        <v>24977.855810163317</v>
      </c>
      <c r="O31" s="78">
        <f>S$11/1000/($K$11+$K$14+$K$17+$K$21+$K$25+$K$28+$K$31+$K$33+$K$36+$K$39+$K$42+$K$45+$K$50+$K$53+$K$55)*$K31</f>
        <v>25697.860485265475</v>
      </c>
      <c r="P31" s="64"/>
      <c r="Q31" s="64"/>
      <c r="R31" s="64"/>
      <c r="S31" s="64"/>
      <c r="T31" s="64"/>
    </row>
    <row r="32" spans="1:20" ht="24.6" customHeight="1">
      <c r="A32" s="84" t="s">
        <v>41</v>
      </c>
      <c r="B32" s="83"/>
      <c r="C32" s="83"/>
      <c r="D32" s="83"/>
      <c r="E32" s="83"/>
      <c r="F32" s="82"/>
      <c r="G32" s="79">
        <f>SUM(G30:G31)</f>
        <v>61342.100000000006</v>
      </c>
      <c r="H32" s="79">
        <f>SUM(H30:H31)</f>
        <v>63177.7</v>
      </c>
      <c r="I32" s="79">
        <f>SUM(I30:I31)</f>
        <v>64646.6</v>
      </c>
      <c r="J32" s="79">
        <f>SUM(J30:J31)</f>
        <v>66542.100000000006</v>
      </c>
      <c r="K32" s="79">
        <f>SUM(K30:K31)</f>
        <v>63123.8</v>
      </c>
      <c r="L32" s="78"/>
      <c r="M32" s="78"/>
      <c r="N32" s="78"/>
      <c r="O32" s="78"/>
      <c r="P32" s="64"/>
      <c r="Q32" s="64"/>
      <c r="R32" s="64"/>
      <c r="S32" s="64"/>
      <c r="T32" s="64"/>
    </row>
    <row r="33" spans="1:20" ht="82.5">
      <c r="A33" s="80" t="s">
        <v>185</v>
      </c>
      <c r="B33" s="68" t="s">
        <v>141</v>
      </c>
      <c r="C33" s="68" t="s">
        <v>140</v>
      </c>
      <c r="D33" s="68" t="s">
        <v>133</v>
      </c>
      <c r="E33" s="68" t="s">
        <v>160</v>
      </c>
      <c r="F33" s="68" t="s">
        <v>120</v>
      </c>
      <c r="G33" s="79">
        <f>ROUND(L33*('Объемы бюдж.ассигн.'!F$15-'Объемы ассигн на имущ и нал'!F$19)/'Объемы бюдж.ассигн.'!F$15,1)</f>
        <v>928.4</v>
      </c>
      <c r="H33" s="79">
        <f>ROUND(M33*('Объемы бюдж.ассигн.'!G$15-'Объемы ассигн на имущ и нал'!G$19)/'Объемы бюдж.ассигн.'!G$15,1)</f>
        <v>953.9</v>
      </c>
      <c r="I33" s="79">
        <f>ROUND(N33*('Объемы бюдж.ассигн.'!H$15-'Объемы ассигн на имущ и нал'!H$19)/'Объемы бюдж.ассигн.'!H$15,1)</f>
        <v>972.3</v>
      </c>
      <c r="J33" s="79">
        <f>ROUND(O33*('Объемы бюдж.ассигн.'!I$15-'Объемы ассигн на имущ и нал'!I$19)/'Объемы бюдж.ассигн.'!I$15,1)</f>
        <v>1000.6</v>
      </c>
      <c r="K33" s="79">
        <v>978.3</v>
      </c>
      <c r="L33" s="78">
        <f>P$11/1000/($K$11+$K$14+$K$17+$K$21+$K$25+$K$28+$K$31+$K$33+$K$36+$K$39+$K$42+$K$45+$K$50+$K$53+$K$55)*$K33</f>
        <v>938.06872803387932</v>
      </c>
      <c r="M33" s="78">
        <f>Q$11/1000/($K$11+$K$14+$K$17+$K$21+$K$25+$K$28+$K$31+$K$33+$K$36+$K$39+$K$42+$K$45+$K$50+$K$53+$K$55)*$K33</f>
        <v>962.76544442006468</v>
      </c>
      <c r="N33" s="78">
        <f>R$11/1000/($K$11+$K$14+$K$17+$K$21+$K$25+$K$28+$K$31+$K$33+$K$36+$K$39+$K$42+$K$45+$K$50+$K$53+$K$55)*$K33</f>
        <v>981.08702163186751</v>
      </c>
      <c r="O33" s="78">
        <f>S$11/1000/($K$11+$K$14+$K$17+$K$21+$K$25+$K$28+$K$31+$K$33+$K$36+$K$39+$K$42+$K$45+$K$50+$K$53+$K$55)*$K33</f>
        <v>1009.3675613077181</v>
      </c>
      <c r="P33" s="64"/>
      <c r="Q33" s="64"/>
      <c r="R33" s="64"/>
      <c r="S33" s="64"/>
      <c r="T33" s="64"/>
    </row>
    <row r="34" spans="1:20" ht="24.6" customHeight="1">
      <c r="A34" s="84" t="s">
        <v>41</v>
      </c>
      <c r="B34" s="83"/>
      <c r="C34" s="83"/>
      <c r="D34" s="83"/>
      <c r="E34" s="83"/>
      <c r="F34" s="82"/>
      <c r="G34" s="79">
        <f>G33</f>
        <v>928.4</v>
      </c>
      <c r="H34" s="79">
        <f>H33</f>
        <v>953.9</v>
      </c>
      <c r="I34" s="79">
        <f>I33</f>
        <v>972.3</v>
      </c>
      <c r="J34" s="79">
        <f>J33</f>
        <v>1000.6</v>
      </c>
      <c r="K34" s="79">
        <f>K33</f>
        <v>978.3</v>
      </c>
      <c r="L34" s="78"/>
      <c r="M34" s="78"/>
      <c r="N34" s="78"/>
      <c r="O34" s="78"/>
      <c r="P34" s="64"/>
      <c r="Q34" s="64"/>
      <c r="R34" s="64"/>
      <c r="S34" s="64"/>
      <c r="T34" s="64"/>
    </row>
    <row r="35" spans="1:20" ht="85.5" customHeight="1">
      <c r="A35" s="147" t="s">
        <v>184</v>
      </c>
      <c r="B35" s="68" t="s">
        <v>141</v>
      </c>
      <c r="C35" s="68" t="s">
        <v>140</v>
      </c>
      <c r="D35" s="68" t="s">
        <v>133</v>
      </c>
      <c r="E35" s="68" t="s">
        <v>163</v>
      </c>
      <c r="F35" s="68" t="s">
        <v>114</v>
      </c>
      <c r="G35" s="79">
        <f>ROUND(L35*('Объемы бюдж.ассигн.'!F$16-'Объемы ассигн на имущ и нал'!F$20)/'Объемы бюдж.ассигн.'!F$16,1)</f>
        <v>24479.599999999999</v>
      </c>
      <c r="H35" s="79">
        <f>ROUND(M35*('Объемы бюдж.ассигн.'!G$16-'Объемы ассигн на имущ и нал'!G$20)/'Объемы бюдж.ассигн.'!G$16,1)</f>
        <v>23513</v>
      </c>
      <c r="I35" s="79">
        <f>ROUND(N35*('Объемы бюдж.ассигн.'!H$16-'Объемы ассигн на имущ и нал'!H$20)/'Объемы бюдж.ассигн.'!H$16,1)</f>
        <v>23900</v>
      </c>
      <c r="J35" s="79">
        <f>ROUND(O35*('Объемы бюдж.ассигн.'!I$16-'Объемы ассигн на имущ и нал'!I$20)/'Объемы бюдж.ассигн.'!I$16,1)</f>
        <v>24612</v>
      </c>
      <c r="K35" s="79">
        <f>ROUND((18344.4+8322.7016),1)</f>
        <v>26667.1</v>
      </c>
      <c r="L35" s="78">
        <f>P$20/1000/($K$20+$K$35)*$K35</f>
        <v>24646.620949692147</v>
      </c>
      <c r="M35" s="78">
        <f>Q$20/1000/($K$20+$K$35)*$K35</f>
        <v>23683.555864373851</v>
      </c>
      <c r="N35" s="78">
        <f>R$20/1000/($K$20+$K$35)*$K35</f>
        <v>24070.445147081959</v>
      </c>
      <c r="O35" s="78">
        <f>S$20/1000/($K$20+$K$35)*$K35</f>
        <v>24783.28699458257</v>
      </c>
      <c r="P35" s="64"/>
      <c r="Q35" s="64"/>
      <c r="R35" s="64"/>
      <c r="S35" s="64"/>
      <c r="T35" s="64"/>
    </row>
    <row r="36" spans="1:20" ht="85.5" customHeight="1">
      <c r="A36" s="149"/>
      <c r="B36" s="68" t="s">
        <v>141</v>
      </c>
      <c r="C36" s="68" t="s">
        <v>140</v>
      </c>
      <c r="D36" s="68" t="s">
        <v>133</v>
      </c>
      <c r="E36" s="68" t="s">
        <v>160</v>
      </c>
      <c r="F36" s="68" t="s">
        <v>120</v>
      </c>
      <c r="G36" s="79">
        <f>ROUND(L36*('Объемы бюдж.ассигн.'!F$15-'Объемы ассигн на имущ и нал'!F$19)/'Объемы бюдж.ассигн.'!F$15,1)</f>
        <v>28624.799999999999</v>
      </c>
      <c r="H36" s="79">
        <f>ROUND(M36*('Объемы бюдж.ассигн.'!G$15-'Объемы ассигн на имущ и нал'!G$19)/'Объемы бюдж.ассигн.'!G$15,1)</f>
        <v>29411.8</v>
      </c>
      <c r="I36" s="79">
        <f>ROUND(N36*('Объемы бюдж.ассигн.'!H$15-'Объемы ассигн на имущ и нал'!H$19)/'Объемы бюдж.ассигн.'!H$15,1)</f>
        <v>29978.6</v>
      </c>
      <c r="J36" s="79">
        <f>ROUND(O36*('Объемы бюдж.ассигн.'!I$15-'Объемы ассигн на имущ и нал'!I$19)/'Объемы бюдж.ассигн.'!I$15,1)</f>
        <v>30852.2</v>
      </c>
      <c r="K36" s="79">
        <f>30576.9-412.1</f>
        <v>30164.800000000003</v>
      </c>
      <c r="L36" s="78">
        <f>P$11/1000/($K$11+$K$14+$K$17+$K$21+$K$25+$K$28+$K$31+$K$33+$K$36+$K$39+$K$42+$K$45+$K$50+$K$53+$K$55)*$K36</f>
        <v>28924.31316303421</v>
      </c>
      <c r="M36" s="78">
        <f>Q$11/1000/($K$11+$K$14+$K$17+$K$21+$K$25+$K$28+$K$31+$K$33+$K$36+$K$39+$K$42+$K$45+$K$50+$K$53+$K$55)*$K36</f>
        <v>29685.809136095646</v>
      </c>
      <c r="N36" s="78">
        <f>R$11/1000/($K$11+$K$14+$K$17+$K$21+$K$25+$K$28+$K$31+$K$33+$K$36+$K$39+$K$42+$K$45+$K$50+$K$53+$K$55)*$K36</f>
        <v>30250.734733845409</v>
      </c>
      <c r="O36" s="78">
        <f>S$11/1000/($K$11+$K$14+$K$17+$K$21+$K$25+$K$28+$K$31+$K$33+$K$36+$K$39+$K$42+$K$45+$K$50+$K$53+$K$55)*$K36</f>
        <v>31122.733939829359</v>
      </c>
      <c r="P36" s="64"/>
      <c r="Q36" s="64"/>
      <c r="R36" s="64"/>
      <c r="S36" s="64"/>
      <c r="T36" s="64"/>
    </row>
    <row r="37" spans="1:20" ht="24.6" customHeight="1">
      <c r="A37" s="84" t="s">
        <v>41</v>
      </c>
      <c r="B37" s="83"/>
      <c r="C37" s="83"/>
      <c r="D37" s="83"/>
      <c r="E37" s="83"/>
      <c r="F37" s="82"/>
      <c r="G37" s="79">
        <f>G35+G36</f>
        <v>53104.399999999994</v>
      </c>
      <c r="H37" s="79">
        <f>H35+H36</f>
        <v>52924.800000000003</v>
      </c>
      <c r="I37" s="79">
        <f>I35+I36</f>
        <v>53878.6</v>
      </c>
      <c r="J37" s="79">
        <f>J35+J36</f>
        <v>55464.2</v>
      </c>
      <c r="K37" s="79">
        <f>K35+K36</f>
        <v>56831.9</v>
      </c>
      <c r="L37" s="78"/>
      <c r="M37" s="78"/>
      <c r="N37" s="78"/>
      <c r="O37" s="78"/>
      <c r="P37" s="64"/>
      <c r="Q37" s="64"/>
      <c r="R37" s="64"/>
      <c r="S37" s="64"/>
      <c r="T37" s="64"/>
    </row>
    <row r="38" spans="1:20" ht="76.5" customHeight="1">
      <c r="A38" s="150" t="s">
        <v>183</v>
      </c>
      <c r="B38" s="68" t="s">
        <v>141</v>
      </c>
      <c r="C38" s="68" t="s">
        <v>140</v>
      </c>
      <c r="D38" s="68" t="s">
        <v>133</v>
      </c>
      <c r="E38" s="68" t="s">
        <v>166</v>
      </c>
      <c r="F38" s="68" t="s">
        <v>120</v>
      </c>
      <c r="G38" s="79">
        <f>ROUND(L38*('Объемы бюдж.ассигн.'!F$15-'Объемы ассигн на имущ и нал'!F$19)/'Объемы бюдж.ассигн.'!F$15,1)+0.1</f>
        <v>41149.299999999996</v>
      </c>
      <c r="H38" s="79">
        <f>ROUND(M38*('Объемы бюдж.ассигн.'!G$15-'Объемы ассигн на имущ и нал'!G$19)/'Объемы бюдж.ассигн.'!G$15,1)+0.2</f>
        <v>49763.6</v>
      </c>
      <c r="I38" s="79">
        <f>ROUND(N38*('Объемы бюдж.ассигн.'!H$15-'Объемы ассигн на имущ и нал'!H$19)/'Объемы бюдж.ассигн.'!H$15,1)+0.1</f>
        <v>51448</v>
      </c>
      <c r="J38" s="79">
        <f>ROUND(O38*('Объемы бюдж.ассигн.'!I$15-'Объемы ассигн на имущ и нал'!I$19)/'Объемы бюдж.ассигн.'!I$15,1)+0.1</f>
        <v>53749.9</v>
      </c>
      <c r="K38" s="79">
        <f>17455.4-153.6+5190.6-45.7+30652.4-269.7</f>
        <v>52829.400000000009</v>
      </c>
      <c r="L38" s="78">
        <f>P$13/1000/($K$13+$K$16+$K$24+$K$27+$K$38+$K$41)*$K38</f>
        <v>41579.730908558289</v>
      </c>
      <c r="M38" s="78">
        <f>Q$13/1000/($K$13+$K$16+$K$24+$K$27+$K$38+$K$41)*$K38</f>
        <v>50226.894635747878</v>
      </c>
      <c r="N38" s="78">
        <f>R$13/1000/($K$13+$K$16+$K$24+$K$27+$K$38+$K$41)*$K38</f>
        <v>51914.979450201885</v>
      </c>
      <c r="O38" s="78">
        <f>S$13/1000/($K$13+$K$16+$K$24+$K$27+$K$38+$K$41)*$K38</f>
        <v>54221.068107770872</v>
      </c>
      <c r="P38" s="64"/>
      <c r="Q38" s="64"/>
      <c r="R38" s="64"/>
      <c r="S38" s="64"/>
      <c r="T38" s="64"/>
    </row>
    <row r="39" spans="1:20" ht="76.5" customHeight="1">
      <c r="A39" s="151"/>
      <c r="B39" s="68" t="s">
        <v>141</v>
      </c>
      <c r="C39" s="68" t="s">
        <v>140</v>
      </c>
      <c r="D39" s="68" t="s">
        <v>133</v>
      </c>
      <c r="E39" s="68" t="s">
        <v>160</v>
      </c>
      <c r="F39" s="68" t="s">
        <v>120</v>
      </c>
      <c r="G39" s="79">
        <f>ROUND(L39*('Объемы бюдж.ассигн.'!F$15-'Объемы ассигн на имущ и нал'!F$19)/'Объемы бюдж.ассигн.'!F$15,1)</f>
        <v>18305</v>
      </c>
      <c r="H39" s="79">
        <f>ROUND(M39*('Объемы бюдж.ассигн.'!G$15-'Объемы ассигн на имущ и нал'!G$19)/'Объемы бюдж.ассигн.'!G$15,1)</f>
        <v>18808.3</v>
      </c>
      <c r="I39" s="79">
        <f>ROUND(N39*('Объемы бюдж.ассигн.'!H$15-'Объемы ассигн на имущ и нал'!H$19)/'Объемы бюдж.ассигн.'!H$15,1)</f>
        <v>19170.7</v>
      </c>
      <c r="J39" s="79">
        <f>ROUND(O39*('Объемы бюдж.ассигн.'!I$15-'Объемы ассигн на имущ и нал'!I$19)/'Объемы бюдж.ассигн.'!I$15,1)</f>
        <v>19729.400000000001</v>
      </c>
      <c r="K39" s="79">
        <f>72119.2-K38</f>
        <v>19289.799999999988</v>
      </c>
      <c r="L39" s="78">
        <f>P$11/1000/($K$11+$K$14+$K$17+$K$21+$K$25+$K$28+$K$31+$K$33+$K$36+$K$39+$K$42+$K$45+$K$50+$K$53+$K$55)*$K39</f>
        <v>18496.532914267522</v>
      </c>
      <c r="M39" s="78">
        <f>Q$11/1000/($K$11+$K$14+$K$17+$K$21+$K$25+$K$28+$K$31+$K$33+$K$36+$K$39+$K$42+$K$45+$K$50+$K$53+$K$55)*$K39</f>
        <v>18983.494704869827</v>
      </c>
      <c r="N39" s="78">
        <f>R$11/1000/($K$11+$K$14+$K$17+$K$21+$K$25+$K$28+$K$31+$K$33+$K$36+$K$39+$K$42+$K$45+$K$50+$K$53+$K$55)*$K39</f>
        <v>19344.753582617181</v>
      </c>
      <c r="O39" s="78">
        <f>S$11/1000/($K$11+$K$14+$K$17+$K$21+$K$25+$K$28+$K$31+$K$33+$K$36+$K$39+$K$42+$K$45+$K$50+$K$53+$K$55)*$K39</f>
        <v>19902.380030781569</v>
      </c>
      <c r="P39" s="64"/>
      <c r="Q39" s="64"/>
      <c r="R39" s="64"/>
      <c r="S39" s="64"/>
      <c r="T39" s="64"/>
    </row>
    <row r="40" spans="1:20" ht="24.6" customHeight="1">
      <c r="A40" s="84" t="s">
        <v>41</v>
      </c>
      <c r="B40" s="83"/>
      <c r="C40" s="83"/>
      <c r="D40" s="83"/>
      <c r="E40" s="83"/>
      <c r="F40" s="82"/>
      <c r="G40" s="79">
        <f>SUM(G38:G39)</f>
        <v>59454.299999999996</v>
      </c>
      <c r="H40" s="79">
        <f>SUM(H38:H39)</f>
        <v>68571.899999999994</v>
      </c>
      <c r="I40" s="79">
        <f>SUM(I38:I39)</f>
        <v>70618.7</v>
      </c>
      <c r="J40" s="79">
        <f>SUM(J38:J39)</f>
        <v>73479.3</v>
      </c>
      <c r="K40" s="79">
        <f>SUM(K38:K39)</f>
        <v>72119.199999999997</v>
      </c>
      <c r="L40" s="78"/>
      <c r="M40" s="78"/>
      <c r="N40" s="78"/>
      <c r="O40" s="78"/>
      <c r="P40" s="64"/>
      <c r="Q40" s="64"/>
      <c r="R40" s="64"/>
      <c r="S40" s="64"/>
      <c r="T40" s="64"/>
    </row>
    <row r="41" spans="1:20" ht="75" customHeight="1">
      <c r="A41" s="150" t="s">
        <v>182</v>
      </c>
      <c r="B41" s="68" t="s">
        <v>141</v>
      </c>
      <c r="C41" s="68" t="s">
        <v>140</v>
      </c>
      <c r="D41" s="68" t="s">
        <v>133</v>
      </c>
      <c r="E41" s="68" t="s">
        <v>166</v>
      </c>
      <c r="F41" s="68" t="s">
        <v>120</v>
      </c>
      <c r="G41" s="79">
        <f>ROUND(L41*('Объемы бюдж.ассигн.'!F$15-'Объемы ассигн на имущ и нал'!F$19)/'Объемы бюдж.ассигн.'!F$15,1)</f>
        <v>15372</v>
      </c>
      <c r="H41" s="79">
        <f>ROUND(M41*('Объемы бюдж.ассигн.'!G$15-'Объемы ассигн на имущ и нал'!G$19)/'Объемы бюдж.ассигн.'!G$15,1)</f>
        <v>18590</v>
      </c>
      <c r="I41" s="79">
        <f>ROUND(N41*('Объемы бюдж.ассигн.'!H$15-'Объемы ассигн на имущ и нал'!H$19)/'Объемы бюдж.ассигн.'!H$15,1)</f>
        <v>19219.3</v>
      </c>
      <c r="J41" s="79">
        <f>ROUND(O41*('Объемы бюдж.ассигн.'!I$15-'Объемы ассигн на имущ и нал'!I$19)/'Объемы бюдж.ассигн.'!I$15,1)</f>
        <v>20079.2</v>
      </c>
      <c r="K41" s="79">
        <f>7016.9-61.7+3102-27.3+9791.7-86.2</f>
        <v>19735.400000000001</v>
      </c>
      <c r="L41" s="78">
        <f>P$13/1000/($K$13+$K$16+$K$24+$K$27+$K$38+$K$41)*$K41</f>
        <v>15532.877931090667</v>
      </c>
      <c r="M41" s="78">
        <f>Q$13/1000/($K$13+$K$16+$K$24+$K$27+$K$38+$K$41)*$K41</f>
        <v>18763.185960740393</v>
      </c>
      <c r="N41" s="78">
        <f>R$13/1000/($K$13+$K$16+$K$24+$K$27+$K$38+$K$41)*$K41</f>
        <v>19393.801281890654</v>
      </c>
      <c r="O41" s="78">
        <f>S$13/1000/($K$13+$K$16+$K$24+$K$27+$K$38+$K$41)*$K41</f>
        <v>20255.283375054445</v>
      </c>
      <c r="P41" s="64"/>
      <c r="Q41" s="64"/>
      <c r="R41" s="64"/>
      <c r="S41" s="64"/>
      <c r="T41" s="64"/>
    </row>
    <row r="42" spans="1:20" ht="75" customHeight="1">
      <c r="A42" s="151"/>
      <c r="B42" s="68" t="s">
        <v>141</v>
      </c>
      <c r="C42" s="68" t="s">
        <v>140</v>
      </c>
      <c r="D42" s="68" t="s">
        <v>133</v>
      </c>
      <c r="E42" s="68" t="s">
        <v>160</v>
      </c>
      <c r="F42" s="68" t="s">
        <v>120</v>
      </c>
      <c r="G42" s="79">
        <f>ROUND(L42*('Объемы бюдж.ассигн.'!F$15-'Объемы ассигн на имущ и нал'!F$19)/'Объемы бюдж.ассигн.'!F$15,1)</f>
        <v>10414.299999999999</v>
      </c>
      <c r="H42" s="79">
        <f>ROUND(M42*('Объемы бюдж.ассигн.'!G$15-'Объемы ассигн на имущ и нал'!G$19)/'Объемы бюдж.ассигн.'!G$15,1)</f>
        <v>10700.7</v>
      </c>
      <c r="I42" s="79">
        <f>ROUND(N42*('Объемы бюдж.ассигн.'!H$15-'Объемы ассигн на имущ и нал'!H$19)/'Объемы бюдж.ассигн.'!H$15,1)</f>
        <v>10906.9</v>
      </c>
      <c r="J42" s="79">
        <f>ROUND(O42*('Объемы бюдж.ассигн.'!I$15-'Объемы ассигн на имущ и нал'!I$19)/'Объемы бюдж.ассигн.'!I$15,1)</f>
        <v>11224.7</v>
      </c>
      <c r="K42" s="79">
        <f>30710-K41</f>
        <v>10974.599999999999</v>
      </c>
      <c r="L42" s="78">
        <f>P$11/1000/($K$11+$K$14+$K$17+$K$21+$K$25+$K$28+$K$31+$K$33+$K$36+$K$39+$K$42+$K$45+$K$50+$K$53+$K$55)*$K42</f>
        <v>10523.284332700207</v>
      </c>
      <c r="M42" s="78">
        <f>Q$11/1000/($K$11+$K$14+$K$17+$K$21+$K$25+$K$28+$K$31+$K$33+$K$36+$K$39+$K$42+$K$45+$K$50+$K$53+$K$55)*$K42</f>
        <v>10800.332869602822</v>
      </c>
      <c r="N42" s="78">
        <f>R$11/1000/($K$11+$K$14+$K$17+$K$21+$K$25+$K$28+$K$31+$K$33+$K$36+$K$39+$K$42+$K$45+$K$50+$K$53+$K$55)*$K42</f>
        <v>11005.864895840839</v>
      </c>
      <c r="O42" s="78">
        <f>S$11/1000/($K$11+$K$14+$K$17+$K$21+$K$25+$K$28+$K$31+$K$33+$K$36+$K$39+$K$42+$K$45+$K$50+$K$53+$K$55)*$K42</f>
        <v>11323.116874504429</v>
      </c>
      <c r="P42" s="64"/>
      <c r="Q42" s="64"/>
      <c r="R42" s="64"/>
      <c r="S42" s="64"/>
      <c r="T42" s="64"/>
    </row>
    <row r="43" spans="1:20" ht="24.6" customHeight="1">
      <c r="A43" s="84" t="s">
        <v>41</v>
      </c>
      <c r="B43" s="83"/>
      <c r="C43" s="83"/>
      <c r="D43" s="83"/>
      <c r="E43" s="83"/>
      <c r="F43" s="82"/>
      <c r="G43" s="79">
        <f>SUM(G41:G42)</f>
        <v>25786.3</v>
      </c>
      <c r="H43" s="79">
        <f>SUM(H41:H42)</f>
        <v>29290.7</v>
      </c>
      <c r="I43" s="79">
        <f>SUM(I41:I42)</f>
        <v>30126.199999999997</v>
      </c>
      <c r="J43" s="79">
        <f>SUM(J41:J42)</f>
        <v>31303.9</v>
      </c>
      <c r="K43" s="79">
        <f>SUM(K41:K42)</f>
        <v>30710</v>
      </c>
      <c r="L43" s="78"/>
      <c r="M43" s="78"/>
      <c r="N43" s="78"/>
      <c r="O43" s="78"/>
      <c r="P43" s="64"/>
      <c r="Q43" s="64"/>
      <c r="R43" s="64"/>
      <c r="S43" s="64"/>
      <c r="T43" s="64"/>
    </row>
    <row r="44" spans="1:20" ht="77.25" customHeight="1">
      <c r="A44" s="150" t="s">
        <v>181</v>
      </c>
      <c r="B44" s="68" t="s">
        <v>141</v>
      </c>
      <c r="C44" s="68" t="s">
        <v>140</v>
      </c>
      <c r="D44" s="68" t="s">
        <v>133</v>
      </c>
      <c r="E44" s="68" t="s">
        <v>132</v>
      </c>
      <c r="F44" s="68" t="s">
        <v>120</v>
      </c>
      <c r="G44" s="79">
        <f>ROUND(L44*('Объемы бюдж.ассигн.'!F$15-'Объемы ассигн на имущ и нал'!F$19)/'Объемы бюдж.ассигн.'!F$15,1)</f>
        <v>53689.4</v>
      </c>
      <c r="H44" s="79">
        <f>ROUND(M44*('Объемы бюдж.ассигн.'!G$15-'Объемы ассигн на имущ и нал'!G$19)/'Объемы бюдж.ассигн.'!G$15,1)</f>
        <v>55377.7</v>
      </c>
      <c r="I44" s="79">
        <f>ROUND(N44*('Объемы бюдж.ассигн.'!H$15-'Объемы ассигн на имущ и нал'!H$19)/'Объемы бюдж.ассигн.'!H$15,1)</f>
        <v>56803</v>
      </c>
      <c r="J44" s="79">
        <f>ROUND(O44*('Объемы бюдж.ассигн.'!I$15-'Объемы ассигн на имущ и нал'!I$19)/'Объемы бюдж.ассигн.'!I$15,1)</f>
        <v>58474.7</v>
      </c>
      <c r="K44" s="79">
        <f>54898.8-483.1</f>
        <v>54415.700000000004</v>
      </c>
      <c r="L44" s="78">
        <f>P$30/1000/($K$30+$K$44)*$K44</f>
        <v>54251.217992585771</v>
      </c>
      <c r="M44" s="78">
        <f>Q$30/1000/($K$30+$K$44)*$K44</f>
        <v>55893.512093042838</v>
      </c>
      <c r="N44" s="78">
        <f>R$30/1000/($K$30+$K$44)*$K44</f>
        <v>57318.631200139047</v>
      </c>
      <c r="O44" s="78">
        <f>S$30/1000/($K$30+$K$44)*$K44</f>
        <v>58987.418652504632</v>
      </c>
      <c r="P44" s="64"/>
      <c r="Q44" s="64"/>
      <c r="R44" s="64"/>
      <c r="S44" s="64"/>
      <c r="T44" s="64"/>
    </row>
    <row r="45" spans="1:20" ht="77.25" customHeight="1">
      <c r="A45" s="151"/>
      <c r="B45" s="68" t="s">
        <v>141</v>
      </c>
      <c r="C45" s="68" t="s">
        <v>140</v>
      </c>
      <c r="D45" s="68" t="s">
        <v>133</v>
      </c>
      <c r="E45" s="68" t="s">
        <v>160</v>
      </c>
      <c r="F45" s="68" t="s">
        <v>120</v>
      </c>
      <c r="G45" s="79">
        <f>ROUND(L45*('Объемы бюдж.ассигн.'!F$15-'Объемы ассигн на имущ и нал'!F$19)/'Объемы бюдж.ассигн.'!F$15,1)</f>
        <v>38846.1</v>
      </c>
      <c r="H45" s="79">
        <f>ROUND(M45*('Объемы бюдж.ассигн.'!G$15-'Объемы ассигн на имущ и нал'!G$19)/'Объемы бюдж.ассигн.'!G$15,1)</f>
        <v>39914.199999999997</v>
      </c>
      <c r="I45" s="79">
        <f>ROUND(N45*('Объемы бюдж.ассигн.'!H$15-'Объемы ассигн на имущ и нал'!H$19)/'Объемы бюдж.ассигн.'!H$15,1)</f>
        <v>40683.300000000003</v>
      </c>
      <c r="J45" s="79">
        <f>ROUND(O45*('Объемы бюдж.ассигн.'!I$15-'Объемы ассигн на имущ и нал'!I$19)/'Объемы бюдж.ассигн.'!I$15,1)</f>
        <v>41868.9</v>
      </c>
      <c r="K45" s="79">
        <f>95351.7-K44</f>
        <v>40935.999999999993</v>
      </c>
      <c r="L45" s="78">
        <f>P$11/1000/($K$11+$K$14+$K$17+$K$21+$K$25+$K$28+$K$31+$K$33+$K$36+$K$39+$K$42+$K$45+$K$50+$K$53+$K$55)*$K45</f>
        <v>39252.562047219544</v>
      </c>
      <c r="M45" s="78">
        <f>Q$11/1000/($K$11+$K$14+$K$17+$K$21+$K$25+$K$28+$K$31+$K$33+$K$36+$K$39+$K$42+$K$45+$K$50+$K$53+$K$55)*$K45</f>
        <v>40285.971821302017</v>
      </c>
      <c r="N45" s="78">
        <f>R$11/1000/($K$11+$K$14+$K$17+$K$21+$K$25+$K$28+$K$31+$K$33+$K$36+$K$39+$K$42+$K$45+$K$50+$K$53+$K$55)*$K45</f>
        <v>41052.620175326716</v>
      </c>
      <c r="O45" s="78">
        <f>S$11/1000/($K$11+$K$14+$K$17+$K$21+$K$25+$K$28+$K$31+$K$33+$K$36+$K$39+$K$42+$K$45+$K$50+$K$53+$K$55)*$K45</f>
        <v>42235.991505359038</v>
      </c>
      <c r="P45" s="64"/>
      <c r="Q45" s="64"/>
      <c r="R45" s="64"/>
      <c r="S45" s="64"/>
      <c r="T45" s="64"/>
    </row>
    <row r="46" spans="1:20" ht="24.6" customHeight="1">
      <c r="A46" s="84" t="s">
        <v>41</v>
      </c>
      <c r="B46" s="83"/>
      <c r="C46" s="83"/>
      <c r="D46" s="83"/>
      <c r="E46" s="83"/>
      <c r="F46" s="82"/>
      <c r="G46" s="79">
        <f>SUM(G44:G45)</f>
        <v>92535.5</v>
      </c>
      <c r="H46" s="79">
        <f>SUM(H44:H45)</f>
        <v>95291.9</v>
      </c>
      <c r="I46" s="79">
        <f>SUM(I44:I45)</f>
        <v>97486.3</v>
      </c>
      <c r="J46" s="79">
        <f>SUM(J44:J45)</f>
        <v>100343.6</v>
      </c>
      <c r="K46" s="79">
        <f>SUM(K44:K45)</f>
        <v>95351.7</v>
      </c>
      <c r="L46" s="78"/>
      <c r="M46" s="78"/>
      <c r="N46" s="78"/>
      <c r="O46" s="78"/>
      <c r="P46" s="64"/>
      <c r="Q46" s="64"/>
      <c r="R46" s="64"/>
      <c r="S46" s="64"/>
      <c r="T46" s="64"/>
    </row>
    <row r="47" spans="1:20" ht="174" customHeight="1">
      <c r="A47" s="86" t="s">
        <v>180</v>
      </c>
      <c r="B47" s="68" t="s">
        <v>141</v>
      </c>
      <c r="C47" s="68" t="s">
        <v>140</v>
      </c>
      <c r="D47" s="68" t="s">
        <v>133</v>
      </c>
      <c r="E47" s="68" t="s">
        <v>178</v>
      </c>
      <c r="F47" s="68" t="s">
        <v>114</v>
      </c>
      <c r="G47" s="79">
        <f>ROUND(L47*('Объемы бюдж.ассигн.'!F$16-'Объемы ассигн на имущ и нал'!F$20)/'Объемы бюдж.ассигн.'!F$16,1)</f>
        <v>20942.5</v>
      </c>
      <c r="H47" s="79">
        <f>ROUND(M47*('Объемы бюдж.ассигн.'!G$16-'Объемы ассигн на имущ и нал'!G$20)/'Объемы бюдж.ассигн.'!G$16,1)</f>
        <v>23030.799999999999</v>
      </c>
      <c r="I47" s="79">
        <f>ROUND(N47*('Объемы бюдж.ассигн.'!H$16-'Объемы ассигн на имущ и нал'!H$20)/'Объемы бюдж.ассигн.'!H$16,1)</f>
        <v>23428.799999999999</v>
      </c>
      <c r="J47" s="79">
        <f>ROUND(O47*('Объемы бюдж.ассигн.'!I$16-'Объемы ассигн на имущ и нал'!I$20)/'Объемы бюдж.ассигн.'!I$16,1)</f>
        <v>23956.7</v>
      </c>
      <c r="K47" s="79">
        <v>11214.9</v>
      </c>
      <c r="L47" s="78">
        <f>P$47/1000/($K$47+$K$49)*$K47</f>
        <v>21085.419192060235</v>
      </c>
      <c r="M47" s="78">
        <f>Q$47/1000/($K$47+$K$49)*$K47</f>
        <v>23197.896409624886</v>
      </c>
      <c r="N47" s="78">
        <f>R$47/1000/($K$47+$K$49)*$K47</f>
        <v>23595.924714196073</v>
      </c>
      <c r="O47" s="78">
        <f>S$47/1000/($K$47+$K$49)*$K47</f>
        <v>24123.367724205502</v>
      </c>
      <c r="P47" s="64">
        <v>56031311.399999999</v>
      </c>
      <c r="Q47" s="64">
        <v>61644900</v>
      </c>
      <c r="R47" s="64">
        <v>62702600</v>
      </c>
      <c r="S47" s="64">
        <v>64104200</v>
      </c>
      <c r="T47" s="64"/>
    </row>
    <row r="48" spans="1:20" ht="24.6" customHeight="1">
      <c r="A48" s="84" t="s">
        <v>41</v>
      </c>
      <c r="B48" s="83"/>
      <c r="C48" s="83"/>
      <c r="D48" s="83"/>
      <c r="E48" s="83"/>
      <c r="F48" s="82"/>
      <c r="G48" s="79">
        <f>G47</f>
        <v>20942.5</v>
      </c>
      <c r="H48" s="79">
        <f>H47</f>
        <v>23030.799999999999</v>
      </c>
      <c r="I48" s="79">
        <f>I47</f>
        <v>23428.799999999999</v>
      </c>
      <c r="J48" s="79">
        <f>J47</f>
        <v>23956.7</v>
      </c>
      <c r="K48" s="79">
        <f>K47</f>
        <v>11214.9</v>
      </c>
      <c r="L48" s="78"/>
      <c r="M48" s="78"/>
      <c r="N48" s="78"/>
      <c r="O48" s="78"/>
      <c r="P48" s="64"/>
      <c r="Q48" s="64"/>
      <c r="R48" s="64"/>
      <c r="S48" s="64"/>
      <c r="T48" s="64"/>
    </row>
    <row r="49" spans="1:20" ht="85.5" customHeight="1">
      <c r="A49" s="147" t="s">
        <v>179</v>
      </c>
      <c r="B49" s="68" t="s">
        <v>141</v>
      </c>
      <c r="C49" s="68" t="s">
        <v>140</v>
      </c>
      <c r="D49" s="68" t="s">
        <v>133</v>
      </c>
      <c r="E49" s="68" t="s">
        <v>178</v>
      </c>
      <c r="F49" s="68" t="s">
        <v>114</v>
      </c>
      <c r="G49" s="79">
        <f>ROUND(L49*('Объемы бюдж.ассигн.'!F$16-'Объемы ассигн на имущ и нал'!F$20)/'Объемы бюдж.ассигн.'!F$16,1)</f>
        <v>34709.1</v>
      </c>
      <c r="H49" s="79">
        <f>ROUND(M49*('Объемы бюдж.ассигн.'!G$16-'Объемы ассигн на имущ и нал'!G$20)/'Объемы бюдж.ассигн.'!G$16,1)+0.1</f>
        <v>38170.199999999997</v>
      </c>
      <c r="I49" s="79">
        <f>ROUND(N49*('Объемы бюдж.ассигн.'!H$16-'Объемы ассигн на имущ и нал'!H$20)/'Объемы бюдж.ассигн.'!H$16,1)</f>
        <v>38829.699999999997</v>
      </c>
      <c r="J49" s="79">
        <f>ROUND(O49*('Объемы бюдж.ассигн.'!I$16-'Объемы ассигн на имущ и нал'!I$20)/'Объемы бюдж.ассигн.'!I$16,1)</f>
        <v>39704.5</v>
      </c>
      <c r="K49" s="79">
        <v>18587</v>
      </c>
      <c r="L49" s="78">
        <f>P$47/1000/($K$47+$K$49)*$K49</f>
        <v>34945.89220793976</v>
      </c>
      <c r="M49" s="78">
        <f>Q$47/1000/($K$47+$K$49)*$K49</f>
        <v>38447.003590375105</v>
      </c>
      <c r="N49" s="78">
        <f>R$47/1000/($K$47+$K$49)*$K49</f>
        <v>39106.675285803925</v>
      </c>
      <c r="O49" s="78">
        <f>S$47/1000/($K$47+$K$49)*$K49</f>
        <v>39980.832275794492</v>
      </c>
      <c r="P49" s="64"/>
      <c r="Q49" s="64"/>
      <c r="R49" s="64"/>
      <c r="S49" s="64"/>
      <c r="T49" s="64"/>
    </row>
    <row r="50" spans="1:20" ht="85.5" customHeight="1">
      <c r="A50" s="149"/>
      <c r="B50" s="68" t="s">
        <v>141</v>
      </c>
      <c r="C50" s="68" t="s">
        <v>140</v>
      </c>
      <c r="D50" s="68" t="s">
        <v>133</v>
      </c>
      <c r="E50" s="68" t="s">
        <v>160</v>
      </c>
      <c r="F50" s="68" t="s">
        <v>120</v>
      </c>
      <c r="G50" s="79">
        <f>ROUND(L50*('Объемы бюдж.ассигн.'!F$15-'Объемы ассигн на имущ и нал'!F$19)/'Объемы бюдж.ассигн.'!F$15,1)</f>
        <v>256.7</v>
      </c>
      <c r="H50" s="79">
        <f>ROUND(M50*('Объемы бюдж.ассигн.'!G$15-'Объемы ассигн на имущ и нал'!G$19)/'Объемы бюдж.ассигн.'!G$15,1)</f>
        <v>263.7</v>
      </c>
      <c r="I50" s="79">
        <f>ROUND(N50*('Объемы бюдж.ассигн.'!H$15-'Объемы ассигн на имущ и нал'!H$19)/'Объемы бюдж.ассигн.'!H$15,1)</f>
        <v>268.8</v>
      </c>
      <c r="J50" s="79">
        <f>ROUND(O50*('Объемы бюдж.ассигн.'!I$15-'Объемы ассигн на имущ и нал'!I$19)/'Объемы бюдж.ассигн.'!I$15,1)</f>
        <v>276.7</v>
      </c>
      <c r="K50" s="79">
        <v>270.5</v>
      </c>
      <c r="L50" s="78">
        <f>P$11/1000/($K$11+$K$14+$K$17+$K$21+$K$25+$K$28+$K$31+$K$33+$K$36+$K$39+$K$42+$K$45+$K$50+$K$53+$K$55)*$K50</f>
        <v>259.3760512451849</v>
      </c>
      <c r="M50" s="78">
        <f>Q$11/1000/($K$11+$K$14+$K$17+$K$21+$K$25+$K$28+$K$31+$K$33+$K$36+$K$39+$K$42+$K$45+$K$50+$K$53+$K$55)*$K50</f>
        <v>266.20469458819127</v>
      </c>
      <c r="N50" s="78">
        <f>R$11/1000/($K$11+$K$14+$K$17+$K$21+$K$25+$K$28+$K$31+$K$33+$K$36+$K$39+$K$42+$K$45+$K$50+$K$53+$K$55)*$K50</f>
        <v>271.27061162365345</v>
      </c>
      <c r="O50" s="78">
        <f>S$11/1000/($K$11+$K$14+$K$17+$K$21+$K$25+$K$28+$K$31+$K$33+$K$36+$K$39+$K$42+$K$45+$K$50+$K$53+$K$55)*$K50</f>
        <v>279.09018228941812</v>
      </c>
      <c r="P50" s="64"/>
      <c r="Q50" s="64"/>
      <c r="R50" s="64"/>
      <c r="S50" s="64"/>
      <c r="T50" s="64"/>
    </row>
    <row r="51" spans="1:20" ht="24.6" customHeight="1">
      <c r="A51" s="84" t="s">
        <v>41</v>
      </c>
      <c r="B51" s="83"/>
      <c r="C51" s="83"/>
      <c r="D51" s="83"/>
      <c r="E51" s="83"/>
      <c r="F51" s="82"/>
      <c r="G51" s="79">
        <f>SUM(G49:G50)</f>
        <v>34965.799999999996</v>
      </c>
      <c r="H51" s="79">
        <f>SUM(H49:H50)</f>
        <v>38433.899999999994</v>
      </c>
      <c r="I51" s="79">
        <f>SUM(I49:I50)</f>
        <v>39098.5</v>
      </c>
      <c r="J51" s="79">
        <f>SUM(J49:J50)</f>
        <v>39981.199999999997</v>
      </c>
      <c r="K51" s="79">
        <f>SUM(K49:K50)</f>
        <v>18857.5</v>
      </c>
      <c r="L51" s="78"/>
      <c r="M51" s="78"/>
      <c r="N51" s="78"/>
      <c r="O51" s="78"/>
      <c r="P51" s="64"/>
      <c r="Q51" s="64"/>
      <c r="R51" s="64"/>
      <c r="S51" s="64"/>
      <c r="T51" s="64"/>
    </row>
    <row r="52" spans="1:20" ht="32.25" customHeight="1">
      <c r="A52" s="153" t="s">
        <v>177</v>
      </c>
      <c r="B52" s="68" t="s">
        <v>141</v>
      </c>
      <c r="C52" s="68" t="s">
        <v>140</v>
      </c>
      <c r="D52" s="68" t="s">
        <v>133</v>
      </c>
      <c r="E52" s="68" t="s">
        <v>134</v>
      </c>
      <c r="F52" s="68" t="s">
        <v>120</v>
      </c>
      <c r="G52" s="79">
        <f>ROUND(L52*('Объемы бюдж.ассигн.'!F$14-'Объемы ассигн на имущ и нал'!F$18)/'Объемы бюдж.ассигн.'!F$14,1)</f>
        <v>126271.8</v>
      </c>
      <c r="H52" s="79">
        <f>ROUND(M52*('Объемы бюдж.ассигн.'!G$14-'Объемы ассигн на имущ и нал'!G$18)/'Объемы бюдж.ассигн.'!G$14,1)+0.1</f>
        <v>122802.40000000001</v>
      </c>
      <c r="I52" s="79">
        <f>ROUND(N52*('Объемы бюдж.ассигн.'!H$14-'Объемы ассигн на имущ и нал'!H$18)/'Объемы бюдж.ассигн.'!H$14,1)</f>
        <v>125911.6</v>
      </c>
      <c r="J52" s="79">
        <f>ROUND(O52*('Объемы бюдж.ассигн.'!I$14-'Объемы ассигн на имущ и нал'!I$18)/'Объемы бюдж.ассигн.'!I$14,1)</f>
        <v>130375.4</v>
      </c>
      <c r="K52" s="79">
        <v>103648.7</v>
      </c>
      <c r="L52" s="78">
        <f>P$19/1000/($K$19+$K$23+$K$52)*$K52</f>
        <v>127192.00035799541</v>
      </c>
      <c r="M52" s="78">
        <f>Q$19/1000/($K$19+$K$23+$K$52)*$K52</f>
        <v>123774.11319497971</v>
      </c>
      <c r="N52" s="78">
        <f>R$19/1000/($K$19+$K$23+$K$52)*$K52</f>
        <v>126883.36242793169</v>
      </c>
      <c r="O52" s="78">
        <f>S$19/1000/($K$19+$K$23+$K$52)*$K52</f>
        <v>131347.19367105365</v>
      </c>
      <c r="P52" s="64"/>
      <c r="Q52" s="64"/>
      <c r="R52" s="64"/>
      <c r="S52" s="64"/>
      <c r="T52" s="64"/>
    </row>
    <row r="53" spans="1:20" ht="32.25" customHeight="1">
      <c r="A53" s="154"/>
      <c r="B53" s="68" t="s">
        <v>141</v>
      </c>
      <c r="C53" s="68" t="s">
        <v>140</v>
      </c>
      <c r="D53" s="68" t="s">
        <v>133</v>
      </c>
      <c r="E53" s="68" t="s">
        <v>160</v>
      </c>
      <c r="F53" s="68" t="s">
        <v>120</v>
      </c>
      <c r="G53" s="79">
        <f>ROUND(L53*('Объемы бюдж.ассигн.'!F$15-'Объемы ассигн на имущ и нал'!F$19)/'Объемы бюдж.ассигн.'!F$15,1)</f>
        <v>33449.199999999997</v>
      </c>
      <c r="H53" s="79">
        <f>ROUND(M53*('Объемы бюдж.ассигн.'!G$15-'Объемы ассигн на имущ и нал'!G$19)/'Объемы бюдж.ассигн.'!G$15,1)-0.4</f>
        <v>34368.5</v>
      </c>
      <c r="I53" s="79">
        <f>ROUND(N53*('Объемы бюдж.ассигн.'!H$15-'Объемы ассигн на имущ и нал'!H$19)/'Объемы бюдж.ассигн.'!H$15,1)-0.1</f>
        <v>35031.1</v>
      </c>
      <c r="J53" s="79">
        <f>ROUND(O53*('Объемы бюдж.ассигн.'!I$15-'Объемы ассигн на имущ и нал'!I$19)/'Объемы бюдж.ассигн.'!I$15,1)-0.1</f>
        <v>36052</v>
      </c>
      <c r="K53" s="79">
        <v>35248.800000000003</v>
      </c>
      <c r="L53" s="78">
        <f>P$11/1000/($K$11+$K$14+$K$17+$K$21+$K$25+$K$28+$K$31+$K$33+$K$36+$K$39+$K$42+$K$45+$K$50+$K$53+$K$55)*$K53</f>
        <v>33799.240499561085</v>
      </c>
      <c r="M53" s="78">
        <f>Q$11/1000/($K$11+$K$14+$K$17+$K$21+$K$25+$K$28+$K$31+$K$33+$K$36+$K$39+$K$42+$K$45+$K$50+$K$53+$K$55)*$K53</f>
        <v>34689.079625139508</v>
      </c>
      <c r="N53" s="78">
        <f>R$11/1000/($K$11+$K$14+$K$17+$K$21+$K$25+$K$28+$K$31+$K$33+$K$36+$K$39+$K$42+$K$45+$K$50+$K$53+$K$55)*$K53</f>
        <v>35349.218243992007</v>
      </c>
      <c r="O53" s="78">
        <f>S$11/1000/($K$11+$K$14+$K$17+$K$21+$K$25+$K$28+$K$31+$K$33+$K$36+$K$39+$K$42+$K$45+$K$50+$K$53+$K$55)*$K53</f>
        <v>36368.18490751661</v>
      </c>
      <c r="P53" s="64"/>
      <c r="Q53" s="64"/>
      <c r="R53" s="64"/>
      <c r="S53" s="64"/>
      <c r="T53" s="64"/>
    </row>
    <row r="54" spans="1:20" ht="24.6" customHeight="1">
      <c r="A54" s="84" t="s">
        <v>41</v>
      </c>
      <c r="B54" s="83"/>
      <c r="C54" s="83"/>
      <c r="D54" s="83"/>
      <c r="E54" s="83"/>
      <c r="F54" s="82"/>
      <c r="G54" s="79">
        <f>G52+G53</f>
        <v>159721</v>
      </c>
      <c r="H54" s="79">
        <f>H52+H53</f>
        <v>157170.90000000002</v>
      </c>
      <c r="I54" s="79">
        <f>I52+I53</f>
        <v>160942.70000000001</v>
      </c>
      <c r="J54" s="79">
        <f>J52+J53</f>
        <v>166427.4</v>
      </c>
      <c r="K54" s="79">
        <f>K52+K53</f>
        <v>138897.5</v>
      </c>
      <c r="L54" s="78"/>
      <c r="M54" s="78"/>
      <c r="N54" s="78"/>
      <c r="O54" s="78"/>
      <c r="P54" s="64"/>
      <c r="Q54" s="64"/>
      <c r="R54" s="64"/>
      <c r="S54" s="64"/>
      <c r="T54" s="64"/>
    </row>
    <row r="55" spans="1:20" ht="49.5">
      <c r="A55" s="80" t="s">
        <v>176</v>
      </c>
      <c r="B55" s="68" t="s">
        <v>141</v>
      </c>
      <c r="C55" s="68" t="s">
        <v>140</v>
      </c>
      <c r="D55" s="68" t="s">
        <v>133</v>
      </c>
      <c r="E55" s="68" t="s">
        <v>160</v>
      </c>
      <c r="F55" s="68" t="s">
        <v>120</v>
      </c>
      <c r="G55" s="79">
        <f>ROUND(L55*('Объемы бюдж.ассигн.'!F$15-'Объемы ассигн на имущ и нал'!F$19)/'Объемы бюдж.ассигн.'!F$15,1)</f>
        <v>5907.9</v>
      </c>
      <c r="H55" s="79">
        <f>ROUND(M55*('Объемы бюдж.ассигн.'!G$15-'Объемы ассигн на имущ и нал'!G$19)/'Объемы бюдж.ассигн.'!G$15,1)</f>
        <v>6070.3</v>
      </c>
      <c r="I55" s="79">
        <f>ROUND(N55*('Объемы бюдж.ассигн.'!H$15-'Объемы ассигн на имущ и нал'!H$19)/'Объемы бюдж.ассигн.'!H$15,1)</f>
        <v>6187.3</v>
      </c>
      <c r="J55" s="79">
        <f>ROUND(O55*('Объемы бюдж.ассигн.'!I$15-'Объемы ассигн на имущ и нал'!I$19)/'Объемы бюдж.ассигн.'!I$15,1)</f>
        <v>6367.6</v>
      </c>
      <c r="K55" s="79">
        <v>6225.7</v>
      </c>
      <c r="L55" s="78">
        <f>P$11/1000/($K$11+$K$14+$K$17+$K$21+$K$25+$K$28+$K$31+$K$33+$K$36+$K$39+$K$42+$K$45+$K$50+$K$53+$K$55)*$K55</f>
        <v>5969.6764592870522</v>
      </c>
      <c r="M55" s="78">
        <f>Q$11/1000/($K$11+$K$14+$K$17+$K$21+$K$25+$K$28+$K$31+$K$33+$K$36+$K$39+$K$42+$K$45+$K$50+$K$53+$K$55)*$K55</f>
        <v>6126.8412831708029</v>
      </c>
      <c r="N55" s="78">
        <f>R$11/1000/($K$11+$K$14+$K$17+$K$21+$K$25+$K$28+$K$31+$K$33+$K$36+$K$39+$K$42+$K$45+$K$50+$K$53+$K$55)*$K55</f>
        <v>6243.4360324782965</v>
      </c>
      <c r="O55" s="78">
        <f>S$11/1000/($K$11+$K$14+$K$17+$K$21+$K$25+$K$28+$K$31+$K$33+$K$36+$K$39+$K$42+$K$45+$K$50+$K$53+$K$55)*$K55</f>
        <v>6423.4075707180427</v>
      </c>
      <c r="P55" s="64"/>
      <c r="Q55" s="64"/>
      <c r="R55" s="64"/>
      <c r="S55" s="64"/>
      <c r="T55" s="64"/>
    </row>
    <row r="56" spans="1:20" ht="24.6" customHeight="1">
      <c r="A56" s="84" t="s">
        <v>41</v>
      </c>
      <c r="B56" s="83"/>
      <c r="C56" s="83"/>
      <c r="D56" s="83"/>
      <c r="E56" s="83"/>
      <c r="F56" s="82"/>
      <c r="G56" s="79">
        <f>G55</f>
        <v>5907.9</v>
      </c>
      <c r="H56" s="79">
        <f>H55</f>
        <v>6070.3</v>
      </c>
      <c r="I56" s="79">
        <f>I55</f>
        <v>6187.3</v>
      </c>
      <c r="J56" s="79">
        <f>J55</f>
        <v>6367.6</v>
      </c>
      <c r="K56" s="79">
        <f>K55</f>
        <v>6225.7</v>
      </c>
      <c r="L56" s="78"/>
      <c r="M56" s="78"/>
      <c r="N56" s="78"/>
      <c r="O56" s="78"/>
      <c r="P56" s="64"/>
      <c r="Q56" s="64"/>
      <c r="R56" s="64"/>
      <c r="S56" s="64"/>
      <c r="T56" s="64"/>
    </row>
    <row r="57" spans="1:20" ht="37.5" customHeight="1">
      <c r="A57" s="80" t="s">
        <v>175</v>
      </c>
      <c r="B57" s="68" t="s">
        <v>141</v>
      </c>
      <c r="C57" s="68" t="s">
        <v>140</v>
      </c>
      <c r="D57" s="68" t="s">
        <v>133</v>
      </c>
      <c r="E57" s="68" t="s">
        <v>130</v>
      </c>
      <c r="F57" s="68" t="s">
        <v>120</v>
      </c>
      <c r="G57" s="79">
        <f>ROUND(L57*('Объемы бюдж.ассигн.'!F$17-'Объемы ассигн на имущ и нал'!F$21)/'Объемы бюдж.ассигн.'!F$17,1)</f>
        <v>5246.9</v>
      </c>
      <c r="H57" s="79">
        <f>ROUND(M57*('Объемы бюдж.ассигн.'!G$17-'Объемы ассигн на имущ и нал'!G$21)/'Объемы бюдж.ассигн.'!G$17,1)</f>
        <v>12300.7</v>
      </c>
      <c r="I57" s="79">
        <f>ROUND(N57*('Объемы бюдж.ассигн.'!H$17-'Объемы ассигн на имущ и нал'!H$21)/'Объемы бюдж.ассигн.'!H$17,1)</f>
        <v>10367.9</v>
      </c>
      <c r="J57" s="79">
        <f>ROUND(O57*('Объемы бюдж.ассигн.'!I$17-'Объемы ассигн на имущ и нал'!I$21)/'Объемы бюдж.ассигн.'!I$17,1)</f>
        <v>8920.6</v>
      </c>
      <c r="K57" s="79">
        <v>4258.2</v>
      </c>
      <c r="L57" s="78">
        <f>P$57/1000/($K$57+$K$59)*$K57</f>
        <v>5266.9967045501398</v>
      </c>
      <c r="M57" s="78">
        <f>Q$57/1000/($K$57+$K$59)*$K57</f>
        <v>12321.90255198098</v>
      </c>
      <c r="N57" s="78">
        <f>R$57/1000/($K$57+$K$59)*$K57</f>
        <v>10390.096947792268</v>
      </c>
      <c r="O57" s="78">
        <f>S$57/1000/($K$57+$K$59)*$K57</f>
        <v>8942.8227383291887</v>
      </c>
      <c r="P57" s="64">
        <v>9000600</v>
      </c>
      <c r="Q57" s="64">
        <v>21056500</v>
      </c>
      <c r="R57" s="64">
        <v>17755300</v>
      </c>
      <c r="S57" s="64">
        <v>15282100</v>
      </c>
      <c r="T57" s="64"/>
    </row>
    <row r="58" spans="1:20" ht="24.6" customHeight="1">
      <c r="A58" s="84" t="s">
        <v>41</v>
      </c>
      <c r="B58" s="83"/>
      <c r="C58" s="83"/>
      <c r="D58" s="83"/>
      <c r="E58" s="83"/>
      <c r="F58" s="82"/>
      <c r="G58" s="79">
        <f>G57</f>
        <v>5246.9</v>
      </c>
      <c r="H58" s="79">
        <f>H57</f>
        <v>12300.7</v>
      </c>
      <c r="I58" s="79">
        <f>I57</f>
        <v>10367.9</v>
      </c>
      <c r="J58" s="79">
        <f>J57</f>
        <v>8920.6</v>
      </c>
      <c r="K58" s="79">
        <f>K57</f>
        <v>4258.2</v>
      </c>
      <c r="L58" s="78"/>
      <c r="M58" s="78"/>
      <c r="N58" s="78"/>
      <c r="O58" s="78"/>
      <c r="P58" s="64"/>
      <c r="Q58" s="64"/>
      <c r="R58" s="64"/>
      <c r="S58" s="64"/>
      <c r="T58" s="64"/>
    </row>
    <row r="59" spans="1:20" ht="83.25" customHeight="1">
      <c r="A59" s="80" t="s">
        <v>174</v>
      </c>
      <c r="B59" s="68" t="s">
        <v>141</v>
      </c>
      <c r="C59" s="68" t="s">
        <v>140</v>
      </c>
      <c r="D59" s="68" t="s">
        <v>133</v>
      </c>
      <c r="E59" s="68" t="s">
        <v>130</v>
      </c>
      <c r="F59" s="68" t="s">
        <v>120</v>
      </c>
      <c r="G59" s="79">
        <f>ROUND(L59*('Объемы бюдж.ассигн.'!F$17-'Объемы ассигн на имущ и нал'!F$21)/'Объемы бюдж.ассигн.'!F$17,1)</f>
        <v>3719.3</v>
      </c>
      <c r="H59" s="79">
        <f>ROUND(M59*('Объемы бюдж.ассигн.'!G$17-'Объемы ассигн на имущ и нал'!G$21)/'Объемы бюдж.ассигн.'!G$17,1)</f>
        <v>8719.6</v>
      </c>
      <c r="I59" s="79">
        <f>ROUND(N59*('Объемы бюдж.ассигн.'!H$17-'Объемы ассигн на имущ и нал'!H$21)/'Объемы бюдж.ассигн.'!H$17,1)</f>
        <v>7349.5</v>
      </c>
      <c r="J59" s="79">
        <f>ROUND(O59*('Объемы бюдж.ассигн.'!I$17-'Объемы ассигн на имущ и нал'!I$21)/'Объемы бюдж.ассигн.'!I$17,1)</f>
        <v>6323.6</v>
      </c>
      <c r="K59" s="79">
        <v>3018.5</v>
      </c>
      <c r="L59" s="78">
        <f>P$57/1000/($K$57+$K$59)*$K59</f>
        <v>3733.603295449861</v>
      </c>
      <c r="M59" s="78">
        <f>Q$57/1000/($K$57+$K$59)*$K59</f>
        <v>8734.5974480190198</v>
      </c>
      <c r="N59" s="78">
        <f>R$57/1000/($K$57+$K$59)*$K59</f>
        <v>7365.2030522077312</v>
      </c>
      <c r="O59" s="78">
        <f>S$57/1000/($K$57+$K$59)*$K59</f>
        <v>6339.2772616708125</v>
      </c>
      <c r="P59" s="64"/>
      <c r="Q59" s="64"/>
      <c r="R59" s="64"/>
      <c r="S59" s="64"/>
      <c r="T59" s="64"/>
    </row>
    <row r="60" spans="1:20" ht="24.6" customHeight="1">
      <c r="A60" s="84" t="s">
        <v>41</v>
      </c>
      <c r="B60" s="83"/>
      <c r="C60" s="83"/>
      <c r="D60" s="83"/>
      <c r="E60" s="83"/>
      <c r="F60" s="82"/>
      <c r="G60" s="79">
        <f>G59</f>
        <v>3719.3</v>
      </c>
      <c r="H60" s="79">
        <f>H59</f>
        <v>8719.6</v>
      </c>
      <c r="I60" s="79">
        <f>I59</f>
        <v>7349.5</v>
      </c>
      <c r="J60" s="79">
        <f>J59</f>
        <v>6323.6</v>
      </c>
      <c r="K60" s="79">
        <f>K59</f>
        <v>3018.5</v>
      </c>
      <c r="L60" s="78"/>
      <c r="M60" s="78"/>
      <c r="N60" s="78"/>
      <c r="O60" s="78"/>
      <c r="P60" s="64"/>
      <c r="Q60" s="64"/>
      <c r="R60" s="64"/>
      <c r="S60" s="64"/>
      <c r="T60" s="64"/>
    </row>
    <row r="61" spans="1:20" ht="82.5">
      <c r="A61" s="80" t="s">
        <v>173</v>
      </c>
      <c r="B61" s="68" t="s">
        <v>141</v>
      </c>
      <c r="C61" s="68" t="s">
        <v>140</v>
      </c>
      <c r="D61" s="68" t="s">
        <v>131</v>
      </c>
      <c r="E61" s="68" t="s">
        <v>130</v>
      </c>
      <c r="F61" s="68" t="s">
        <v>120</v>
      </c>
      <c r="G61" s="79">
        <f>ROUND(L61*('Объемы бюдж.ассигн.'!F$19-'Объемы ассигн на имущ и нал'!F$23)/'Объемы бюдж.ассигн.'!F$19,1)</f>
        <v>535.70000000000005</v>
      </c>
      <c r="H61" s="79">
        <f>ROUND(M61*('Объемы бюдж.ассигн.'!G$19-'Объемы ассигн на имущ и нал'!G$23)/'Объемы бюдж.ассигн.'!G$19,1)</f>
        <v>694</v>
      </c>
      <c r="I61" s="79">
        <f>ROUND(N61*('Объемы бюдж.ассигн.'!H$19-'Объемы ассигн на имущ и нал'!H$23)/'Объемы бюдж.ассигн.'!H$19,1)</f>
        <v>679.1</v>
      </c>
      <c r="J61" s="79">
        <f>ROUND(O61*('Объемы бюдж.ассигн.'!I$19-'Объемы ассигн на имущ и нал'!I$23)/'Объемы бюдж.ассигн.'!I$19,1)</f>
        <v>635.29999999999995</v>
      </c>
      <c r="K61" s="79">
        <v>508.8</v>
      </c>
      <c r="L61" s="78">
        <f>P61/1000</f>
        <v>542.70000000000005</v>
      </c>
      <c r="M61" s="78">
        <f>Q61/1000</f>
        <v>701</v>
      </c>
      <c r="N61" s="78">
        <f>R61/1000</f>
        <v>686.1</v>
      </c>
      <c r="O61" s="78">
        <f>S61/1000</f>
        <v>642.29999999999995</v>
      </c>
      <c r="P61" s="64">
        <v>542700</v>
      </c>
      <c r="Q61" s="64">
        <v>701000</v>
      </c>
      <c r="R61" s="64">
        <v>686100</v>
      </c>
      <c r="S61" s="64">
        <v>642300</v>
      </c>
      <c r="T61" s="64"/>
    </row>
    <row r="62" spans="1:20" ht="24.6" customHeight="1">
      <c r="A62" s="84" t="s">
        <v>41</v>
      </c>
      <c r="B62" s="83"/>
      <c r="C62" s="83"/>
      <c r="D62" s="83"/>
      <c r="E62" s="83"/>
      <c r="F62" s="82"/>
      <c r="G62" s="79">
        <f>G61</f>
        <v>535.70000000000005</v>
      </c>
      <c r="H62" s="79">
        <f>H61</f>
        <v>694</v>
      </c>
      <c r="I62" s="79">
        <f>I61</f>
        <v>679.1</v>
      </c>
      <c r="J62" s="79">
        <f>J61</f>
        <v>635.29999999999995</v>
      </c>
      <c r="K62" s="79">
        <f>K61</f>
        <v>508.8</v>
      </c>
      <c r="L62" s="78"/>
      <c r="M62" s="78"/>
      <c r="N62" s="78"/>
      <c r="O62" s="78"/>
      <c r="P62" s="64"/>
      <c r="Q62" s="64"/>
      <c r="R62" s="64"/>
      <c r="S62" s="64"/>
      <c r="T62" s="64"/>
    </row>
    <row r="63" spans="1:20" ht="43.5" customHeight="1">
      <c r="A63" s="140" t="s">
        <v>172</v>
      </c>
      <c r="B63" s="68" t="s">
        <v>141</v>
      </c>
      <c r="C63" s="68" t="s">
        <v>140</v>
      </c>
      <c r="D63" s="68" t="s">
        <v>131</v>
      </c>
      <c r="E63" s="68" t="s">
        <v>166</v>
      </c>
      <c r="F63" s="68" t="s">
        <v>120</v>
      </c>
      <c r="G63" s="79">
        <f>ROUND(L63*('Объемы бюдж.ассигн.'!F$18-'Объемы ассигн на имущ и нал'!F$22)/'Объемы бюдж.ассигн.'!F$18,1)</f>
        <v>24843.4</v>
      </c>
      <c r="H63" s="79">
        <f>ROUND(M63*('Объемы бюдж.ассигн.'!G$18-'Объемы ассигн на имущ и нал'!G$22)/'Объемы бюдж.ассигн.'!G$18,1)</f>
        <v>26149.3</v>
      </c>
      <c r="I63" s="79">
        <f>ROUND(N63*('Объемы бюдж.ассигн.'!H$18-'Объемы ассигн на имущ и нал'!H$22)/'Объемы бюдж.ассигн.'!H$18,1)</f>
        <v>27021.599999999999</v>
      </c>
      <c r="J63" s="79">
        <f>ROUND(O63*('Объемы бюдж.ассигн.'!I$18-'Объемы ассигн на имущ и нал'!I$22)/'Объемы бюдж.ассигн.'!I$18,1)</f>
        <v>27917.1</v>
      </c>
      <c r="K63" s="79">
        <f>1398.1-18.9+1958.4-26.5+21497.6-291.3</f>
        <v>24517.399999999998</v>
      </c>
      <c r="L63" s="78">
        <f>P$63/1000/($K$63+$K$66)*$K63</f>
        <v>25175.561227894726</v>
      </c>
      <c r="M63" s="78">
        <f>Q$63/1000/($K$63+$K$66)*$K63</f>
        <v>26474.012081429708</v>
      </c>
      <c r="N63" s="78">
        <f>R$63/1000/($K$63+$K$66)*$K63</f>
        <v>27347.03337585822</v>
      </c>
      <c r="O63" s="78">
        <f>S$63/1000/($K$63+$K$66)*$K63</f>
        <v>28243.223552245639</v>
      </c>
      <c r="P63" s="64">
        <v>28251885.140000001</v>
      </c>
      <c r="Q63" s="64">
        <v>29709000</v>
      </c>
      <c r="R63" s="64">
        <v>30688700</v>
      </c>
      <c r="S63" s="64">
        <v>31694400</v>
      </c>
      <c r="T63" s="64"/>
    </row>
    <row r="64" spans="1:20" ht="43.5" customHeight="1">
      <c r="A64" s="141"/>
      <c r="B64" s="68" t="s">
        <v>141</v>
      </c>
      <c r="C64" s="68" t="s">
        <v>140</v>
      </c>
      <c r="D64" s="68" t="s">
        <v>131</v>
      </c>
      <c r="E64" s="68" t="s">
        <v>160</v>
      </c>
      <c r="F64" s="68" t="s">
        <v>120</v>
      </c>
      <c r="G64" s="79">
        <f>ROUND(L64*('Объемы бюдж.ассигн.'!F$18-'Объемы ассигн на имущ и нал'!F$22)/'Объемы бюдж.ассигн.'!F$18,1)</f>
        <v>2308.5</v>
      </c>
      <c r="H64" s="79">
        <f>ROUND(M64*('Объемы бюдж.ассигн.'!G$18-'Объемы ассигн на имущ и нал'!G$22)/'Объемы бюдж.ассигн.'!G$18,1)</f>
        <v>2395</v>
      </c>
      <c r="I64" s="79">
        <f>ROUND(N64*('Объемы бюдж.ассигн.'!H$18-'Объемы ассигн на имущ и нал'!H$22)/'Объемы бюдж.ассигн.'!H$18,1)</f>
        <v>2455</v>
      </c>
      <c r="J64" s="79">
        <f>ROUND(O64*('Объемы бюдж.ассигн.'!I$18-'Объемы ассигн на имущ и нал'!I$22)/'Объемы бюдж.ассигн.'!I$18,1)</f>
        <v>2517.3000000000002</v>
      </c>
      <c r="K64" s="79">
        <f>2243.1-30.4</f>
        <v>2212.6999999999998</v>
      </c>
      <c r="L64" s="78">
        <f>P$64/1000/($K$64+$K$67+$K$70)*$K64</f>
        <v>2339.3513889454243</v>
      </c>
      <c r="M64" s="78">
        <f>Q$64/1000/($K$64+$K$67+$K$70)*$K64</f>
        <v>2424.7120832727587</v>
      </c>
      <c r="N64" s="78">
        <f>R$64/1000/($K$64+$K$67+$K$70)*$K64</f>
        <v>2484.5958142645304</v>
      </c>
      <c r="O64" s="78">
        <f>S$64/1000/($K$64+$K$67+$K$70)*$K64</f>
        <v>2546.7055627598634</v>
      </c>
      <c r="P64" s="64">
        <v>18180800</v>
      </c>
      <c r="Q64" s="64">
        <v>18844200</v>
      </c>
      <c r="R64" s="64">
        <v>19309600</v>
      </c>
      <c r="S64" s="64">
        <v>19792300</v>
      </c>
      <c r="T64" s="64"/>
    </row>
    <row r="65" spans="1:20" ht="24.6" customHeight="1">
      <c r="A65" s="84" t="s">
        <v>41</v>
      </c>
      <c r="B65" s="83"/>
      <c r="C65" s="83"/>
      <c r="D65" s="83"/>
      <c r="E65" s="83"/>
      <c r="F65" s="82"/>
      <c r="G65" s="79">
        <f>SUM(G63:G64)</f>
        <v>27151.9</v>
      </c>
      <c r="H65" s="79">
        <f>SUM(H63:H64)</f>
        <v>28544.3</v>
      </c>
      <c r="I65" s="79">
        <f>SUM(I63:I64)</f>
        <v>29476.6</v>
      </c>
      <c r="J65" s="79">
        <f>SUM(J63:J64)</f>
        <v>30434.399999999998</v>
      </c>
      <c r="K65" s="79">
        <f>SUM(K63:K64)</f>
        <v>26730.1</v>
      </c>
      <c r="L65" s="78"/>
      <c r="M65" s="78"/>
      <c r="N65" s="78"/>
      <c r="O65" s="78"/>
      <c r="P65" s="64"/>
      <c r="Q65" s="64"/>
      <c r="R65" s="64"/>
      <c r="S65" s="64"/>
      <c r="T65" s="64"/>
    </row>
    <row r="66" spans="1:20" ht="49.5" customHeight="1">
      <c r="A66" s="140" t="s">
        <v>171</v>
      </c>
      <c r="B66" s="68" t="s">
        <v>141</v>
      </c>
      <c r="C66" s="68" t="s">
        <v>140</v>
      </c>
      <c r="D66" s="68" t="s">
        <v>131</v>
      </c>
      <c r="E66" s="68" t="s">
        <v>166</v>
      </c>
      <c r="F66" s="68" t="s">
        <v>120</v>
      </c>
      <c r="G66" s="79">
        <f>ROUND(L66*('Объемы бюдж.ассигн.'!F$18-'Объемы ассигн на имущ и нал'!F$22)/'Объемы бюдж.ассигн.'!F$18,1)</f>
        <v>3035.7</v>
      </c>
      <c r="H66" s="79">
        <f>ROUND(M66*('Объемы бюдж.ассигн.'!G$18-'Объемы ассигн на имущ и нал'!G$22)/'Объемы бюдж.ассигн.'!G$18,1)</f>
        <v>3195.3</v>
      </c>
      <c r="I66" s="79">
        <f>ROUND(N66*('Объемы бюдж.ассигн.'!H$18-'Объемы ассигн на имущ и нал'!H$22)/'Объемы бюдж.ассигн.'!H$18,1)</f>
        <v>3301.9</v>
      </c>
      <c r="J66" s="79">
        <f>ROUND(O66*('Объемы бюдж.ассигн.'!I$18-'Объемы ассигн на имущ и нал'!I$22)/'Объемы бюдж.ассигн.'!I$18,1)</f>
        <v>3411.3</v>
      </c>
      <c r="K66" s="79">
        <f>4321.8-K67</f>
        <v>2995.9000000000005</v>
      </c>
      <c r="L66" s="78">
        <f>P$63/1000/($K$63+$K$66)*$K66</f>
        <v>3076.3239121052734</v>
      </c>
      <c r="M66" s="78">
        <f>Q$63/1000/($K$63+$K$66)*$K66</f>
        <v>3234.9879185702921</v>
      </c>
      <c r="N66" s="78">
        <f>R$63/1000/($K$63+$K$66)*$K66</f>
        <v>3341.6666241417793</v>
      </c>
      <c r="O66" s="78">
        <f>S$63/1000/($K$63+$K$66)*$K66</f>
        <v>3451.1764477543597</v>
      </c>
      <c r="P66" s="64"/>
      <c r="Q66" s="64"/>
      <c r="R66" s="64"/>
      <c r="S66" s="64"/>
      <c r="T66" s="64"/>
    </row>
    <row r="67" spans="1:20" ht="49.5" customHeight="1">
      <c r="A67" s="141"/>
      <c r="B67" s="68" t="s">
        <v>141</v>
      </c>
      <c r="C67" s="68" t="s">
        <v>140</v>
      </c>
      <c r="D67" s="68" t="s">
        <v>131</v>
      </c>
      <c r="E67" s="68" t="s">
        <v>160</v>
      </c>
      <c r="F67" s="68" t="s">
        <v>120</v>
      </c>
      <c r="G67" s="79">
        <f>ROUND(L67*('Объемы бюдж.ассигн.'!F$18-'Объемы ассигн на имущ и нал'!F$22)/'Объемы бюдж.ассигн.'!F$18,1)</f>
        <v>1383.3</v>
      </c>
      <c r="H67" s="79">
        <f>ROUND(M67*('Объемы бюдж.ассигн.'!G$18-'Объемы ассигн на имущ и нал'!G$22)/'Объемы бюдж.ассигн.'!G$18,1)</f>
        <v>1435.1</v>
      </c>
      <c r="I67" s="79">
        <f>ROUND(N67*('Объемы бюдж.ассигн.'!H$18-'Объемы ассигн на имущ и нал'!H$22)/'Объемы бюдж.ассигн.'!H$18,1)</f>
        <v>1471.1</v>
      </c>
      <c r="J67" s="79">
        <f>ROUND(O67*('Объемы бюдж.ассигн.'!I$18-'Объемы ассигн на имущ и нал'!I$22)/'Объемы бюдж.ассигн.'!I$18,1)</f>
        <v>1508.4</v>
      </c>
      <c r="K67" s="79">
        <f>1120.1-15.2+224-3</f>
        <v>1325.8999999999999</v>
      </c>
      <c r="L67" s="78">
        <f>P$64/1000/($K$64+$K$67+$K$70)*$K67</f>
        <v>1401.7923833338175</v>
      </c>
      <c r="M67" s="78">
        <f>Q$64/1000/($K$64+$K$67+$K$70)*$K67</f>
        <v>1452.9424464280521</v>
      </c>
      <c r="N67" s="78">
        <f>R$64/1000/($K$64+$K$67+$K$70)*$K67</f>
        <v>1488.8261355508387</v>
      </c>
      <c r="O67" s="78">
        <f>S$64/1000/($K$64+$K$67+$K$70)*$K67</f>
        <v>1526.0437048236556</v>
      </c>
      <c r="P67" s="64"/>
      <c r="Q67" s="64"/>
      <c r="R67" s="64"/>
      <c r="S67" s="64"/>
      <c r="T67" s="64"/>
    </row>
    <row r="68" spans="1:20" ht="24.6" customHeight="1">
      <c r="A68" s="84" t="s">
        <v>41</v>
      </c>
      <c r="B68" s="83"/>
      <c r="C68" s="83"/>
      <c r="D68" s="83"/>
      <c r="E68" s="83"/>
      <c r="F68" s="82"/>
      <c r="G68" s="79">
        <f>SUM(G66:G67)</f>
        <v>4419</v>
      </c>
      <c r="H68" s="79">
        <f>SUM(H66:H67)</f>
        <v>4630.3999999999996</v>
      </c>
      <c r="I68" s="79">
        <f>SUM(I66:I67)</f>
        <v>4773</v>
      </c>
      <c r="J68" s="79">
        <f>SUM(J66:J67)</f>
        <v>4919.7000000000007</v>
      </c>
      <c r="K68" s="79">
        <f>SUM(K66:K67)</f>
        <v>4321.8</v>
      </c>
      <c r="L68" s="78"/>
      <c r="M68" s="78"/>
      <c r="N68" s="78"/>
      <c r="O68" s="78"/>
      <c r="P68" s="64"/>
      <c r="Q68" s="64"/>
      <c r="R68" s="64"/>
      <c r="S68" s="64"/>
      <c r="T68" s="64"/>
    </row>
    <row r="69" spans="1:20" ht="44.25" customHeight="1">
      <c r="A69" s="140" t="s">
        <v>170</v>
      </c>
      <c r="B69" s="68" t="s">
        <v>141</v>
      </c>
      <c r="C69" s="68" t="s">
        <v>140</v>
      </c>
      <c r="D69" s="68" t="s">
        <v>131</v>
      </c>
      <c r="E69" s="68" t="s">
        <v>132</v>
      </c>
      <c r="F69" s="68" t="s">
        <v>120</v>
      </c>
      <c r="G69" s="79">
        <f>ROUND(L69*('Объемы бюдж.ассигн.'!F$18-'Объемы ассигн на имущ и нал'!F$22)/'Объемы бюдж.ассигн.'!F$18,1)</f>
        <v>24828.6</v>
      </c>
      <c r="H69" s="79">
        <f>ROUND(M69*('Объемы бюдж.ассигн.'!G$18-'Объемы ассигн на имущ и нал'!G$22)/'Объемы бюдж.ассигн.'!G$18,1)</f>
        <v>25969.7</v>
      </c>
      <c r="I69" s="79">
        <f>ROUND(N69*('Объемы бюдж.ассигн.'!H$18-'Объемы ассигн на имущ и нал'!H$22)/'Объемы бюдж.ассигн.'!H$18,1)</f>
        <v>26805.4</v>
      </c>
      <c r="J69" s="79">
        <f>ROUND(O69*('Объемы бюдж.ассигн.'!I$18-'Объемы ассигн на имущ и нал'!I$22)/'Объемы бюдж.ассигн.'!I$18,1)</f>
        <v>27694.6</v>
      </c>
      <c r="K69" s="79">
        <f>24382.7-330.4</f>
        <v>24052.3</v>
      </c>
      <c r="L69" s="78">
        <f>P69/1000</f>
        <v>25160.5</v>
      </c>
      <c r="M69" s="78">
        <f>Q69/1000</f>
        <v>26292.1</v>
      </c>
      <c r="N69" s="78">
        <f>R69/1000</f>
        <v>27128.3</v>
      </c>
      <c r="O69" s="78">
        <f>S69/1000</f>
        <v>28018.1</v>
      </c>
      <c r="P69" s="64">
        <v>25160500</v>
      </c>
      <c r="Q69" s="64">
        <v>26292100</v>
      </c>
      <c r="R69" s="64">
        <v>27128300</v>
      </c>
      <c r="S69" s="64">
        <v>28018100</v>
      </c>
      <c r="T69" s="64"/>
    </row>
    <row r="70" spans="1:20" ht="44.25" customHeight="1">
      <c r="A70" s="141"/>
      <c r="B70" s="68" t="s">
        <v>141</v>
      </c>
      <c r="C70" s="68" t="s">
        <v>140</v>
      </c>
      <c r="D70" s="68" t="s">
        <v>131</v>
      </c>
      <c r="E70" s="68" t="s">
        <v>160</v>
      </c>
      <c r="F70" s="68" t="s">
        <v>120</v>
      </c>
      <c r="G70" s="79">
        <f>ROUND(L70*('Объемы бюдж.ассигн.'!F$18-'Объемы ассигн на имущ и нал'!F$22)/'Объемы бюдж.ассигн.'!F$18,1)</f>
        <v>14249.2</v>
      </c>
      <c r="H70" s="79">
        <f>ROUND(M70*('Объемы бюдж.ассигн.'!G$18-'Объемы ассигн на имущ и нал'!G$22)/'Объемы бюдж.ассигн.'!G$18,1)</f>
        <v>14783</v>
      </c>
      <c r="I70" s="79">
        <f>ROUND(N70*('Объемы бюдж.ассигн.'!H$18-'Объемы ассигн на имущ и нал'!H$22)/'Объемы бюдж.ассигн.'!H$18,1)</f>
        <v>15153.7</v>
      </c>
      <c r="J70" s="79">
        <f>ROUND(O70*('Объемы бюдж.ассигн.'!I$18-'Объемы ассигн на имущ и нал'!I$22)/'Объемы бюдж.ассигн.'!I$18,1)+0.1</f>
        <v>15538.2</v>
      </c>
      <c r="K70" s="79">
        <f>13845.5-187.6</f>
        <v>13657.9</v>
      </c>
      <c r="L70" s="78">
        <f>P$64/1000/($K$64+$K$67+$K$70)*$K70</f>
        <v>14439.656227720754</v>
      </c>
      <c r="M70" s="78">
        <f>Q$64/1000/($K$64+$K$67+$K$70)*$K70</f>
        <v>14966.545470299188</v>
      </c>
      <c r="N70" s="78">
        <f>R$64/1000/($K$64+$K$67+$K$70)*$K70</f>
        <v>15336.17805018463</v>
      </c>
      <c r="O70" s="78">
        <f>S$64/1000/($K$64+$K$67+$K$70)*$K70</f>
        <v>15719.550732416477</v>
      </c>
      <c r="P70" s="64"/>
      <c r="Q70" s="64"/>
      <c r="R70" s="64"/>
      <c r="S70" s="64"/>
      <c r="T70" s="64"/>
    </row>
    <row r="71" spans="1:20" ht="24.6" customHeight="1">
      <c r="A71" s="84" t="s">
        <v>41</v>
      </c>
      <c r="B71" s="83"/>
      <c r="C71" s="83"/>
      <c r="D71" s="83"/>
      <c r="E71" s="83"/>
      <c r="F71" s="82"/>
      <c r="G71" s="79">
        <f>SUM(G69:G70)</f>
        <v>39077.800000000003</v>
      </c>
      <c r="H71" s="79">
        <f>SUM(H69:H70)</f>
        <v>40752.699999999997</v>
      </c>
      <c r="I71" s="79">
        <f>SUM(I69:I70)</f>
        <v>41959.100000000006</v>
      </c>
      <c r="J71" s="79">
        <f>SUM(J69:J70)</f>
        <v>43232.800000000003</v>
      </c>
      <c r="K71" s="79">
        <f>SUM(K69:K70)</f>
        <v>37710.199999999997</v>
      </c>
      <c r="L71" s="78"/>
      <c r="M71" s="78"/>
      <c r="N71" s="78"/>
      <c r="O71" s="78"/>
      <c r="P71" s="64"/>
      <c r="Q71" s="64"/>
      <c r="R71" s="64"/>
      <c r="S71" s="64"/>
      <c r="T71" s="64"/>
    </row>
    <row r="72" spans="1:20" ht="66">
      <c r="A72" s="80" t="s">
        <v>169</v>
      </c>
      <c r="B72" s="68" t="s">
        <v>141</v>
      </c>
      <c r="C72" s="68" t="s">
        <v>140</v>
      </c>
      <c r="D72" s="68" t="s">
        <v>135</v>
      </c>
      <c r="E72" s="68" t="s">
        <v>166</v>
      </c>
      <c r="F72" s="68" t="s">
        <v>120</v>
      </c>
      <c r="G72" s="79">
        <f>ROUND(L72*('Объемы бюдж.ассигн.'!F$9-'Объемы ассигн на имущ и нал'!F$13)/'Объемы бюдж.ассигн.'!F$9,1)</f>
        <v>19401</v>
      </c>
      <c r="H72" s="79">
        <f>ROUND(M72*('Объемы бюдж.ассигн.'!G$9-'Объемы ассигн на имущ и нал'!G$13)/'Объемы бюдж.ассигн.'!G$9,1)</f>
        <v>19719</v>
      </c>
      <c r="I72" s="79">
        <f>ROUND(N72*('Объемы бюдж.ассигн.'!H$9-'Объемы ассигн на имущ и нал'!H$13)/'Объемы бюдж.ассигн.'!H$9,1)</f>
        <v>21431.200000000001</v>
      </c>
      <c r="J72" s="79">
        <f>ROUND(O72*('Объемы бюдж.ассигн.'!I$9-'Объемы ассигн на имущ и нал'!I$13)/'Объемы бюдж.ассигн.'!I$9,1)</f>
        <v>22018.400000000001</v>
      </c>
      <c r="K72" s="79">
        <v>18283.8</v>
      </c>
      <c r="L72" s="78">
        <f>P$72/1000/($K$72+$K$74+$K$77)*$K72</f>
        <v>19642.688171873255</v>
      </c>
      <c r="M72" s="78">
        <f>Q$72/1000/($K$72+$K$74+$K$77)*$K72</f>
        <v>19942.484965938296</v>
      </c>
      <c r="N72" s="78">
        <f>R$72/1000/($K$72+$K$74+$K$77)*$K72</f>
        <v>21659.744352981095</v>
      </c>
      <c r="O72" s="78">
        <f>S$72/1000/($K$72+$K$74+$K$77)*$K72</f>
        <v>22248.168767416762</v>
      </c>
      <c r="P72" s="64">
        <v>976965845.55999994</v>
      </c>
      <c r="Q72" s="64">
        <v>991876800</v>
      </c>
      <c r="R72" s="64">
        <v>1077287908.4200001</v>
      </c>
      <c r="S72" s="64">
        <v>1106554297.55</v>
      </c>
      <c r="T72" s="64"/>
    </row>
    <row r="73" spans="1:20" ht="24.6" customHeight="1">
      <c r="A73" s="84" t="s">
        <v>41</v>
      </c>
      <c r="B73" s="83"/>
      <c r="C73" s="83"/>
      <c r="D73" s="83"/>
      <c r="E73" s="83"/>
      <c r="F73" s="82"/>
      <c r="G73" s="79">
        <f>G72</f>
        <v>19401</v>
      </c>
      <c r="H73" s="79">
        <f>H72</f>
        <v>19719</v>
      </c>
      <c r="I73" s="79">
        <f>I72</f>
        <v>21431.200000000001</v>
      </c>
      <c r="J73" s="79">
        <f>J72</f>
        <v>22018.400000000001</v>
      </c>
      <c r="K73" s="79">
        <f>K72</f>
        <v>18283.8</v>
      </c>
      <c r="L73" s="78"/>
      <c r="M73" s="78"/>
      <c r="N73" s="78"/>
      <c r="O73" s="78"/>
      <c r="P73" s="64"/>
      <c r="Q73" s="64"/>
      <c r="R73" s="64"/>
      <c r="S73" s="64"/>
      <c r="T73" s="64"/>
    </row>
    <row r="74" spans="1:20" ht="50.25" customHeight="1">
      <c r="A74" s="140" t="s">
        <v>168</v>
      </c>
      <c r="B74" s="68" t="s">
        <v>141</v>
      </c>
      <c r="C74" s="68" t="s">
        <v>140</v>
      </c>
      <c r="D74" s="68" t="s">
        <v>135</v>
      </c>
      <c r="E74" s="68" t="s">
        <v>166</v>
      </c>
      <c r="F74" s="68" t="s">
        <v>120</v>
      </c>
      <c r="G74" s="79">
        <f>ROUND(L74*('Объемы бюдж.ассигн.'!F$9-'Объемы ассигн на имущ и нал'!F$13)/'Объемы бюдж.ассигн.'!F$9,1)</f>
        <v>711398.7</v>
      </c>
      <c r="H74" s="79">
        <f>ROUND(M74*('Объемы бюдж.ассигн.'!G$9-'Объемы ассигн на имущ и нал'!G$13)/'Объемы бюдж.ассигн.'!G$9,1)</f>
        <v>723057.8</v>
      </c>
      <c r="I74" s="79">
        <f>ROUND(N74*('Объемы бюдж.ассигн.'!H$9-'Объемы ассигн на имущ и нал'!H$13)/'Объемы бюдж.ассигн.'!H$9,1)</f>
        <v>785839.8</v>
      </c>
      <c r="J74" s="79">
        <f>ROUND(O74*('Объемы бюдж.ассигн.'!I$9-'Объемы ассигн на имущ и нал'!I$13)/'Объемы бюдж.ассигн.'!I$9,1)</f>
        <v>807374</v>
      </c>
      <c r="K74" s="79">
        <f>539183.1-6502.5+110915-1337.6+28518.1-343.9</f>
        <v>670432.19999999995</v>
      </c>
      <c r="L74" s="78">
        <f>P$72/1000/($K$72+$K$74+$K$77)*$K74</f>
        <v>720260.0468711626</v>
      </c>
      <c r="M74" s="78">
        <f>Q$72/1000/($K$72+$K$74+$K$77)*$K74</f>
        <v>731253.02558444836</v>
      </c>
      <c r="N74" s="78">
        <f>R$72/1000/($K$72+$K$74+$K$77)*$K74</f>
        <v>794221.66387767822</v>
      </c>
      <c r="O74" s="78">
        <f>S$72/1000/($K$72+$K$74+$K$77)*$K74</f>
        <v>815798.0689304471</v>
      </c>
      <c r="P74" s="64"/>
      <c r="Q74" s="64"/>
      <c r="R74" s="64"/>
      <c r="S74" s="64"/>
      <c r="T74" s="64"/>
    </row>
    <row r="75" spans="1:20" ht="50.25" customHeight="1">
      <c r="A75" s="141"/>
      <c r="B75" s="68" t="s">
        <v>141</v>
      </c>
      <c r="C75" s="68" t="s">
        <v>140</v>
      </c>
      <c r="D75" s="68" t="s">
        <v>135</v>
      </c>
      <c r="E75" s="68" t="s">
        <v>160</v>
      </c>
      <c r="F75" s="68" t="s">
        <v>120</v>
      </c>
      <c r="G75" s="79">
        <f>ROUND(L75*('Объемы бюдж.ассигн.'!F$9-'Объемы ассигн на имущ и нал'!F$13)/'Объемы бюдж.ассигн.'!F$9,1)</f>
        <v>58580.6</v>
      </c>
      <c r="H75" s="79">
        <f>ROUND(M75*('Объемы бюдж.ассигн.'!G$9-'Объемы ассигн на имущ и нал'!G$13)/'Объемы бюдж.ассигн.'!G$9,1)</f>
        <v>59783.199999999997</v>
      </c>
      <c r="I75" s="79">
        <f>ROUND(N75*('Объемы бюдж.ассигн.'!H$9-'Объемы ассигн на имущ и нал'!H$13)/'Объемы бюдж.ассигн.'!H$9,1)</f>
        <v>60208.7</v>
      </c>
      <c r="J75" s="79">
        <f>ROUND(O75*('Объемы бюдж.ассигн.'!I$9-'Объемы ассигн на имущ и нал'!I$13)/'Объемы бюдж.ассигн.'!I$9,1)</f>
        <v>60838.1</v>
      </c>
      <c r="K75" s="79">
        <f>723876.1-K74</f>
        <v>53443.900000000023</v>
      </c>
      <c r="L75" s="78">
        <f>P$75/1000/($K$75+$K$78+$K$84+$K$86)*$K75</f>
        <v>59310.339373586656</v>
      </c>
      <c r="M75" s="78">
        <f>Q$75/1000/($K$75+$K$78+$K$84+$K$86)*$K75</f>
        <v>60460.749669409997</v>
      </c>
      <c r="N75" s="78">
        <f>R$75/1000/($K$75+$K$78+$K$84+$K$86)*$K75</f>
        <v>60850.931203844841</v>
      </c>
      <c r="O75" s="78">
        <f>S$75/1000/($K$75+$K$78+$K$84+$K$86)*$K75</f>
        <v>61472.860450205684</v>
      </c>
      <c r="P75" s="64">
        <v>397376799.01999998</v>
      </c>
      <c r="Q75" s="64">
        <v>405084500</v>
      </c>
      <c r="R75" s="64">
        <v>407698700</v>
      </c>
      <c r="S75" s="64">
        <v>411865600</v>
      </c>
      <c r="T75" s="64"/>
    </row>
    <row r="76" spans="1:20" ht="24.6" customHeight="1">
      <c r="A76" s="84" t="s">
        <v>41</v>
      </c>
      <c r="B76" s="83"/>
      <c r="C76" s="83"/>
      <c r="D76" s="83"/>
      <c r="E76" s="83"/>
      <c r="F76" s="82"/>
      <c r="G76" s="79">
        <f>SUM(G74:G75)</f>
        <v>769979.29999999993</v>
      </c>
      <c r="H76" s="79">
        <f>SUM(H74:H75)</f>
        <v>782841</v>
      </c>
      <c r="I76" s="79">
        <f>SUM(I74:I75)</f>
        <v>846048.5</v>
      </c>
      <c r="J76" s="79">
        <f>SUM(J74:J75)</f>
        <v>868212.1</v>
      </c>
      <c r="K76" s="79">
        <f>SUM(K74:K75)</f>
        <v>723876.1</v>
      </c>
      <c r="L76" s="78"/>
      <c r="M76" s="78"/>
      <c r="N76" s="78"/>
      <c r="O76" s="78"/>
      <c r="P76" s="64"/>
      <c r="Q76" s="64"/>
      <c r="R76" s="64"/>
      <c r="S76" s="64"/>
      <c r="T76" s="64"/>
    </row>
    <row r="77" spans="1:20" ht="50.25" customHeight="1">
      <c r="A77" s="140" t="s">
        <v>167</v>
      </c>
      <c r="B77" s="68" t="s">
        <v>141</v>
      </c>
      <c r="C77" s="68" t="s">
        <v>140</v>
      </c>
      <c r="D77" s="68" t="s">
        <v>135</v>
      </c>
      <c r="E77" s="68" t="s">
        <v>166</v>
      </c>
      <c r="F77" s="68" t="s">
        <v>120</v>
      </c>
      <c r="G77" s="79">
        <f>ROUND(L77*('Объемы бюдж.ассигн.'!F$9-'Объемы ассигн на имущ и нал'!F$13)/'Объемы бюдж.ассигн.'!F$9,1)</f>
        <v>234146.5</v>
      </c>
      <c r="H77" s="79">
        <f>ROUND(M77*('Объемы бюдж.ассигн.'!G$9-'Объемы ассигн на имущ и нал'!G$13)/'Объемы бюдж.ассигн.'!G$9,1)</f>
        <v>237983.9</v>
      </c>
      <c r="I77" s="79">
        <f>ROUND(N77*('Объемы бюдж.ассигн.'!H$9-'Объемы ассигн на имущ и нал'!H$13)/'Объемы бюдж.ассигн.'!H$9,1)</f>
        <v>258647.7</v>
      </c>
      <c r="J77" s="79">
        <f>ROUND(O77*('Объемы бюдж.ассигн.'!I$9-'Объемы ассигн на имущ и нал'!I$13)/'Объемы бюдж.ассигн.'!I$9,1)</f>
        <v>265735.40000000002</v>
      </c>
      <c r="K77" s="79">
        <f>249627.7-K78</f>
        <v>220663</v>
      </c>
      <c r="L77" s="78">
        <f>P$72/1000/($K$72+$K$74+$K$77)*$K77</f>
        <v>237063.11051696408</v>
      </c>
      <c r="M77" s="78">
        <f>Q$72/1000/($K$72+$K$74+$K$77)*$K77</f>
        <v>240681.28944961345</v>
      </c>
      <c r="N77" s="78">
        <f>R$72/1000/($K$72+$K$74+$K$77)*$K77</f>
        <v>261406.50018934073</v>
      </c>
      <c r="O77" s="78">
        <f>S$72/1000/($K$72+$K$74+$K$77)*$K77</f>
        <v>268508.05985213607</v>
      </c>
      <c r="P77" s="64"/>
      <c r="Q77" s="64"/>
      <c r="R77" s="64"/>
      <c r="S77" s="64"/>
      <c r="T77" s="64"/>
    </row>
    <row r="78" spans="1:20" ht="50.25" customHeight="1">
      <c r="A78" s="141"/>
      <c r="B78" s="68" t="s">
        <v>141</v>
      </c>
      <c r="C78" s="68" t="s">
        <v>140</v>
      </c>
      <c r="D78" s="68" t="s">
        <v>135</v>
      </c>
      <c r="E78" s="68" t="s">
        <v>160</v>
      </c>
      <c r="F78" s="68" t="s">
        <v>120</v>
      </c>
      <c r="G78" s="79">
        <f>ROUND(L78*('Объемы бюдж.ассигн.'!F$9-'Объемы ассигн на имущ и нал'!F$13)/'Объемы бюдж.ассигн.'!F$9,1)</f>
        <v>31748.6</v>
      </c>
      <c r="H78" s="79">
        <f>ROUND(M78*('Объемы бюдж.ассигн.'!G$9-'Объемы ассигн на имущ и нал'!G$13)/'Объемы бюдж.ассигн.'!G$9,1)-0.1</f>
        <v>32400.300000000003</v>
      </c>
      <c r="I78" s="79">
        <f>ROUND(N78*('Объемы бюдж.ассигн.'!H$9-'Объемы ассигн на имущ и нал'!H$13)/'Объемы бюдж.ассигн.'!H$9,1)</f>
        <v>32631</v>
      </c>
      <c r="J78" s="79">
        <f>ROUND(O78*('Объемы бюдж.ассигн.'!I$9-'Объемы ассигн на имущ и нал'!I$13)/'Объемы бюдж.ассигн.'!I$9,1)</f>
        <v>32972.1</v>
      </c>
      <c r="K78" s="79">
        <f>18466.9-222.7+10851.4-130.9</f>
        <v>28964.699999999997</v>
      </c>
      <c r="L78" s="78">
        <f>P$75/1000/($K$75+$K$78+$K$84+$K$86)*$K78</f>
        <v>32144.102261513934</v>
      </c>
      <c r="M78" s="78">
        <f>Q$75/1000/($K$75+$K$78+$K$84+$K$86)*$K78</f>
        <v>32767.583876729783</v>
      </c>
      <c r="N78" s="78">
        <f>R$75/1000/($K$75+$K$78+$K$84+$K$86)*$K78</f>
        <v>32979.048442198342</v>
      </c>
      <c r="O78" s="78">
        <f>S$75/1000/($K$75+$K$78+$K$84+$K$86)*$K78</f>
        <v>33316.11205548382</v>
      </c>
      <c r="P78" s="64"/>
      <c r="Q78" s="64"/>
      <c r="R78" s="64"/>
      <c r="S78" s="64"/>
      <c r="T78" s="64"/>
    </row>
    <row r="79" spans="1:20" ht="24.6" customHeight="1">
      <c r="A79" s="84" t="s">
        <v>41</v>
      </c>
      <c r="B79" s="83"/>
      <c r="C79" s="83"/>
      <c r="D79" s="83"/>
      <c r="E79" s="83"/>
      <c r="F79" s="82"/>
      <c r="G79" s="79">
        <f>SUM(G77:G78)</f>
        <v>265895.09999999998</v>
      </c>
      <c r="H79" s="79">
        <f>SUM(H77:H78)</f>
        <v>270384.2</v>
      </c>
      <c r="I79" s="79">
        <f>SUM(I77:I78)</f>
        <v>291278.7</v>
      </c>
      <c r="J79" s="79">
        <f>SUM(J77:J78)</f>
        <v>298707.5</v>
      </c>
      <c r="K79" s="79">
        <f>SUM(K77:K78)</f>
        <v>249627.7</v>
      </c>
      <c r="L79" s="78"/>
      <c r="M79" s="78"/>
      <c r="N79" s="78"/>
      <c r="O79" s="78"/>
      <c r="P79" s="64"/>
      <c r="Q79" s="64"/>
      <c r="R79" s="64"/>
      <c r="S79" s="64"/>
      <c r="T79" s="64"/>
    </row>
    <row r="80" spans="1:20" ht="101.25" customHeight="1">
      <c r="A80" s="80" t="s">
        <v>165</v>
      </c>
      <c r="B80" s="68" t="s">
        <v>141</v>
      </c>
      <c r="C80" s="68" t="s">
        <v>140</v>
      </c>
      <c r="D80" s="68" t="s">
        <v>135</v>
      </c>
      <c r="E80" s="68" t="s">
        <v>132</v>
      </c>
      <c r="F80" s="68" t="s">
        <v>120</v>
      </c>
      <c r="G80" s="79">
        <f>ROUND(L80*('Объемы бюдж.ассигн.'!F$9-'Объемы ассигн на имущ и нал'!F$13)/'Объемы бюдж.ассигн.'!F$9,1)</f>
        <v>113868.7</v>
      </c>
      <c r="H80" s="79">
        <f>ROUND(M80*('Объемы бюдж.ассигн.'!G$9-'Объемы ассигн на имущ и нал'!G$13)/'Объемы бюдж.ассигн.'!G$9,1)</f>
        <v>117471.2</v>
      </c>
      <c r="I80" s="79">
        <f>ROUND(N80*('Объемы бюдж.ассигн.'!H$9-'Объемы ассигн на имущ и нал'!H$13)/'Объемы бюдж.ассигн.'!H$9,1)</f>
        <v>123339.6</v>
      </c>
      <c r="J80" s="79">
        <f>ROUND(O80*('Объемы бюдж.ассигн.'!I$9-'Объемы ассигн на имущ и нал'!I$13)/'Объемы бюдж.ассигн.'!I$9,1)</f>
        <v>125348.9</v>
      </c>
      <c r="K80" s="79">
        <v>123030.39999999999</v>
      </c>
      <c r="L80" s="78">
        <f>P80/1000</f>
        <v>115287.1</v>
      </c>
      <c r="M80" s="78">
        <f>Q80/1000</f>
        <v>118802.6</v>
      </c>
      <c r="N80" s="78">
        <f>R80/1000</f>
        <v>124655.2</v>
      </c>
      <c r="O80" s="78">
        <f>S80/1000</f>
        <v>126656.8</v>
      </c>
      <c r="P80" s="65">
        <v>115287100</v>
      </c>
      <c r="Q80" s="65">
        <v>118802600</v>
      </c>
      <c r="R80" s="65">
        <v>124655200</v>
      </c>
      <c r="S80" s="65">
        <v>126656800</v>
      </c>
    </row>
    <row r="81" spans="1:20" ht="24.6" customHeight="1">
      <c r="A81" s="84" t="s">
        <v>41</v>
      </c>
      <c r="B81" s="83"/>
      <c r="C81" s="83"/>
      <c r="D81" s="83"/>
      <c r="E81" s="83"/>
      <c r="F81" s="82"/>
      <c r="G81" s="79">
        <f>G80</f>
        <v>113868.7</v>
      </c>
      <c r="H81" s="79">
        <f>H80</f>
        <v>117471.2</v>
      </c>
      <c r="I81" s="79">
        <f>I80</f>
        <v>123339.6</v>
      </c>
      <c r="J81" s="79">
        <f>J80</f>
        <v>125348.9</v>
      </c>
      <c r="K81" s="79">
        <f>K80</f>
        <v>123030.39999999999</v>
      </c>
      <c r="L81" s="78"/>
      <c r="M81" s="78"/>
      <c r="N81" s="78"/>
      <c r="O81" s="78"/>
      <c r="P81" s="64"/>
      <c r="Q81" s="64"/>
      <c r="R81" s="64"/>
      <c r="S81" s="64"/>
      <c r="T81" s="64"/>
    </row>
    <row r="82" spans="1:20" ht="99">
      <c r="A82" s="80" t="s">
        <v>164</v>
      </c>
      <c r="B82" s="68" t="s">
        <v>141</v>
      </c>
      <c r="C82" s="68" t="s">
        <v>140</v>
      </c>
      <c r="D82" s="68" t="s">
        <v>135</v>
      </c>
      <c r="E82" s="68" t="s">
        <v>163</v>
      </c>
      <c r="F82" s="68" t="s">
        <v>114</v>
      </c>
      <c r="G82" s="79">
        <f>ROUND(L82*('Объемы бюдж.ассигн.'!F$10-'Объемы ассигн на имущ и нал'!F$14)/'Объемы бюдж.ассигн.'!F$10,1)</f>
        <v>19068.5</v>
      </c>
      <c r="H82" s="79">
        <f>ROUND(M82*('Объемы бюдж.ассигн.'!G$10-'Объемы ассигн на имущ и нал'!G$14)/'Объемы бюдж.ассигн.'!G$10,1)</f>
        <v>19751.599999999999</v>
      </c>
      <c r="I82" s="79">
        <f>ROUND(N82*('Объемы бюдж.ассигн.'!H$10-'Объемы ассигн на имущ и нал'!H$14)/'Объемы бюдж.ассигн.'!H$10,1)</f>
        <v>20403.400000000001</v>
      </c>
      <c r="J82" s="79">
        <f>ROUND(O82*('Объемы бюдж.ассигн.'!I$10-'Объемы ассигн на имущ и нал'!I$14)/'Объемы бюдж.ассигн.'!I$10,1)</f>
        <v>20942.900000000001</v>
      </c>
      <c r="K82" s="79">
        <v>14714.5</v>
      </c>
      <c r="L82" s="78">
        <f>P82/1000</f>
        <v>19244.5</v>
      </c>
      <c r="M82" s="78">
        <f>Q82/1000</f>
        <v>19935.7</v>
      </c>
      <c r="N82" s="78">
        <f>R82/1000</f>
        <v>20587.5</v>
      </c>
      <c r="O82" s="78">
        <f>S82/1000</f>
        <v>21127</v>
      </c>
      <c r="P82" s="64">
        <v>19244500</v>
      </c>
      <c r="Q82" s="64">
        <v>19935700</v>
      </c>
      <c r="R82" s="64">
        <v>20587500</v>
      </c>
      <c r="S82" s="64">
        <v>21127000</v>
      </c>
      <c r="T82" s="64"/>
    </row>
    <row r="83" spans="1:20" ht="24.6" customHeight="1">
      <c r="A83" s="84" t="s">
        <v>41</v>
      </c>
      <c r="B83" s="83"/>
      <c r="C83" s="83"/>
      <c r="D83" s="83"/>
      <c r="E83" s="83"/>
      <c r="F83" s="82"/>
      <c r="G83" s="79">
        <f>G82</f>
        <v>19068.5</v>
      </c>
      <c r="H83" s="79">
        <f>H82</f>
        <v>19751.599999999999</v>
      </c>
      <c r="I83" s="79">
        <f>I82</f>
        <v>20403.400000000001</v>
      </c>
      <c r="J83" s="79">
        <f>J82</f>
        <v>20942.900000000001</v>
      </c>
      <c r="K83" s="79">
        <f>K82</f>
        <v>14714.5</v>
      </c>
      <c r="L83" s="78"/>
      <c r="M83" s="78"/>
      <c r="N83" s="78"/>
      <c r="O83" s="78"/>
      <c r="P83" s="64"/>
      <c r="Q83" s="64"/>
      <c r="R83" s="64"/>
      <c r="S83" s="64"/>
      <c r="T83" s="64"/>
    </row>
    <row r="84" spans="1:20" ht="99">
      <c r="A84" s="80" t="s">
        <v>162</v>
      </c>
      <c r="B84" s="68" t="s">
        <v>141</v>
      </c>
      <c r="C84" s="68" t="s">
        <v>140</v>
      </c>
      <c r="D84" s="68" t="s">
        <v>135</v>
      </c>
      <c r="E84" s="68" t="s">
        <v>160</v>
      </c>
      <c r="F84" s="68" t="s">
        <v>120</v>
      </c>
      <c r="G84" s="79">
        <f>ROUND(L84*('Объемы бюдж.ассигн.'!F$9-'Объемы ассигн на имущ и нал'!F$13)/'Объемы бюдж.ассигн.'!F$9,1)+0.1</f>
        <v>48962.2</v>
      </c>
      <c r="H84" s="79">
        <f>ROUND(M84*('Объемы бюдж.ассигн.'!G$9-'Объемы ассигн на имущ и нал'!G$13)/'Объемы бюдж.ассигн.'!G$9,1)</f>
        <v>49967.199999999997</v>
      </c>
      <c r="I84" s="79">
        <f>ROUND(N84*('Объемы бюдж.ассигн.'!H$9-'Объемы ассигн на имущ и нал'!H$13)/'Объемы бюдж.ассигн.'!H$9,1)+0.1</f>
        <v>50323</v>
      </c>
      <c r="J84" s="79">
        <f>ROUND(O84*('Объемы бюдж.ассигн.'!I$9-'Объемы ассигн на имущ и нал'!I$13)/'Объемы бюдж.ассигн.'!I$9,1)</f>
        <v>50848.9</v>
      </c>
      <c r="K84" s="79">
        <v>44668.800000000003</v>
      </c>
      <c r="L84" s="78">
        <f>P$75/1000/($K$75+$K$78+$K$84+$K$86)*$K84</f>
        <v>49572.012660207562</v>
      </c>
      <c r="M84" s="78">
        <f>Q$75/1000/($K$75+$K$78+$K$84+$K$86)*$K84</f>
        <v>50533.533945556745</v>
      </c>
      <c r="N84" s="78">
        <f>R$75/1000/($K$75+$K$78+$K$84+$K$86)*$K84</f>
        <v>50859.65050750981</v>
      </c>
      <c r="O84" s="78">
        <f>S$75/1000/($K$75+$K$78+$K$84+$K$86)*$K84</f>
        <v>51379.463491215029</v>
      </c>
      <c r="P84" s="64"/>
      <c r="Q84" s="64"/>
      <c r="R84" s="64"/>
      <c r="S84" s="64"/>
      <c r="T84" s="64"/>
    </row>
    <row r="85" spans="1:20" ht="24.6" customHeight="1">
      <c r="A85" s="84" t="s">
        <v>41</v>
      </c>
      <c r="B85" s="83"/>
      <c r="C85" s="83"/>
      <c r="D85" s="83"/>
      <c r="E85" s="83"/>
      <c r="F85" s="82"/>
      <c r="G85" s="79">
        <f>G84</f>
        <v>48962.2</v>
      </c>
      <c r="H85" s="79">
        <f>H84</f>
        <v>49967.199999999997</v>
      </c>
      <c r="I85" s="79">
        <f>I84</f>
        <v>50323</v>
      </c>
      <c r="J85" s="79">
        <f>J84</f>
        <v>50848.9</v>
      </c>
      <c r="K85" s="79">
        <f>K84</f>
        <v>44668.800000000003</v>
      </c>
      <c r="L85" s="78"/>
      <c r="M85" s="78"/>
      <c r="N85" s="78"/>
      <c r="O85" s="78"/>
      <c r="P85" s="64"/>
      <c r="Q85" s="64"/>
      <c r="R85" s="64"/>
      <c r="S85" s="64"/>
      <c r="T85" s="64"/>
    </row>
    <row r="86" spans="1:20" ht="43.5" customHeight="1">
      <c r="A86" s="140" t="s">
        <v>161</v>
      </c>
      <c r="B86" s="68" t="s">
        <v>141</v>
      </c>
      <c r="C86" s="68" t="s">
        <v>140</v>
      </c>
      <c r="D86" s="68" t="s">
        <v>135</v>
      </c>
      <c r="E86" s="68" t="s">
        <v>160</v>
      </c>
      <c r="F86" s="68" t="s">
        <v>120</v>
      </c>
      <c r="G86" s="79">
        <f>ROUND(L86*('Объемы бюдж.ассигн.'!F$9-'Объемы ассигн на имущ и нал'!F$13)/'Объемы бюдж.ассигн.'!F$9,1)</f>
        <v>253196.5</v>
      </c>
      <c r="H86" s="79">
        <f>ROUND(M86*('Объемы бюдж.ассигн.'!G$9-'Объемы ассигн на имущ и нал'!G$13)/'Объемы бюдж.ассигн.'!G$9,1)</f>
        <v>258393.9</v>
      </c>
      <c r="I86" s="79">
        <f>ROUND(N86*('Объемы бюдж.ассигн.'!H$9-'Объемы ассигн на имущ и нал'!H$13)/'Объемы бюдж.ассигн.'!H$9,1)</f>
        <v>260233.4</v>
      </c>
      <c r="J86" s="79">
        <f>ROUND(O86*('Объемы бюдж.ассигн.'!I$9-'Объемы ассигн на имущ и нал'!I$13)/'Объемы бюдж.ассигн.'!I$9,1)+0.3</f>
        <v>262953.8</v>
      </c>
      <c r="K86" s="79">
        <v>230994.5</v>
      </c>
      <c r="L86" s="78">
        <f>P$75/1000/($K$75+$K$78+$K$84+$K$86)*$K86</f>
        <v>256350.34472469182</v>
      </c>
      <c r="M86" s="78">
        <f>Q$75/1000/($K$75+$K$78+$K$84+$K$86)*$K86</f>
        <v>261322.6325083035</v>
      </c>
      <c r="N86" s="78">
        <f>R$75/1000/($K$75+$K$78+$K$84+$K$86)*$K86</f>
        <v>263009.06984644703</v>
      </c>
      <c r="O86" s="78">
        <f>S$75/1000/($K$75+$K$78+$K$84+$K$86)*$K86</f>
        <v>265697.16400309541</v>
      </c>
      <c r="P86" s="64"/>
      <c r="Q86" s="64"/>
      <c r="R86" s="64"/>
      <c r="S86" s="64"/>
      <c r="T86" s="64"/>
    </row>
    <row r="87" spans="1:20" ht="43.5" customHeight="1">
      <c r="A87" s="141"/>
      <c r="B87" s="68" t="s">
        <v>141</v>
      </c>
      <c r="C87" s="68" t="s">
        <v>140</v>
      </c>
      <c r="D87" s="68" t="s">
        <v>135</v>
      </c>
      <c r="E87" s="68" t="s">
        <v>160</v>
      </c>
      <c r="F87" s="68" t="s">
        <v>114</v>
      </c>
      <c r="G87" s="79">
        <f>ROUND(L87*('Объемы бюдж.ассигн.'!F$10-'Объемы ассигн на имущ и нал'!F$14)/'Объемы бюдж.ассигн.'!F$10,1)</f>
        <v>392.5</v>
      </c>
      <c r="H87" s="79"/>
      <c r="I87" s="79"/>
      <c r="J87" s="79"/>
      <c r="K87" s="79">
        <v>396.1</v>
      </c>
      <c r="L87" s="78">
        <f>P87/1000</f>
        <v>396.1</v>
      </c>
      <c r="M87" s="78">
        <f>Q87/1000</f>
        <v>0</v>
      </c>
      <c r="N87" s="78">
        <f>R87/1000</f>
        <v>0</v>
      </c>
      <c r="O87" s="78">
        <f>S87/1000</f>
        <v>0</v>
      </c>
      <c r="P87" s="64">
        <v>396100</v>
      </c>
      <c r="Q87" s="64"/>
      <c r="R87" s="64"/>
      <c r="S87" s="64"/>
      <c r="T87" s="64"/>
    </row>
    <row r="88" spans="1:20" ht="24.6" customHeight="1">
      <c r="A88" s="84" t="s">
        <v>41</v>
      </c>
      <c r="B88" s="83"/>
      <c r="C88" s="83"/>
      <c r="D88" s="83"/>
      <c r="E88" s="83"/>
      <c r="F88" s="82"/>
      <c r="G88" s="79">
        <f>G86+G87</f>
        <v>253589</v>
      </c>
      <c r="H88" s="79">
        <f>H86+H87</f>
        <v>258393.9</v>
      </c>
      <c r="I88" s="79">
        <f>I86+I87</f>
        <v>260233.4</v>
      </c>
      <c r="J88" s="79">
        <f>J86+J87</f>
        <v>262953.8</v>
      </c>
      <c r="K88" s="79">
        <f>K86</f>
        <v>230994.5</v>
      </c>
      <c r="L88" s="78"/>
      <c r="M88" s="78"/>
      <c r="N88" s="78"/>
      <c r="O88" s="78"/>
      <c r="P88" s="64"/>
      <c r="Q88" s="64"/>
      <c r="R88" s="64"/>
      <c r="S88" s="64"/>
      <c r="T88" s="64"/>
    </row>
    <row r="89" spans="1:20" ht="33">
      <c r="A89" s="80" t="s">
        <v>159</v>
      </c>
      <c r="B89" s="68" t="s">
        <v>141</v>
      </c>
      <c r="C89" s="68" t="s">
        <v>140</v>
      </c>
      <c r="D89" s="68" t="s">
        <v>135</v>
      </c>
      <c r="E89" s="68" t="s">
        <v>130</v>
      </c>
      <c r="F89" s="68" t="s">
        <v>120</v>
      </c>
      <c r="G89" s="79">
        <f>'Объемы бюдж.ассигн.'!F13-'Объемы ассигн на имущ и нал'!F17</f>
        <v>400448.7</v>
      </c>
      <c r="H89" s="79">
        <f>'Объемы бюдж.ассигн.'!G13-'Объемы ассигн на имущ и нал'!G17</f>
        <v>406076.60000000003</v>
      </c>
      <c r="I89" s="79">
        <f>'Объемы бюдж.ассигн.'!H13-'Объемы ассигн на имущ и нал'!H17</f>
        <v>396474.4</v>
      </c>
      <c r="J89" s="79">
        <f>'Объемы бюдж.ассигн.'!I13-'Объемы ассигн на имущ и нал'!I17</f>
        <v>404299.7</v>
      </c>
      <c r="K89" s="79">
        <v>379197.5</v>
      </c>
      <c r="L89" s="78">
        <f>P89/1000</f>
        <v>405077.66551999998</v>
      </c>
      <c r="M89" s="78">
        <f>Q89/1000</f>
        <v>410804.2</v>
      </c>
      <c r="N89" s="78">
        <f>R89/1000</f>
        <v>401202</v>
      </c>
      <c r="O89" s="78">
        <f>S89/1000</f>
        <v>409027.3</v>
      </c>
      <c r="P89" s="64">
        <v>405077665.51999998</v>
      </c>
      <c r="Q89" s="64">
        <v>410804200</v>
      </c>
      <c r="R89" s="64">
        <v>401202000</v>
      </c>
      <c r="S89" s="64">
        <v>409027300</v>
      </c>
      <c r="T89" s="64"/>
    </row>
    <row r="90" spans="1:20" ht="24.6" customHeight="1">
      <c r="A90" s="84" t="s">
        <v>41</v>
      </c>
      <c r="B90" s="83"/>
      <c r="C90" s="83"/>
      <c r="D90" s="83"/>
      <c r="E90" s="83"/>
      <c r="F90" s="82"/>
      <c r="G90" s="79">
        <f>G89</f>
        <v>400448.7</v>
      </c>
      <c r="H90" s="79">
        <f>H89</f>
        <v>406076.60000000003</v>
      </c>
      <c r="I90" s="79">
        <f>I89</f>
        <v>396474.4</v>
      </c>
      <c r="J90" s="79">
        <f>J89</f>
        <v>404299.7</v>
      </c>
      <c r="K90" s="79">
        <f>K89</f>
        <v>379197.5</v>
      </c>
      <c r="L90" s="78"/>
      <c r="M90" s="78"/>
      <c r="N90" s="78"/>
      <c r="O90" s="78"/>
      <c r="P90" s="64"/>
      <c r="Q90" s="64"/>
      <c r="R90" s="64"/>
      <c r="S90" s="64"/>
      <c r="T90" s="64"/>
    </row>
    <row r="91" spans="1:20" ht="139.5" customHeight="1">
      <c r="A91" s="86" t="s">
        <v>158</v>
      </c>
      <c r="B91" s="68" t="s">
        <v>141</v>
      </c>
      <c r="C91" s="68" t="s">
        <v>140</v>
      </c>
      <c r="D91" s="68" t="s">
        <v>126</v>
      </c>
      <c r="E91" s="68" t="s">
        <v>156</v>
      </c>
      <c r="F91" s="68" t="s">
        <v>120</v>
      </c>
      <c r="G91" s="79">
        <f>ROUND(L91*('Объемы бюдж.ассигн.'!F$20-L$110-'Объемы ассигн на имущ и нал'!F$24)/('Объемы бюдж.ассигн.'!F$20-L$110),1)</f>
        <v>13059.9</v>
      </c>
      <c r="H91" s="79">
        <f>ROUND(M91*('Объемы бюдж.ассигн.'!G$20-M$110-'Объемы ассигн на имущ и нал'!G$24)/('Объемы бюдж.ассигн.'!G$20-M$110),1)</f>
        <v>13965.6</v>
      </c>
      <c r="I91" s="79">
        <f>ROUND(N91*('Объемы бюдж.ассигн.'!H$20-N$110-'Объемы ассигн на имущ и нал'!H$24)/('Объемы бюдж.ассигн.'!H$20-N$110),1)</f>
        <v>14405.6</v>
      </c>
      <c r="J91" s="79">
        <f>ROUND(O91*('Объемы бюдж.ассигн.'!I$20-O$110-'Объемы ассигн на имущ и нал'!I$24)/('Объемы бюдж.ассигн.'!I$20-O$110),1)</f>
        <v>14839</v>
      </c>
      <c r="K91" s="79">
        <v>13192.9</v>
      </c>
      <c r="L91" s="78">
        <f>P$91/1000/($K$91+$K$93)*$K91</f>
        <v>13192.9</v>
      </c>
      <c r="M91" s="78">
        <f>Q$91/1000/($K$91+$K$93)*$K91</f>
        <v>14008.075205317591</v>
      </c>
      <c r="N91" s="78">
        <f>R$91/1000/($K$91+$K$93)*$K91</f>
        <v>14448.155652797906</v>
      </c>
      <c r="O91" s="78">
        <f>S$91/1000/($K$91+$K$93)*$K91</f>
        <v>14881.601383123916</v>
      </c>
      <c r="P91" s="64">
        <v>149249100</v>
      </c>
      <c r="Q91" s="64">
        <v>158471042.53999999</v>
      </c>
      <c r="R91" s="64">
        <v>163449600</v>
      </c>
      <c r="S91" s="64">
        <v>168353100</v>
      </c>
      <c r="T91" s="64"/>
    </row>
    <row r="92" spans="1:20" ht="24.6" customHeight="1">
      <c r="A92" s="84" t="s">
        <v>41</v>
      </c>
      <c r="B92" s="83"/>
      <c r="C92" s="83"/>
      <c r="D92" s="83"/>
      <c r="E92" s="83"/>
      <c r="F92" s="82"/>
      <c r="G92" s="79">
        <f>G91</f>
        <v>13059.9</v>
      </c>
      <c r="H92" s="79">
        <f>H91</f>
        <v>13965.6</v>
      </c>
      <c r="I92" s="79">
        <f>I91</f>
        <v>14405.6</v>
      </c>
      <c r="J92" s="79">
        <f>J91</f>
        <v>14839</v>
      </c>
      <c r="K92" s="79">
        <f>K91</f>
        <v>13192.9</v>
      </c>
      <c r="L92" s="78"/>
      <c r="M92" s="78"/>
      <c r="N92" s="78"/>
      <c r="O92" s="78"/>
      <c r="P92" s="64"/>
      <c r="Q92" s="64"/>
      <c r="R92" s="64"/>
      <c r="S92" s="64"/>
      <c r="T92" s="64"/>
    </row>
    <row r="93" spans="1:20" ht="76.5" customHeight="1">
      <c r="A93" s="122" t="s">
        <v>157</v>
      </c>
      <c r="B93" s="68" t="s">
        <v>141</v>
      </c>
      <c r="C93" s="68" t="s">
        <v>140</v>
      </c>
      <c r="D93" s="68" t="s">
        <v>126</v>
      </c>
      <c r="E93" s="68" t="s">
        <v>156</v>
      </c>
      <c r="F93" s="68" t="s">
        <v>120</v>
      </c>
      <c r="G93" s="79">
        <f>ROUND(L93*('Объемы бюдж.ассигн.'!F$20-L$110-'Объемы ассигн на имущ и нал'!F$24)/('Объемы бюдж.ассигн.'!F$20-L$110),1)-0.1</f>
        <v>134684.1</v>
      </c>
      <c r="H93" s="79">
        <f>ROUND(M93*('Объемы бюдж.ассигн.'!G$20-M$110-'Объемы ассигн на имущ и нал'!G$24)/('Объемы бюдж.ассигн.'!G$20-M$110),1)</f>
        <v>144024.6</v>
      </c>
      <c r="I93" s="79">
        <f>ROUND(N93*('Объемы бюдж.ассигн.'!H$20-N$110-'Объемы ассигн на имущ и нал'!H$24)/('Объемы бюдж.ассигн.'!H$20-N$110),1)</f>
        <v>148562.6</v>
      </c>
      <c r="J93" s="79">
        <f>ROUND(O93*('Объемы бюдж.ассигн.'!I$20-O$110-'Объемы ассигн на имущ и нал'!I$24)/('Объемы бюдж.ассигн.'!I$20-O$110),1)</f>
        <v>153032.20000000001</v>
      </c>
      <c r="K93" s="79">
        <v>136056.20000000001</v>
      </c>
      <c r="L93" s="78">
        <f>P$91/1000/($K$91+$K$93)*$K93</f>
        <v>136056.20000000001</v>
      </c>
      <c r="M93" s="78">
        <f>Q$91/1000/($K$91+$K$93)*$K93</f>
        <v>144462.96733468241</v>
      </c>
      <c r="N93" s="78">
        <f>R$91/1000/($K$91+$K$93)*$K93</f>
        <v>149001.44434720211</v>
      </c>
      <c r="O93" s="78">
        <f>S$91/1000/($K$91+$K$93)*$K93</f>
        <v>153471.49861687608</v>
      </c>
      <c r="P93" s="64"/>
      <c r="Q93" s="64"/>
      <c r="R93" s="64"/>
      <c r="S93" s="64"/>
      <c r="T93" s="64"/>
    </row>
    <row r="94" spans="1:20" ht="24.6" customHeight="1">
      <c r="A94" s="84" t="s">
        <v>41</v>
      </c>
      <c r="B94" s="83"/>
      <c r="C94" s="83"/>
      <c r="D94" s="83"/>
      <c r="E94" s="83"/>
      <c r="F94" s="82"/>
      <c r="G94" s="79">
        <f>G93</f>
        <v>134684.1</v>
      </c>
      <c r="H94" s="79">
        <f t="shared" ref="H94:J94" si="0">H93</f>
        <v>144024.6</v>
      </c>
      <c r="I94" s="79">
        <f t="shared" si="0"/>
        <v>148562.6</v>
      </c>
      <c r="J94" s="79">
        <f t="shared" si="0"/>
        <v>153032.20000000001</v>
      </c>
      <c r="K94" s="79">
        <f>K93</f>
        <v>136056.20000000001</v>
      </c>
      <c r="L94" s="78"/>
      <c r="M94" s="78"/>
      <c r="N94" s="78"/>
      <c r="O94" s="78"/>
      <c r="P94" s="64"/>
      <c r="Q94" s="64"/>
      <c r="R94" s="64"/>
      <c r="S94" s="64"/>
      <c r="T94" s="64"/>
    </row>
    <row r="95" spans="1:20" ht="33" customHeight="1">
      <c r="A95" s="157" t="s">
        <v>155</v>
      </c>
      <c r="B95" s="68" t="s">
        <v>141</v>
      </c>
      <c r="C95" s="68" t="s">
        <v>140</v>
      </c>
      <c r="D95" s="68" t="s">
        <v>124</v>
      </c>
      <c r="E95" s="68" t="s">
        <v>123</v>
      </c>
      <c r="F95" s="68" t="s">
        <v>120</v>
      </c>
      <c r="G95" s="79">
        <f>'Объемы бюдж.ассигн.'!F22-'Объемы ассигн на имущ и нал'!F26</f>
        <v>53412.800000000003</v>
      </c>
      <c r="H95" s="79">
        <f>'Объемы бюдж.ассигн.'!G22-'Объемы ассигн на имущ и нал'!G26</f>
        <v>55498.600000000006</v>
      </c>
      <c r="I95" s="79">
        <f>'Объемы бюдж.ассигн.'!H22-'Объемы ассигн на имущ и нал'!H26</f>
        <v>56965.8</v>
      </c>
      <c r="J95" s="79">
        <f>'Объемы бюдж.ассигн.'!I22-'Объемы ассигн на имущ и нал'!I26</f>
        <v>57914.5</v>
      </c>
      <c r="K95" s="79">
        <v>51357.3</v>
      </c>
      <c r="L95" s="78">
        <f t="shared" ref="L95:O96" si="1">P95/1000</f>
        <v>0</v>
      </c>
      <c r="M95" s="78">
        <f t="shared" si="1"/>
        <v>0</v>
      </c>
      <c r="N95" s="78">
        <f t="shared" si="1"/>
        <v>0</v>
      </c>
      <c r="O95" s="78">
        <f t="shared" si="1"/>
        <v>0</v>
      </c>
      <c r="P95" s="64"/>
      <c r="Q95" s="64"/>
      <c r="R95" s="64"/>
      <c r="S95" s="64"/>
      <c r="T95" s="64"/>
    </row>
    <row r="96" spans="1:20" ht="33" customHeight="1">
      <c r="A96" s="158"/>
      <c r="B96" s="68" t="s">
        <v>141</v>
      </c>
      <c r="C96" s="68" t="s">
        <v>140</v>
      </c>
      <c r="D96" s="68" t="s">
        <v>124</v>
      </c>
      <c r="E96" s="68" t="s">
        <v>123</v>
      </c>
      <c r="F96" s="68" t="s">
        <v>114</v>
      </c>
      <c r="G96" s="79">
        <f>'Объемы бюдж.ассигн.'!F23-'Объемы ассигн на имущ и нал'!F27</f>
        <v>101580.59999999999</v>
      </c>
      <c r="H96" s="79">
        <f>'Объемы бюдж.ассигн.'!G23-'Объемы ассигн на имущ и нал'!G27</f>
        <v>103115.4</v>
      </c>
      <c r="I96" s="79">
        <f>'Объемы бюдж.ассигн.'!H23-'Объемы ассигн на имущ и нал'!H27</f>
        <v>103357.7</v>
      </c>
      <c r="J96" s="79">
        <f>'Объемы бюдж.ассигн.'!I23-'Объемы ассигн на имущ и нал'!I27</f>
        <v>105613.79999999999</v>
      </c>
      <c r="K96" s="79">
        <v>88445.9</v>
      </c>
      <c r="L96" s="78">
        <f t="shared" si="1"/>
        <v>0</v>
      </c>
      <c r="M96" s="78">
        <f t="shared" si="1"/>
        <v>0</v>
      </c>
      <c r="N96" s="78">
        <f t="shared" si="1"/>
        <v>0</v>
      </c>
      <c r="O96" s="78">
        <f t="shared" si="1"/>
        <v>0</v>
      </c>
      <c r="P96" s="64"/>
      <c r="Q96" s="64"/>
      <c r="R96" s="64"/>
      <c r="S96" s="64"/>
      <c r="T96" s="64"/>
    </row>
    <row r="97" spans="1:20" ht="24.6" customHeight="1">
      <c r="A97" s="84" t="s">
        <v>41</v>
      </c>
      <c r="B97" s="83"/>
      <c r="C97" s="83"/>
      <c r="D97" s="83"/>
      <c r="E97" s="83"/>
      <c r="F97" s="82"/>
      <c r="G97" s="79">
        <f>G95+G96</f>
        <v>154993.4</v>
      </c>
      <c r="H97" s="79">
        <f>H95+H96</f>
        <v>158614</v>
      </c>
      <c r="I97" s="79">
        <f>I95+I96</f>
        <v>160323.5</v>
      </c>
      <c r="J97" s="79">
        <f>J95+J96</f>
        <v>163528.29999999999</v>
      </c>
      <c r="K97" s="79">
        <f>K95+K96</f>
        <v>139803.20000000001</v>
      </c>
      <c r="L97" s="78"/>
      <c r="M97" s="78"/>
      <c r="N97" s="78"/>
      <c r="O97" s="78"/>
      <c r="P97" s="64"/>
      <c r="Q97" s="64"/>
      <c r="R97" s="64"/>
      <c r="S97" s="64"/>
      <c r="T97" s="64"/>
    </row>
    <row r="98" spans="1:20" ht="49.5">
      <c r="A98" s="80" t="s">
        <v>154</v>
      </c>
      <c r="B98" s="68" t="s">
        <v>141</v>
      </c>
      <c r="C98" s="68" t="s">
        <v>152</v>
      </c>
      <c r="D98" s="68" t="s">
        <v>117</v>
      </c>
      <c r="E98" s="68" t="s">
        <v>115</v>
      </c>
      <c r="F98" s="68" t="s">
        <v>114</v>
      </c>
      <c r="G98" s="79">
        <f>'Объемы бюдж.ассигн.'!F7-'Объемы ассигн на имущ и нал'!F11</f>
        <v>69749.3</v>
      </c>
      <c r="H98" s="79">
        <f>'Объемы бюдж.ассигн.'!G7-'Объемы ассигн на имущ и нал'!G11</f>
        <v>75511.199999999997</v>
      </c>
      <c r="I98" s="79">
        <f>'Объемы бюдж.ассигн.'!H7-'Объемы ассигн на имущ и нал'!H11</f>
        <v>79364.100000000006</v>
      </c>
      <c r="J98" s="79">
        <f>'Объемы бюдж.ассигн.'!I7-'Объемы ассигн на имущ и нал'!I11</f>
        <v>82348.7</v>
      </c>
      <c r="K98" s="79">
        <f>64760-2710.7</f>
        <v>62049.3</v>
      </c>
      <c r="L98" s="78"/>
      <c r="M98" s="78"/>
      <c r="N98" s="78"/>
      <c r="O98" s="78"/>
      <c r="P98" s="64"/>
      <c r="Q98" s="64"/>
      <c r="R98" s="64"/>
      <c r="S98" s="64"/>
      <c r="T98" s="64"/>
    </row>
    <row r="99" spans="1:20" ht="24.6" customHeight="1">
      <c r="A99" s="84" t="s">
        <v>41</v>
      </c>
      <c r="B99" s="83"/>
      <c r="C99" s="83"/>
      <c r="D99" s="83"/>
      <c r="E99" s="83"/>
      <c r="F99" s="82"/>
      <c r="G99" s="79">
        <f>G98</f>
        <v>69749.3</v>
      </c>
      <c r="H99" s="79">
        <f>H98</f>
        <v>75511.199999999997</v>
      </c>
      <c r="I99" s="79">
        <f>I98</f>
        <v>79364.100000000006</v>
      </c>
      <c r="J99" s="79">
        <f>J98</f>
        <v>82348.7</v>
      </c>
      <c r="K99" s="79">
        <f>K98</f>
        <v>62049.3</v>
      </c>
      <c r="L99" s="78"/>
      <c r="M99" s="78"/>
      <c r="N99" s="78"/>
      <c r="O99" s="78"/>
      <c r="P99" s="64"/>
      <c r="Q99" s="64"/>
      <c r="R99" s="64"/>
      <c r="S99" s="64"/>
      <c r="T99" s="64"/>
    </row>
    <row r="100" spans="1:20" ht="33">
      <c r="A100" s="80" t="s">
        <v>153</v>
      </c>
      <c r="B100" s="68" t="s">
        <v>141</v>
      </c>
      <c r="C100" s="68" t="s">
        <v>152</v>
      </c>
      <c r="D100" s="68" t="s">
        <v>116</v>
      </c>
      <c r="E100" s="68" t="s">
        <v>115</v>
      </c>
      <c r="F100" s="68" t="s">
        <v>114</v>
      </c>
      <c r="G100" s="79">
        <f>'Объемы бюдж.ассигн.'!F8-'Объемы ассигн на имущ и нал'!F12</f>
        <v>5252.2</v>
      </c>
      <c r="H100" s="79">
        <f>'Объемы бюдж.ассигн.'!G8-'Объемы ассигн на имущ и нал'!G12</f>
        <v>5463.3</v>
      </c>
      <c r="I100" s="79">
        <f>'Объемы бюдж.ассигн.'!H8-'Объемы ассигн на имущ и нал'!H12</f>
        <v>5681.9</v>
      </c>
      <c r="J100" s="79">
        <f>'Объемы бюдж.ассигн.'!I8-'Объемы ассигн на имущ и нал'!I12</f>
        <v>5806.9</v>
      </c>
      <c r="K100" s="79">
        <v>5060.8999999999996</v>
      </c>
      <c r="L100" s="78"/>
      <c r="M100" s="78"/>
      <c r="N100" s="78"/>
      <c r="O100" s="78"/>
      <c r="P100" s="64"/>
      <c r="Q100" s="64"/>
      <c r="R100" s="64"/>
      <c r="S100" s="64"/>
      <c r="T100" s="64"/>
    </row>
    <row r="101" spans="1:20" ht="24.6" customHeight="1">
      <c r="A101" s="84" t="s">
        <v>41</v>
      </c>
      <c r="B101" s="83"/>
      <c r="C101" s="83"/>
      <c r="D101" s="83"/>
      <c r="E101" s="83"/>
      <c r="F101" s="82"/>
      <c r="G101" s="79">
        <f>G100</f>
        <v>5252.2</v>
      </c>
      <c r="H101" s="79">
        <f>H100</f>
        <v>5463.3</v>
      </c>
      <c r="I101" s="79">
        <f>I100</f>
        <v>5681.9</v>
      </c>
      <c r="J101" s="79">
        <f>J100</f>
        <v>5806.9</v>
      </c>
      <c r="K101" s="79">
        <f>K100</f>
        <v>5060.8999999999996</v>
      </c>
      <c r="L101" s="78"/>
      <c r="M101" s="78"/>
      <c r="N101" s="78"/>
      <c r="O101" s="78"/>
      <c r="P101" s="64"/>
      <c r="Q101" s="64"/>
      <c r="R101" s="64"/>
      <c r="S101" s="64"/>
      <c r="T101" s="64"/>
    </row>
    <row r="102" spans="1:20" ht="49.5" customHeight="1">
      <c r="A102" s="140" t="s">
        <v>218</v>
      </c>
      <c r="B102" s="68" t="s">
        <v>141</v>
      </c>
      <c r="C102" s="68" t="s">
        <v>140</v>
      </c>
      <c r="D102" s="68" t="s">
        <v>135</v>
      </c>
      <c r="E102" s="68" t="s">
        <v>219</v>
      </c>
      <c r="F102" s="68" t="s">
        <v>120</v>
      </c>
      <c r="G102" s="79">
        <f>'Объемы бюдж.ассигн.'!F11-'Объемы ассигн на имущ и нал'!F15</f>
        <v>278244.5</v>
      </c>
      <c r="H102" s="79">
        <f>'Объемы бюдж.ассигн.'!G11-'Объемы ассигн на имущ и нал'!G15</f>
        <v>315467.8</v>
      </c>
      <c r="I102" s="79">
        <f>'Объемы бюдж.ассигн.'!H11-'Объемы ассигн на имущ и нал'!H15</f>
        <v>338743.5</v>
      </c>
      <c r="J102" s="79">
        <f>'Объемы бюдж.ассигн.'!I11-'Объемы ассигн на имущ и нал'!I15</f>
        <v>338730.5</v>
      </c>
      <c r="K102" s="79">
        <v>5060.8999999999996</v>
      </c>
      <c r="L102" s="78"/>
      <c r="M102" s="78"/>
      <c r="N102" s="78"/>
      <c r="O102" s="78"/>
      <c r="P102" s="64"/>
      <c r="Q102" s="64"/>
      <c r="R102" s="64"/>
      <c r="S102" s="64"/>
      <c r="T102" s="64"/>
    </row>
    <row r="103" spans="1:20" ht="16.5">
      <c r="A103" s="141"/>
      <c r="B103" s="68" t="s">
        <v>141</v>
      </c>
      <c r="C103" s="68" t="s">
        <v>140</v>
      </c>
      <c r="D103" s="68" t="s">
        <v>135</v>
      </c>
      <c r="E103" s="68" t="s">
        <v>219</v>
      </c>
      <c r="F103" s="68" t="s">
        <v>114</v>
      </c>
      <c r="G103" s="79">
        <f>'Объемы бюдж.ассигн.'!F12-'Объемы ассигн на имущ и нал'!F16</f>
        <v>1116.3</v>
      </c>
      <c r="H103" s="79">
        <f>'Объемы бюдж.ассигн.'!G12-'Объемы ассигн на имущ и нал'!G16</f>
        <v>1180.8</v>
      </c>
      <c r="I103" s="79">
        <f>'Объемы бюдж.ассигн.'!H12-'Объемы ассигн на имущ и нал'!H16</f>
        <v>1437</v>
      </c>
      <c r="J103" s="79">
        <f>'Объемы бюдж.ассигн.'!I12-'Объемы ассигн на имущ и нал'!I16</f>
        <v>1450</v>
      </c>
      <c r="K103" s="79"/>
      <c r="L103" s="78"/>
      <c r="M103" s="78"/>
      <c r="N103" s="78"/>
      <c r="O103" s="78"/>
      <c r="P103" s="64"/>
      <c r="Q103" s="64"/>
      <c r="R103" s="64"/>
      <c r="S103" s="64"/>
      <c r="T103" s="64"/>
    </row>
    <row r="104" spans="1:20" ht="24.6" customHeight="1">
      <c r="A104" s="84" t="s">
        <v>41</v>
      </c>
      <c r="B104" s="83"/>
      <c r="C104" s="83"/>
      <c r="D104" s="83"/>
      <c r="E104" s="83"/>
      <c r="F104" s="82"/>
      <c r="G104" s="79">
        <f>SUM(G102:G103)</f>
        <v>279360.8</v>
      </c>
      <c r="H104" s="79">
        <f t="shared" ref="H104:J104" si="2">SUM(H102:H103)</f>
        <v>316648.59999999998</v>
      </c>
      <c r="I104" s="79">
        <f t="shared" si="2"/>
        <v>340180.5</v>
      </c>
      <c r="J104" s="79">
        <f t="shared" si="2"/>
        <v>340180.5</v>
      </c>
      <c r="K104" s="79">
        <f>K102</f>
        <v>5060.8999999999996</v>
      </c>
      <c r="L104" s="78"/>
      <c r="M104" s="78"/>
      <c r="N104" s="78"/>
      <c r="O104" s="78"/>
      <c r="P104" s="64"/>
      <c r="Q104" s="64"/>
      <c r="R104" s="64"/>
      <c r="S104" s="64"/>
      <c r="T104" s="64"/>
    </row>
    <row r="105" spans="1:20" ht="39.75" customHeight="1">
      <c r="A105" s="85" t="s">
        <v>15</v>
      </c>
      <c r="B105" s="68"/>
      <c r="C105" s="68"/>
      <c r="D105" s="68"/>
      <c r="E105" s="68"/>
      <c r="F105" s="68"/>
      <c r="G105" s="79"/>
      <c r="H105" s="79"/>
      <c r="I105" s="79"/>
      <c r="J105" s="79"/>
      <c r="K105" s="79"/>
      <c r="L105" s="78"/>
      <c r="M105" s="78"/>
      <c r="N105" s="78"/>
      <c r="O105" s="78"/>
      <c r="P105" s="64"/>
      <c r="Q105" s="64"/>
      <c r="R105" s="64"/>
      <c r="S105" s="64"/>
      <c r="T105" s="64"/>
    </row>
    <row r="106" spans="1:20" ht="28.5" customHeight="1">
      <c r="A106" s="142" t="s">
        <v>151</v>
      </c>
      <c r="B106" s="123" t="s">
        <v>141</v>
      </c>
      <c r="C106" s="123" t="s">
        <v>140</v>
      </c>
      <c r="D106" s="123" t="s">
        <v>119</v>
      </c>
      <c r="E106" s="123" t="s">
        <v>118</v>
      </c>
      <c r="F106" s="123" t="s">
        <v>120</v>
      </c>
      <c r="G106" s="79">
        <f t="shared" ref="G106:J108" si="3">ROUND(L106,1)</f>
        <v>4006.9</v>
      </c>
      <c r="H106" s="79">
        <f t="shared" si="3"/>
        <v>4019.4</v>
      </c>
      <c r="I106" s="79">
        <f t="shared" si="3"/>
        <v>4161.1000000000004</v>
      </c>
      <c r="J106" s="79">
        <f t="shared" si="3"/>
        <v>4468.8</v>
      </c>
      <c r="K106" s="79">
        <v>4006.9</v>
      </c>
      <c r="L106" s="78">
        <f>P$106/1000/($K$106+$K$107+$K$108+$K$113+$K$118+$K$120+$K$122+$K$124+$K$126+$K$128+$K$130+$K$131+$K$133+$K$134+$K$136+$K$137)*$K106</f>
        <v>4006.8999999999996</v>
      </c>
      <c r="M106" s="78">
        <f t="shared" ref="M106:O108" si="4">Q$106/1000/($K$106+$K$107+$K$108+$K$113+$K$118+$K$120+$K$122+$K$124+$K$126+$K$128+$K$130+$K$131+$K$133+$K$134)*$K106</f>
        <v>4019.35144128003</v>
      </c>
      <c r="N106" s="78">
        <f t="shared" si="4"/>
        <v>4161.0521749359568</v>
      </c>
      <c r="O106" s="78">
        <f t="shared" si="4"/>
        <v>4468.800773071589</v>
      </c>
      <c r="P106" s="64">
        <v>507456021.77999997</v>
      </c>
      <c r="Q106" s="64">
        <v>371937000</v>
      </c>
      <c r="R106" s="64">
        <v>385049500</v>
      </c>
      <c r="S106" s="64">
        <v>413527500</v>
      </c>
      <c r="T106" s="64"/>
    </row>
    <row r="107" spans="1:20" ht="24" customHeight="1">
      <c r="A107" s="152"/>
      <c r="B107" s="123" t="s">
        <v>141</v>
      </c>
      <c r="C107" s="123" t="s">
        <v>140</v>
      </c>
      <c r="D107" s="123" t="s">
        <v>119</v>
      </c>
      <c r="E107" s="123" t="s">
        <v>118</v>
      </c>
      <c r="F107" s="123" t="s">
        <v>120</v>
      </c>
      <c r="G107" s="79">
        <f t="shared" si="3"/>
        <v>6635</v>
      </c>
      <c r="H107" s="79">
        <f t="shared" si="3"/>
        <v>6655.6</v>
      </c>
      <c r="I107" s="79">
        <f t="shared" si="3"/>
        <v>6890.3</v>
      </c>
      <c r="J107" s="79">
        <f t="shared" si="3"/>
        <v>7399.9</v>
      </c>
      <c r="K107" s="79">
        <v>6635</v>
      </c>
      <c r="L107" s="78">
        <f>P$106/1000/($K$106+$K$107+$K$108+$K$113+$K$118+$K$120+$K$122+$K$124+$K$126+$K$128+$K$130+$K$131+$K$133+$K$134+$K$136+$K$137)*$K107</f>
        <v>6634.9999999999991</v>
      </c>
      <c r="M107" s="78">
        <f t="shared" si="4"/>
        <v>6655.6182617217801</v>
      </c>
      <c r="N107" s="78">
        <f t="shared" si="4"/>
        <v>6890.2595973695561</v>
      </c>
      <c r="O107" s="78">
        <f t="shared" si="4"/>
        <v>7399.8585263745017</v>
      </c>
      <c r="P107" s="64"/>
      <c r="Q107" s="64"/>
      <c r="R107" s="64"/>
      <c r="S107" s="64"/>
      <c r="T107" s="64"/>
    </row>
    <row r="108" spans="1:20" ht="24" customHeight="1">
      <c r="A108" s="143"/>
      <c r="B108" s="123" t="s">
        <v>141</v>
      </c>
      <c r="C108" s="123" t="s">
        <v>140</v>
      </c>
      <c r="D108" s="123" t="s">
        <v>119</v>
      </c>
      <c r="E108" s="123" t="s">
        <v>118</v>
      </c>
      <c r="F108" s="123" t="s">
        <v>120</v>
      </c>
      <c r="G108" s="79">
        <f t="shared" si="3"/>
        <v>22694.2</v>
      </c>
      <c r="H108" s="79">
        <f t="shared" si="3"/>
        <v>22764.7</v>
      </c>
      <c r="I108" s="79">
        <f t="shared" si="3"/>
        <v>23567.3</v>
      </c>
      <c r="J108" s="79">
        <f t="shared" si="3"/>
        <v>25310.3</v>
      </c>
      <c r="K108" s="79">
        <v>22694.2</v>
      </c>
      <c r="L108" s="78">
        <f>P$106/1000/($K$106+$K$107+$K$108+$K$113+$K$118+$K$120+$K$122+$K$124+$K$126+$K$128+$K$130+$K$131+$K$133+$K$134+$K$136+$K$137)*$K108</f>
        <v>22694.199999999997</v>
      </c>
      <c r="M108" s="78">
        <f t="shared" si="4"/>
        <v>22764.722223838195</v>
      </c>
      <c r="N108" s="78">
        <f t="shared" si="4"/>
        <v>23567.284002204095</v>
      </c>
      <c r="O108" s="78">
        <f t="shared" si="4"/>
        <v>25310.304351054743</v>
      </c>
      <c r="P108" s="64"/>
      <c r="Q108" s="64"/>
      <c r="R108" s="64"/>
      <c r="S108" s="64"/>
      <c r="T108" s="64"/>
    </row>
    <row r="109" spans="1:20" ht="24.6" customHeight="1">
      <c r="A109" s="84" t="s">
        <v>41</v>
      </c>
      <c r="B109" s="83"/>
      <c r="C109" s="83"/>
      <c r="D109" s="83"/>
      <c r="E109" s="83"/>
      <c r="F109" s="82"/>
      <c r="G109" s="79">
        <f>SUM(G106:G108)</f>
        <v>33336.1</v>
      </c>
      <c r="H109" s="79">
        <f>SUM(H106:H108)</f>
        <v>33439.699999999997</v>
      </c>
      <c r="I109" s="79">
        <f>SUM(I106:I108)</f>
        <v>34618.699999999997</v>
      </c>
      <c r="J109" s="79">
        <f>SUM(J106:J108)</f>
        <v>37179</v>
      </c>
      <c r="K109" s="79">
        <f>SUM(K106:K108)</f>
        <v>33336.1</v>
      </c>
      <c r="L109" s="78"/>
      <c r="M109" s="78"/>
      <c r="N109" s="78"/>
      <c r="O109" s="78"/>
      <c r="P109" s="64"/>
      <c r="Q109" s="64"/>
      <c r="R109" s="64"/>
      <c r="S109" s="64"/>
      <c r="T109" s="64"/>
    </row>
    <row r="110" spans="1:20" ht="24.75" customHeight="1">
      <c r="A110" s="147" t="s">
        <v>150</v>
      </c>
      <c r="B110" s="68" t="s">
        <v>141</v>
      </c>
      <c r="C110" s="68" t="s">
        <v>140</v>
      </c>
      <c r="D110" s="68" t="s">
        <v>126</v>
      </c>
      <c r="E110" s="68" t="s">
        <v>129</v>
      </c>
      <c r="F110" s="68" t="s">
        <v>120</v>
      </c>
      <c r="G110" s="79">
        <f t="shared" ref="G110:J111" si="5">ROUND(L110,1)</f>
        <v>309986</v>
      </c>
      <c r="H110" s="79">
        <f t="shared" si="5"/>
        <v>322399.5</v>
      </c>
      <c r="I110" s="79">
        <f t="shared" si="5"/>
        <v>356776.9</v>
      </c>
      <c r="J110" s="79">
        <f t="shared" si="5"/>
        <v>343957.2</v>
      </c>
      <c r="K110" s="79"/>
      <c r="L110" s="78">
        <f t="shared" ref="L110:O111" si="6">P110/1000</f>
        <v>309985.9584</v>
      </c>
      <c r="M110" s="78">
        <f t="shared" si="6"/>
        <v>322399.50792</v>
      </c>
      <c r="N110" s="78">
        <f t="shared" si="6"/>
        <v>356776.91495999997</v>
      </c>
      <c r="O110" s="78">
        <f t="shared" si="6"/>
        <v>343957.22042000003</v>
      </c>
      <c r="P110" s="64">
        <v>309985958.39999998</v>
      </c>
      <c r="Q110" s="64">
        <v>322399507.92000002</v>
      </c>
      <c r="R110" s="64">
        <v>356776914.95999998</v>
      </c>
      <c r="S110" s="64">
        <v>343957220.42000002</v>
      </c>
      <c r="T110" s="64"/>
    </row>
    <row r="111" spans="1:20" ht="24.75" customHeight="1">
      <c r="A111" s="149"/>
      <c r="B111" s="68" t="s">
        <v>141</v>
      </c>
      <c r="C111" s="68" t="s">
        <v>140</v>
      </c>
      <c r="D111" s="68" t="s">
        <v>126</v>
      </c>
      <c r="E111" s="68" t="s">
        <v>125</v>
      </c>
      <c r="F111" s="68" t="s">
        <v>120</v>
      </c>
      <c r="G111" s="79">
        <f t="shared" si="5"/>
        <v>42718.8</v>
      </c>
      <c r="H111" s="79">
        <f t="shared" si="5"/>
        <v>72467.3</v>
      </c>
      <c r="I111" s="79">
        <f t="shared" si="5"/>
        <v>83512.100000000006</v>
      </c>
      <c r="J111" s="79">
        <f t="shared" si="5"/>
        <v>94593.8</v>
      </c>
      <c r="K111" s="79">
        <f>ROUND((17916.81+98705),1)</f>
        <v>116621.8</v>
      </c>
      <c r="L111" s="78">
        <f t="shared" si="6"/>
        <v>42718.75</v>
      </c>
      <c r="M111" s="78">
        <f t="shared" si="6"/>
        <v>72467.3</v>
      </c>
      <c r="N111" s="78">
        <f t="shared" si="6"/>
        <v>83512.100000000006</v>
      </c>
      <c r="O111" s="78">
        <f t="shared" si="6"/>
        <v>94593.8</v>
      </c>
      <c r="P111" s="81">
        <v>42718750</v>
      </c>
      <c r="Q111" s="81">
        <v>72467300</v>
      </c>
      <c r="R111" s="81">
        <v>83512100</v>
      </c>
      <c r="S111" s="81">
        <v>94593800</v>
      </c>
      <c r="T111" s="64"/>
    </row>
    <row r="112" spans="1:20" ht="24.6" customHeight="1">
      <c r="A112" s="155" t="s">
        <v>41</v>
      </c>
      <c r="B112" s="156"/>
      <c r="C112" s="156"/>
      <c r="D112" s="156"/>
      <c r="E112" s="156"/>
      <c r="F112" s="156"/>
      <c r="G112" s="79">
        <f>SUM(G110:G111)</f>
        <v>352704.8</v>
      </c>
      <c r="H112" s="79">
        <f>SUM(H110:H111)</f>
        <v>394866.8</v>
      </c>
      <c r="I112" s="79">
        <f>SUM(I110:I111)</f>
        <v>440289</v>
      </c>
      <c r="J112" s="79">
        <f>SUM(J110:J111)</f>
        <v>438551</v>
      </c>
      <c r="K112" s="79">
        <f>SUM(K110:K111)</f>
        <v>116621.8</v>
      </c>
      <c r="L112" s="78"/>
      <c r="M112" s="78"/>
      <c r="N112" s="78"/>
      <c r="O112" s="78"/>
      <c r="P112" s="64"/>
      <c r="Q112" s="64"/>
      <c r="R112" s="64"/>
      <c r="S112" s="64"/>
      <c r="T112" s="64"/>
    </row>
    <row r="113" spans="1:20" ht="48" customHeight="1">
      <c r="A113" s="124" t="s">
        <v>149</v>
      </c>
      <c r="B113" s="123" t="s">
        <v>141</v>
      </c>
      <c r="C113" s="123" t="s">
        <v>140</v>
      </c>
      <c r="D113" s="123" t="s">
        <v>119</v>
      </c>
      <c r="E113" s="123" t="s">
        <v>118</v>
      </c>
      <c r="F113" s="123" t="s">
        <v>120</v>
      </c>
      <c r="G113" s="79">
        <f>ROUND(L113,1)</f>
        <v>15001</v>
      </c>
      <c r="H113" s="79">
        <f>ROUND(M113,1)</f>
        <v>15047.6</v>
      </c>
      <c r="I113" s="79">
        <f>ROUND(N113,1)</f>
        <v>15578.1</v>
      </c>
      <c r="J113" s="79">
        <f>ROUND(O113,1)</f>
        <v>16730.3</v>
      </c>
      <c r="K113" s="79">
        <v>15001</v>
      </c>
      <c r="L113" s="78">
        <f>P$106/1000/($K$106+$K$107+$K$108+$K$113+$K$118+$K$120+$K$122+$K$124+$K$126+$K$128+$K$130+$K$131+$K$133+$K$134+$K$136+$K$137)*$K113</f>
        <v>15000.999999999998</v>
      </c>
      <c r="M113" s="78">
        <f>Q$106/1000/($K$106+$K$107+$K$108+$K$113+$K$118+$K$120+$K$122+$K$124+$K$126+$K$128+$K$130+$K$131+$K$133+$K$134)*$K113</f>
        <v>15047.615605740531</v>
      </c>
      <c r="N113" s="78">
        <f>R$106/1000/($K$106+$K$107+$K$108+$K$113+$K$118+$K$120+$K$122+$K$124+$K$126+$K$128+$K$130+$K$131+$K$133+$K$134)*$K113</f>
        <v>15578.113672967702</v>
      </c>
      <c r="O113" s="78">
        <f>S$106/1000/($K$106+$K$107+$K$108+$K$113+$K$118+$K$120+$K$122+$K$124+$K$126+$K$128+$K$130+$K$131+$K$133+$K$134)*$K113</f>
        <v>16730.260400021689</v>
      </c>
      <c r="P113" s="64"/>
      <c r="Q113" s="64"/>
      <c r="R113" s="64"/>
      <c r="S113" s="64"/>
      <c r="T113" s="64"/>
    </row>
    <row r="114" spans="1:20" ht="23.65" customHeight="1">
      <c r="A114" s="155" t="s">
        <v>42</v>
      </c>
      <c r="B114" s="156"/>
      <c r="C114" s="156"/>
      <c r="D114" s="156"/>
      <c r="E114" s="156"/>
      <c r="F114" s="156"/>
      <c r="G114" s="79">
        <f>G113</f>
        <v>15001</v>
      </c>
      <c r="H114" s="79">
        <f>H113</f>
        <v>15047.6</v>
      </c>
      <c r="I114" s="79">
        <f>I113</f>
        <v>15578.1</v>
      </c>
      <c r="J114" s="79">
        <f>J113</f>
        <v>16730.3</v>
      </c>
      <c r="K114" s="79">
        <f>K113</f>
        <v>15001</v>
      </c>
      <c r="L114" s="78"/>
      <c r="M114" s="78"/>
      <c r="N114" s="78"/>
      <c r="O114" s="78"/>
      <c r="P114" s="64"/>
      <c r="Q114" s="64"/>
      <c r="R114" s="64"/>
      <c r="S114" s="64"/>
      <c r="T114" s="64"/>
    </row>
    <row r="115" spans="1:20" ht="85.5" customHeight="1">
      <c r="A115" s="80" t="s">
        <v>148</v>
      </c>
      <c r="B115" s="68" t="s">
        <v>141</v>
      </c>
      <c r="C115" s="68" t="s">
        <v>140</v>
      </c>
      <c r="D115" s="68" t="s">
        <v>122</v>
      </c>
      <c r="E115" s="68" t="s">
        <v>121</v>
      </c>
      <c r="F115" s="68" t="s">
        <v>120</v>
      </c>
      <c r="G115" s="79">
        <f>'Объемы бюдж.ассигн.'!F24-'Объемы ассигн на имущ и нал'!F28</f>
        <v>160794.79999999999</v>
      </c>
      <c r="H115" s="79">
        <f>'Объемы бюдж.ассигн.'!G24-'Объемы ассигн на имущ и нал'!G28</f>
        <v>164059</v>
      </c>
      <c r="I115" s="79">
        <f>'Объемы бюдж.ассигн.'!H24-'Объемы ассигн на имущ и нал'!H28</f>
        <v>168713.2</v>
      </c>
      <c r="J115" s="79">
        <f>'Объемы бюдж.ассигн.'!I24-'Объемы ассигн на имущ и нал'!I28</f>
        <v>174690.2</v>
      </c>
      <c r="K115" s="79">
        <v>149276.1</v>
      </c>
      <c r="L115" s="78"/>
      <c r="M115" s="78"/>
      <c r="N115" s="78"/>
      <c r="O115" s="78"/>
      <c r="P115" s="64"/>
      <c r="Q115" s="64"/>
      <c r="R115" s="64"/>
      <c r="S115" s="64"/>
      <c r="T115" s="64"/>
    </row>
    <row r="116" spans="1:20" ht="23.65" customHeight="1">
      <c r="A116" s="155" t="s">
        <v>42</v>
      </c>
      <c r="B116" s="156"/>
      <c r="C116" s="156"/>
      <c r="D116" s="156"/>
      <c r="E116" s="156"/>
      <c r="F116" s="156"/>
      <c r="G116" s="79">
        <f>G115</f>
        <v>160794.79999999999</v>
      </c>
      <c r="H116" s="79">
        <f>H115</f>
        <v>164059</v>
      </c>
      <c r="I116" s="79">
        <f>I115</f>
        <v>168713.2</v>
      </c>
      <c r="J116" s="79">
        <f>J115</f>
        <v>174690.2</v>
      </c>
      <c r="K116" s="79">
        <v>155272.20000000001</v>
      </c>
      <c r="L116" s="78"/>
      <c r="M116" s="78"/>
      <c r="N116" s="78"/>
      <c r="O116" s="78"/>
      <c r="P116" s="64"/>
      <c r="Q116" s="64"/>
      <c r="R116" s="64"/>
      <c r="S116" s="64"/>
      <c r="T116" s="64"/>
    </row>
    <row r="117" spans="1:20" ht="33">
      <c r="A117" s="124" t="s">
        <v>209</v>
      </c>
      <c r="B117" s="123" t="s">
        <v>141</v>
      </c>
      <c r="C117" s="123" t="s">
        <v>140</v>
      </c>
      <c r="D117" s="123" t="s">
        <v>119</v>
      </c>
      <c r="E117" s="123" t="s">
        <v>118</v>
      </c>
      <c r="F117" s="123" t="s">
        <v>120</v>
      </c>
      <c r="G117" s="79"/>
      <c r="H117" s="79">
        <v>7664.7</v>
      </c>
      <c r="I117" s="79">
        <v>7934.9</v>
      </c>
      <c r="J117" s="79">
        <v>8521.7999999999993</v>
      </c>
      <c r="K117" s="79"/>
      <c r="L117" s="78"/>
      <c r="M117" s="78"/>
      <c r="N117" s="78"/>
      <c r="O117" s="78"/>
      <c r="P117" s="64"/>
      <c r="Q117" s="64"/>
      <c r="R117" s="64"/>
      <c r="S117" s="64"/>
      <c r="T117" s="64"/>
    </row>
    <row r="118" spans="1:20" ht="33">
      <c r="A118" s="124" t="s">
        <v>208</v>
      </c>
      <c r="B118" s="123" t="s">
        <v>141</v>
      </c>
      <c r="C118" s="123" t="s">
        <v>140</v>
      </c>
      <c r="D118" s="123" t="s">
        <v>119</v>
      </c>
      <c r="E118" s="123" t="s">
        <v>118</v>
      </c>
      <c r="F118" s="123" t="s">
        <v>120</v>
      </c>
      <c r="G118" s="79">
        <f>ROUND(L118,1)</f>
        <v>155272.20000000001</v>
      </c>
      <c r="H118" s="79">
        <f>ROUND(M118,1)-H117</f>
        <v>148090</v>
      </c>
      <c r="I118" s="79">
        <f>ROUND(N118,1)-I117</f>
        <v>153310.9</v>
      </c>
      <c r="J118" s="79">
        <f>ROUND(O118,1)-J117</f>
        <v>164649.60000000001</v>
      </c>
      <c r="K118" s="79">
        <v>155272.20000000001</v>
      </c>
      <c r="L118" s="78">
        <f>P$106/1000/($K$106+$K$107+$K$108+$K$113+$K$118+$K$120+$K$122+$K$124+$K$126+$K$128+$K$130+$K$131+$K$133+$K$134+$K$136+$K$137)*$K118</f>
        <v>155272.19999999998</v>
      </c>
      <c r="M118" s="78">
        <f>Q$106/1000/($K$106+$K$107+$K$108+$K$113+$K$118+$K$120+$K$122+$K$124+$K$126+$K$128+$K$130+$K$131+$K$133+$K$134)*$K118</f>
        <v>155754.7083432881</v>
      </c>
      <c r="N118" s="78">
        <f>R$106/1000/($K$106+$K$107+$K$108+$K$113+$K$118+$K$120+$K$122+$K$124+$K$126+$K$128+$K$130+$K$131+$K$133+$K$134)*$K118</f>
        <v>161245.78240462474</v>
      </c>
      <c r="O118" s="78">
        <f>S$106/1000/($K$106+$K$107+$K$108+$K$113+$K$118+$K$120+$K$122+$K$124+$K$126+$K$128+$K$130+$K$131+$K$133+$K$134)*$K118</f>
        <v>173171.4111648722</v>
      </c>
      <c r="P118" s="64"/>
      <c r="Q118" s="64"/>
      <c r="R118" s="64"/>
      <c r="S118" s="64"/>
      <c r="T118" s="64"/>
    </row>
    <row r="119" spans="1:20" ht="23.65" customHeight="1">
      <c r="A119" s="155" t="s">
        <v>42</v>
      </c>
      <c r="B119" s="156"/>
      <c r="C119" s="156"/>
      <c r="D119" s="156"/>
      <c r="E119" s="156"/>
      <c r="F119" s="156"/>
      <c r="G119" s="79">
        <f>G118</f>
        <v>155272.20000000001</v>
      </c>
      <c r="H119" s="79">
        <f>SUM(H117:H118)</f>
        <v>155754.70000000001</v>
      </c>
      <c r="I119" s="79">
        <f t="shared" ref="I119:J119" si="7">SUM(I117:I118)</f>
        <v>161245.79999999999</v>
      </c>
      <c r="J119" s="79">
        <f t="shared" si="7"/>
        <v>173171.4</v>
      </c>
      <c r="K119" s="79">
        <f>K118</f>
        <v>155272.20000000001</v>
      </c>
      <c r="L119" s="78"/>
      <c r="M119" s="78"/>
      <c r="N119" s="78"/>
      <c r="O119" s="78"/>
      <c r="P119" s="64"/>
      <c r="Q119" s="64"/>
      <c r="R119" s="64"/>
      <c r="S119" s="64"/>
      <c r="T119" s="64"/>
    </row>
    <row r="120" spans="1:20" ht="51" customHeight="1">
      <c r="A120" s="124" t="s">
        <v>147</v>
      </c>
      <c r="B120" s="123" t="s">
        <v>141</v>
      </c>
      <c r="C120" s="123" t="s">
        <v>140</v>
      </c>
      <c r="D120" s="123" t="s">
        <v>119</v>
      </c>
      <c r="E120" s="123" t="s">
        <v>118</v>
      </c>
      <c r="F120" s="123" t="s">
        <v>120</v>
      </c>
      <c r="G120" s="79">
        <f>ROUND(L120,1)</f>
        <v>11093.1</v>
      </c>
      <c r="H120" s="79">
        <f>ROUND(M120,1)</f>
        <v>11127.6</v>
      </c>
      <c r="I120" s="79">
        <f>ROUND(N120,1)</f>
        <v>11519.9</v>
      </c>
      <c r="J120" s="79">
        <f>ROUND(O120,1)</f>
        <v>12371.9</v>
      </c>
      <c r="K120" s="79">
        <v>11093.1</v>
      </c>
      <c r="L120" s="78">
        <f>P$106/1000/($K$106+$K$107+$K$108+$K$113+$K$118+$K$120+$K$122+$K$124+$K$126+$K$128+$K$130+$K$131+$K$133+$K$134+$K$136+$K$137)*$K120</f>
        <v>11093.099999999999</v>
      </c>
      <c r="M120" s="78">
        <f>Q$106/1000/($K$106+$K$107+$K$108+$K$113+$K$118+$K$120+$K$122+$K$124+$K$126+$K$128+$K$130+$K$131+$K$133+$K$134)*$K120</f>
        <v>11127.571806948888</v>
      </c>
      <c r="N120" s="78">
        <f>R$106/1000/($K$106+$K$107+$K$108+$K$113+$K$118+$K$120+$K$122+$K$124+$K$126+$K$128+$K$130+$K$131+$K$133+$K$134)*$K120</f>
        <v>11519.870194360245</v>
      </c>
      <c r="O120" s="78">
        <f>S$106/1000/($K$106+$K$107+$K$108+$K$113+$K$118+$K$120+$K$122+$K$124+$K$126+$K$128+$K$130+$K$131+$K$133+$K$134)*$K120</f>
        <v>12371.871984766389</v>
      </c>
      <c r="P120" s="64"/>
      <c r="Q120" s="64"/>
      <c r="R120" s="64"/>
      <c r="S120" s="64"/>
      <c r="T120" s="64"/>
    </row>
    <row r="121" spans="1:20" ht="23.65" customHeight="1">
      <c r="A121" s="155" t="s">
        <v>42</v>
      </c>
      <c r="B121" s="156"/>
      <c r="C121" s="156"/>
      <c r="D121" s="156"/>
      <c r="E121" s="156"/>
      <c r="F121" s="156"/>
      <c r="G121" s="79">
        <f>G120</f>
        <v>11093.1</v>
      </c>
      <c r="H121" s="79">
        <f>H120</f>
        <v>11127.6</v>
      </c>
      <c r="I121" s="79">
        <f>I120</f>
        <v>11519.9</v>
      </c>
      <c r="J121" s="79">
        <f>J120</f>
        <v>12371.9</v>
      </c>
      <c r="K121" s="79">
        <f>K120</f>
        <v>11093.1</v>
      </c>
      <c r="L121" s="78"/>
      <c r="M121" s="78"/>
      <c r="N121" s="78"/>
      <c r="O121" s="78"/>
      <c r="P121" s="64"/>
      <c r="Q121" s="64"/>
      <c r="R121" s="64"/>
      <c r="S121" s="64"/>
      <c r="T121" s="64"/>
    </row>
    <row r="122" spans="1:20" ht="33">
      <c r="A122" s="124" t="s">
        <v>146</v>
      </c>
      <c r="B122" s="123" t="s">
        <v>141</v>
      </c>
      <c r="C122" s="123" t="s">
        <v>140</v>
      </c>
      <c r="D122" s="123" t="s">
        <v>119</v>
      </c>
      <c r="E122" s="123" t="s">
        <v>118</v>
      </c>
      <c r="F122" s="123" t="s">
        <v>120</v>
      </c>
      <c r="G122" s="79">
        <f>ROUND(L122,1)</f>
        <v>2065.1</v>
      </c>
      <c r="H122" s="79">
        <f>ROUND(M122,1)</f>
        <v>2071.5</v>
      </c>
      <c r="I122" s="79">
        <f>ROUND(N122,1)</f>
        <v>2144.5</v>
      </c>
      <c r="J122" s="79">
        <f>ROUND(O122,1)</f>
        <v>2303.1999999999998</v>
      </c>
      <c r="K122" s="79">
        <f>1365+700.1</f>
        <v>2065.1</v>
      </c>
      <c r="L122" s="78">
        <f>P$106/1000/($K$106+$K$107+$K$108+$K$113+$K$118+$K$120+$K$122+$K$124+$K$126+$K$128+$K$130+$K$131+$K$133+$K$134+$K$136+$K$137)*$K122</f>
        <v>2065.0999999999995</v>
      </c>
      <c r="M122" s="78">
        <f>Q$106/1000/($K$106+$K$107+$K$108+$K$113+$K$118+$K$120+$K$122+$K$124+$K$126+$K$128+$K$130+$K$131+$K$133+$K$134)*$K122</f>
        <v>2071.5172980077841</v>
      </c>
      <c r="N122" s="78">
        <f>R$106/1000/($K$106+$K$107+$K$108+$K$113+$K$118+$K$120+$K$122+$K$124+$K$126+$K$128+$K$130+$K$131+$K$133+$K$134)*$K122</f>
        <v>2144.5478665452706</v>
      </c>
      <c r="O122" s="78">
        <f>S$106/1000/($K$106+$K$107+$K$108+$K$113+$K$118+$K$120+$K$122+$K$124+$K$126+$K$128+$K$130+$K$131+$K$133+$K$134)*$K122</f>
        <v>2303.1571729941193</v>
      </c>
      <c r="P122" s="64"/>
      <c r="Q122" s="64"/>
      <c r="R122" s="64"/>
      <c r="S122" s="64"/>
      <c r="T122" s="64"/>
    </row>
    <row r="123" spans="1:20" ht="23.65" customHeight="1">
      <c r="A123" s="155" t="s">
        <v>42</v>
      </c>
      <c r="B123" s="156"/>
      <c r="C123" s="156"/>
      <c r="D123" s="156"/>
      <c r="E123" s="156"/>
      <c r="F123" s="156"/>
      <c r="G123" s="79">
        <f>G122</f>
        <v>2065.1</v>
      </c>
      <c r="H123" s="79">
        <f>H122</f>
        <v>2071.5</v>
      </c>
      <c r="I123" s="79">
        <f>I122</f>
        <v>2144.5</v>
      </c>
      <c r="J123" s="79">
        <f>J122</f>
        <v>2303.1999999999998</v>
      </c>
      <c r="K123" s="79">
        <f>K122</f>
        <v>2065.1</v>
      </c>
      <c r="L123" s="78"/>
      <c r="M123" s="78"/>
      <c r="N123" s="78"/>
      <c r="O123" s="78"/>
      <c r="P123" s="64"/>
      <c r="Q123" s="64"/>
      <c r="R123" s="64"/>
      <c r="S123" s="64"/>
      <c r="T123" s="64"/>
    </row>
    <row r="124" spans="1:20" ht="66">
      <c r="A124" s="124" t="s">
        <v>145</v>
      </c>
      <c r="B124" s="123" t="s">
        <v>141</v>
      </c>
      <c r="C124" s="123" t="s">
        <v>140</v>
      </c>
      <c r="D124" s="123" t="s">
        <v>119</v>
      </c>
      <c r="E124" s="123" t="s">
        <v>118</v>
      </c>
      <c r="F124" s="123" t="s">
        <v>120</v>
      </c>
      <c r="G124" s="79">
        <f>ROUND(L124,1)</f>
        <v>13803.7</v>
      </c>
      <c r="H124" s="79">
        <f>ROUND(M124,1)</f>
        <v>13846.6</v>
      </c>
      <c r="I124" s="79">
        <f>ROUND(N124,1)</f>
        <v>14334.8</v>
      </c>
      <c r="J124" s="79">
        <f>ROUND(O124,1)</f>
        <v>15394.9</v>
      </c>
      <c r="K124" s="79">
        <v>13803.7</v>
      </c>
      <c r="L124" s="78">
        <f>P$106/1000/($K$106+$K$107+$K$108+$K$113+$K$118+$K$120+$K$122+$K$124+$K$126+$K$128+$K$130+$K$131+$K$133+$K$134+$K$136+$K$137)*$K124</f>
        <v>13803.699999999999</v>
      </c>
      <c r="M124" s="78">
        <f>Q$106/1000/($K$106+$K$107+$K$108+$K$113+$K$118+$K$120+$K$122+$K$124+$K$126+$K$128+$K$130+$K$131+$K$133+$K$134)*$K124</f>
        <v>13846.594996130963</v>
      </c>
      <c r="N124" s="78">
        <f>R$106/1000/($K$106+$K$107+$K$108+$K$113+$K$118+$K$120+$K$122+$K$124+$K$126+$K$128+$K$130+$K$131+$K$133+$K$134)*$K124</f>
        <v>14334.751530400927</v>
      </c>
      <c r="O124" s="78">
        <f>S$106/1000/($K$106+$K$107+$K$108+$K$113+$K$118+$K$120+$K$122+$K$124+$K$126+$K$128+$K$130+$K$131+$K$133+$K$134)*$K124</f>
        <v>15394.940036249542</v>
      </c>
      <c r="P124" s="64"/>
      <c r="Q124" s="64"/>
      <c r="R124" s="64"/>
      <c r="S124" s="64"/>
      <c r="T124" s="64"/>
    </row>
    <row r="125" spans="1:20" ht="23.65" customHeight="1">
      <c r="A125" s="155" t="s">
        <v>42</v>
      </c>
      <c r="B125" s="156"/>
      <c r="C125" s="156"/>
      <c r="D125" s="156"/>
      <c r="E125" s="156"/>
      <c r="F125" s="156"/>
      <c r="G125" s="79">
        <f>G124</f>
        <v>13803.7</v>
      </c>
      <c r="H125" s="79">
        <f>H124</f>
        <v>13846.6</v>
      </c>
      <c r="I125" s="79">
        <f>I124</f>
        <v>14334.8</v>
      </c>
      <c r="J125" s="79">
        <f>J124</f>
        <v>15394.9</v>
      </c>
      <c r="K125" s="79">
        <f>K124</f>
        <v>13803.7</v>
      </c>
      <c r="L125" s="78"/>
      <c r="M125" s="78"/>
      <c r="N125" s="78"/>
      <c r="O125" s="78"/>
      <c r="P125" s="64"/>
      <c r="Q125" s="64"/>
      <c r="R125" s="64"/>
      <c r="S125" s="64"/>
      <c r="T125" s="64"/>
    </row>
    <row r="126" spans="1:20" ht="51" customHeight="1">
      <c r="A126" s="124" t="s">
        <v>144</v>
      </c>
      <c r="B126" s="123" t="s">
        <v>141</v>
      </c>
      <c r="C126" s="123" t="s">
        <v>140</v>
      </c>
      <c r="D126" s="123" t="s">
        <v>119</v>
      </c>
      <c r="E126" s="123" t="s">
        <v>118</v>
      </c>
      <c r="F126" s="123" t="s">
        <v>120</v>
      </c>
      <c r="G126" s="79">
        <f>ROUND(L126,1)</f>
        <v>1798.1</v>
      </c>
      <c r="H126" s="79">
        <f>ROUND(M126,1)</f>
        <v>1803.7</v>
      </c>
      <c r="I126" s="79">
        <f>ROUND(N126,1)</f>
        <v>1867.3</v>
      </c>
      <c r="J126" s="79">
        <f>ROUND(O126,1)</f>
        <v>2005.4</v>
      </c>
      <c r="K126" s="79">
        <v>1798.1</v>
      </c>
      <c r="L126" s="78">
        <f>P$106/1000/($K$106+$K$107+$K$108+$K$113+$K$118+$K$120+$K$122+$K$124+$K$126+$K$128+$K$130+$K$131+$K$133+$K$134+$K$136+$K$137)*$K126</f>
        <v>1798.0999999999997</v>
      </c>
      <c r="M126" s="78">
        <f>Q$106/1000/($K$106+$K$107+$K$108+$K$113+$K$118+$K$120+$K$122+$K$124+$K$126+$K$128+$K$130+$K$131+$K$133+$K$134)*$K126</f>
        <v>1803.6875955391006</v>
      </c>
      <c r="N126" s="78">
        <f>R$106/1000/($K$106+$K$107+$K$108+$K$113+$K$118+$K$120+$K$122+$K$124+$K$126+$K$128+$K$130+$K$131+$K$133+$K$134)*$K126</f>
        <v>1867.2759279623508</v>
      </c>
      <c r="O126" s="78">
        <f>S$106/1000/($K$106+$K$107+$K$108+$K$113+$K$118+$K$120+$K$122+$K$124+$K$126+$K$128+$K$130+$K$131+$K$133+$K$134)*$K126</f>
        <v>2005.3783897926135</v>
      </c>
      <c r="P126" s="64"/>
      <c r="Q126" s="64"/>
      <c r="R126" s="64"/>
      <c r="S126" s="64"/>
      <c r="T126" s="64"/>
    </row>
    <row r="127" spans="1:20" ht="23.65" customHeight="1">
      <c r="A127" s="155" t="s">
        <v>42</v>
      </c>
      <c r="B127" s="156"/>
      <c r="C127" s="156"/>
      <c r="D127" s="156"/>
      <c r="E127" s="156"/>
      <c r="F127" s="156"/>
      <c r="G127" s="79">
        <f>G126</f>
        <v>1798.1</v>
      </c>
      <c r="H127" s="79">
        <f>H126</f>
        <v>1803.7</v>
      </c>
      <c r="I127" s="79">
        <f>I126</f>
        <v>1867.3</v>
      </c>
      <c r="J127" s="79">
        <f>J126</f>
        <v>2005.4</v>
      </c>
      <c r="K127" s="79">
        <f>K126</f>
        <v>1798.1</v>
      </c>
      <c r="L127" s="78"/>
      <c r="M127" s="78"/>
      <c r="N127" s="78"/>
      <c r="O127" s="78"/>
      <c r="P127" s="64"/>
      <c r="Q127" s="64"/>
      <c r="R127" s="64"/>
      <c r="S127" s="64"/>
      <c r="T127" s="64"/>
    </row>
    <row r="128" spans="1:20" ht="102" customHeight="1">
      <c r="A128" s="124" t="s">
        <v>143</v>
      </c>
      <c r="B128" s="123" t="s">
        <v>141</v>
      </c>
      <c r="C128" s="123" t="s">
        <v>140</v>
      </c>
      <c r="D128" s="123" t="s">
        <v>119</v>
      </c>
      <c r="E128" s="123" t="s">
        <v>118</v>
      </c>
      <c r="F128" s="123" t="s">
        <v>120</v>
      </c>
      <c r="G128" s="79">
        <f>ROUND(L128,1)</f>
        <v>3972.1</v>
      </c>
      <c r="H128" s="79">
        <f>ROUND(M128,1)</f>
        <v>3984.4</v>
      </c>
      <c r="I128" s="79">
        <f>ROUND(N128,1)</f>
        <v>4124.8999999999996</v>
      </c>
      <c r="J128" s="79">
        <f>ROUND(O128,1)</f>
        <v>4430</v>
      </c>
      <c r="K128" s="79">
        <v>3972.1</v>
      </c>
      <c r="L128" s="78">
        <f>P$106/1000/($K$106+$K$107+$K$108+$K$113+$K$118+$K$120+$K$122+$K$124+$K$126+$K$128+$K$130+$K$131+$K$133+$K$134+$K$136+$K$137)*$K128</f>
        <v>3972.0999999999995</v>
      </c>
      <c r="M128" s="78">
        <f>Q$106/1000/($K$106+$K$107+$K$108+$K$113+$K$118+$K$120+$K$122+$K$124+$K$126+$K$128+$K$130+$K$131+$K$133+$K$134)*$K128</f>
        <v>3984.443300284112</v>
      </c>
      <c r="N128" s="78">
        <f>R$106/1000/($K$106+$K$107+$K$108+$K$113+$K$118+$K$120+$K$122+$K$124+$K$126+$K$128+$K$130+$K$131+$K$133+$K$134)*$K128</f>
        <v>4124.9133604689696</v>
      </c>
      <c r="O128" s="78">
        <f>S$106/1000/($K$106+$K$107+$K$108+$K$113+$K$118+$K$120+$K$122+$K$124+$K$126+$K$128+$K$130+$K$131+$K$133+$K$134)*$K128</f>
        <v>4429.9891563846504</v>
      </c>
      <c r="P128" s="64"/>
      <c r="Q128" s="64"/>
      <c r="R128" s="64"/>
      <c r="S128" s="64"/>
      <c r="T128" s="64"/>
    </row>
    <row r="129" spans="1:20" ht="23.65" customHeight="1">
      <c r="A129" s="155" t="s">
        <v>42</v>
      </c>
      <c r="B129" s="156"/>
      <c r="C129" s="156"/>
      <c r="D129" s="156"/>
      <c r="E129" s="156"/>
      <c r="F129" s="156"/>
      <c r="G129" s="79">
        <f>G128</f>
        <v>3972.1</v>
      </c>
      <c r="H129" s="79">
        <f>H128</f>
        <v>3984.4</v>
      </c>
      <c r="I129" s="79">
        <f>I128</f>
        <v>4124.8999999999996</v>
      </c>
      <c r="J129" s="79">
        <f>J128</f>
        <v>4430</v>
      </c>
      <c r="K129" s="79">
        <f>K128</f>
        <v>3972.1</v>
      </c>
      <c r="L129" s="78"/>
      <c r="M129" s="78"/>
      <c r="N129" s="78"/>
      <c r="O129" s="78"/>
      <c r="P129" s="64"/>
      <c r="Q129" s="64"/>
      <c r="R129" s="64"/>
      <c r="S129" s="64"/>
      <c r="T129" s="64"/>
    </row>
    <row r="130" spans="1:20" ht="28.5" customHeight="1">
      <c r="A130" s="161" t="s">
        <v>142</v>
      </c>
      <c r="B130" s="123" t="s">
        <v>141</v>
      </c>
      <c r="C130" s="123" t="s">
        <v>140</v>
      </c>
      <c r="D130" s="123" t="s">
        <v>119</v>
      </c>
      <c r="E130" s="123" t="s">
        <v>118</v>
      </c>
      <c r="F130" s="123" t="s">
        <v>120</v>
      </c>
      <c r="G130" s="79">
        <f t="shared" ref="G130:J131" si="8">ROUND(L130,1)</f>
        <v>25881</v>
      </c>
      <c r="H130" s="79">
        <f t="shared" si="8"/>
        <v>25961.4</v>
      </c>
      <c r="I130" s="79">
        <f t="shared" si="8"/>
        <v>26876.7</v>
      </c>
      <c r="J130" s="79">
        <f t="shared" si="8"/>
        <v>28864.5</v>
      </c>
      <c r="K130" s="79">
        <v>25881</v>
      </c>
      <c r="L130" s="78">
        <f>P$106/1000/($K$106+$K$107+$K$108+$K$113+$K$118+$K$120+$K$122+$K$124+$K$126+$K$128+$K$130+$K$131+$K$133+$K$134+$K$136+$K$137)*$K130</f>
        <v>25880.999999999996</v>
      </c>
      <c r="M130" s="78">
        <f t="shared" ref="M130:O131" si="9">Q$106/1000/($K$106+$K$107+$K$108+$K$113+$K$118+$K$120+$K$122+$K$124+$K$126+$K$128+$K$130+$K$131+$K$133+$K$134)*$K130</f>
        <v>25961.425204464413</v>
      </c>
      <c r="N130" s="78">
        <f t="shared" si="9"/>
        <v>26876.685552301653</v>
      </c>
      <c r="O130" s="78">
        <f t="shared" si="9"/>
        <v>28864.466996397659</v>
      </c>
      <c r="P130" s="64"/>
      <c r="Q130" s="64"/>
      <c r="R130" s="64"/>
      <c r="S130" s="64"/>
      <c r="T130" s="64"/>
    </row>
    <row r="131" spans="1:20" ht="28.5" customHeight="1">
      <c r="A131" s="161"/>
      <c r="B131" s="123" t="s">
        <v>141</v>
      </c>
      <c r="C131" s="123" t="s">
        <v>140</v>
      </c>
      <c r="D131" s="123" t="s">
        <v>119</v>
      </c>
      <c r="E131" s="123" t="s">
        <v>118</v>
      </c>
      <c r="F131" s="123" t="s">
        <v>120</v>
      </c>
      <c r="G131" s="79">
        <f t="shared" si="8"/>
        <v>18374</v>
      </c>
      <c r="H131" s="79">
        <f t="shared" si="8"/>
        <v>18431.099999999999</v>
      </c>
      <c r="I131" s="79">
        <f t="shared" si="8"/>
        <v>19080.900000000001</v>
      </c>
      <c r="J131" s="79">
        <f t="shared" si="8"/>
        <v>20492.099999999999</v>
      </c>
      <c r="K131" s="79">
        <v>18374</v>
      </c>
      <c r="L131" s="78">
        <f>P$106/1000/($K$106+$K$107+$K$108+$K$113+$K$118+$K$120+$K$122+$K$124+$K$126+$K$128+$K$130+$K$131+$K$133+$K$134+$K$136+$K$137)*$K131</f>
        <v>18373.999999999996</v>
      </c>
      <c r="M131" s="78">
        <f t="shared" si="9"/>
        <v>18431.09720284491</v>
      </c>
      <c r="N131" s="78">
        <f t="shared" si="9"/>
        <v>19080.878649897244</v>
      </c>
      <c r="O131" s="78">
        <f t="shared" si="9"/>
        <v>20492.087500166555</v>
      </c>
      <c r="P131" s="64"/>
      <c r="Q131" s="64"/>
      <c r="R131" s="64"/>
      <c r="S131" s="64"/>
      <c r="T131" s="64"/>
    </row>
    <row r="132" spans="1:20" ht="23.65" customHeight="1">
      <c r="A132" s="155" t="s">
        <v>42</v>
      </c>
      <c r="B132" s="156"/>
      <c r="C132" s="156"/>
      <c r="D132" s="156"/>
      <c r="E132" s="156"/>
      <c r="F132" s="156"/>
      <c r="G132" s="79">
        <f>G130+G131</f>
        <v>44255</v>
      </c>
      <c r="H132" s="79">
        <f>H130+H131</f>
        <v>44392.5</v>
      </c>
      <c r="I132" s="79">
        <f>I130+I131</f>
        <v>45957.600000000006</v>
      </c>
      <c r="J132" s="79">
        <f>J130+J131</f>
        <v>49356.6</v>
      </c>
      <c r="K132" s="79">
        <f>K130+K131</f>
        <v>44255</v>
      </c>
      <c r="L132" s="78"/>
      <c r="M132" s="78"/>
      <c r="N132" s="78"/>
      <c r="O132" s="78"/>
      <c r="P132" s="64"/>
      <c r="Q132" s="64"/>
      <c r="R132" s="64"/>
      <c r="S132" s="64"/>
      <c r="T132" s="64"/>
    </row>
    <row r="133" spans="1:20" ht="23.65" customHeight="1">
      <c r="A133" s="142" t="s">
        <v>84</v>
      </c>
      <c r="B133" s="123" t="s">
        <v>141</v>
      </c>
      <c r="C133" s="123" t="s">
        <v>140</v>
      </c>
      <c r="D133" s="123" t="s">
        <v>119</v>
      </c>
      <c r="E133" s="123" t="s">
        <v>118</v>
      </c>
      <c r="F133" s="123" t="s">
        <v>120</v>
      </c>
      <c r="G133" s="79">
        <f>ROUND(L133,1)+0.1</f>
        <v>76558.5</v>
      </c>
      <c r="H133" s="79">
        <f>ROUND(M133,1)-0.1</f>
        <v>76796.2</v>
      </c>
      <c r="I133" s="79">
        <f>ROUND(N133,1)-0.2</f>
        <v>79503.5</v>
      </c>
      <c r="J133" s="79">
        <f>ROUND(O133,1)-0.4</f>
        <v>85383.400000000009</v>
      </c>
      <c r="K133" s="79">
        <f>78753.48632-2195.1</f>
        <v>76558.386319999991</v>
      </c>
      <c r="L133" s="78">
        <f>P$106/1000/($K$106+$K$107+$K$108+$K$113+$K$118+$K$120+$K$122+$K$124+$K$126+$K$128+$K$130+$K$131+$K$133+$K$134+$K$136+$K$137)*$K133</f>
        <v>76558.386319999976</v>
      </c>
      <c r="M133" s="78">
        <f t="shared" ref="M133:O134" si="10">Q$106/1000/($K$106+$K$107+$K$108+$K$113+$K$118+$K$120+$K$122+$K$124+$K$126+$K$128+$K$130+$K$131+$K$133+$K$134)*$K133</f>
        <v>76796.291496509846</v>
      </c>
      <c r="N133" s="78">
        <f t="shared" si="10"/>
        <v>79503.716066391265</v>
      </c>
      <c r="O133" s="78">
        <f t="shared" si="10"/>
        <v>85383.757012136382</v>
      </c>
      <c r="P133" s="64"/>
      <c r="Q133" s="64"/>
      <c r="R133" s="64"/>
      <c r="S133" s="64"/>
      <c r="T133" s="64"/>
    </row>
    <row r="134" spans="1:20" ht="23.65" customHeight="1">
      <c r="A134" s="143"/>
      <c r="B134" s="123" t="s">
        <v>141</v>
      </c>
      <c r="C134" s="123" t="s">
        <v>140</v>
      </c>
      <c r="D134" s="123" t="s">
        <v>119</v>
      </c>
      <c r="E134" s="123" t="s">
        <v>118</v>
      </c>
      <c r="F134" s="123" t="s">
        <v>114</v>
      </c>
      <c r="G134" s="79">
        <f>'Объемы бюдж.ассигн.'!F26</f>
        <v>18704.2</v>
      </c>
      <c r="H134" s="79">
        <f>ROUND(M134,1)+0.1</f>
        <v>13672.5</v>
      </c>
      <c r="I134" s="79">
        <f>ROUND(N134,1)</f>
        <v>14154.4</v>
      </c>
      <c r="J134" s="79">
        <f>ROUND(O134,1)-0.1</f>
        <v>15201.1</v>
      </c>
      <c r="K134" s="79">
        <v>13630</v>
      </c>
      <c r="L134" s="78">
        <f>P$106/1000/($K$106+$K$107+$K$108+$K$113+$K$118+$K$120+$K$122+$K$124+$K$126+$K$128+$K$130+$K$131+$K$133+$K$134+$K$136+$K$137)*$K134</f>
        <v>13629.999999999998</v>
      </c>
      <c r="M134" s="78">
        <f t="shared" si="10"/>
        <v>13672.355223401335</v>
      </c>
      <c r="N134" s="78">
        <f t="shared" si="10"/>
        <v>14154.368999570015</v>
      </c>
      <c r="O134" s="78">
        <f t="shared" si="10"/>
        <v>15201.216535717325</v>
      </c>
      <c r="P134" s="64"/>
      <c r="Q134" s="64"/>
      <c r="R134" s="64"/>
      <c r="S134" s="64"/>
      <c r="T134" s="64"/>
    </row>
    <row r="135" spans="1:20" ht="25.15" customHeight="1">
      <c r="A135" s="155" t="s">
        <v>42</v>
      </c>
      <c r="B135" s="156"/>
      <c r="C135" s="156"/>
      <c r="D135" s="156"/>
      <c r="E135" s="156"/>
      <c r="F135" s="156"/>
      <c r="G135" s="79">
        <f>G133+G134</f>
        <v>95262.7</v>
      </c>
      <c r="H135" s="79">
        <f>H133+H134</f>
        <v>90468.7</v>
      </c>
      <c r="I135" s="79">
        <f>I133+I134</f>
        <v>93657.9</v>
      </c>
      <c r="J135" s="79">
        <f>J133+J134</f>
        <v>100584.50000000001</v>
      </c>
      <c r="K135" s="79">
        <f>K133</f>
        <v>76558.386319999991</v>
      </c>
      <c r="L135" s="78"/>
      <c r="M135" s="78"/>
      <c r="N135" s="78"/>
      <c r="O135" s="78"/>
      <c r="P135" s="64"/>
      <c r="Q135" s="64"/>
      <c r="R135" s="64"/>
      <c r="S135" s="64"/>
      <c r="T135" s="64"/>
    </row>
    <row r="136" spans="1:20" ht="33" customHeight="1">
      <c r="A136" s="142" t="s">
        <v>91</v>
      </c>
      <c r="B136" s="123" t="s">
        <v>141</v>
      </c>
      <c r="C136" s="123" t="s">
        <v>140</v>
      </c>
      <c r="D136" s="123" t="s">
        <v>119</v>
      </c>
      <c r="E136" s="123" t="s">
        <v>118</v>
      </c>
      <c r="F136" s="123" t="s">
        <v>120</v>
      </c>
      <c r="G136" s="79">
        <v>121973.93545999999</v>
      </c>
      <c r="H136" s="79">
        <f t="shared" ref="H136:J137" si="11">ROUND(M136,1)</f>
        <v>0</v>
      </c>
      <c r="I136" s="79">
        <f t="shared" si="11"/>
        <v>0</v>
      </c>
      <c r="J136" s="79">
        <f t="shared" si="11"/>
        <v>0</v>
      </c>
      <c r="K136" s="79">
        <v>121973.93545999999</v>
      </c>
      <c r="L136" s="78">
        <f>P$106/1000/($K$106+$K$107+$K$108+$K$113+$K$118+$K$120+$K$122+$K$124+$K$126+$K$128+$K$130+$K$131+$K$133+$K$134+$K$136+$K$137)*$K136</f>
        <v>121973.93545999998</v>
      </c>
      <c r="M136" s="78"/>
      <c r="N136" s="78"/>
      <c r="O136" s="78"/>
      <c r="P136" s="64"/>
      <c r="Q136" s="64"/>
      <c r="R136" s="64"/>
      <c r="S136" s="64"/>
      <c r="T136" s="64"/>
    </row>
    <row r="137" spans="1:20" ht="33" customHeight="1">
      <c r="A137" s="143"/>
      <c r="B137" s="123" t="s">
        <v>141</v>
      </c>
      <c r="C137" s="123" t="s">
        <v>140</v>
      </c>
      <c r="D137" s="123" t="s">
        <v>119</v>
      </c>
      <c r="E137" s="123" t="s">
        <v>118</v>
      </c>
      <c r="F137" s="123" t="s">
        <v>114</v>
      </c>
      <c r="G137" s="79">
        <v>18704.2</v>
      </c>
      <c r="H137" s="79">
        <f t="shared" si="11"/>
        <v>0</v>
      </c>
      <c r="I137" s="79">
        <f t="shared" si="11"/>
        <v>0</v>
      </c>
      <c r="J137" s="79">
        <f t="shared" si="11"/>
        <v>0</v>
      </c>
      <c r="K137" s="79">
        <v>14697.3</v>
      </c>
      <c r="L137" s="78">
        <f>P$106/1000/($K$106+$K$107+$K$108+$K$113+$K$118+$K$120+$K$122+$K$124+$K$126+$K$128+$K$130+$K$131+$K$133+$K$134+$K$136+$K$137)*$K137</f>
        <v>14697.299999999997</v>
      </c>
      <c r="M137" s="78"/>
      <c r="N137" s="78"/>
      <c r="O137" s="78"/>
      <c r="P137" s="64"/>
      <c r="Q137" s="64"/>
      <c r="R137" s="64"/>
      <c r="S137" s="64"/>
      <c r="T137" s="64"/>
    </row>
    <row r="138" spans="1:20" ht="25.15" customHeight="1">
      <c r="A138" s="155" t="s">
        <v>42</v>
      </c>
      <c r="B138" s="156"/>
      <c r="C138" s="156"/>
      <c r="D138" s="156"/>
      <c r="E138" s="156"/>
      <c r="F138" s="156"/>
      <c r="G138" s="79">
        <f>G136+G137</f>
        <v>140678.13545999999</v>
      </c>
      <c r="H138" s="79">
        <f>H136+H137</f>
        <v>0</v>
      </c>
      <c r="I138" s="79">
        <f>I136+I137</f>
        <v>0</v>
      </c>
      <c r="J138" s="79">
        <f>J136+J137</f>
        <v>0</v>
      </c>
      <c r="K138" s="79">
        <f>K136</f>
        <v>121973.93545999999</v>
      </c>
      <c r="L138" s="78"/>
      <c r="M138" s="78"/>
      <c r="N138" s="78"/>
      <c r="O138" s="78"/>
      <c r="P138" s="64"/>
      <c r="Q138" s="64"/>
      <c r="R138" s="64"/>
      <c r="S138" s="64"/>
      <c r="T138" s="64"/>
    </row>
    <row r="139" spans="1:20" ht="22.5" customHeight="1">
      <c r="A139" s="159" t="s">
        <v>139</v>
      </c>
      <c r="B139" s="159"/>
      <c r="C139" s="159"/>
      <c r="D139" s="159"/>
      <c r="E139" s="159"/>
      <c r="F139" s="159"/>
      <c r="G139" s="77">
        <f>G12+G15+G18+G22+G26+G29+G32+G34+G37+G40+G43+G46+G48+G51+G109+G54+G56+G58+G60+G62+G65+G68+G71+G73+G76+G79+G81+G83+G85+G88+G90+G92+G94+G97+G99+G101+G112+G114+G116+G119+G121+G123+G125+G127+G129+G132+G135+G138+G104</f>
        <v>4400114.0354600009</v>
      </c>
      <c r="H139" s="77">
        <f>H12+H15+H18+H22+H26+H29+H32+H34+H37+H40+H43+H46+H48+H51+H109+H54+H56+H58+H60+H62+H65+H68+H71+H73+H76+H79+H81+H83+H85+H88+H90+H92+H94+H97+H99+H101+H112+H114+H116+H119+H121+H123+H125+H127+H129+H132+H135+H138+H104</f>
        <v>4455093.0000000009</v>
      </c>
      <c r="I139" s="77">
        <f>I12+I15+I18+I22+I26+I29+I32+I34+I37+I40+I43+I46+I48+I51+I109+I54+I56+I58+I60+I62+I65+I68+I71+I73+I76+I79+I81+I83+I85+I88+I90+I92+I94+I97+I99+I101+I112+I114+I116+I119+I121+I123+I125+I127+I129+I132+I135+I138+I104</f>
        <v>4656120.8</v>
      </c>
      <c r="J139" s="77">
        <f>J12+J15+J18+J22+J26+J29+J32+J34+J37+J40+J43+J46+J48+J51+J109+J54+J56+J58+J60+J62+J65+J68+J71+J73+J76+J79+J81+J83+J85+J88+J90+J92+J94+J97+J99+J101+J112+J114+J116+J119+J121+J123+J125+J127+J129+J132+J135+J138+J104</f>
        <v>4771380.4000000004</v>
      </c>
      <c r="K139" s="77" t="e">
        <f>K12+K15+K18+K22+K26+K29+K32+K34+K37+K40+K43+K46+K48+K51+K109+K54+K56+K58+K60+K62+K65+K68+K71+K73+K76+K79+K81+K83+K85+K88+#REF!+#REF!+#REF!+#REF!+#REF!+#REF!+#REF!+#REF!+#REF!+#REF!+#REF!+#REF!+#REF!+#REF!+#REF!+#REF!+#REF!+#REF!+#REF!+#REF!+#REF!+K90+K92+K94+K97+K99+K101+K112+K114+K116+K119+K121+K123+K125+K127+K129+K132+K135</f>
        <v>#REF!</v>
      </c>
      <c r="L139" s="76"/>
      <c r="M139" s="76"/>
      <c r="N139" s="76"/>
      <c r="O139" s="76"/>
      <c r="P139" s="64"/>
      <c r="Q139" s="66"/>
      <c r="R139" s="66"/>
      <c r="S139" s="66"/>
      <c r="T139" s="64"/>
    </row>
    <row r="140" spans="1:20" hidden="1"/>
    <row r="141" spans="1:20" s="71" customFormat="1" ht="37.5" hidden="1" customHeight="1">
      <c r="A141" s="75" t="s">
        <v>138</v>
      </c>
      <c r="B141" s="75"/>
      <c r="C141" s="75"/>
      <c r="E141" s="73" t="s">
        <v>137</v>
      </c>
      <c r="F141" s="73"/>
      <c r="G141" s="74"/>
      <c r="H141" s="74"/>
      <c r="I141" s="74"/>
      <c r="J141" s="74"/>
      <c r="K141" s="73"/>
      <c r="P141" s="72"/>
      <c r="Q141" s="72"/>
      <c r="R141" s="72"/>
      <c r="S141" s="72"/>
      <c r="T141" s="72"/>
    </row>
    <row r="142" spans="1:20" s="69" customFormat="1" ht="37.5" hidden="1" customHeight="1">
      <c r="A142" s="160" t="s">
        <v>136</v>
      </c>
      <c r="B142" s="160"/>
      <c r="C142" s="160"/>
      <c r="D142" s="160"/>
      <c r="E142" s="160"/>
      <c r="F142" s="160"/>
      <c r="G142" s="160"/>
      <c r="P142" s="70"/>
      <c r="Q142" s="70"/>
      <c r="R142" s="70"/>
      <c r="S142" s="70"/>
      <c r="T142" s="70"/>
    </row>
    <row r="144" spans="1:20" hidden="1">
      <c r="D144" s="68" t="s">
        <v>135</v>
      </c>
      <c r="E144" s="68" t="s">
        <v>129</v>
      </c>
      <c r="F144" s="68" t="s">
        <v>120</v>
      </c>
      <c r="G144" s="67">
        <f>G72+G74+G75+G77+G78+G80+G84+G86</f>
        <v>1471302.7999999998</v>
      </c>
      <c r="H144" s="67">
        <f>H72+H74+H75+H77+H78+H80+H84+H86</f>
        <v>1498776.4999999998</v>
      </c>
      <c r="I144" s="67">
        <f>I72+I74+I75+I77+I78+I80+I84+I86</f>
        <v>1592654.4</v>
      </c>
      <c r="J144" s="67">
        <f>J72+J74+J75+J77+J78+J80+J84+J86</f>
        <v>1628089.5999999999</v>
      </c>
      <c r="L144" s="66">
        <f>G144-('Объемы бюдж.ассигн.'!F9-'Объемы ассигн на имущ и нал'!F13)</f>
        <v>0</v>
      </c>
      <c r="M144" s="66">
        <f>H144-('Объемы бюдж.ассигн.'!G9-'Объемы ассигн на имущ и нал'!G13)</f>
        <v>0</v>
      </c>
      <c r="N144" s="66">
        <f>I144-('Объемы бюдж.ассигн.'!H9-'Объемы ассигн на имущ и нал'!H13)</f>
        <v>0</v>
      </c>
      <c r="O144" s="66">
        <f>J144-('Объемы бюдж.ассигн.'!I9-'Объемы ассигн на имущ и нал'!I13)</f>
        <v>0.29999999981373549</v>
      </c>
    </row>
    <row r="145" spans="4:15" hidden="1">
      <c r="D145" s="68" t="s">
        <v>135</v>
      </c>
      <c r="E145" s="68" t="s">
        <v>129</v>
      </c>
      <c r="F145" s="68" t="s">
        <v>114</v>
      </c>
      <c r="G145" s="67">
        <f>G82+G87</f>
        <v>19461</v>
      </c>
      <c r="H145" s="67">
        <f>H82+H87</f>
        <v>19751.599999999999</v>
      </c>
      <c r="I145" s="67">
        <f>I82+I87</f>
        <v>20403.400000000001</v>
      </c>
      <c r="J145" s="67">
        <f>J82+J87</f>
        <v>20942.900000000001</v>
      </c>
      <c r="L145" s="66">
        <f>G145-('Объемы бюдж.ассигн.'!F10-'Объемы ассигн на имущ и нал'!F14)</f>
        <v>0</v>
      </c>
      <c r="M145" s="66">
        <f>H145-('Объемы бюдж.ассигн.'!G10-'Объемы ассигн на имущ и нал'!G14)</f>
        <v>0</v>
      </c>
      <c r="N145" s="66">
        <f>I145-('Объемы бюдж.ассигн.'!H10-'Объемы ассигн на имущ и нал'!H14)</f>
        <v>0</v>
      </c>
      <c r="O145" s="66">
        <f>J145-('Объемы бюдж.ассигн.'!I10-'Объемы ассигн на имущ и нал'!I14)</f>
        <v>0</v>
      </c>
    </row>
    <row r="146" spans="4:15" hidden="1">
      <c r="D146" s="68" t="s">
        <v>135</v>
      </c>
      <c r="E146" s="68" t="s">
        <v>130</v>
      </c>
      <c r="F146" s="68" t="s">
        <v>120</v>
      </c>
      <c r="G146" s="67">
        <f>G89</f>
        <v>400448.7</v>
      </c>
      <c r="H146" s="67">
        <f>H89</f>
        <v>406076.60000000003</v>
      </c>
      <c r="I146" s="67">
        <f>I89</f>
        <v>396474.4</v>
      </c>
      <c r="J146" s="67">
        <f>J89</f>
        <v>404299.7</v>
      </c>
      <c r="L146" s="66">
        <f>G146-('Объемы бюдж.ассигн.'!F13-'Объемы ассигн на имущ и нал'!F17)</f>
        <v>0</v>
      </c>
      <c r="M146" s="66">
        <f>H146-('Объемы бюдж.ассигн.'!G13-'Объемы ассигн на имущ и нал'!G17)</f>
        <v>0</v>
      </c>
      <c r="N146" s="66">
        <f>I146-('Объемы бюдж.ассигн.'!H13-'Объемы ассигн на имущ и нал'!H17)</f>
        <v>0</v>
      </c>
      <c r="O146" s="66">
        <f>J146-('Объемы бюдж.ассигн.'!I13-'Объемы ассигн на имущ и нал'!I17)</f>
        <v>0</v>
      </c>
    </row>
    <row r="147" spans="4:15" hidden="1">
      <c r="D147" s="68" t="s">
        <v>133</v>
      </c>
      <c r="E147" s="68" t="s">
        <v>134</v>
      </c>
      <c r="F147" s="68" t="s">
        <v>120</v>
      </c>
      <c r="G147" s="67">
        <f>G19+G23+G52</f>
        <v>138932.5</v>
      </c>
      <c r="H147" s="67">
        <f>H19+H23+H52</f>
        <v>135115.20000000001</v>
      </c>
      <c r="I147" s="67">
        <f>I19+I23+I52</f>
        <v>138536.20000000001</v>
      </c>
      <c r="J147" s="67">
        <f>J19+J23+J52</f>
        <v>143447.6</v>
      </c>
      <c r="L147" s="66">
        <f>G147-('Объемы бюдж.ассигн.'!F14-'Объемы ассигн на имущ и нал'!F18)</f>
        <v>0</v>
      </c>
      <c r="M147" s="66">
        <f>H147-('Объемы бюдж.ассигн.'!G14-'Объемы ассигн на имущ и нал'!G18)</f>
        <v>0</v>
      </c>
      <c r="N147" s="66">
        <f>I147-('Объемы бюдж.ассигн.'!H14-'Объемы ассигн на имущ и нал'!H18)</f>
        <v>0</v>
      </c>
      <c r="O147" s="66">
        <f>J147-('Объемы бюдж.ассигн.'!I14-'Объемы ассигн на имущ и нал'!I18)</f>
        <v>0</v>
      </c>
    </row>
    <row r="148" spans="4:15" hidden="1">
      <c r="D148" s="68" t="s">
        <v>133</v>
      </c>
      <c r="E148" s="68" t="s">
        <v>129</v>
      </c>
      <c r="F148" s="68" t="s">
        <v>120</v>
      </c>
      <c r="G148" s="67">
        <f>G30+G44+G13+G16+G24+G27+G38+G41+G11+G14+G17+G21+G25+G28+G31+G33+G36+G39+G42+G45+G50+G53+G55</f>
        <v>513767.70000000007</v>
      </c>
      <c r="H148" s="67">
        <f>H30+H44+H13+H16+H24+H27+H38+H41+H11+H14+H17+H21+H25+H28+H31+H33+H36+H39+H42+H45+H50+H53+H55</f>
        <v>561491.20000000007</v>
      </c>
      <c r="I148" s="67">
        <f>I30+I44+I13+I16+I24+I27+I38+I41+I11+I14+I17+I21+I25+I28+I31+I33+I36+I39+I42+I45+I50+I53+I55</f>
        <v>576143.80000000005</v>
      </c>
      <c r="J148" s="67">
        <f>J30+J44+J13+J16+J24+J27+J38+J41+J11+J14+J17+J21+J25+J28+J31+J33+J36+J39+J42+J45+J50+J53+J55</f>
        <v>596526.5</v>
      </c>
      <c r="L148" s="66">
        <f>G148-('Объемы бюдж.ассигн.'!F15-'Объемы ассигн на имущ и нал'!F19)</f>
        <v>5.6000000331550837E-3</v>
      </c>
      <c r="M148" s="66">
        <f>H148-('Объемы бюдж.ассигн.'!G15-'Объемы ассигн на имущ и нал'!G19)</f>
        <v>0</v>
      </c>
      <c r="N148" s="66">
        <f>I148-('Объемы бюдж.ассигн.'!H15-'Объемы ассигн на имущ и нал'!H19)</f>
        <v>0</v>
      </c>
      <c r="O148" s="66">
        <f>J148-('Объемы бюдж.ассигн.'!I15-'Объемы ассигн на имущ и нал'!I19)</f>
        <v>0</v>
      </c>
    </row>
    <row r="149" spans="4:15" hidden="1">
      <c r="D149" s="68" t="s">
        <v>133</v>
      </c>
      <c r="E149" s="68" t="s">
        <v>129</v>
      </c>
      <c r="F149" s="68" t="s">
        <v>114</v>
      </c>
      <c r="G149" s="67">
        <f>G47+G49+G20+G35</f>
        <v>88914.2</v>
      </c>
      <c r="H149" s="67">
        <f>H47+H49+H20+H35</f>
        <v>93150.1</v>
      </c>
      <c r="I149" s="67">
        <f>I47+I49+I20+I35</f>
        <v>94733.5</v>
      </c>
      <c r="J149" s="67">
        <f>J47+J49+J20+J35</f>
        <v>97103.7</v>
      </c>
      <c r="L149" s="66">
        <f>G149-('Объемы бюдж.ассигн.'!F16-'Объемы ассигн на имущ и нал'!F20)</f>
        <v>0</v>
      </c>
      <c r="M149" s="66">
        <f>H149-('Объемы бюдж.ассигн.'!G16-'Объемы ассигн на имущ и нал'!G20)</f>
        <v>0</v>
      </c>
      <c r="N149" s="66">
        <f>I149-('Объемы бюдж.ассигн.'!H16-'Объемы ассигн на имущ и нал'!H20)</f>
        <v>0</v>
      </c>
      <c r="O149" s="66">
        <f>J149-('Объемы бюдж.ассигн.'!I16-'Объемы ассигн на имущ и нал'!I20)</f>
        <v>0</v>
      </c>
    </row>
    <row r="150" spans="4:15" hidden="1">
      <c r="D150" s="68" t="s">
        <v>133</v>
      </c>
      <c r="E150" s="68" t="s">
        <v>130</v>
      </c>
      <c r="F150" s="68" t="s">
        <v>120</v>
      </c>
      <c r="G150" s="67">
        <f>G57+G59</f>
        <v>8966.2000000000007</v>
      </c>
      <c r="H150" s="67">
        <f>H57+H59</f>
        <v>21020.300000000003</v>
      </c>
      <c r="I150" s="67">
        <f>I57+I59</f>
        <v>17717.400000000001</v>
      </c>
      <c r="J150" s="67">
        <f>J57+J59</f>
        <v>15244.2</v>
      </c>
      <c r="L150" s="66">
        <f>G150-('Объемы бюдж.ассигн.'!F17-'Объемы ассигн на имущ и нал'!F21)</f>
        <v>0</v>
      </c>
      <c r="M150" s="66">
        <f>H150-('Объемы бюдж.ассигн.'!G17-'Объемы ассигн на имущ и нал'!G21)</f>
        <v>0</v>
      </c>
      <c r="N150" s="66">
        <f>I150-('Объемы бюдж.ассигн.'!H17-'Объемы ассигн на имущ и нал'!H21)</f>
        <v>0</v>
      </c>
      <c r="O150" s="66">
        <f>J150-('Объемы бюдж.ассигн.'!I17-'Объемы ассигн на имущ и нал'!I21)</f>
        <v>0</v>
      </c>
    </row>
    <row r="151" spans="4:15" hidden="1">
      <c r="D151" s="68" t="s">
        <v>131</v>
      </c>
      <c r="E151" s="68" t="s">
        <v>132</v>
      </c>
      <c r="F151" s="68" t="s">
        <v>120</v>
      </c>
      <c r="G151" s="67">
        <f>G69+G63+G66+G64+G67+G70</f>
        <v>70648.7</v>
      </c>
      <c r="H151" s="67">
        <f>H69+H63+H66+H64+H67+H70</f>
        <v>73927.399999999994</v>
      </c>
      <c r="I151" s="67">
        <f>I69+I63+I66+I64+I67+I70</f>
        <v>76208.7</v>
      </c>
      <c r="J151" s="67">
        <f>J69+J63+J66+J64+J67+J70</f>
        <v>78586.900000000009</v>
      </c>
      <c r="L151" s="66">
        <f>G151-('Объемы бюдж.ассигн.'!F18-'Объемы ассигн на имущ и нал'!F22)</f>
        <v>0</v>
      </c>
      <c r="M151" s="66">
        <f>H151-('Объемы бюдж.ассигн.'!G18-'Объемы ассигн на имущ и нал'!G22)</f>
        <v>0</v>
      </c>
      <c r="N151" s="66">
        <f>I151-('Объемы бюдж.ассигн.'!H18-'Объемы ассигн на имущ и нал'!H22)</f>
        <v>0</v>
      </c>
      <c r="O151" s="66">
        <f>J151-('Объемы бюдж.ассигн.'!I18-'Объемы ассигн на имущ и нал'!I22)</f>
        <v>0</v>
      </c>
    </row>
    <row r="152" spans="4:15" hidden="1">
      <c r="D152" s="68" t="s">
        <v>131</v>
      </c>
      <c r="E152" s="68" t="s">
        <v>130</v>
      </c>
      <c r="F152" s="68" t="s">
        <v>114</v>
      </c>
      <c r="G152" s="67">
        <f>G61</f>
        <v>535.70000000000005</v>
      </c>
      <c r="H152" s="67">
        <f>H61</f>
        <v>694</v>
      </c>
      <c r="I152" s="67">
        <f>I61</f>
        <v>679.1</v>
      </c>
      <c r="J152" s="67">
        <f>J61</f>
        <v>635.29999999999995</v>
      </c>
      <c r="L152" s="66">
        <f>G152-('Объемы бюдж.ассигн.'!F19-'Объемы ассигн на имущ и нал'!F23)</f>
        <v>0</v>
      </c>
      <c r="M152" s="66">
        <f>H152-('Объемы бюдж.ассигн.'!G19-'Объемы ассигн на имущ и нал'!G23)</f>
        <v>0</v>
      </c>
      <c r="N152" s="66">
        <f>I152-('Объемы бюдж.ассигн.'!H19-'Объемы ассигн на имущ и нал'!H23)</f>
        <v>0</v>
      </c>
      <c r="O152" s="66">
        <f>J152-('Объемы бюдж.ассигн.'!I19-'Объемы ассигн на имущ и нал'!I23)</f>
        <v>0</v>
      </c>
    </row>
    <row r="153" spans="4:15" hidden="1">
      <c r="D153" s="68" t="s">
        <v>126</v>
      </c>
      <c r="E153" s="68" t="s">
        <v>129</v>
      </c>
      <c r="F153" s="68" t="s">
        <v>120</v>
      </c>
      <c r="G153" s="67">
        <f>G91+G93+G110</f>
        <v>457730</v>
      </c>
      <c r="H153" s="67">
        <f>H91+H93+H110</f>
        <v>480389.7</v>
      </c>
      <c r="I153" s="67">
        <f>I91+I93+I110</f>
        <v>519745.10000000003</v>
      </c>
      <c r="J153" s="67">
        <f>J91+J93+J110</f>
        <v>511828.4</v>
      </c>
      <c r="L153" s="66">
        <f>G153-('Объемы бюдж.ассигн.'!F20-'Объемы ассигн на имущ и нал'!F24)</f>
        <v>-1.1600000027101487E-2</v>
      </c>
      <c r="M153" s="66">
        <f>H153-('Объемы бюдж.ассигн.'!G20-'Объемы ассигн на имущ и нал'!G24)</f>
        <v>0</v>
      </c>
      <c r="N153" s="66">
        <f>I153-('Объемы бюдж.ассигн.'!H20-'Объемы ассигн на имущ и нал'!H24)</f>
        <v>0</v>
      </c>
      <c r="O153" s="66">
        <f>J153-('Объемы бюдж.ассигн.'!I20-'Объемы ассигн на имущ и нал'!I24)</f>
        <v>0</v>
      </c>
    </row>
    <row r="154" spans="4:15" hidden="1">
      <c r="D154" s="68" t="s">
        <v>126</v>
      </c>
      <c r="E154" s="68" t="s">
        <v>128</v>
      </c>
      <c r="F154" s="68" t="s">
        <v>127</v>
      </c>
      <c r="G154" s="67" t="e">
        <f>#REF!</f>
        <v>#REF!</v>
      </c>
      <c r="H154" s="67" t="e">
        <f>#REF!</f>
        <v>#REF!</v>
      </c>
      <c r="I154" s="67" t="e">
        <f>#REF!</f>
        <v>#REF!</v>
      </c>
      <c r="J154" s="67" t="e">
        <f>#REF!</f>
        <v>#REF!</v>
      </c>
      <c r="L154" s="66" t="e">
        <f>G154-('Объемы бюдж.ассигн.'!#REF!-'Объемы ассигн на имущ и нал'!F25)</f>
        <v>#REF!</v>
      </c>
      <c r="M154" s="66" t="e">
        <f>H154-('Объемы бюдж.ассигн.'!#REF!-'Объемы ассигн на имущ и нал'!G25)</f>
        <v>#REF!</v>
      </c>
      <c r="N154" s="66" t="e">
        <f>I154-('Объемы бюдж.ассигн.'!#REF!-'Объемы ассигн на имущ и нал'!H25)</f>
        <v>#REF!</v>
      </c>
      <c r="O154" s="66" t="e">
        <f>J154-('Объемы бюдж.ассигн.'!#REF!-'Объемы ассигн на имущ и нал'!I25)</f>
        <v>#REF!</v>
      </c>
    </row>
    <row r="155" spans="4:15" hidden="1">
      <c r="D155" s="68" t="s">
        <v>126</v>
      </c>
      <c r="E155" s="68" t="s">
        <v>125</v>
      </c>
      <c r="F155" s="68" t="s">
        <v>120</v>
      </c>
      <c r="G155" s="67">
        <f>G111</f>
        <v>42718.8</v>
      </c>
      <c r="H155" s="67">
        <f>H111</f>
        <v>72467.3</v>
      </c>
      <c r="I155" s="67">
        <f>I111</f>
        <v>83512.100000000006</v>
      </c>
      <c r="J155" s="67">
        <f>J111</f>
        <v>94593.8</v>
      </c>
      <c r="L155" s="66"/>
      <c r="M155" s="66"/>
      <c r="N155" s="66"/>
      <c r="O155" s="66"/>
    </row>
    <row r="156" spans="4:15" hidden="1">
      <c r="D156" s="68" t="s">
        <v>124</v>
      </c>
      <c r="E156" s="68" t="s">
        <v>123</v>
      </c>
      <c r="F156" s="68" t="s">
        <v>120</v>
      </c>
      <c r="G156" s="67">
        <f t="shared" ref="G156:J157" si="12">G95</f>
        <v>53412.800000000003</v>
      </c>
      <c r="H156" s="67">
        <f t="shared" si="12"/>
        <v>55498.600000000006</v>
      </c>
      <c r="I156" s="67">
        <f t="shared" si="12"/>
        <v>56965.8</v>
      </c>
      <c r="J156" s="67">
        <f t="shared" si="12"/>
        <v>57914.5</v>
      </c>
      <c r="L156" s="66">
        <f>G156-('Объемы бюдж.ассигн.'!F22-'Объемы ассигн на имущ и нал'!F26)</f>
        <v>0</v>
      </c>
      <c r="M156" s="66">
        <f>H156-('Объемы бюдж.ассигн.'!G22-'Объемы ассигн на имущ и нал'!G26)</f>
        <v>0</v>
      </c>
      <c r="N156" s="66">
        <f>I156-('Объемы бюдж.ассигн.'!H22-'Объемы ассигн на имущ и нал'!H26)</f>
        <v>0</v>
      </c>
      <c r="O156" s="66">
        <f>J156-('Объемы бюдж.ассигн.'!I22-'Объемы ассигн на имущ и нал'!I26)</f>
        <v>0</v>
      </c>
    </row>
    <row r="157" spans="4:15" hidden="1">
      <c r="D157" s="68" t="s">
        <v>124</v>
      </c>
      <c r="E157" s="68" t="s">
        <v>123</v>
      </c>
      <c r="F157" s="68" t="s">
        <v>114</v>
      </c>
      <c r="G157" s="67">
        <f t="shared" si="12"/>
        <v>101580.59999999999</v>
      </c>
      <c r="H157" s="67">
        <f t="shared" si="12"/>
        <v>103115.4</v>
      </c>
      <c r="I157" s="67">
        <f t="shared" si="12"/>
        <v>103357.7</v>
      </c>
      <c r="J157" s="67">
        <f t="shared" si="12"/>
        <v>105613.79999999999</v>
      </c>
      <c r="L157" s="66">
        <f>G157-('Объемы бюдж.ассигн.'!F23-'Объемы ассигн на имущ и нал'!F27)</f>
        <v>0</v>
      </c>
      <c r="M157" s="66">
        <f>H157-('Объемы бюдж.ассигн.'!G23-'Объемы ассигн на имущ и нал'!G27)</f>
        <v>0</v>
      </c>
      <c r="N157" s="66">
        <f>I157-('Объемы бюдж.ассигн.'!H23-'Объемы ассигн на имущ и нал'!H27)</f>
        <v>0</v>
      </c>
      <c r="O157" s="66">
        <f>J157-('Объемы бюдж.ассигн.'!I23-'Объемы ассигн на имущ и нал'!I27)</f>
        <v>0</v>
      </c>
    </row>
    <row r="158" spans="4:15" hidden="1">
      <c r="D158" s="68" t="s">
        <v>122</v>
      </c>
      <c r="E158" s="68" t="s">
        <v>121</v>
      </c>
      <c r="F158" s="68" t="s">
        <v>120</v>
      </c>
      <c r="G158" s="67">
        <f>G115</f>
        <v>160794.79999999999</v>
      </c>
      <c r="H158" s="67">
        <f>H115</f>
        <v>164059</v>
      </c>
      <c r="I158" s="67">
        <f>I115</f>
        <v>168713.2</v>
      </c>
      <c r="J158" s="67">
        <f>J115</f>
        <v>174690.2</v>
      </c>
      <c r="L158" s="66">
        <f>G158-('Объемы бюдж.ассигн.'!F24-'Объемы ассигн на имущ и нал'!F28)</f>
        <v>0</v>
      </c>
      <c r="M158" s="66">
        <f>H158-('Объемы бюдж.ассигн.'!G24-'Объемы ассигн на имущ и нал'!G28)</f>
        <v>0</v>
      </c>
      <c r="N158" s="66">
        <f>I158-('Объемы бюдж.ассигн.'!H24-'Объемы ассигн на имущ и нал'!H28)</f>
        <v>0</v>
      </c>
      <c r="O158" s="66">
        <f>J158-('Объемы бюдж.ассигн.'!I24-'Объемы ассигн на имущ и нал'!I28)</f>
        <v>0</v>
      </c>
    </row>
    <row r="159" spans="4:15" hidden="1">
      <c r="D159" s="68" t="s">
        <v>119</v>
      </c>
      <c r="E159" s="68" t="s">
        <v>118</v>
      </c>
      <c r="F159" s="68" t="s">
        <v>120</v>
      </c>
      <c r="G159" s="67">
        <f>G106+G107+G108+G113+G118+G120+G122+G124+G126+G128+G130+G131+G133</f>
        <v>357154.9</v>
      </c>
      <c r="H159" s="67">
        <f>H106+H107+H108+H113+H118+H120+H122+H124+H126+H128+H130+H131+H133</f>
        <v>350599.8</v>
      </c>
      <c r="I159" s="67">
        <f>I106+I107+I108+I113+I118+I120+I122+I124+I126+I128+I130+I131+I133</f>
        <v>362960.19999999995</v>
      </c>
      <c r="J159" s="67">
        <f>J106+J107+J108+J113+J118+J120+J122+J124+J126+J128+J130+J131+J133</f>
        <v>389804.30000000005</v>
      </c>
      <c r="L159" s="66">
        <f>G159-('Объемы бюдж.ассигн.'!F25-'Объемы ассигн на имущ и нал'!F29)</f>
        <v>-131596.89999999997</v>
      </c>
      <c r="M159" s="66">
        <f>H159-('Объемы бюдж.ассигн.'!G25-'Объемы ассигн на имущ и нал'!G29)</f>
        <v>-21337.200000000012</v>
      </c>
      <c r="N159" s="66">
        <f>I159-('Объемы бюдж.ассигн.'!H25-'Объемы ассигн на имущ и нал'!H29)</f>
        <v>-22089.300000000047</v>
      </c>
      <c r="O159" s="66">
        <f>J159-('Объемы бюдж.ассигн.'!I25-'Объемы ассигн на имущ и нал'!I29)</f>
        <v>-23723.199999999953</v>
      </c>
    </row>
    <row r="160" spans="4:15" hidden="1">
      <c r="D160" s="68" t="s">
        <v>119</v>
      </c>
      <c r="E160" s="68" t="s">
        <v>118</v>
      </c>
      <c r="F160" s="68" t="s">
        <v>114</v>
      </c>
      <c r="G160" s="67">
        <f>G134</f>
        <v>18704.2</v>
      </c>
      <c r="H160" s="67">
        <f>H134</f>
        <v>13672.5</v>
      </c>
      <c r="I160" s="67">
        <f>I134</f>
        <v>14154.4</v>
      </c>
      <c r="J160" s="67">
        <f>J134</f>
        <v>15201.1</v>
      </c>
      <c r="L160" s="66">
        <f>G160-('Объемы бюдж.ассигн.'!F26-'Объемы ассигн на имущ и нал'!F30)</f>
        <v>0</v>
      </c>
      <c r="M160" s="66">
        <f>H160-('Объемы бюдж.ассигн.'!G26-'Объемы ассигн на имущ и нал'!G30)</f>
        <v>13672.5</v>
      </c>
      <c r="N160" s="66">
        <f>I160-('Объемы бюдж.ассигн.'!H26-'Объемы ассигн на имущ и нал'!H30)</f>
        <v>14154.4</v>
      </c>
      <c r="O160" s="66">
        <f>J160-('Объемы бюдж.ассигн.'!I26-'Объемы ассигн на имущ и нал'!I30)</f>
        <v>15201.1</v>
      </c>
    </row>
    <row r="161" spans="4:15" hidden="1">
      <c r="D161" s="68" t="s">
        <v>117</v>
      </c>
      <c r="E161" s="68" t="s">
        <v>115</v>
      </c>
      <c r="F161" s="68" t="s">
        <v>114</v>
      </c>
      <c r="G161" s="67">
        <f>G98</f>
        <v>69749.3</v>
      </c>
      <c r="H161" s="67">
        <f>H98</f>
        <v>75511.199999999997</v>
      </c>
      <c r="I161" s="67">
        <f>I98</f>
        <v>79364.100000000006</v>
      </c>
      <c r="J161" s="67">
        <f>J98</f>
        <v>82348.7</v>
      </c>
      <c r="L161" s="66">
        <f>G161-('Объемы бюдж.ассигн.'!F7-'Объемы ассигн на имущ и нал'!F11)</f>
        <v>0</v>
      </c>
      <c r="M161" s="66">
        <f>H161-('Объемы бюдж.ассигн.'!G7-'Объемы ассигн на имущ и нал'!G11)</f>
        <v>0</v>
      </c>
      <c r="N161" s="66">
        <f>I161-('Объемы бюдж.ассигн.'!H7-'Объемы ассигн на имущ и нал'!H11)</f>
        <v>0</v>
      </c>
      <c r="O161" s="66">
        <f>J161-('Объемы бюдж.ассигн.'!I7-'Объемы ассигн на имущ и нал'!I11)</f>
        <v>0</v>
      </c>
    </row>
    <row r="162" spans="4:15" hidden="1">
      <c r="D162" s="68" t="s">
        <v>116</v>
      </c>
      <c r="E162" s="68" t="s">
        <v>115</v>
      </c>
      <c r="F162" s="68" t="s">
        <v>114</v>
      </c>
      <c r="G162" s="67">
        <f>G100</f>
        <v>5252.2</v>
      </c>
      <c r="H162" s="67">
        <f>H100</f>
        <v>5463.3</v>
      </c>
      <c r="I162" s="67">
        <f>I100</f>
        <v>5681.9</v>
      </c>
      <c r="J162" s="67">
        <f>J100</f>
        <v>5806.9</v>
      </c>
      <c r="L162" s="66">
        <f>G162-('Объемы бюдж.ассигн.'!F8-'Объемы ассигн на имущ и нал'!F12)</f>
        <v>0</v>
      </c>
      <c r="M162" s="66">
        <f>H162-('Объемы бюдж.ассигн.'!G8-'Объемы ассигн на имущ и нал'!G12)</f>
        <v>0</v>
      </c>
      <c r="N162" s="66">
        <f>I162-('Объемы бюдж.ассигн.'!H8-'Объемы ассигн на имущ и нал'!H12)</f>
        <v>0</v>
      </c>
      <c r="O162" s="66">
        <f>J162-('Объемы бюдж.ассигн.'!I8-'Объемы ассигн на имущ и нал'!I12)</f>
        <v>0</v>
      </c>
    </row>
    <row r="163" spans="4:15">
      <c r="K163" s="64">
        <f>SUBTOTAL(9,K106:K137)</f>
        <v>1402402.7080999999</v>
      </c>
      <c r="L163" s="66">
        <f>$K$106+$K$107+$K$108+$K$113+$K$118+$K$120+$K$122+$K$124+$K$126+$K$128+$K$130+$K$131+$K$133+$K$136+$K$137</f>
        <v>493826.02178000001</v>
      </c>
    </row>
    <row r="164" spans="4:15">
      <c r="K164" s="64">
        <v>507456.02178000001</v>
      </c>
      <c r="L164" s="66">
        <f>K163-L163</f>
        <v>908576.68631999986</v>
      </c>
    </row>
    <row r="165" spans="4:15">
      <c r="K165" s="64">
        <f>K164-K163</f>
        <v>-894946.68631999986</v>
      </c>
    </row>
  </sheetData>
  <autoFilter ref="A10:V139"/>
  <mergeCells count="43">
    <mergeCell ref="A135:F135"/>
    <mergeCell ref="A139:F139"/>
    <mergeCell ref="A142:G142"/>
    <mergeCell ref="A121:F121"/>
    <mergeCell ref="A123:F123"/>
    <mergeCell ref="A125:F125"/>
    <mergeCell ref="A127:F127"/>
    <mergeCell ref="A129:F129"/>
    <mergeCell ref="A130:A131"/>
    <mergeCell ref="A132:F132"/>
    <mergeCell ref="A136:A137"/>
    <mergeCell ref="A138:F138"/>
    <mergeCell ref="A49:A50"/>
    <mergeCell ref="A106:A108"/>
    <mergeCell ref="A52:A53"/>
    <mergeCell ref="A41:A42"/>
    <mergeCell ref="A119:F119"/>
    <mergeCell ref="A66:A67"/>
    <mergeCell ref="A69:A70"/>
    <mergeCell ref="A74:A75"/>
    <mergeCell ref="A77:A78"/>
    <mergeCell ref="A86:A87"/>
    <mergeCell ref="A95:A96"/>
    <mergeCell ref="A110:A111"/>
    <mergeCell ref="A112:F112"/>
    <mergeCell ref="A114:F114"/>
    <mergeCell ref="A116:F116"/>
    <mergeCell ref="A16:A17"/>
    <mergeCell ref="A133:A134"/>
    <mergeCell ref="A6:J6"/>
    <mergeCell ref="A8:A9"/>
    <mergeCell ref="B8:F8"/>
    <mergeCell ref="G8:J8"/>
    <mergeCell ref="A13:A14"/>
    <mergeCell ref="A63:A64"/>
    <mergeCell ref="A19:A21"/>
    <mergeCell ref="A102:A103"/>
    <mergeCell ref="A23:A25"/>
    <mergeCell ref="A27:A28"/>
    <mergeCell ref="A30:A31"/>
    <mergeCell ref="A35:A36"/>
    <mergeCell ref="A38:A39"/>
    <mergeCell ref="A44:A45"/>
  </mergeCells>
  <pageMargins left="0.9055118110236221" right="0.39370078740157483" top="0.55118110236220474" bottom="0.55118110236220474" header="0.15748031496062992" footer="0.15748031496062992"/>
  <pageSetup paperSize="9" scale="42" firstPageNumber="37" fitToHeight="5"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dimension ref="A1:Q35"/>
  <sheetViews>
    <sheetView showGridLines="0" view="pageBreakPreview" zoomScaleSheetLayoutView="100" workbookViewId="0">
      <selection activeCell="E17" sqref="E17"/>
    </sheetView>
  </sheetViews>
  <sheetFormatPr defaultRowHeight="12.75"/>
  <cols>
    <col min="1" max="1" width="5.140625" style="1" bestFit="1" customWidth="1"/>
    <col min="2" max="2" width="6.140625" style="1" bestFit="1" customWidth="1"/>
    <col min="3" max="3" width="9" style="1" bestFit="1" customWidth="1"/>
    <col min="4" max="4" width="12.42578125" style="1" bestFit="1" customWidth="1"/>
    <col min="5" max="5" width="11.28515625" style="1" bestFit="1" customWidth="1"/>
    <col min="6" max="9" width="12.7109375" style="1" customWidth="1"/>
    <col min="10" max="13" width="12.28515625" style="1" hidden="1" customWidth="1"/>
    <col min="14" max="14" width="9.140625" style="1"/>
    <col min="15" max="17" width="9.140625" style="1" hidden="1" customWidth="1"/>
    <col min="18" max="18" width="10.42578125" style="1" customWidth="1"/>
    <col min="19" max="19" width="11" style="1" customWidth="1"/>
    <col min="20" max="20" width="10.85546875" style="1" customWidth="1"/>
    <col min="21" max="16384" width="9.140625" style="1"/>
  </cols>
  <sheetData>
    <row r="1" spans="1:17">
      <c r="A1" s="9"/>
      <c r="B1" s="9"/>
      <c r="C1" s="9"/>
      <c r="D1" s="9"/>
      <c r="E1" s="4"/>
      <c r="F1" s="4"/>
      <c r="G1" s="3"/>
      <c r="H1" s="3"/>
      <c r="I1" s="3" t="s">
        <v>8</v>
      </c>
    </row>
    <row r="2" spans="1:17" ht="52.5" customHeight="1">
      <c r="A2" s="162" t="s">
        <v>31</v>
      </c>
      <c r="B2" s="162"/>
      <c r="C2" s="163"/>
      <c r="D2" s="163"/>
      <c r="E2" s="163"/>
      <c r="F2" s="163"/>
      <c r="G2" s="163"/>
      <c r="H2" s="163"/>
      <c r="I2" s="163"/>
      <c r="J2" s="17"/>
      <c r="K2" s="17"/>
      <c r="L2" s="17"/>
    </row>
    <row r="3" spans="1:17">
      <c r="A3" s="9"/>
      <c r="B3" s="9"/>
      <c r="C3" s="9"/>
      <c r="D3" s="9"/>
      <c r="E3" s="4"/>
      <c r="F3" s="4"/>
      <c r="G3" s="4"/>
      <c r="H3" s="4"/>
      <c r="I3" s="4"/>
      <c r="L3" s="3"/>
      <c r="M3" s="3"/>
      <c r="N3" s="3"/>
    </row>
    <row r="4" spans="1:17" ht="55.5" customHeight="1">
      <c r="A4" s="164" t="s">
        <v>9</v>
      </c>
      <c r="B4" s="165"/>
      <c r="C4" s="165"/>
      <c r="D4" s="165"/>
      <c r="E4" s="166"/>
      <c r="F4" s="164" t="s">
        <v>32</v>
      </c>
      <c r="G4" s="165"/>
      <c r="H4" s="165"/>
      <c r="I4" s="167"/>
      <c r="L4" s="3"/>
      <c r="M4" s="3"/>
      <c r="N4" s="3"/>
    </row>
    <row r="5" spans="1:17">
      <c r="A5" s="59" t="s">
        <v>10</v>
      </c>
      <c r="B5" s="58" t="s">
        <v>11</v>
      </c>
      <c r="C5" s="58" t="s">
        <v>12</v>
      </c>
      <c r="D5" s="58" t="s">
        <v>13</v>
      </c>
      <c r="E5" s="58" t="s">
        <v>14</v>
      </c>
      <c r="F5" s="58" t="s">
        <v>30</v>
      </c>
      <c r="G5" s="58" t="s">
        <v>37</v>
      </c>
      <c r="H5" s="58" t="s">
        <v>38</v>
      </c>
      <c r="I5" s="58" t="s">
        <v>43</v>
      </c>
    </row>
    <row r="6" spans="1:17">
      <c r="A6" s="58">
        <v>1</v>
      </c>
      <c r="B6" s="58">
        <v>2</v>
      </c>
      <c r="C6" s="58">
        <v>3</v>
      </c>
      <c r="D6" s="58">
        <v>4</v>
      </c>
      <c r="E6" s="58">
        <v>5</v>
      </c>
      <c r="F6" s="58">
        <v>6</v>
      </c>
      <c r="G6" s="58">
        <v>7</v>
      </c>
      <c r="H6" s="58">
        <v>8</v>
      </c>
      <c r="I6" s="58">
        <v>9</v>
      </c>
    </row>
    <row r="7" spans="1:17">
      <c r="A7" s="58" t="s">
        <v>141</v>
      </c>
      <c r="B7" s="58" t="s">
        <v>152</v>
      </c>
      <c r="C7" s="58" t="s">
        <v>117</v>
      </c>
      <c r="D7" s="58" t="s">
        <v>115</v>
      </c>
      <c r="E7" s="58" t="s">
        <v>114</v>
      </c>
      <c r="F7" s="128">
        <f t="shared" ref="F7:F26" si="0">ROUND(J7/1000,1)</f>
        <v>72460</v>
      </c>
      <c r="G7" s="128">
        <f t="shared" ref="G7:G26" si="1">ROUND(K7/1000,1)</f>
        <v>78226.2</v>
      </c>
      <c r="H7" s="128">
        <f t="shared" ref="H7:H26" si="2">ROUND(L7/1000,1)</f>
        <v>82079.100000000006</v>
      </c>
      <c r="I7" s="128">
        <f t="shared" ref="I7:I26" si="3">ROUND(M7/1000,1)</f>
        <v>85063.7</v>
      </c>
      <c r="J7" s="1">
        <v>72460020</v>
      </c>
      <c r="K7" s="1">
        <v>78226200</v>
      </c>
      <c r="L7" s="1">
        <v>82079100</v>
      </c>
      <c r="M7" s="1">
        <v>85063700</v>
      </c>
    </row>
    <row r="8" spans="1:17">
      <c r="A8" s="58" t="s">
        <v>141</v>
      </c>
      <c r="B8" s="58" t="s">
        <v>152</v>
      </c>
      <c r="C8" s="58" t="s">
        <v>116</v>
      </c>
      <c r="D8" s="58" t="s">
        <v>115</v>
      </c>
      <c r="E8" s="58" t="s">
        <v>114</v>
      </c>
      <c r="F8" s="128">
        <f t="shared" si="0"/>
        <v>5252.2</v>
      </c>
      <c r="G8" s="128">
        <f t="shared" si="1"/>
        <v>5463.3</v>
      </c>
      <c r="H8" s="128">
        <f t="shared" si="2"/>
        <v>5681.9</v>
      </c>
      <c r="I8" s="128">
        <f t="shared" si="3"/>
        <v>5806.9</v>
      </c>
      <c r="J8" s="1">
        <v>5252200</v>
      </c>
      <c r="K8" s="1">
        <v>5463300</v>
      </c>
      <c r="L8" s="1">
        <v>5681900</v>
      </c>
      <c r="M8" s="1">
        <v>5806900</v>
      </c>
    </row>
    <row r="9" spans="1:17">
      <c r="A9" s="58" t="s">
        <v>141</v>
      </c>
      <c r="B9" s="58" t="s">
        <v>140</v>
      </c>
      <c r="C9" s="54" t="s">
        <v>135</v>
      </c>
      <c r="D9" s="58" t="s">
        <v>129</v>
      </c>
      <c r="E9" s="58" t="s">
        <v>120</v>
      </c>
      <c r="F9" s="128">
        <f t="shared" si="0"/>
        <v>1489629.7</v>
      </c>
      <c r="G9" s="128">
        <f t="shared" si="1"/>
        <v>1515763.9</v>
      </c>
      <c r="H9" s="128">
        <f>ROUND(L9/1000,1)</f>
        <v>1609641.8</v>
      </c>
      <c r="I9" s="128">
        <f t="shared" si="3"/>
        <v>1645076.7</v>
      </c>
      <c r="J9" s="1">
        <v>1489629744.5799999</v>
      </c>
      <c r="K9" s="1">
        <v>1515763900</v>
      </c>
      <c r="L9" s="1">
        <v>1609641808.4200001</v>
      </c>
      <c r="M9" s="1">
        <v>1645076697.55</v>
      </c>
      <c r="O9" s="121">
        <f>'Объемы ассигн без имущ и нал'!H72+'Объемы ассигн без имущ и нал'!H74+'Объемы ассигн без имущ и нал'!H75+'Объемы ассигн без имущ и нал'!H77+'Объемы ассигн без имущ и нал'!H78+'Объемы ассигн без имущ и нал'!H80+'Объемы ассигн без имущ и нал'!H84+'Объемы ассигн без имущ и нал'!H86+'Объемы ассигн на имущ и нал'!G13-'Объемы бюдж.ассигн.'!G9</f>
        <v>0</v>
      </c>
      <c r="P9" s="121">
        <f>'Объемы ассигн без имущ и нал'!I72+'Объемы ассигн без имущ и нал'!I74+'Объемы ассигн без имущ и нал'!I75+'Объемы ассигн без имущ и нал'!I77+'Объемы ассигн без имущ и нал'!I78+'Объемы ассигн без имущ и нал'!I80+'Объемы ассигн без имущ и нал'!I84+'Объемы ассигн без имущ и нал'!I86+'Объемы ассигн на имущ и нал'!H13-'Объемы бюдж.ассигн.'!H9</f>
        <v>0</v>
      </c>
      <c r="Q9" s="121">
        <f>'Объемы ассигн без имущ и нал'!J72+'Объемы ассигн без имущ и нал'!J74+'Объемы ассигн без имущ и нал'!J75+'Объемы ассигн без имущ и нал'!J77+'Объемы ассигн без имущ и нал'!J78+'Объемы ассигн без имущ и нал'!J80+'Объемы ассигн без имущ и нал'!J84+'Объемы ассигн без имущ и нал'!J86+'Объемы ассигн на имущ и нал'!I13-'Объемы бюдж.ассигн.'!I9</f>
        <v>0.29999999981373549</v>
      </c>
    </row>
    <row r="10" spans="1:17">
      <c r="A10" s="58" t="s">
        <v>141</v>
      </c>
      <c r="B10" s="58" t="s">
        <v>140</v>
      </c>
      <c r="C10" s="54" t="s">
        <v>135</v>
      </c>
      <c r="D10" s="58" t="s">
        <v>129</v>
      </c>
      <c r="E10" s="58" t="s">
        <v>114</v>
      </c>
      <c r="F10" s="128">
        <f t="shared" si="0"/>
        <v>19640.599999999999</v>
      </c>
      <c r="G10" s="128">
        <f t="shared" si="1"/>
        <v>19935.7</v>
      </c>
      <c r="H10" s="128">
        <f t="shared" si="2"/>
        <v>20587.5</v>
      </c>
      <c r="I10" s="128">
        <f t="shared" si="3"/>
        <v>21127</v>
      </c>
      <c r="J10" s="1">
        <v>19640600</v>
      </c>
      <c r="K10" s="1">
        <v>19935700</v>
      </c>
      <c r="L10" s="1">
        <v>20587500</v>
      </c>
      <c r="M10" s="1">
        <v>21127000</v>
      </c>
      <c r="O10" s="121">
        <f>'Объемы ассигн без имущ и нал'!H82+'Объемы ассигн без имущ и нал'!H87+'Объемы ассигн на имущ и нал'!G14-'Объемы бюдж.ассигн.'!G10</f>
        <v>0</v>
      </c>
      <c r="P10" s="121">
        <f>'Объемы ассигн без имущ и нал'!I82+'Объемы ассигн без имущ и нал'!I87+'Объемы ассигн на имущ и нал'!H14-'Объемы бюдж.ассигн.'!H10</f>
        <v>0</v>
      </c>
      <c r="Q10" s="121">
        <f>'Объемы ассигн без имущ и нал'!J82+'Объемы ассигн без имущ и нал'!J87+'Объемы ассигн на имущ и нал'!I14-'Объемы бюдж.ассигн.'!I10</f>
        <v>0</v>
      </c>
    </row>
    <row r="11" spans="1:17">
      <c r="A11" s="61" t="s">
        <v>141</v>
      </c>
      <c r="B11" s="61" t="s">
        <v>140</v>
      </c>
      <c r="C11" s="54" t="s">
        <v>135</v>
      </c>
      <c r="D11" s="61" t="s">
        <v>219</v>
      </c>
      <c r="E11" s="61" t="s">
        <v>120</v>
      </c>
      <c r="F11" s="128">
        <v>281160.7</v>
      </c>
      <c r="G11" s="128">
        <v>318529.8</v>
      </c>
      <c r="H11" s="128">
        <v>341958.6</v>
      </c>
      <c r="I11" s="128">
        <v>341945.59999999998</v>
      </c>
      <c r="O11" s="121"/>
      <c r="P11" s="121"/>
      <c r="Q11" s="121"/>
    </row>
    <row r="12" spans="1:17">
      <c r="A12" s="61" t="s">
        <v>141</v>
      </c>
      <c r="B12" s="61" t="s">
        <v>140</v>
      </c>
      <c r="C12" s="54" t="s">
        <v>135</v>
      </c>
      <c r="D12" s="61" t="s">
        <v>219</v>
      </c>
      <c r="E12" s="61" t="s">
        <v>114</v>
      </c>
      <c r="F12" s="128">
        <v>1128</v>
      </c>
      <c r="G12" s="128">
        <v>1192.5</v>
      </c>
      <c r="H12" s="128">
        <v>1448.7</v>
      </c>
      <c r="I12" s="128">
        <v>1461.7</v>
      </c>
      <c r="O12" s="121"/>
      <c r="P12" s="121"/>
      <c r="Q12" s="121"/>
    </row>
    <row r="13" spans="1:17">
      <c r="A13" s="58" t="s">
        <v>141</v>
      </c>
      <c r="B13" s="58" t="s">
        <v>140</v>
      </c>
      <c r="C13" s="54" t="s">
        <v>135</v>
      </c>
      <c r="D13" s="58" t="s">
        <v>204</v>
      </c>
      <c r="E13" s="58" t="s">
        <v>120</v>
      </c>
      <c r="F13" s="128">
        <f t="shared" si="0"/>
        <v>405077.7</v>
      </c>
      <c r="G13" s="128">
        <f t="shared" si="1"/>
        <v>410804.2</v>
      </c>
      <c r="H13" s="128">
        <f t="shared" si="2"/>
        <v>401202</v>
      </c>
      <c r="I13" s="128">
        <f t="shared" si="3"/>
        <v>409027.3</v>
      </c>
      <c r="J13" s="1">
        <v>405077665.51999998</v>
      </c>
      <c r="K13" s="1">
        <v>410804200</v>
      </c>
      <c r="L13" s="1">
        <v>401202000</v>
      </c>
      <c r="M13" s="1">
        <v>409027300</v>
      </c>
    </row>
    <row r="14" spans="1:17">
      <c r="A14" s="58" t="s">
        <v>141</v>
      </c>
      <c r="B14" s="58" t="s">
        <v>140</v>
      </c>
      <c r="C14" s="58" t="s">
        <v>133</v>
      </c>
      <c r="D14" s="58" t="s">
        <v>205</v>
      </c>
      <c r="E14" s="58" t="s">
        <v>120</v>
      </c>
      <c r="F14" s="128">
        <f t="shared" si="0"/>
        <v>139945</v>
      </c>
      <c r="G14" s="128">
        <f t="shared" si="1"/>
        <v>136184.4</v>
      </c>
      <c r="H14" s="128">
        <f t="shared" si="2"/>
        <v>139605.4</v>
      </c>
      <c r="I14" s="128">
        <f t="shared" si="3"/>
        <v>144516.79999999999</v>
      </c>
      <c r="J14" s="1">
        <v>139944983.69999999</v>
      </c>
      <c r="K14" s="1">
        <v>136184400</v>
      </c>
      <c r="L14" s="1">
        <v>139605400</v>
      </c>
      <c r="M14" s="1">
        <v>144516800</v>
      </c>
      <c r="O14" s="121">
        <f>'Объемы ассигн без имущ и нал'!H19+'Объемы ассигн без имущ и нал'!H23+'Объемы ассигн без имущ и нал'!H52+'Объемы ассигн на имущ и нал'!G18-'Объемы бюдж.ассигн.'!G14</f>
        <v>0</v>
      </c>
      <c r="P14" s="121">
        <f>'Объемы ассигн без имущ и нал'!I19+'Объемы ассигн без имущ и нал'!I23+'Объемы ассигн без имущ и нал'!I52+'Объемы ассигн на имущ и нал'!H18-'Объемы бюдж.ассигн.'!H14</f>
        <v>0</v>
      </c>
      <c r="Q14" s="121">
        <f>'Объемы ассигн без имущ и нал'!J19+'Объемы ассигн без имущ и нал'!J23+'Объемы ассигн без имущ и нал'!J52+'Объемы ассигн на имущ и нал'!I18-'Объемы бюдж.ассигн.'!I14</f>
        <v>0</v>
      </c>
    </row>
    <row r="15" spans="1:17">
      <c r="A15" s="58" t="s">
        <v>141</v>
      </c>
      <c r="B15" s="58" t="s">
        <v>140</v>
      </c>
      <c r="C15" s="58" t="s">
        <v>133</v>
      </c>
      <c r="D15" s="58" t="s">
        <v>129</v>
      </c>
      <c r="E15" s="58" t="s">
        <v>120</v>
      </c>
      <c r="F15" s="128">
        <f t="shared" si="0"/>
        <v>519143.5</v>
      </c>
      <c r="G15" s="128">
        <f t="shared" si="1"/>
        <v>566721.4</v>
      </c>
      <c r="H15" s="128">
        <f t="shared" si="2"/>
        <v>581374</v>
      </c>
      <c r="I15" s="128">
        <f t="shared" si="3"/>
        <v>601756.69999999995</v>
      </c>
      <c r="J15" s="1">
        <v>519143466.20000005</v>
      </c>
      <c r="K15" s="1">
        <v>566721400</v>
      </c>
      <c r="L15" s="1">
        <v>581374000</v>
      </c>
      <c r="M15" s="1">
        <v>601756700</v>
      </c>
      <c r="O15" s="121">
        <f>'Объемы ассигн без имущ и нал'!H11+'Объемы ассигн без имущ и нал'!H13+'Объемы ассигн без имущ и нал'!H14+'Объемы ассигн без имущ и нал'!H16+'Объемы ассигн без имущ и нал'!H17+'Объемы ассигн без имущ и нал'!H21+'Объемы ассигн без имущ и нал'!H24+'Объемы ассигн без имущ и нал'!H25+'Объемы ассигн без имущ и нал'!H27+'Объемы ассигн без имущ и нал'!H28+'Объемы ассигн без имущ и нал'!H30+'Объемы ассигн без имущ и нал'!H31+'Объемы ассигн без имущ и нал'!H33+'Объемы ассигн без имущ и нал'!H36+'Объемы ассигн без имущ и нал'!H38+'Объемы ассигн без имущ и нал'!H39+'Объемы ассигн без имущ и нал'!H41+'Объемы ассигн без имущ и нал'!H42+'Объемы ассигн без имущ и нал'!H44+'Объемы ассигн без имущ и нал'!H45+'Объемы ассигн без имущ и нал'!H50+'Объемы ассигн без имущ и нал'!H53+'Объемы ассигн без имущ и нал'!H55+'Объемы ассигн на имущ и нал'!G19-'Объемы бюдж.ассигн.'!G15</f>
        <v>0</v>
      </c>
      <c r="P15" s="121">
        <f>'Объемы ассигн без имущ и нал'!I11+'Объемы ассигн без имущ и нал'!I13+'Объемы ассигн без имущ и нал'!I14+'Объемы ассигн без имущ и нал'!I16+'Объемы ассигн без имущ и нал'!I17+'Объемы ассигн без имущ и нал'!I21+'Объемы ассигн без имущ и нал'!I24+'Объемы ассигн без имущ и нал'!I25+'Объемы ассигн без имущ и нал'!I27+'Объемы ассигн без имущ и нал'!I28+'Объемы ассигн без имущ и нал'!I30+'Объемы ассигн без имущ и нал'!I31+'Объемы ассигн без имущ и нал'!I33+'Объемы ассигн без имущ и нал'!I36+'Объемы ассигн без имущ и нал'!I38+'Объемы ассигн без имущ и нал'!I39+'Объемы ассигн без имущ и нал'!I41+'Объемы ассигн без имущ и нал'!I42+'Объемы ассигн без имущ и нал'!I44+'Объемы ассигн без имущ и нал'!I45+'Объемы ассигн без имущ и нал'!I50+'Объемы ассигн без имущ и нал'!I53+'Объемы ассигн без имущ и нал'!I55+'Объемы ассигн на имущ и нал'!H19-'Объемы бюдж.ассигн.'!H15</f>
        <v>0</v>
      </c>
      <c r="Q15" s="121">
        <f>'Объемы ассигн без имущ и нал'!J11+'Объемы ассигн без имущ и нал'!J13+'Объемы ассигн без имущ и нал'!J14+'Объемы ассигн без имущ и нал'!J16+'Объемы ассигн без имущ и нал'!J17+'Объемы ассигн без имущ и нал'!J21+'Объемы ассигн без имущ и нал'!J24+'Объемы ассигн без имущ и нал'!J25+'Объемы ассигн без имущ и нал'!J27+'Объемы ассигн без имущ и нал'!J28+'Объемы ассигн без имущ и нал'!J30+'Объемы ассигн без имущ и нал'!J31+'Объемы ассигн без имущ и нал'!J33+'Объемы ассигн без имущ и нал'!J36+'Объемы ассигн без имущ и нал'!J38+'Объемы ассигн без имущ и нал'!J39+'Объемы ассигн без имущ и нал'!J41+'Объемы ассигн без имущ и нал'!J42+'Объемы ассигн без имущ и нал'!J44+'Объемы ассигн без имущ и нал'!J45+'Объемы ассигн без имущ и нал'!J50+'Объемы ассигн без имущ и нал'!J53+'Объемы ассигн без имущ и нал'!J55+'Объемы ассигн на имущ и нал'!I19-'Объемы бюдж.ассигн.'!I15</f>
        <v>0</v>
      </c>
    </row>
    <row r="16" spans="1:17">
      <c r="A16" s="58" t="s">
        <v>141</v>
      </c>
      <c r="B16" s="58" t="s">
        <v>140</v>
      </c>
      <c r="C16" s="58" t="s">
        <v>133</v>
      </c>
      <c r="D16" s="58" t="s">
        <v>129</v>
      </c>
      <c r="E16" s="58" t="s">
        <v>114</v>
      </c>
      <c r="F16" s="128">
        <f t="shared" si="0"/>
        <v>89520.8</v>
      </c>
      <c r="G16" s="128">
        <f t="shared" si="1"/>
        <v>93825.8</v>
      </c>
      <c r="H16" s="128">
        <f t="shared" si="2"/>
        <v>95409.2</v>
      </c>
      <c r="I16" s="128">
        <f t="shared" si="3"/>
        <v>97779.4</v>
      </c>
      <c r="J16" s="1">
        <v>89520811.400000006</v>
      </c>
      <c r="K16" s="1">
        <v>93825800</v>
      </c>
      <c r="L16" s="1">
        <v>95409200</v>
      </c>
      <c r="M16" s="1">
        <v>97779400</v>
      </c>
      <c r="O16" s="121">
        <f>'Объемы ассигн без имущ и нал'!H20+'Объемы ассигн без имущ и нал'!H35+'Объемы ассигн без имущ и нал'!H47+'Объемы ассигн без имущ и нал'!H49+'Объемы ассигн на имущ и нал'!G20-'Объемы бюдж.ассигн.'!G16</f>
        <v>0</v>
      </c>
      <c r="P16" s="121">
        <f>'Объемы ассигн без имущ и нал'!I20+'Объемы ассигн без имущ и нал'!I35+'Объемы ассигн без имущ и нал'!I47+'Объемы ассигн без имущ и нал'!I49+'Объемы ассигн на имущ и нал'!H20-'Объемы бюдж.ассигн.'!H16</f>
        <v>0</v>
      </c>
      <c r="Q16" s="121">
        <f>'Объемы ассигн без имущ и нал'!J20+'Объемы ассигн без имущ и нал'!J35+'Объемы ассигн без имущ и нал'!J47+'Объемы ассигн без имущ и нал'!J49+'Объемы ассигн на имущ и нал'!I20-'Объемы бюдж.ассигн.'!I16</f>
        <v>0</v>
      </c>
    </row>
    <row r="17" spans="1:17">
      <c r="A17" s="58" t="s">
        <v>141</v>
      </c>
      <c r="B17" s="58" t="s">
        <v>140</v>
      </c>
      <c r="C17" s="58" t="s">
        <v>133</v>
      </c>
      <c r="D17" s="58" t="s">
        <v>204</v>
      </c>
      <c r="E17" s="58" t="s">
        <v>120</v>
      </c>
      <c r="F17" s="128">
        <f t="shared" si="0"/>
        <v>9000.6</v>
      </c>
      <c r="G17" s="128">
        <f t="shared" si="1"/>
        <v>21056.5</v>
      </c>
      <c r="H17" s="128">
        <f t="shared" si="2"/>
        <v>17755.3</v>
      </c>
      <c r="I17" s="128">
        <f t="shared" si="3"/>
        <v>15282.1</v>
      </c>
      <c r="J17" s="1">
        <v>9000600</v>
      </c>
      <c r="K17" s="1">
        <v>21056500</v>
      </c>
      <c r="L17" s="1">
        <v>17755300</v>
      </c>
      <c r="M17" s="1">
        <v>15282100</v>
      </c>
      <c r="O17" s="121">
        <f>'Объемы ассигн без имущ и нал'!H57+'Объемы ассигн без имущ и нал'!H59+'Объемы ассигн на имущ и нал'!G21-'Объемы бюдж.ассигн.'!G17</f>
        <v>0</v>
      </c>
      <c r="P17" s="121">
        <f>'Объемы ассигн без имущ и нал'!I57+'Объемы ассигн без имущ и нал'!I59+'Объемы ассигн на имущ и нал'!H21-'Объемы бюдж.ассигн.'!H17</f>
        <v>0</v>
      </c>
      <c r="Q17" s="121">
        <f>'Объемы ассигн без имущ и нал'!J57+'Объемы ассигн без имущ и нал'!J59+'Объемы ассигн на имущ и нал'!I21-'Объемы бюдж.ассигн.'!I17</f>
        <v>0</v>
      </c>
    </row>
    <row r="18" spans="1:17">
      <c r="A18" s="58" t="s">
        <v>141</v>
      </c>
      <c r="B18" s="58" t="s">
        <v>140</v>
      </c>
      <c r="C18" s="58" t="s">
        <v>131</v>
      </c>
      <c r="D18" s="58" t="s">
        <v>129</v>
      </c>
      <c r="E18" s="58" t="s">
        <v>120</v>
      </c>
      <c r="F18" s="128">
        <f t="shared" si="0"/>
        <v>71593.2</v>
      </c>
      <c r="G18" s="128">
        <f t="shared" si="1"/>
        <v>74845.3</v>
      </c>
      <c r="H18" s="128">
        <f t="shared" si="2"/>
        <v>77126.600000000006</v>
      </c>
      <c r="I18" s="128">
        <f t="shared" si="3"/>
        <v>79504.800000000003</v>
      </c>
      <c r="J18" s="1">
        <v>71593185.140000001</v>
      </c>
      <c r="K18" s="1">
        <v>74845300</v>
      </c>
      <c r="L18" s="1">
        <v>77126600</v>
      </c>
      <c r="M18" s="1">
        <v>79504800</v>
      </c>
      <c r="O18" s="121">
        <f>'Объемы ассигн без имущ и нал'!H63+'Объемы ассигн без имущ и нал'!H64+'Объемы ассигн без имущ и нал'!H66+'Объемы ассигн без имущ и нал'!H67+'Объемы ассигн без имущ и нал'!H69+'Объемы ассигн без имущ и нал'!H70+'Объемы ассигн на имущ и нал'!G22-'Объемы бюдж.ассигн.'!G18</f>
        <v>0</v>
      </c>
      <c r="P18" s="121">
        <f>'Объемы ассигн без имущ и нал'!I63+'Объемы ассигн без имущ и нал'!I64+'Объемы ассигн без имущ и нал'!I66+'Объемы ассигн без имущ и нал'!I67+'Объемы ассигн без имущ и нал'!I69+'Объемы ассигн без имущ и нал'!I70+'Объемы ассигн на имущ и нал'!H22-'Объемы бюдж.ассигн.'!H18</f>
        <v>0</v>
      </c>
      <c r="Q18" s="121">
        <f>'Объемы ассигн без имущ и нал'!J63+'Объемы ассигн без имущ и нал'!J64+'Объемы ассигн без имущ и нал'!J66+'Объемы ассигн без имущ и нал'!J67+'Объемы ассигн без имущ и нал'!J69+'Объемы ассигн без имущ и нал'!J70+'Объемы ассигн на имущ и нал'!I22-'Объемы бюдж.ассигн.'!I18</f>
        <v>0</v>
      </c>
    </row>
    <row r="19" spans="1:17">
      <c r="A19" s="58" t="s">
        <v>141</v>
      </c>
      <c r="B19" s="58" t="s">
        <v>140</v>
      </c>
      <c r="C19" s="58" t="s">
        <v>131</v>
      </c>
      <c r="D19" s="58" t="s">
        <v>204</v>
      </c>
      <c r="E19" s="58" t="s">
        <v>120</v>
      </c>
      <c r="F19" s="128">
        <f t="shared" si="0"/>
        <v>542.70000000000005</v>
      </c>
      <c r="G19" s="128">
        <f t="shared" si="1"/>
        <v>701</v>
      </c>
      <c r="H19" s="128">
        <f t="shared" si="2"/>
        <v>686.1</v>
      </c>
      <c r="I19" s="128">
        <f t="shared" si="3"/>
        <v>642.29999999999995</v>
      </c>
      <c r="J19" s="1">
        <v>542700</v>
      </c>
      <c r="K19" s="1">
        <v>701000</v>
      </c>
      <c r="L19" s="1">
        <v>686100</v>
      </c>
      <c r="M19" s="1">
        <v>642300</v>
      </c>
      <c r="O19" s="121">
        <f>'Объемы ассигн без имущ и нал'!H61+'Объемы ассигн на имущ и нал'!G23-'Объемы бюдж.ассигн.'!G19</f>
        <v>0</v>
      </c>
      <c r="P19" s="121">
        <f>'Объемы ассигн без имущ и нал'!I61+'Объемы ассигн на имущ и нал'!H23-'Объемы бюдж.ассигн.'!H19</f>
        <v>0</v>
      </c>
      <c r="Q19" s="121">
        <f>'Объемы ассигн без имущ и нал'!J61+'Объемы ассигн на имущ и нал'!I23-'Объемы бюдж.ассигн.'!I19</f>
        <v>0</v>
      </c>
    </row>
    <row r="20" spans="1:17">
      <c r="A20" s="58" t="s">
        <v>141</v>
      </c>
      <c r="B20" s="58" t="s">
        <v>140</v>
      </c>
      <c r="C20" s="58" t="s">
        <v>126</v>
      </c>
      <c r="D20" s="58" t="s">
        <v>129</v>
      </c>
      <c r="E20" s="58" t="s">
        <v>120</v>
      </c>
      <c r="F20" s="128">
        <f t="shared" si="0"/>
        <v>459235.1</v>
      </c>
      <c r="G20" s="128">
        <f t="shared" si="1"/>
        <v>480870.6</v>
      </c>
      <c r="H20" s="128">
        <f t="shared" si="2"/>
        <v>520226.5</v>
      </c>
      <c r="I20" s="128">
        <f t="shared" si="3"/>
        <v>512310.3</v>
      </c>
      <c r="J20" s="1">
        <v>459235058.39999998</v>
      </c>
      <c r="K20" s="1">
        <v>480870550.46000004</v>
      </c>
      <c r="L20" s="1">
        <v>520226514.95999998</v>
      </c>
      <c r="M20" s="1">
        <v>512310320.42000002</v>
      </c>
      <c r="O20" s="121">
        <f>'Объемы ассигн без имущ и нал'!H91+'Объемы ассигн без имущ и нал'!H93+'Объемы ассигн без имущ и нал'!H110+'Объемы ассигн на имущ и нал'!G24-'Объемы бюдж.ассигн.'!G20</f>
        <v>0</v>
      </c>
      <c r="P20" s="121">
        <f>'Объемы ассигн без имущ и нал'!I91+'Объемы ассигн без имущ и нал'!I93+'Объемы ассигн без имущ и нал'!I110+'Объемы ассигн на имущ и нал'!H24-'Объемы бюдж.ассигн.'!H20</f>
        <v>0</v>
      </c>
      <c r="Q20" s="121">
        <f>'Объемы ассигн без имущ и нал'!J91+'Объемы ассигн без имущ и нал'!J93+'Объемы ассигн без имущ и нал'!J110+'Объемы ассигн на имущ и нал'!I24-'Объемы бюдж.ассигн.'!I20</f>
        <v>0</v>
      </c>
    </row>
    <row r="21" spans="1:17">
      <c r="A21" s="58" t="s">
        <v>141</v>
      </c>
      <c r="B21" s="58" t="s">
        <v>140</v>
      </c>
      <c r="C21" s="58" t="s">
        <v>126</v>
      </c>
      <c r="D21" s="58" t="s">
        <v>125</v>
      </c>
      <c r="E21" s="58" t="s">
        <v>120</v>
      </c>
      <c r="F21" s="128">
        <f>ROUND(J21/1000,1)+100160</f>
        <v>142878.79999999999</v>
      </c>
      <c r="G21" s="128">
        <v>150638.20000000001</v>
      </c>
      <c r="H21" s="128">
        <v>170638.2</v>
      </c>
      <c r="I21" s="128">
        <v>170638.2</v>
      </c>
      <c r="J21" s="1">
        <v>42718750</v>
      </c>
      <c r="K21" s="1">
        <v>72467300</v>
      </c>
      <c r="L21" s="1">
        <v>83512100</v>
      </c>
      <c r="M21" s="1">
        <v>94593800</v>
      </c>
    </row>
    <row r="22" spans="1:17">
      <c r="A22" s="58" t="s">
        <v>141</v>
      </c>
      <c r="B22" s="58" t="s">
        <v>140</v>
      </c>
      <c r="C22" s="58" t="s">
        <v>124</v>
      </c>
      <c r="D22" s="58" t="s">
        <v>203</v>
      </c>
      <c r="E22" s="58" t="s">
        <v>120</v>
      </c>
      <c r="F22" s="128">
        <f t="shared" si="0"/>
        <v>54157</v>
      </c>
      <c r="G22" s="128">
        <f t="shared" si="1"/>
        <v>56242.8</v>
      </c>
      <c r="H22" s="128">
        <f t="shared" si="2"/>
        <v>57710</v>
      </c>
      <c r="I22" s="128">
        <f t="shared" si="3"/>
        <v>58658.7</v>
      </c>
      <c r="J22" s="1">
        <v>54157000</v>
      </c>
      <c r="K22" s="1">
        <v>56242800</v>
      </c>
      <c r="L22" s="1">
        <v>57710000</v>
      </c>
      <c r="M22" s="1">
        <v>58658700</v>
      </c>
    </row>
    <row r="23" spans="1:17">
      <c r="A23" s="58" t="s">
        <v>141</v>
      </c>
      <c r="B23" s="58" t="s">
        <v>140</v>
      </c>
      <c r="C23" s="58" t="s">
        <v>124</v>
      </c>
      <c r="D23" s="58" t="s">
        <v>203</v>
      </c>
      <c r="E23" s="58" t="s">
        <v>114</v>
      </c>
      <c r="F23" s="128">
        <f t="shared" si="0"/>
        <v>103263.2</v>
      </c>
      <c r="G23" s="128">
        <f t="shared" si="1"/>
        <v>104798</v>
      </c>
      <c r="H23" s="128">
        <f t="shared" si="2"/>
        <v>105040.3</v>
      </c>
      <c r="I23" s="128">
        <f t="shared" si="3"/>
        <v>107296.4</v>
      </c>
      <c r="J23" s="1">
        <v>103263200</v>
      </c>
      <c r="K23" s="1">
        <v>104798000</v>
      </c>
      <c r="L23" s="1">
        <v>105040300</v>
      </c>
      <c r="M23" s="1">
        <v>107296400</v>
      </c>
    </row>
    <row r="24" spans="1:17">
      <c r="A24" s="58" t="s">
        <v>141</v>
      </c>
      <c r="B24" s="58" t="s">
        <v>140</v>
      </c>
      <c r="C24" s="58" t="s">
        <v>122</v>
      </c>
      <c r="D24" s="58" t="s">
        <v>129</v>
      </c>
      <c r="E24" s="58" t="s">
        <v>120</v>
      </c>
      <c r="F24" s="128">
        <f t="shared" si="0"/>
        <v>160794.79999999999</v>
      </c>
      <c r="G24" s="128">
        <f t="shared" si="1"/>
        <v>164059</v>
      </c>
      <c r="H24" s="128">
        <f t="shared" si="2"/>
        <v>168713.2</v>
      </c>
      <c r="I24" s="128">
        <f t="shared" si="3"/>
        <v>174690.2</v>
      </c>
      <c r="J24" s="1">
        <v>160794800</v>
      </c>
      <c r="K24" s="1">
        <v>164059000</v>
      </c>
      <c r="L24" s="1">
        <v>168713200</v>
      </c>
      <c r="M24" s="1">
        <v>174690200</v>
      </c>
    </row>
    <row r="25" spans="1:17">
      <c r="A25" s="10" t="s">
        <v>141</v>
      </c>
      <c r="B25" s="10" t="s">
        <v>140</v>
      </c>
      <c r="C25" s="10" t="s">
        <v>119</v>
      </c>
      <c r="D25" s="10" t="s">
        <v>202</v>
      </c>
      <c r="E25" s="10" t="s">
        <v>120</v>
      </c>
      <c r="F25" s="128">
        <f t="shared" si="0"/>
        <v>488751.8</v>
      </c>
      <c r="G25" s="128">
        <f t="shared" si="1"/>
        <v>371937</v>
      </c>
      <c r="H25" s="128">
        <f t="shared" si="2"/>
        <v>385049.5</v>
      </c>
      <c r="I25" s="128">
        <f t="shared" si="3"/>
        <v>413527.5</v>
      </c>
      <c r="J25" s="1">
        <v>488751821.77999997</v>
      </c>
      <c r="K25" s="1">
        <v>371937000</v>
      </c>
      <c r="L25" s="1">
        <v>385049500</v>
      </c>
      <c r="M25" s="1">
        <v>413527500</v>
      </c>
    </row>
    <row r="26" spans="1:17">
      <c r="A26" s="10" t="s">
        <v>141</v>
      </c>
      <c r="B26" s="10" t="s">
        <v>140</v>
      </c>
      <c r="C26" s="10" t="s">
        <v>119</v>
      </c>
      <c r="D26" s="10" t="s">
        <v>202</v>
      </c>
      <c r="E26" s="10" t="s">
        <v>114</v>
      </c>
      <c r="F26" s="128">
        <f t="shared" si="0"/>
        <v>18704.2</v>
      </c>
      <c r="G26" s="128">
        <f t="shared" si="1"/>
        <v>0</v>
      </c>
      <c r="H26" s="128">
        <f t="shared" si="2"/>
        <v>0</v>
      </c>
      <c r="I26" s="128">
        <f t="shared" si="3"/>
        <v>0</v>
      </c>
      <c r="J26" s="1">
        <v>18704200</v>
      </c>
    </row>
    <row r="27" spans="1:17">
      <c r="A27" s="168" t="s">
        <v>16</v>
      </c>
      <c r="B27" s="168"/>
      <c r="C27" s="169"/>
      <c r="D27" s="169"/>
      <c r="E27" s="169"/>
      <c r="F27" s="129">
        <f>SUM(F7:F26)</f>
        <v>4531879.6000000006</v>
      </c>
      <c r="G27" s="129">
        <f>SUM(G7:G26)</f>
        <v>4571795.5999999996</v>
      </c>
      <c r="H27" s="129">
        <f>SUM(H7:H26)</f>
        <v>4781933.9000000004</v>
      </c>
      <c r="I27" s="129">
        <f>SUM(I7:I26)</f>
        <v>4886112.3</v>
      </c>
    </row>
    <row r="28" spans="1:17">
      <c r="E28" s="6"/>
      <c r="I28" s="6"/>
    </row>
    <row r="29" spans="1:17" hidden="1">
      <c r="F29" s="1">
        <f>'Объемы ассигн без имущ и нал'!G139+'Объемы ассигн на имущ и нал'!F31</f>
        <v>4440800.8294600006</v>
      </c>
      <c r="G29" s="1">
        <f>'Объемы ассигн без имущ и нал'!H139+'Объемы ассигн на имущ и нал'!G31</f>
        <v>4493624.7000000011</v>
      </c>
      <c r="H29" s="1">
        <f>'Объемы ассигн без имущ и нал'!I139+'Объемы ассигн на имущ и нал'!H31</f>
        <v>4694807.8</v>
      </c>
      <c r="I29" s="1">
        <f>'Объемы ассигн без имущ и нал'!J139+'Объемы ассигн на имущ и нал'!I31</f>
        <v>4810067.9000000004</v>
      </c>
    </row>
    <row r="30" spans="1:17" hidden="1">
      <c r="A30" s="120"/>
      <c r="B30" s="60"/>
      <c r="C30" s="60"/>
      <c r="D30" s="60"/>
      <c r="E30" s="60"/>
      <c r="F30" s="120">
        <f>F27-F29</f>
        <v>91078.77053999994</v>
      </c>
      <c r="G30" s="120">
        <f>G27-G29</f>
        <v>78170.89999999851</v>
      </c>
      <c r="H30" s="120">
        <f t="shared" ref="H30:I30" si="4">H27-H29</f>
        <v>87126.100000000559</v>
      </c>
      <c r="I30" s="120">
        <f t="shared" si="4"/>
        <v>76044.399999999441</v>
      </c>
    </row>
    <row r="31" spans="1:17" hidden="1">
      <c r="A31" s="7"/>
      <c r="B31" s="7"/>
      <c r="C31" s="7"/>
      <c r="D31" s="7"/>
      <c r="E31" s="7"/>
      <c r="F31" s="102"/>
      <c r="G31" s="102"/>
      <c r="H31" s="102"/>
      <c r="I31" s="102"/>
    </row>
    <row r="32" spans="1:17">
      <c r="A32" s="136"/>
      <c r="B32" s="136"/>
      <c r="C32" s="136"/>
      <c r="D32" s="136"/>
      <c r="E32" s="136"/>
      <c r="F32" s="136"/>
      <c r="G32" s="136"/>
      <c r="H32" s="136"/>
      <c r="I32" s="136"/>
    </row>
    <row r="35" spans="7:9">
      <c r="G35" s="121"/>
      <c r="H35" s="121"/>
      <c r="I35" s="121"/>
    </row>
  </sheetData>
  <mergeCells count="5">
    <mergeCell ref="A32:I32"/>
    <mergeCell ref="A2:I2"/>
    <mergeCell ref="A4:E4"/>
    <mergeCell ref="F4:I4"/>
    <mergeCell ref="A27:E27"/>
  </mergeCells>
  <printOptions horizontalCentered="1"/>
  <pageMargins left="0.78740157480314965" right="0.39370078740157483" top="0.78740157480314965" bottom="0.59055118110236227" header="0.15748031496062992" footer="0.35433070866141736"/>
  <pageSetup paperSize="9" scale="110" firstPageNumber="37" fitToHeight="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L36"/>
  <sheetViews>
    <sheetView showGridLines="0" view="pageBreakPreview" zoomScale="60" workbookViewId="0">
      <pane xSplit="1" ySplit="10" topLeftCell="B12" activePane="bottomRight" state="frozen"/>
      <selection activeCell="A134" sqref="A134:XFD136"/>
      <selection pane="topRight" activeCell="A134" sqref="A134:XFD136"/>
      <selection pane="bottomLeft" activeCell="A134" sqref="A134:XFD136"/>
      <selection pane="bottomRight" activeCell="I17" sqref="I17"/>
    </sheetView>
  </sheetViews>
  <sheetFormatPr defaultColWidth="9.140625" defaultRowHeight="12.75"/>
  <cols>
    <col min="1" max="1" width="11.28515625" style="103" customWidth="1"/>
    <col min="2" max="2" width="11.140625" style="103" customWidth="1"/>
    <col min="3" max="3" width="11.5703125" style="103" customWidth="1"/>
    <col min="4" max="4" width="22.85546875" style="103" customWidth="1"/>
    <col min="5" max="5" width="12.5703125" style="103" customWidth="1"/>
    <col min="6" max="6" width="23" style="103" customWidth="1"/>
    <col min="7" max="7" width="22.7109375" style="103" customWidth="1"/>
    <col min="8" max="8" width="21.42578125" style="103" customWidth="1"/>
    <col min="9" max="9" width="21.140625" style="103" customWidth="1"/>
    <col min="10" max="16384" width="9.140625" style="103"/>
  </cols>
  <sheetData>
    <row r="1" spans="1:12" ht="0.4" hidden="1" customHeight="1">
      <c r="A1" s="119"/>
      <c r="B1" s="119"/>
      <c r="C1" s="119"/>
      <c r="D1" s="119"/>
      <c r="E1" s="114"/>
      <c r="F1" s="114"/>
      <c r="G1" s="114"/>
      <c r="H1" s="114"/>
      <c r="I1" s="114"/>
    </row>
    <row r="2" spans="1:12" ht="0.4" hidden="1" customHeight="1">
      <c r="A2" s="119"/>
      <c r="B2" s="119"/>
      <c r="C2" s="119"/>
      <c r="D2" s="119"/>
      <c r="E2" s="114"/>
      <c r="F2" s="114"/>
      <c r="G2" s="114"/>
      <c r="H2" s="114"/>
      <c r="I2" s="114"/>
    </row>
    <row r="3" spans="1:12" ht="0.4" customHeight="1">
      <c r="A3" s="119"/>
      <c r="B3" s="119"/>
      <c r="C3" s="119"/>
      <c r="D3" s="119"/>
      <c r="E3" s="114"/>
      <c r="F3" s="114"/>
      <c r="G3" s="114"/>
      <c r="H3" s="114"/>
      <c r="I3" s="114"/>
    </row>
    <row r="4" spans="1:12" ht="28.5" hidden="1" customHeight="1">
      <c r="A4" s="115"/>
      <c r="B4" s="115"/>
      <c r="C4" s="115"/>
      <c r="D4" s="115"/>
      <c r="E4" s="114"/>
      <c r="F4" s="114"/>
      <c r="G4" s="114"/>
      <c r="H4" s="114"/>
      <c r="I4" s="118"/>
    </row>
    <row r="5" spans="1:12" ht="69" customHeight="1">
      <c r="A5" s="115"/>
      <c r="B5" s="115"/>
      <c r="C5" s="115"/>
      <c r="D5" s="115"/>
      <c r="E5" s="114"/>
      <c r="F5" s="114"/>
      <c r="G5" s="114"/>
      <c r="H5" s="114"/>
      <c r="I5" s="117" t="s">
        <v>17</v>
      </c>
    </row>
    <row r="6" spans="1:12" ht="70.5" customHeight="1">
      <c r="A6" s="171" t="s">
        <v>207</v>
      </c>
      <c r="B6" s="171"/>
      <c r="C6" s="171"/>
      <c r="D6" s="171"/>
      <c r="E6" s="171"/>
      <c r="F6" s="171"/>
      <c r="G6" s="171"/>
      <c r="H6" s="171"/>
      <c r="I6" s="171"/>
      <c r="J6" s="116"/>
      <c r="K6" s="116"/>
      <c r="L6" s="116"/>
    </row>
    <row r="7" spans="1:12" ht="12.75" customHeight="1">
      <c r="A7" s="115"/>
      <c r="B7" s="115"/>
      <c r="C7" s="115"/>
      <c r="D7" s="115"/>
      <c r="E7" s="114"/>
      <c r="F7" s="114"/>
      <c r="G7" s="114"/>
      <c r="H7" s="114"/>
      <c r="I7" s="114"/>
    </row>
    <row r="8" spans="1:12" ht="81.75" customHeight="1">
      <c r="A8" s="172" t="s">
        <v>9</v>
      </c>
      <c r="B8" s="172"/>
      <c r="C8" s="172"/>
      <c r="D8" s="172"/>
      <c r="E8" s="172"/>
      <c r="F8" s="172" t="s">
        <v>206</v>
      </c>
      <c r="G8" s="172"/>
      <c r="H8" s="172"/>
      <c r="I8" s="172"/>
    </row>
    <row r="9" spans="1:12" ht="73.5" customHeight="1">
      <c r="A9" s="113" t="s">
        <v>10</v>
      </c>
      <c r="B9" s="113" t="s">
        <v>11</v>
      </c>
      <c r="C9" s="113" t="s">
        <v>199</v>
      </c>
      <c r="D9" s="113" t="s">
        <v>198</v>
      </c>
      <c r="E9" s="113" t="s">
        <v>197</v>
      </c>
      <c r="F9" s="92" t="s">
        <v>193</v>
      </c>
      <c r="G9" s="92" t="s">
        <v>196</v>
      </c>
      <c r="H9" s="92" t="s">
        <v>195</v>
      </c>
      <c r="I9" s="92" t="s">
        <v>194</v>
      </c>
    </row>
    <row r="10" spans="1:12" ht="14.25" customHeight="1">
      <c r="A10" s="112">
        <v>1</v>
      </c>
      <c r="B10" s="112">
        <v>2</v>
      </c>
      <c r="C10" s="112">
        <v>3</v>
      </c>
      <c r="D10" s="112">
        <v>4</v>
      </c>
      <c r="E10" s="112">
        <v>5</v>
      </c>
      <c r="F10" s="112">
        <v>6</v>
      </c>
      <c r="G10" s="112">
        <v>7</v>
      </c>
      <c r="H10" s="112">
        <v>8</v>
      </c>
      <c r="I10" s="112">
        <v>9</v>
      </c>
    </row>
    <row r="11" spans="1:12" ht="22.5" customHeight="1">
      <c r="A11" s="110" t="s">
        <v>141</v>
      </c>
      <c r="B11" s="110" t="s">
        <v>152</v>
      </c>
      <c r="C11" s="110" t="s">
        <v>117</v>
      </c>
      <c r="D11" s="110" t="s">
        <v>115</v>
      </c>
      <c r="E11" s="110" t="s">
        <v>114</v>
      </c>
      <c r="F11" s="109">
        <v>2710.6999999999971</v>
      </c>
      <c r="G11" s="109">
        <v>2715</v>
      </c>
      <c r="H11" s="109">
        <v>2715</v>
      </c>
      <c r="I11" s="109">
        <v>2715</v>
      </c>
    </row>
    <row r="12" spans="1:12" ht="22.5" customHeight="1">
      <c r="A12" s="110" t="s">
        <v>141</v>
      </c>
      <c r="B12" s="110" t="s">
        <v>152</v>
      </c>
      <c r="C12" s="110" t="s">
        <v>116</v>
      </c>
      <c r="D12" s="110" t="s">
        <v>115</v>
      </c>
      <c r="E12" s="110" t="s">
        <v>114</v>
      </c>
      <c r="F12" s="109">
        <v>0</v>
      </c>
      <c r="G12" s="109">
        <v>0</v>
      </c>
      <c r="H12" s="109">
        <v>0</v>
      </c>
      <c r="I12" s="109">
        <v>0</v>
      </c>
    </row>
    <row r="13" spans="1:12" ht="22.15" customHeight="1">
      <c r="A13" s="110" t="s">
        <v>141</v>
      </c>
      <c r="B13" s="110" t="s">
        <v>140</v>
      </c>
      <c r="C13" s="110" t="s">
        <v>135</v>
      </c>
      <c r="D13" s="110" t="s">
        <v>129</v>
      </c>
      <c r="E13" s="110" t="s">
        <v>120</v>
      </c>
      <c r="F13" s="109">
        <v>18326.90000000006</v>
      </c>
      <c r="G13" s="109">
        <v>16987.400000000001</v>
      </c>
      <c r="H13" s="109">
        <v>16987.400000000001</v>
      </c>
      <c r="I13" s="109">
        <v>16987.400000000001</v>
      </c>
    </row>
    <row r="14" spans="1:12" ht="22.15" customHeight="1">
      <c r="A14" s="110" t="s">
        <v>141</v>
      </c>
      <c r="B14" s="110" t="s">
        <v>140</v>
      </c>
      <c r="C14" s="110" t="s">
        <v>135</v>
      </c>
      <c r="D14" s="110" t="s">
        <v>129</v>
      </c>
      <c r="E14" s="110" t="s">
        <v>114</v>
      </c>
      <c r="F14" s="109">
        <v>179.60000000000036</v>
      </c>
      <c r="G14" s="109">
        <v>184.1</v>
      </c>
      <c r="H14" s="109">
        <v>184.1</v>
      </c>
      <c r="I14" s="109">
        <v>184.1</v>
      </c>
    </row>
    <row r="15" spans="1:12" ht="22.15" customHeight="1">
      <c r="A15" s="110" t="s">
        <v>141</v>
      </c>
      <c r="B15" s="110" t="s">
        <v>140</v>
      </c>
      <c r="C15" s="110" t="s">
        <v>135</v>
      </c>
      <c r="D15" s="110" t="s">
        <v>219</v>
      </c>
      <c r="E15" s="110" t="s">
        <v>120</v>
      </c>
      <c r="F15" s="109">
        <v>2916.2</v>
      </c>
      <c r="G15" s="109">
        <v>3062</v>
      </c>
      <c r="H15" s="109">
        <v>3215.1</v>
      </c>
      <c r="I15" s="109">
        <v>3215.1</v>
      </c>
    </row>
    <row r="16" spans="1:12" ht="22.15" customHeight="1">
      <c r="A16" s="110" t="s">
        <v>141</v>
      </c>
      <c r="B16" s="110" t="s">
        <v>140</v>
      </c>
      <c r="C16" s="110" t="s">
        <v>135</v>
      </c>
      <c r="D16" s="110" t="s">
        <v>219</v>
      </c>
      <c r="E16" s="110" t="s">
        <v>114</v>
      </c>
      <c r="F16" s="109">
        <v>11.7</v>
      </c>
      <c r="G16" s="109">
        <v>11.7</v>
      </c>
      <c r="H16" s="109">
        <v>11.7</v>
      </c>
      <c r="I16" s="109">
        <v>11.7</v>
      </c>
    </row>
    <row r="17" spans="1:9" ht="22.15" customHeight="1">
      <c r="A17" s="110" t="s">
        <v>141</v>
      </c>
      <c r="B17" s="110" t="s">
        <v>140</v>
      </c>
      <c r="C17" s="110" t="s">
        <v>135</v>
      </c>
      <c r="D17" s="110" t="s">
        <v>204</v>
      </c>
      <c r="E17" s="110" t="s">
        <v>120</v>
      </c>
      <c r="F17" s="109">
        <v>4629</v>
      </c>
      <c r="G17" s="109">
        <v>4727.6000000000004</v>
      </c>
      <c r="H17" s="109">
        <v>4727.6000000000004</v>
      </c>
      <c r="I17" s="109">
        <v>4727.6000000000004</v>
      </c>
    </row>
    <row r="18" spans="1:9" ht="22.15" customHeight="1">
      <c r="A18" s="110" t="s">
        <v>141</v>
      </c>
      <c r="B18" s="110" t="s">
        <v>140</v>
      </c>
      <c r="C18" s="110" t="s">
        <v>133</v>
      </c>
      <c r="D18" s="110" t="s">
        <v>205</v>
      </c>
      <c r="E18" s="110" t="s">
        <v>120</v>
      </c>
      <c r="F18" s="109">
        <v>1012.5000000000118</v>
      </c>
      <c r="G18" s="109">
        <v>1069.2</v>
      </c>
      <c r="H18" s="109">
        <v>1069.2</v>
      </c>
      <c r="I18" s="109">
        <v>1069.2</v>
      </c>
    </row>
    <row r="19" spans="1:9" ht="22.15" customHeight="1">
      <c r="A19" s="110" t="s">
        <v>141</v>
      </c>
      <c r="B19" s="110" t="s">
        <v>140</v>
      </c>
      <c r="C19" s="110" t="s">
        <v>133</v>
      </c>
      <c r="D19" s="110" t="s">
        <v>129</v>
      </c>
      <c r="E19" s="110" t="s">
        <v>120</v>
      </c>
      <c r="F19" s="109">
        <v>5375.805599999976</v>
      </c>
      <c r="G19" s="109">
        <v>5230.1999999999989</v>
      </c>
      <c r="H19" s="109">
        <v>5230.1999999999989</v>
      </c>
      <c r="I19" s="109">
        <v>5230.1999999999989</v>
      </c>
    </row>
    <row r="20" spans="1:9" ht="24.6" customHeight="1">
      <c r="A20" s="110" t="s">
        <v>141</v>
      </c>
      <c r="B20" s="110" t="s">
        <v>140</v>
      </c>
      <c r="C20" s="110" t="s">
        <v>133</v>
      </c>
      <c r="D20" s="110" t="s">
        <v>129</v>
      </c>
      <c r="E20" s="110" t="s">
        <v>114</v>
      </c>
      <c r="F20" s="109">
        <v>606.60000000000036</v>
      </c>
      <c r="G20" s="109">
        <v>675.7</v>
      </c>
      <c r="H20" s="109">
        <v>675.7</v>
      </c>
      <c r="I20" s="109">
        <v>675.7</v>
      </c>
    </row>
    <row r="21" spans="1:9" ht="24.6" customHeight="1">
      <c r="A21" s="110" t="s">
        <v>141</v>
      </c>
      <c r="B21" s="110" t="s">
        <v>140</v>
      </c>
      <c r="C21" s="110" t="s">
        <v>133</v>
      </c>
      <c r="D21" s="110" t="s">
        <v>204</v>
      </c>
      <c r="E21" s="110" t="s">
        <v>120</v>
      </c>
      <c r="F21" s="109">
        <v>34.399999999999636</v>
      </c>
      <c r="G21" s="109">
        <v>36.200000000000003</v>
      </c>
      <c r="H21" s="109">
        <v>37.9</v>
      </c>
      <c r="I21" s="109">
        <v>37.9</v>
      </c>
    </row>
    <row r="22" spans="1:9" ht="25.15" customHeight="1">
      <c r="A22" s="110" t="s">
        <v>141</v>
      </c>
      <c r="B22" s="110" t="s">
        <v>140</v>
      </c>
      <c r="C22" s="110" t="s">
        <v>131</v>
      </c>
      <c r="D22" s="110" t="s">
        <v>129</v>
      </c>
      <c r="E22" s="110" t="s">
        <v>120</v>
      </c>
      <c r="F22" s="109">
        <v>944.50000000000205</v>
      </c>
      <c r="G22" s="109">
        <v>917.9</v>
      </c>
      <c r="H22" s="109">
        <v>917.9</v>
      </c>
      <c r="I22" s="109">
        <v>917.9</v>
      </c>
    </row>
    <row r="23" spans="1:9" ht="25.15" customHeight="1">
      <c r="A23" s="110" t="s">
        <v>141</v>
      </c>
      <c r="B23" s="110" t="s">
        <v>140</v>
      </c>
      <c r="C23" s="110" t="s">
        <v>131</v>
      </c>
      <c r="D23" s="110" t="s">
        <v>204</v>
      </c>
      <c r="E23" s="110" t="s">
        <v>120</v>
      </c>
      <c r="F23" s="109">
        <v>6.9999999999999432</v>
      </c>
      <c r="G23" s="109">
        <v>7</v>
      </c>
      <c r="H23" s="109">
        <v>7</v>
      </c>
      <c r="I23" s="109">
        <v>7</v>
      </c>
    </row>
    <row r="24" spans="1:9" ht="25.15" customHeight="1">
      <c r="A24" s="110" t="s">
        <v>141</v>
      </c>
      <c r="B24" s="110" t="s">
        <v>140</v>
      </c>
      <c r="C24" s="110" t="s">
        <v>126</v>
      </c>
      <c r="D24" s="110" t="s">
        <v>129</v>
      </c>
      <c r="E24" s="110" t="s">
        <v>120</v>
      </c>
      <c r="F24" s="109">
        <v>1505.0883999999642</v>
      </c>
      <c r="G24" s="109">
        <v>480.90000000000003</v>
      </c>
      <c r="H24" s="109">
        <v>481.40000000000003</v>
      </c>
      <c r="I24" s="109">
        <v>481.90000000000003</v>
      </c>
    </row>
    <row r="25" spans="1:9" ht="24" customHeight="1">
      <c r="A25" s="110" t="s">
        <v>141</v>
      </c>
      <c r="B25" s="110" t="s">
        <v>140</v>
      </c>
      <c r="C25" s="110" t="s">
        <v>126</v>
      </c>
      <c r="D25" s="111" t="s">
        <v>125</v>
      </c>
      <c r="E25" s="110" t="s">
        <v>120</v>
      </c>
      <c r="F25" s="109">
        <v>0</v>
      </c>
      <c r="G25" s="109">
        <v>0</v>
      </c>
      <c r="H25" s="109">
        <v>0</v>
      </c>
      <c r="I25" s="109">
        <v>0</v>
      </c>
    </row>
    <row r="26" spans="1:9" ht="24" customHeight="1">
      <c r="A26" s="110" t="s">
        <v>141</v>
      </c>
      <c r="B26" s="110" t="s">
        <v>140</v>
      </c>
      <c r="C26" s="110" t="s">
        <v>124</v>
      </c>
      <c r="D26" s="110" t="s">
        <v>203</v>
      </c>
      <c r="E26" s="110" t="s">
        <v>120</v>
      </c>
      <c r="F26" s="109">
        <v>744.19999999999709</v>
      </c>
      <c r="G26" s="109">
        <v>744.2</v>
      </c>
      <c r="H26" s="109">
        <v>744.2</v>
      </c>
      <c r="I26" s="109">
        <v>744.2</v>
      </c>
    </row>
    <row r="27" spans="1:9" ht="24" customHeight="1">
      <c r="A27" s="110" t="s">
        <v>141</v>
      </c>
      <c r="B27" s="110" t="s">
        <v>140</v>
      </c>
      <c r="C27" s="110" t="s">
        <v>124</v>
      </c>
      <c r="D27" s="110" t="s">
        <v>203</v>
      </c>
      <c r="E27" s="110" t="s">
        <v>114</v>
      </c>
      <c r="F27" s="109">
        <v>1682.6000000000058</v>
      </c>
      <c r="G27" s="109">
        <v>1682.6</v>
      </c>
      <c r="H27" s="109">
        <v>1682.6</v>
      </c>
      <c r="I27" s="109">
        <v>1682.6</v>
      </c>
    </row>
    <row r="28" spans="1:9" ht="24" customHeight="1">
      <c r="A28" s="110" t="s">
        <v>141</v>
      </c>
      <c r="B28" s="110" t="s">
        <v>140</v>
      </c>
      <c r="C28" s="110" t="s">
        <v>122</v>
      </c>
      <c r="D28" s="110" t="s">
        <v>129</v>
      </c>
      <c r="E28" s="110" t="s">
        <v>120</v>
      </c>
      <c r="F28" s="109">
        <v>0</v>
      </c>
      <c r="G28" s="109">
        <v>0</v>
      </c>
      <c r="H28" s="109">
        <v>0</v>
      </c>
      <c r="I28" s="109">
        <v>0</v>
      </c>
    </row>
    <row r="29" spans="1:9" ht="23.65" customHeight="1">
      <c r="A29" s="110" t="s">
        <v>141</v>
      </c>
      <c r="B29" s="110" t="s">
        <v>140</v>
      </c>
      <c r="C29" s="110" t="s">
        <v>119</v>
      </c>
      <c r="D29" s="110" t="s">
        <v>202</v>
      </c>
      <c r="E29" s="110" t="s">
        <v>120</v>
      </c>
      <c r="F29" s="109">
        <v>0</v>
      </c>
      <c r="G29" s="109">
        <v>0</v>
      </c>
      <c r="H29" s="109">
        <v>0</v>
      </c>
      <c r="I29" s="109">
        <v>0</v>
      </c>
    </row>
    <row r="30" spans="1:9" ht="23.65" customHeight="1">
      <c r="A30" s="110" t="s">
        <v>141</v>
      </c>
      <c r="B30" s="110" t="s">
        <v>140</v>
      </c>
      <c r="C30" s="110" t="s">
        <v>119</v>
      </c>
      <c r="D30" s="110" t="s">
        <v>202</v>
      </c>
      <c r="E30" s="110" t="s">
        <v>114</v>
      </c>
      <c r="F30" s="109">
        <v>0</v>
      </c>
      <c r="G30" s="109">
        <v>0</v>
      </c>
      <c r="H30" s="109">
        <v>0</v>
      </c>
      <c r="I30" s="109">
        <v>0</v>
      </c>
    </row>
    <row r="31" spans="1:9" ht="25.15" customHeight="1">
      <c r="A31" s="173" t="s">
        <v>16</v>
      </c>
      <c r="B31" s="173"/>
      <c r="C31" s="173"/>
      <c r="D31" s="173"/>
      <c r="E31" s="173"/>
      <c r="F31" s="108">
        <f>SUM(F11:F30)</f>
        <v>40686.794000000009</v>
      </c>
      <c r="G31" s="108">
        <f>SUM(G11:G30)</f>
        <v>38531.699999999997</v>
      </c>
      <c r="H31" s="108">
        <f>SUM(H11:H30)</f>
        <v>38687</v>
      </c>
      <c r="I31" s="108">
        <f>SUM(I11:I30)</f>
        <v>38687.5</v>
      </c>
    </row>
    <row r="32" spans="1:9" ht="28.5" hidden="1" customHeight="1">
      <c r="E32" s="107"/>
      <c r="I32" s="107"/>
    </row>
    <row r="33" spans="1:9" s="71" customFormat="1" ht="37.5" hidden="1" customHeight="1">
      <c r="A33" s="106" t="s">
        <v>138</v>
      </c>
      <c r="B33" s="75"/>
      <c r="C33" s="75"/>
      <c r="F33" s="73"/>
      <c r="G33" s="73" t="s">
        <v>137</v>
      </c>
    </row>
    <row r="34" spans="1:9" s="69" customFormat="1" ht="37.5" hidden="1" customHeight="1">
      <c r="A34" s="160" t="s">
        <v>136</v>
      </c>
      <c r="B34" s="160"/>
      <c r="C34" s="160"/>
      <c r="D34" s="160"/>
      <c r="E34" s="160"/>
      <c r="F34" s="160"/>
      <c r="G34" s="160"/>
    </row>
    <row r="35" spans="1:9" ht="31.9" customHeight="1">
      <c r="A35" s="105"/>
      <c r="B35" s="105"/>
      <c r="C35" s="105"/>
      <c r="D35" s="105"/>
      <c r="E35" s="105"/>
      <c r="F35" s="104"/>
      <c r="G35" s="104"/>
      <c r="H35" s="104"/>
      <c r="I35" s="104"/>
    </row>
    <row r="36" spans="1:9" ht="87" customHeight="1">
      <c r="A36" s="170"/>
      <c r="B36" s="170"/>
      <c r="C36" s="170"/>
      <c r="D36" s="170"/>
      <c r="E36" s="170"/>
      <c r="F36" s="170"/>
      <c r="G36" s="170"/>
      <c r="H36" s="170"/>
      <c r="I36" s="170"/>
    </row>
  </sheetData>
  <mergeCells count="6">
    <mergeCell ref="A36:I36"/>
    <mergeCell ref="A6:I6"/>
    <mergeCell ref="A8:E8"/>
    <mergeCell ref="F8:I8"/>
    <mergeCell ref="A31:E31"/>
    <mergeCell ref="A34:G34"/>
  </mergeCells>
  <pageMargins left="0.9055118110236221" right="0.39370078740157483" top="0.35433070866141736" bottom="0.35433070866141736" header="0.15748031496062992" footer="0.15748031496062992"/>
  <pageSetup paperSize="9" scale="57" firstPageNumber="3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U78"/>
  <sheetViews>
    <sheetView showGridLines="0" view="pageBreakPreview" zoomScaleSheetLayoutView="100" workbookViewId="0">
      <pane xSplit="7" ySplit="8" topLeftCell="H52" activePane="bottomRight" state="frozen"/>
      <selection pane="topRight" activeCell="H1" sqref="H1"/>
      <selection pane="bottomLeft" activeCell="A9" sqref="A9"/>
      <selection pane="bottomRight" activeCell="D59" sqref="D59"/>
    </sheetView>
  </sheetViews>
  <sheetFormatPr defaultRowHeight="12.75"/>
  <cols>
    <col min="1" max="1" width="34" style="1" customWidth="1"/>
    <col min="2" max="2" width="10.7109375" style="1" bestFit="1" customWidth="1"/>
    <col min="3" max="3" width="10.85546875" style="1" bestFit="1" customWidth="1"/>
    <col min="4" max="5" width="10.7109375" style="1" bestFit="1" customWidth="1"/>
    <col min="6" max="6" width="10.85546875" style="1" bestFit="1" customWidth="1"/>
    <col min="7" max="8" width="10.7109375" style="1" bestFit="1" customWidth="1"/>
    <col min="9" max="9" width="10.85546875" style="1" bestFit="1" customWidth="1"/>
    <col min="10" max="11" width="10.7109375" style="1" bestFit="1" customWidth="1"/>
    <col min="12" max="12" width="10.85546875" style="1" bestFit="1" customWidth="1"/>
    <col min="13" max="13" width="11.140625" style="1" bestFit="1" customWidth="1"/>
    <col min="14" max="16384" width="9.140625" style="1"/>
  </cols>
  <sheetData>
    <row r="1" spans="1:13">
      <c r="A1" s="9"/>
      <c r="B1" s="9"/>
      <c r="C1" s="9"/>
      <c r="D1" s="9"/>
      <c r="E1" s="9"/>
      <c r="F1" s="9"/>
      <c r="G1" s="9"/>
      <c r="H1" s="9"/>
      <c r="I1" s="4"/>
      <c r="J1" s="4"/>
      <c r="K1" s="3"/>
      <c r="L1" s="3"/>
      <c r="M1" s="3" t="s">
        <v>17</v>
      </c>
    </row>
    <row r="2" spans="1:13" ht="15.75">
      <c r="A2" s="183" t="s">
        <v>36</v>
      </c>
      <c r="B2" s="183"/>
      <c r="C2" s="183"/>
      <c r="D2" s="183"/>
      <c r="E2" s="183"/>
      <c r="F2" s="183"/>
      <c r="G2" s="183"/>
      <c r="H2" s="183"/>
      <c r="I2" s="183"/>
      <c r="J2" s="183"/>
      <c r="K2" s="183"/>
      <c r="L2" s="183"/>
      <c r="M2" s="183"/>
    </row>
    <row r="3" spans="1:13" ht="15.75">
      <c r="A3" s="26"/>
      <c r="B3" s="185" t="s">
        <v>220</v>
      </c>
      <c r="C3" s="185"/>
      <c r="D3" s="185"/>
      <c r="E3" s="185"/>
      <c r="F3" s="185"/>
      <c r="G3" s="185"/>
      <c r="H3" s="185"/>
      <c r="I3" s="26"/>
      <c r="J3" s="26"/>
      <c r="K3" s="26"/>
      <c r="L3" s="26"/>
      <c r="M3" s="26"/>
    </row>
    <row r="4" spans="1:13">
      <c r="A4" s="41"/>
      <c r="B4" s="184" t="s">
        <v>33</v>
      </c>
      <c r="C4" s="184"/>
      <c r="D4" s="184"/>
      <c r="E4" s="184"/>
      <c r="F4" s="184"/>
      <c r="G4" s="184"/>
      <c r="H4" s="184"/>
      <c r="I4" s="41"/>
      <c r="J4" s="41"/>
      <c r="K4" s="41"/>
      <c r="L4" s="41"/>
      <c r="M4" s="41"/>
    </row>
    <row r="5" spans="1:13">
      <c r="A5" s="21"/>
      <c r="B5" s="9"/>
      <c r="C5" s="9"/>
      <c r="D5" s="9"/>
      <c r="E5" s="9"/>
      <c r="F5" s="9"/>
      <c r="G5" s="9"/>
      <c r="H5" s="9"/>
      <c r="I5" s="4"/>
      <c r="J5" s="4"/>
      <c r="K5" s="4"/>
      <c r="L5" s="4"/>
      <c r="M5" s="4"/>
    </row>
    <row r="6" spans="1:13" ht="12.75" customHeight="1">
      <c r="A6" s="179" t="s">
        <v>2</v>
      </c>
      <c r="B6" s="164" t="s">
        <v>18</v>
      </c>
      <c r="C6" s="165"/>
      <c r="D6" s="165"/>
      <c r="E6" s="165"/>
      <c r="F6" s="165"/>
      <c r="G6" s="165"/>
      <c r="H6" s="165"/>
      <c r="I6" s="165"/>
      <c r="J6" s="182"/>
      <c r="K6" s="182"/>
      <c r="L6" s="182"/>
      <c r="M6" s="167"/>
    </row>
    <row r="7" spans="1:13">
      <c r="A7" s="180"/>
      <c r="B7" s="37"/>
      <c r="C7" s="37" t="s">
        <v>30</v>
      </c>
      <c r="D7" s="36"/>
      <c r="E7" s="37"/>
      <c r="F7" s="37" t="s">
        <v>37</v>
      </c>
      <c r="G7" s="36"/>
      <c r="H7" s="37"/>
      <c r="I7" s="37" t="s">
        <v>38</v>
      </c>
      <c r="J7" s="36"/>
      <c r="K7" s="22"/>
      <c r="L7" s="37" t="s">
        <v>43</v>
      </c>
      <c r="M7" s="23"/>
    </row>
    <row r="8" spans="1:13" ht="25.5">
      <c r="A8" s="181"/>
      <c r="B8" s="5" t="s">
        <v>19</v>
      </c>
      <c r="C8" s="5" t="s">
        <v>20</v>
      </c>
      <c r="D8" s="5" t="s">
        <v>21</v>
      </c>
      <c r="E8" s="5" t="s">
        <v>19</v>
      </c>
      <c r="F8" s="5" t="s">
        <v>20</v>
      </c>
      <c r="G8" s="5" t="s">
        <v>21</v>
      </c>
      <c r="H8" s="5" t="s">
        <v>19</v>
      </c>
      <c r="I8" s="5" t="s">
        <v>20</v>
      </c>
      <c r="J8" s="5" t="s">
        <v>21</v>
      </c>
      <c r="K8" s="5" t="s">
        <v>19</v>
      </c>
      <c r="L8" s="5" t="s">
        <v>20</v>
      </c>
      <c r="M8" s="5" t="s">
        <v>21</v>
      </c>
    </row>
    <row r="9" spans="1:13">
      <c r="A9" s="25">
        <v>1</v>
      </c>
      <c r="B9" s="15">
        <v>2</v>
      </c>
      <c r="C9" s="15">
        <v>3</v>
      </c>
      <c r="D9" s="15">
        <v>4</v>
      </c>
      <c r="E9" s="15">
        <v>5</v>
      </c>
      <c r="F9" s="15">
        <v>6</v>
      </c>
      <c r="G9" s="15">
        <v>7</v>
      </c>
      <c r="H9" s="15">
        <v>8</v>
      </c>
      <c r="I9" s="15">
        <v>9</v>
      </c>
      <c r="J9" s="15">
        <v>10</v>
      </c>
      <c r="K9" s="15">
        <v>11</v>
      </c>
      <c r="L9" s="15">
        <v>12</v>
      </c>
      <c r="M9" s="15">
        <v>13</v>
      </c>
    </row>
    <row r="10" spans="1:13">
      <c r="A10" s="27" t="s">
        <v>7</v>
      </c>
      <c r="B10" s="29"/>
      <c r="C10" s="29"/>
      <c r="D10" s="29"/>
      <c r="E10" s="29"/>
      <c r="F10" s="29"/>
      <c r="G10" s="29"/>
      <c r="H10" s="29"/>
      <c r="I10" s="29"/>
      <c r="J10" s="29"/>
      <c r="K10" s="29"/>
      <c r="L10" s="29"/>
      <c r="M10" s="29"/>
    </row>
    <row r="11" spans="1:13" ht="114.75">
      <c r="A11" s="130" t="s">
        <v>44</v>
      </c>
      <c r="B11" s="29">
        <v>1</v>
      </c>
      <c r="C11" s="29"/>
      <c r="D11" s="29"/>
      <c r="E11" s="29">
        <v>1</v>
      </c>
      <c r="F11" s="29"/>
      <c r="G11" s="29"/>
      <c r="H11" s="29">
        <v>1</v>
      </c>
      <c r="I11" s="29"/>
      <c r="J11" s="29"/>
      <c r="K11" s="29">
        <v>1</v>
      </c>
      <c r="L11" s="29"/>
      <c r="M11" s="29"/>
    </row>
    <row r="12" spans="1:13" ht="127.5">
      <c r="A12" s="130" t="s">
        <v>111</v>
      </c>
      <c r="B12" s="29">
        <v>22</v>
      </c>
      <c r="C12" s="29"/>
      <c r="D12" s="29"/>
      <c r="E12" s="29">
        <v>22</v>
      </c>
      <c r="F12" s="29"/>
      <c r="G12" s="29"/>
      <c r="H12" s="29">
        <v>22</v>
      </c>
      <c r="I12" s="29"/>
      <c r="J12" s="29"/>
      <c r="K12" s="29">
        <v>22</v>
      </c>
      <c r="L12" s="29"/>
      <c r="M12" s="29"/>
    </row>
    <row r="13" spans="1:13">
      <c r="A13" s="137" t="s">
        <v>49</v>
      </c>
      <c r="B13" s="29">
        <v>24</v>
      </c>
      <c r="C13" s="29"/>
      <c r="D13" s="29"/>
      <c r="E13" s="29">
        <v>24</v>
      </c>
      <c r="F13" s="29"/>
      <c r="G13" s="29"/>
      <c r="H13" s="29">
        <v>24</v>
      </c>
      <c r="I13" s="29"/>
      <c r="J13" s="29"/>
      <c r="K13" s="29">
        <v>24</v>
      </c>
      <c r="L13" s="29"/>
      <c r="M13" s="29"/>
    </row>
    <row r="14" spans="1:13">
      <c r="A14" s="139"/>
      <c r="B14" s="29"/>
      <c r="C14" s="29"/>
      <c r="D14" s="29"/>
      <c r="E14" s="29"/>
      <c r="F14" s="29"/>
      <c r="G14" s="29"/>
      <c r="H14" s="29"/>
      <c r="I14" s="29"/>
      <c r="J14" s="29"/>
      <c r="K14" s="29"/>
      <c r="L14" s="29"/>
      <c r="M14" s="29"/>
    </row>
    <row r="15" spans="1:13">
      <c r="A15" s="137" t="s">
        <v>50</v>
      </c>
      <c r="B15" s="29">
        <v>18</v>
      </c>
      <c r="C15" s="29">
        <v>1</v>
      </c>
      <c r="D15" s="29"/>
      <c r="E15" s="29">
        <v>19</v>
      </c>
      <c r="F15" s="29">
        <v>1</v>
      </c>
      <c r="G15" s="29"/>
      <c r="H15" s="29">
        <v>19</v>
      </c>
      <c r="I15" s="29">
        <v>1</v>
      </c>
      <c r="J15" s="29"/>
      <c r="K15" s="29">
        <v>19</v>
      </c>
      <c r="L15" s="29">
        <v>1</v>
      </c>
      <c r="M15" s="29"/>
    </row>
    <row r="16" spans="1:13">
      <c r="A16" s="139"/>
      <c r="B16" s="29"/>
      <c r="C16" s="29"/>
      <c r="D16" s="29"/>
      <c r="E16" s="29"/>
      <c r="F16" s="29"/>
      <c r="G16" s="29"/>
      <c r="H16" s="29"/>
      <c r="I16" s="29"/>
      <c r="J16" s="29"/>
      <c r="K16" s="29"/>
      <c r="L16" s="29"/>
      <c r="M16" s="29"/>
    </row>
    <row r="17" spans="1:13">
      <c r="A17" s="137" t="s">
        <v>51</v>
      </c>
      <c r="B17" s="29">
        <v>23</v>
      </c>
      <c r="C17" s="29"/>
      <c r="D17" s="29"/>
      <c r="E17" s="29">
        <v>24</v>
      </c>
      <c r="F17" s="29"/>
      <c r="G17" s="29"/>
      <c r="H17" s="29">
        <v>24</v>
      </c>
      <c r="I17" s="29"/>
      <c r="J17" s="29"/>
      <c r="K17" s="29">
        <v>24</v>
      </c>
      <c r="L17" s="29"/>
      <c r="M17" s="29"/>
    </row>
    <row r="18" spans="1:13">
      <c r="A18" s="139"/>
      <c r="B18" s="29"/>
      <c r="C18" s="29"/>
      <c r="D18" s="29"/>
      <c r="E18" s="29"/>
      <c r="F18" s="29"/>
      <c r="G18" s="29"/>
      <c r="H18" s="29"/>
      <c r="I18" s="29"/>
      <c r="J18" s="29"/>
      <c r="K18" s="29"/>
      <c r="L18" s="29"/>
      <c r="M18" s="29"/>
    </row>
    <row r="19" spans="1:13">
      <c r="A19" s="137" t="s">
        <v>52</v>
      </c>
      <c r="B19" s="29">
        <v>19</v>
      </c>
      <c r="C19" s="29"/>
      <c r="D19" s="29"/>
      <c r="E19" s="29">
        <v>20</v>
      </c>
      <c r="F19" s="29"/>
      <c r="G19" s="29"/>
      <c r="H19" s="29">
        <v>20</v>
      </c>
      <c r="I19" s="29"/>
      <c r="J19" s="29"/>
      <c r="K19" s="29">
        <v>20</v>
      </c>
      <c r="L19" s="29"/>
      <c r="M19" s="29"/>
    </row>
    <row r="20" spans="1:13">
      <c r="A20" s="139"/>
      <c r="B20" s="29"/>
      <c r="C20" s="29"/>
      <c r="D20" s="29"/>
      <c r="E20" s="29"/>
      <c r="F20" s="29"/>
      <c r="G20" s="29"/>
      <c r="H20" s="29"/>
      <c r="I20" s="29"/>
      <c r="J20" s="29"/>
      <c r="K20" s="29"/>
      <c r="L20" s="29"/>
      <c r="M20" s="29"/>
    </row>
    <row r="21" spans="1:13">
      <c r="A21" s="137" t="s">
        <v>53</v>
      </c>
      <c r="B21" s="29">
        <v>17</v>
      </c>
      <c r="C21" s="29"/>
      <c r="D21" s="29"/>
      <c r="E21" s="29">
        <v>17</v>
      </c>
      <c r="F21" s="29"/>
      <c r="G21" s="29"/>
      <c r="H21" s="29">
        <v>17</v>
      </c>
      <c r="I21" s="29"/>
      <c r="J21" s="29"/>
      <c r="K21" s="29">
        <v>17</v>
      </c>
      <c r="L21" s="29"/>
      <c r="M21" s="29"/>
    </row>
    <row r="22" spans="1:13">
      <c r="A22" s="139"/>
      <c r="B22" s="29"/>
      <c r="C22" s="29"/>
      <c r="D22" s="29"/>
      <c r="E22" s="29"/>
      <c r="F22" s="29"/>
      <c r="G22" s="29"/>
      <c r="H22" s="29"/>
      <c r="I22" s="29"/>
      <c r="J22" s="29"/>
      <c r="K22" s="29"/>
      <c r="L22" s="29"/>
      <c r="M22" s="29"/>
    </row>
    <row r="23" spans="1:13">
      <c r="A23" s="137" t="s">
        <v>54</v>
      </c>
      <c r="B23" s="29">
        <v>1</v>
      </c>
      <c r="C23" s="29">
        <v>1</v>
      </c>
      <c r="D23" s="29"/>
      <c r="E23" s="29">
        <v>1</v>
      </c>
      <c r="F23" s="29">
        <v>1</v>
      </c>
      <c r="G23" s="29"/>
      <c r="H23" s="29">
        <v>1</v>
      </c>
      <c r="I23" s="29">
        <v>1</v>
      </c>
      <c r="J23" s="29"/>
      <c r="K23" s="29">
        <v>1</v>
      </c>
      <c r="L23" s="29">
        <v>1</v>
      </c>
      <c r="M23" s="29"/>
    </row>
    <row r="24" spans="1:13">
      <c r="A24" s="139"/>
      <c r="B24" s="29"/>
      <c r="C24" s="29"/>
      <c r="D24" s="29"/>
      <c r="E24" s="29"/>
      <c r="F24" s="29"/>
      <c r="G24" s="29"/>
      <c r="H24" s="29"/>
      <c r="I24" s="29"/>
      <c r="J24" s="29"/>
      <c r="K24" s="29"/>
      <c r="L24" s="29"/>
      <c r="M24" s="29"/>
    </row>
    <row r="25" spans="1:13" ht="76.5">
      <c r="A25" s="127" t="s">
        <v>55</v>
      </c>
      <c r="B25" s="29">
        <v>1</v>
      </c>
      <c r="C25" s="29"/>
      <c r="D25" s="29"/>
      <c r="E25" s="29">
        <v>1</v>
      </c>
      <c r="F25" s="29"/>
      <c r="G25" s="29"/>
      <c r="H25" s="29">
        <v>1</v>
      </c>
      <c r="I25" s="29"/>
      <c r="J25" s="29"/>
      <c r="K25" s="29">
        <v>1</v>
      </c>
      <c r="L25" s="29"/>
      <c r="M25" s="29"/>
    </row>
    <row r="26" spans="1:13">
      <c r="A26" s="137" t="s">
        <v>56</v>
      </c>
      <c r="B26" s="29">
        <v>5</v>
      </c>
      <c r="C26" s="29"/>
      <c r="D26" s="29"/>
      <c r="E26" s="29">
        <v>3</v>
      </c>
      <c r="F26" s="29"/>
      <c r="G26" s="29"/>
      <c r="H26" s="29">
        <v>3</v>
      </c>
      <c r="I26" s="29"/>
      <c r="J26" s="29"/>
      <c r="K26" s="29">
        <v>3</v>
      </c>
      <c r="L26" s="29"/>
      <c r="M26" s="29"/>
    </row>
    <row r="27" spans="1:13">
      <c r="A27" s="139"/>
      <c r="B27" s="29"/>
      <c r="C27" s="29"/>
      <c r="D27" s="29"/>
      <c r="E27" s="29"/>
      <c r="F27" s="29"/>
      <c r="G27" s="29"/>
      <c r="H27" s="29"/>
      <c r="I27" s="29"/>
      <c r="J27" s="29"/>
      <c r="K27" s="29"/>
      <c r="L27" s="29"/>
      <c r="M27" s="29"/>
    </row>
    <row r="28" spans="1:13" ht="76.5">
      <c r="A28" s="127" t="s">
        <v>57</v>
      </c>
      <c r="B28" s="29">
        <v>1</v>
      </c>
      <c r="C28" s="29"/>
      <c r="D28" s="29"/>
      <c r="E28" s="29">
        <v>1</v>
      </c>
      <c r="F28" s="29"/>
      <c r="G28" s="29"/>
      <c r="H28" s="29">
        <v>1</v>
      </c>
      <c r="I28" s="29"/>
      <c r="J28" s="29"/>
      <c r="K28" s="29">
        <v>1</v>
      </c>
      <c r="L28" s="29"/>
      <c r="M28" s="29"/>
    </row>
    <row r="29" spans="1:13" ht="89.25">
      <c r="A29" s="127" t="s">
        <v>58</v>
      </c>
      <c r="B29" s="29">
        <v>2</v>
      </c>
      <c r="C29" s="29">
        <v>1</v>
      </c>
      <c r="D29" s="29"/>
      <c r="E29" s="29">
        <v>2</v>
      </c>
      <c r="F29" s="29">
        <v>1</v>
      </c>
      <c r="G29" s="29"/>
      <c r="H29" s="29">
        <v>2</v>
      </c>
      <c r="I29" s="29">
        <v>1</v>
      </c>
      <c r="J29" s="29"/>
      <c r="K29" s="29">
        <v>2</v>
      </c>
      <c r="L29" s="29">
        <v>1</v>
      </c>
      <c r="M29" s="29"/>
    </row>
    <row r="30" spans="1:13" ht="51">
      <c r="A30" s="127" t="s">
        <v>59</v>
      </c>
      <c r="B30" s="29">
        <v>22</v>
      </c>
      <c r="C30" s="29"/>
      <c r="D30" s="29"/>
      <c r="E30" s="29">
        <v>21</v>
      </c>
      <c r="F30" s="29"/>
      <c r="G30" s="29"/>
      <c r="H30" s="29">
        <v>21</v>
      </c>
      <c r="I30" s="29"/>
      <c r="J30" s="29"/>
      <c r="K30" s="29">
        <v>21</v>
      </c>
      <c r="L30" s="29"/>
      <c r="M30" s="29"/>
    </row>
    <row r="31" spans="1:13" ht="25.5">
      <c r="A31" s="127" t="s">
        <v>60</v>
      </c>
      <c r="B31" s="29">
        <v>8</v>
      </c>
      <c r="C31" s="29"/>
      <c r="D31" s="29"/>
      <c r="E31" s="29">
        <v>4</v>
      </c>
      <c r="F31" s="29"/>
      <c r="G31" s="29"/>
      <c r="H31" s="29">
        <v>4</v>
      </c>
      <c r="I31" s="29"/>
      <c r="J31" s="29"/>
      <c r="K31" s="29">
        <v>4</v>
      </c>
      <c r="L31" s="29"/>
      <c r="M31" s="29"/>
    </row>
    <row r="32" spans="1:13" ht="25.5">
      <c r="A32" s="127" t="s">
        <v>78</v>
      </c>
      <c r="B32" s="29">
        <v>17</v>
      </c>
      <c r="C32" s="29"/>
      <c r="D32" s="29"/>
      <c r="E32" s="29">
        <v>17</v>
      </c>
      <c r="F32" s="29"/>
      <c r="G32" s="29"/>
      <c r="H32" s="29">
        <v>17</v>
      </c>
      <c r="I32" s="29"/>
      <c r="J32" s="29"/>
      <c r="K32" s="29">
        <v>17</v>
      </c>
      <c r="L32" s="29"/>
      <c r="M32" s="29"/>
    </row>
    <row r="33" spans="1:13" ht="38.25">
      <c r="A33" s="127" t="s">
        <v>79</v>
      </c>
      <c r="B33" s="29">
        <v>20</v>
      </c>
      <c r="C33" s="29"/>
      <c r="D33" s="29"/>
      <c r="E33" s="29">
        <v>20</v>
      </c>
      <c r="F33" s="29"/>
      <c r="G33" s="29"/>
      <c r="H33" s="29">
        <v>20</v>
      </c>
      <c r="I33" s="29"/>
      <c r="J33" s="29"/>
      <c r="K33" s="29">
        <v>20</v>
      </c>
      <c r="L33" s="29"/>
      <c r="M33" s="29"/>
    </row>
    <row r="34" spans="1:13" ht="25.5">
      <c r="A34" s="127" t="s">
        <v>76</v>
      </c>
      <c r="B34" s="29">
        <v>1</v>
      </c>
      <c r="C34" s="29"/>
      <c r="D34" s="29"/>
      <c r="E34" s="29">
        <v>1</v>
      </c>
      <c r="F34" s="29"/>
      <c r="G34" s="29"/>
      <c r="H34" s="29">
        <v>1</v>
      </c>
      <c r="I34" s="29"/>
      <c r="J34" s="29"/>
      <c r="K34" s="29">
        <v>1</v>
      </c>
      <c r="L34" s="29"/>
      <c r="M34" s="29"/>
    </row>
    <row r="35" spans="1:13" ht="51">
      <c r="A35" s="127" t="s">
        <v>112</v>
      </c>
      <c r="B35" s="29">
        <v>24</v>
      </c>
      <c r="C35" s="29"/>
      <c r="D35" s="29"/>
      <c r="E35" s="29">
        <v>22</v>
      </c>
      <c r="F35" s="29"/>
      <c r="G35" s="29"/>
      <c r="H35" s="29">
        <v>22</v>
      </c>
      <c r="I35" s="29"/>
      <c r="J35" s="29"/>
      <c r="K35" s="29">
        <v>22</v>
      </c>
      <c r="L35" s="29"/>
      <c r="M35" s="29"/>
    </row>
    <row r="36" spans="1:13" ht="51">
      <c r="A36" s="127" t="s">
        <v>64</v>
      </c>
      <c r="B36" s="29">
        <v>7</v>
      </c>
      <c r="C36" s="29"/>
      <c r="D36" s="29"/>
      <c r="E36" s="29">
        <v>7</v>
      </c>
      <c r="F36" s="29"/>
      <c r="G36" s="29"/>
      <c r="H36" s="29">
        <v>7</v>
      </c>
      <c r="I36" s="29"/>
      <c r="J36" s="29"/>
      <c r="K36" s="29">
        <v>7</v>
      </c>
      <c r="L36" s="29"/>
      <c r="M36" s="29"/>
    </row>
    <row r="37" spans="1:13" ht="63.75">
      <c r="A37" s="127" t="s">
        <v>65</v>
      </c>
      <c r="B37" s="29">
        <v>5</v>
      </c>
      <c r="C37" s="29"/>
      <c r="D37" s="29"/>
      <c r="E37" s="29">
        <v>5</v>
      </c>
      <c r="F37" s="29"/>
      <c r="G37" s="29"/>
      <c r="H37" s="29">
        <v>5</v>
      </c>
      <c r="I37" s="29"/>
      <c r="J37" s="29"/>
      <c r="K37" s="29">
        <v>5</v>
      </c>
      <c r="L37" s="29"/>
      <c r="M37" s="29"/>
    </row>
    <row r="38" spans="1:13" ht="51">
      <c r="A38" s="127" t="s">
        <v>66</v>
      </c>
      <c r="B38" s="29">
        <v>1</v>
      </c>
      <c r="C38" s="29"/>
      <c r="D38" s="29"/>
      <c r="E38" s="29">
        <v>1</v>
      </c>
      <c r="F38" s="29"/>
      <c r="G38" s="29"/>
      <c r="H38" s="29">
        <v>1</v>
      </c>
      <c r="I38" s="29"/>
      <c r="J38" s="29"/>
      <c r="K38" s="29">
        <v>1</v>
      </c>
      <c r="L38" s="29"/>
      <c r="M38" s="29"/>
    </row>
    <row r="39" spans="1:13" ht="63.75">
      <c r="A39" s="127" t="s">
        <v>67</v>
      </c>
      <c r="B39" s="29"/>
      <c r="C39" s="29">
        <v>1</v>
      </c>
      <c r="D39" s="29"/>
      <c r="E39" s="29"/>
      <c r="F39" s="29">
        <v>1</v>
      </c>
      <c r="G39" s="29"/>
      <c r="H39" s="29"/>
      <c r="I39" s="29">
        <v>1</v>
      </c>
      <c r="J39" s="29"/>
      <c r="K39" s="29">
        <v>1</v>
      </c>
      <c r="L39" s="29"/>
      <c r="M39" s="29"/>
    </row>
    <row r="40" spans="1:13" ht="63.75">
      <c r="A40" s="127" t="s">
        <v>68</v>
      </c>
      <c r="B40" s="29">
        <v>1</v>
      </c>
      <c r="C40" s="29"/>
      <c r="D40" s="29"/>
      <c r="E40" s="29">
        <v>1</v>
      </c>
      <c r="F40" s="29"/>
      <c r="G40" s="29"/>
      <c r="H40" s="29">
        <v>1</v>
      </c>
      <c r="I40" s="29"/>
      <c r="J40" s="29"/>
      <c r="K40" s="29">
        <v>1</v>
      </c>
      <c r="L40" s="29"/>
      <c r="M40" s="29"/>
    </row>
    <row r="41" spans="1:13" ht="76.5">
      <c r="A41" s="127" t="s">
        <v>69</v>
      </c>
      <c r="B41" s="29">
        <v>1</v>
      </c>
      <c r="C41" s="29"/>
      <c r="D41" s="29"/>
      <c r="E41" s="29">
        <v>1</v>
      </c>
      <c r="F41" s="29"/>
      <c r="G41" s="29"/>
      <c r="H41" s="29">
        <v>1</v>
      </c>
      <c r="I41" s="29"/>
      <c r="J41" s="29"/>
      <c r="K41" s="29">
        <v>1</v>
      </c>
      <c r="L41" s="29"/>
      <c r="M41" s="29"/>
    </row>
    <row r="42" spans="1:13" ht="63.75">
      <c r="A42" s="127" t="s">
        <v>73</v>
      </c>
      <c r="B42" s="29">
        <v>3</v>
      </c>
      <c r="C42" s="29"/>
      <c r="D42" s="29"/>
      <c r="E42" s="29">
        <v>3</v>
      </c>
      <c r="F42" s="29"/>
      <c r="G42" s="29"/>
      <c r="H42" s="29">
        <v>3</v>
      </c>
      <c r="I42" s="29"/>
      <c r="J42" s="29"/>
      <c r="K42" s="29">
        <v>3</v>
      </c>
      <c r="L42" s="29"/>
      <c r="M42" s="29"/>
    </row>
    <row r="43" spans="1:13" ht="63.75">
      <c r="A43" s="127" t="s">
        <v>74</v>
      </c>
      <c r="B43" s="29">
        <v>4</v>
      </c>
      <c r="C43" s="29"/>
      <c r="D43" s="29"/>
      <c r="E43" s="29">
        <v>4</v>
      </c>
      <c r="F43" s="29"/>
      <c r="G43" s="29"/>
      <c r="H43" s="29">
        <v>4</v>
      </c>
      <c r="I43" s="29"/>
      <c r="J43" s="29"/>
      <c r="K43" s="29">
        <v>4</v>
      </c>
      <c r="L43" s="29"/>
      <c r="M43" s="29"/>
    </row>
    <row r="44" spans="1:13" ht="63.75">
      <c r="A44" s="127" t="s">
        <v>75</v>
      </c>
      <c r="B44" s="29">
        <v>2</v>
      </c>
      <c r="C44" s="29"/>
      <c r="D44" s="29"/>
      <c r="E44" s="29">
        <v>2</v>
      </c>
      <c r="F44" s="29"/>
      <c r="G44" s="29"/>
      <c r="H44" s="29">
        <v>2</v>
      </c>
      <c r="I44" s="29"/>
      <c r="J44" s="29"/>
      <c r="K44" s="29">
        <v>2</v>
      </c>
      <c r="L44" s="29"/>
      <c r="M44" s="29"/>
    </row>
    <row r="45" spans="1:13">
      <c r="A45" s="44" t="s">
        <v>80</v>
      </c>
      <c r="B45" s="29">
        <v>1</v>
      </c>
      <c r="C45" s="29">
        <v>1</v>
      </c>
      <c r="D45" s="29"/>
      <c r="E45" s="29">
        <v>1</v>
      </c>
      <c r="F45" s="29">
        <v>1</v>
      </c>
      <c r="G45" s="29"/>
      <c r="H45" s="29">
        <v>1</v>
      </c>
      <c r="I45" s="29">
        <v>1</v>
      </c>
      <c r="J45" s="29"/>
      <c r="K45" s="29">
        <v>1</v>
      </c>
      <c r="L45" s="29">
        <v>1</v>
      </c>
      <c r="M45" s="29"/>
    </row>
    <row r="46" spans="1:13">
      <c r="A46" s="27"/>
      <c r="B46" s="29"/>
      <c r="C46" s="29"/>
      <c r="D46" s="29"/>
      <c r="E46" s="29"/>
      <c r="F46" s="29"/>
      <c r="G46" s="29"/>
      <c r="H46" s="29"/>
      <c r="I46" s="29"/>
      <c r="J46" s="29"/>
      <c r="K46" s="29"/>
      <c r="L46" s="29"/>
      <c r="M46" s="29"/>
    </row>
    <row r="47" spans="1:13">
      <c r="A47" s="27" t="s">
        <v>15</v>
      </c>
      <c r="B47" s="29"/>
      <c r="C47" s="29"/>
      <c r="D47" s="29"/>
      <c r="E47" s="29"/>
      <c r="F47" s="29"/>
      <c r="G47" s="29"/>
      <c r="H47" s="29"/>
      <c r="I47" s="29"/>
      <c r="J47" s="29"/>
      <c r="K47" s="29"/>
      <c r="L47" s="29"/>
      <c r="M47" s="29"/>
    </row>
    <row r="48" spans="1:13" ht="38.25">
      <c r="A48" s="44" t="s">
        <v>81</v>
      </c>
      <c r="B48" s="29">
        <v>1</v>
      </c>
      <c r="C48" s="29"/>
      <c r="D48" s="29"/>
      <c r="E48" s="29">
        <v>1</v>
      </c>
      <c r="F48" s="29"/>
      <c r="G48" s="29"/>
      <c r="H48" s="29">
        <v>1</v>
      </c>
      <c r="I48" s="29"/>
      <c r="J48" s="29"/>
      <c r="K48" s="29">
        <v>1</v>
      </c>
      <c r="L48" s="29"/>
      <c r="M48" s="29"/>
    </row>
    <row r="49" spans="1:13" ht="25.5">
      <c r="A49" s="127" t="s">
        <v>82</v>
      </c>
      <c r="B49" s="29">
        <v>1</v>
      </c>
      <c r="C49" s="29"/>
      <c r="D49" s="29"/>
      <c r="E49" s="29">
        <v>1</v>
      </c>
      <c r="F49" s="29"/>
      <c r="G49" s="29"/>
      <c r="H49" s="29">
        <v>1</v>
      </c>
      <c r="I49" s="29"/>
      <c r="J49" s="29"/>
      <c r="K49" s="29">
        <v>1</v>
      </c>
      <c r="L49" s="29"/>
      <c r="M49" s="29"/>
    </row>
    <row r="50" spans="1:13" ht="38.25">
      <c r="A50" s="127" t="s">
        <v>83</v>
      </c>
      <c r="B50" s="29">
        <v>2</v>
      </c>
      <c r="C50" s="29"/>
      <c r="D50" s="29"/>
      <c r="E50" s="29">
        <v>2</v>
      </c>
      <c r="F50" s="29"/>
      <c r="G50" s="29"/>
      <c r="H50" s="29">
        <v>2</v>
      </c>
      <c r="I50" s="29"/>
      <c r="J50" s="29"/>
      <c r="K50" s="29">
        <v>2</v>
      </c>
      <c r="L50" s="29"/>
      <c r="M50" s="29"/>
    </row>
    <row r="51" spans="1:13" ht="25.5">
      <c r="A51" s="44" t="s">
        <v>84</v>
      </c>
      <c r="B51" s="29">
        <v>2</v>
      </c>
      <c r="C51" s="29"/>
      <c r="D51" s="29"/>
      <c r="E51" s="29">
        <v>2</v>
      </c>
      <c r="F51" s="29"/>
      <c r="G51" s="29"/>
      <c r="H51" s="29">
        <v>2</v>
      </c>
      <c r="I51" s="29"/>
      <c r="J51" s="29"/>
      <c r="K51" s="29">
        <v>2</v>
      </c>
      <c r="L51" s="29"/>
      <c r="M51" s="29"/>
    </row>
    <row r="52" spans="1:13" ht="63.75">
      <c r="A52" s="44" t="s">
        <v>85</v>
      </c>
      <c r="B52" s="29">
        <v>1</v>
      </c>
      <c r="C52" s="29"/>
      <c r="D52" s="29"/>
      <c r="E52" s="29">
        <v>1</v>
      </c>
      <c r="F52" s="29"/>
      <c r="G52" s="29"/>
      <c r="H52" s="29">
        <v>1</v>
      </c>
      <c r="I52" s="29"/>
      <c r="J52" s="29"/>
      <c r="K52" s="29">
        <v>1</v>
      </c>
      <c r="L52" s="29"/>
      <c r="M52" s="29"/>
    </row>
    <row r="53" spans="1:13">
      <c r="A53" s="44" t="s">
        <v>86</v>
      </c>
      <c r="B53" s="29">
        <v>1</v>
      </c>
      <c r="C53" s="29"/>
      <c r="D53" s="29"/>
      <c r="E53" s="29">
        <v>1</v>
      </c>
      <c r="F53" s="29"/>
      <c r="G53" s="29"/>
      <c r="H53" s="29">
        <v>1</v>
      </c>
      <c r="I53" s="29"/>
      <c r="J53" s="29"/>
      <c r="K53" s="29">
        <v>1</v>
      </c>
      <c r="L53" s="29"/>
      <c r="M53" s="29"/>
    </row>
    <row r="54" spans="1:13">
      <c r="A54" s="55" t="s">
        <v>109</v>
      </c>
      <c r="B54" s="29">
        <v>1</v>
      </c>
      <c r="C54" s="29"/>
      <c r="D54" s="29"/>
      <c r="E54" s="29">
        <v>1</v>
      </c>
      <c r="F54" s="29"/>
      <c r="G54" s="29"/>
      <c r="H54" s="29">
        <v>1</v>
      </c>
      <c r="I54" s="29"/>
      <c r="J54" s="29"/>
      <c r="K54" s="29">
        <v>1</v>
      </c>
      <c r="L54" s="29"/>
      <c r="M54" s="29"/>
    </row>
    <row r="55" spans="1:13" ht="25.5">
      <c r="A55" s="44" t="s">
        <v>87</v>
      </c>
      <c r="B55" s="29">
        <v>2</v>
      </c>
      <c r="C55" s="29"/>
      <c r="D55" s="29"/>
      <c r="E55" s="29">
        <v>2</v>
      </c>
      <c r="F55" s="29"/>
      <c r="G55" s="29"/>
      <c r="H55" s="29">
        <v>2</v>
      </c>
      <c r="I55" s="29"/>
      <c r="J55" s="29"/>
      <c r="K55" s="29">
        <v>2</v>
      </c>
      <c r="L55" s="29"/>
      <c r="M55" s="29"/>
    </row>
    <row r="56" spans="1:13" ht="38.25">
      <c r="A56" s="44" t="s">
        <v>88</v>
      </c>
      <c r="B56" s="29">
        <v>1</v>
      </c>
      <c r="C56" s="29"/>
      <c r="D56" s="29"/>
      <c r="E56" s="29">
        <v>1</v>
      </c>
      <c r="F56" s="29"/>
      <c r="G56" s="29"/>
      <c r="H56" s="29">
        <v>1</v>
      </c>
      <c r="I56" s="29"/>
      <c r="J56" s="29"/>
      <c r="K56" s="29">
        <v>1</v>
      </c>
      <c r="L56" s="29"/>
      <c r="M56" s="29"/>
    </row>
    <row r="57" spans="1:13" ht="89.25">
      <c r="A57" s="44" t="s">
        <v>89</v>
      </c>
      <c r="B57" s="29">
        <v>1</v>
      </c>
      <c r="C57" s="29"/>
      <c r="D57" s="29"/>
      <c r="E57" s="29">
        <v>1</v>
      </c>
      <c r="F57" s="29"/>
      <c r="G57" s="29"/>
      <c r="H57" s="29">
        <v>1</v>
      </c>
      <c r="I57" s="29"/>
      <c r="J57" s="29"/>
      <c r="K57" s="29">
        <v>1</v>
      </c>
      <c r="L57" s="29"/>
      <c r="M57" s="29"/>
    </row>
    <row r="58" spans="1:13" ht="38.25">
      <c r="A58" s="44" t="s">
        <v>90</v>
      </c>
      <c r="B58" s="29">
        <v>1</v>
      </c>
      <c r="C58" s="29"/>
      <c r="D58" s="29"/>
      <c r="E58" s="29"/>
      <c r="F58" s="29"/>
      <c r="G58" s="29"/>
      <c r="H58" s="29"/>
      <c r="I58" s="29"/>
      <c r="J58" s="29"/>
      <c r="K58" s="29"/>
      <c r="L58" s="29"/>
      <c r="M58" s="29"/>
    </row>
    <row r="59" spans="1:13" ht="76.5">
      <c r="A59" s="44" t="s">
        <v>91</v>
      </c>
      <c r="B59" s="29">
        <v>8</v>
      </c>
      <c r="C59" s="29"/>
      <c r="D59" s="29"/>
      <c r="E59" s="29"/>
      <c r="F59" s="29"/>
      <c r="G59" s="29"/>
      <c r="H59" s="29"/>
      <c r="I59" s="29"/>
      <c r="J59" s="29"/>
      <c r="K59" s="29"/>
      <c r="L59" s="29"/>
      <c r="M59" s="29"/>
    </row>
    <row r="60" spans="1:13" ht="38.25">
      <c r="A60" s="44" t="s">
        <v>92</v>
      </c>
      <c r="B60" s="29">
        <v>1</v>
      </c>
      <c r="C60" s="29"/>
      <c r="D60" s="29"/>
      <c r="E60" s="29">
        <v>1</v>
      </c>
      <c r="F60" s="29"/>
      <c r="G60" s="29"/>
      <c r="H60" s="29">
        <v>1</v>
      </c>
      <c r="I60" s="29"/>
      <c r="J60" s="29"/>
      <c r="K60" s="29">
        <v>1</v>
      </c>
      <c r="L60" s="29"/>
      <c r="M60" s="29"/>
    </row>
    <row r="61" spans="1:13" ht="38.25">
      <c r="A61" s="44" t="s">
        <v>93</v>
      </c>
      <c r="B61" s="29">
        <v>1</v>
      </c>
      <c r="C61" s="29"/>
      <c r="D61" s="29"/>
      <c r="E61" s="29">
        <v>1</v>
      </c>
      <c r="F61" s="29"/>
      <c r="G61" s="29"/>
      <c r="H61" s="29">
        <v>1</v>
      </c>
      <c r="I61" s="29"/>
      <c r="J61" s="29"/>
      <c r="K61" s="29">
        <v>1</v>
      </c>
      <c r="L61" s="29"/>
      <c r="M61" s="29"/>
    </row>
    <row r="62" spans="1:13">
      <c r="A62" s="27"/>
      <c r="B62" s="29"/>
      <c r="C62" s="29"/>
      <c r="D62" s="29"/>
      <c r="E62" s="29"/>
      <c r="F62" s="29"/>
      <c r="G62" s="29"/>
      <c r="H62" s="29"/>
      <c r="I62" s="29"/>
      <c r="J62" s="29"/>
      <c r="K62" s="29"/>
      <c r="L62" s="29"/>
      <c r="M62" s="29"/>
    </row>
    <row r="63" spans="1:13" ht="38.25">
      <c r="A63" s="38" t="s">
        <v>22</v>
      </c>
      <c r="B63" s="29">
        <v>56</v>
      </c>
      <c r="C63" s="29">
        <v>4</v>
      </c>
      <c r="D63" s="29">
        <v>3</v>
      </c>
      <c r="E63" s="29">
        <v>56</v>
      </c>
      <c r="F63" s="29">
        <v>4</v>
      </c>
      <c r="G63" s="29">
        <v>3</v>
      </c>
      <c r="H63" s="29">
        <v>56</v>
      </c>
      <c r="I63" s="29">
        <v>4</v>
      </c>
      <c r="J63" s="29">
        <v>3</v>
      </c>
      <c r="K63" s="29">
        <v>56</v>
      </c>
      <c r="L63" s="29">
        <v>4</v>
      </c>
      <c r="M63" s="29">
        <v>3</v>
      </c>
    </row>
    <row r="64" spans="1:13" hidden="1">
      <c r="I64" s="6"/>
      <c r="M64" s="6"/>
    </row>
    <row r="65" spans="1:21" s="18" customFormat="1" hidden="1">
      <c r="A65" s="178"/>
      <c r="B65" s="178"/>
      <c r="C65" s="178"/>
      <c r="D65" s="178"/>
      <c r="E65" s="178"/>
      <c r="F65" s="178"/>
      <c r="G65" s="178"/>
      <c r="H65" s="178"/>
      <c r="I65" s="178"/>
      <c r="J65" s="178"/>
      <c r="K65" s="178"/>
      <c r="L65" s="178"/>
      <c r="M65" s="178"/>
    </row>
    <row r="66" spans="1:21" s="18" customFormat="1" hidden="1">
      <c r="A66" s="28"/>
      <c r="B66" s="28"/>
      <c r="C66" s="28"/>
      <c r="D66" s="28"/>
      <c r="E66" s="28"/>
      <c r="F66" s="28"/>
      <c r="G66" s="28"/>
      <c r="H66" s="28"/>
      <c r="I66" s="28"/>
      <c r="J66" s="28"/>
      <c r="K66" s="28"/>
      <c r="L66" s="28"/>
      <c r="M66" s="28"/>
    </row>
    <row r="67" spans="1:21" s="18" customFormat="1" hidden="1">
      <c r="A67" s="28"/>
      <c r="B67" s="28"/>
      <c r="C67" s="28"/>
      <c r="D67" s="28"/>
      <c r="E67" s="28"/>
      <c r="F67" s="28"/>
      <c r="G67" s="28"/>
      <c r="H67" s="28"/>
      <c r="I67" s="28"/>
      <c r="J67" s="28"/>
      <c r="K67" s="28"/>
      <c r="L67" s="28"/>
      <c r="M67" s="28"/>
    </row>
    <row r="68" spans="1:21" ht="12.75" hidden="1" customHeight="1">
      <c r="A68" s="39" t="s">
        <v>23</v>
      </c>
      <c r="B68" s="177" t="s">
        <v>210</v>
      </c>
      <c r="C68" s="177"/>
      <c r="D68" s="176" t="s">
        <v>24</v>
      </c>
      <c r="E68" s="176"/>
      <c r="F68" s="176" t="s">
        <v>25</v>
      </c>
      <c r="G68" s="176"/>
      <c r="H68" s="19"/>
      <c r="I68" s="175" t="s">
        <v>211</v>
      </c>
      <c r="J68" s="175"/>
      <c r="K68" s="19"/>
      <c r="L68" s="19"/>
      <c r="M68" s="19"/>
      <c r="N68" s="7"/>
      <c r="O68" s="7"/>
      <c r="P68" s="7"/>
      <c r="Q68" s="7"/>
      <c r="R68" s="24"/>
      <c r="S68" s="24"/>
      <c r="T68" s="24"/>
      <c r="U68" s="24"/>
    </row>
    <row r="69" spans="1:21" ht="12.75" hidden="1" customHeight="1">
      <c r="A69" s="32"/>
      <c r="B69" s="174" t="s">
        <v>34</v>
      </c>
      <c r="C69" s="174"/>
      <c r="F69" s="174" t="s">
        <v>26</v>
      </c>
      <c r="G69" s="174"/>
      <c r="I69" s="174" t="s">
        <v>27</v>
      </c>
      <c r="J69" s="174"/>
      <c r="K69" s="19"/>
      <c r="L69" s="19"/>
      <c r="M69" s="19"/>
      <c r="N69" s="7"/>
      <c r="O69" s="7"/>
      <c r="P69" s="7"/>
      <c r="Q69" s="7"/>
      <c r="R69" s="24"/>
      <c r="S69" s="24"/>
      <c r="T69" s="24"/>
      <c r="U69" s="24"/>
    </row>
    <row r="70" spans="1:21" ht="12.75" hidden="1" customHeight="1">
      <c r="A70" s="32"/>
      <c r="B70" s="31"/>
      <c r="C70" s="31"/>
      <c r="F70" s="31"/>
      <c r="G70" s="31"/>
      <c r="I70" s="31"/>
      <c r="J70" s="31"/>
      <c r="K70" s="19"/>
      <c r="L70" s="19"/>
      <c r="M70" s="19"/>
      <c r="N70" s="7"/>
      <c r="O70" s="7"/>
      <c r="P70" s="7"/>
      <c r="Q70" s="7"/>
      <c r="R70" s="24"/>
      <c r="S70" s="24"/>
      <c r="T70" s="24"/>
      <c r="U70" s="24"/>
    </row>
    <row r="71" spans="1:21" ht="12.75" hidden="1" customHeight="1">
      <c r="A71" s="32"/>
      <c r="B71" s="31"/>
      <c r="C71" s="31"/>
      <c r="F71" s="31"/>
      <c r="G71" s="31"/>
      <c r="I71" s="31"/>
      <c r="J71" s="31"/>
      <c r="K71" s="19"/>
      <c r="L71" s="19"/>
      <c r="M71" s="19"/>
      <c r="N71" s="7"/>
      <c r="O71" s="7"/>
      <c r="P71" s="7"/>
      <c r="Q71" s="7"/>
      <c r="R71" s="24"/>
      <c r="S71" s="24"/>
      <c r="T71" s="24"/>
      <c r="U71" s="24"/>
    </row>
    <row r="72" spans="1:21" hidden="1">
      <c r="A72" s="40" t="s">
        <v>28</v>
      </c>
      <c r="B72" s="177" t="s">
        <v>212</v>
      </c>
      <c r="C72" s="177"/>
      <c r="D72" s="176" t="s">
        <v>24</v>
      </c>
      <c r="E72" s="176"/>
      <c r="F72" s="176" t="s">
        <v>25</v>
      </c>
      <c r="G72" s="176"/>
      <c r="H72" s="19"/>
      <c r="I72" s="175" t="s">
        <v>213</v>
      </c>
      <c r="J72" s="175"/>
      <c r="K72" s="19"/>
      <c r="L72" s="19"/>
      <c r="M72" s="19"/>
      <c r="N72" s="7"/>
      <c r="O72" s="7"/>
      <c r="P72" s="7"/>
      <c r="Q72" s="7"/>
      <c r="R72" s="24"/>
      <c r="S72" s="24"/>
      <c r="T72" s="24"/>
      <c r="U72" s="24"/>
    </row>
    <row r="73" spans="1:21" ht="12.75" hidden="1" customHeight="1">
      <c r="A73" s="30" t="s">
        <v>216</v>
      </c>
      <c r="B73" s="174" t="s">
        <v>34</v>
      </c>
      <c r="C73" s="174"/>
      <c r="F73" s="174" t="s">
        <v>26</v>
      </c>
      <c r="G73" s="174"/>
      <c r="I73" s="174" t="s">
        <v>27</v>
      </c>
      <c r="J73" s="174"/>
      <c r="K73" s="20"/>
      <c r="L73" s="20"/>
      <c r="M73" s="20"/>
      <c r="N73" s="20"/>
      <c r="O73" s="20"/>
      <c r="P73" s="20"/>
      <c r="Q73" s="20"/>
      <c r="R73" s="20"/>
      <c r="S73" s="20"/>
      <c r="T73" s="20"/>
      <c r="U73" s="20"/>
    </row>
    <row r="74" spans="1:21" hidden="1">
      <c r="A74" s="40" t="s">
        <v>28</v>
      </c>
      <c r="B74" s="176" t="s">
        <v>214</v>
      </c>
      <c r="C74" s="176"/>
      <c r="D74" s="176" t="s">
        <v>24</v>
      </c>
      <c r="E74" s="176"/>
      <c r="F74" s="176" t="s">
        <v>25</v>
      </c>
      <c r="G74" s="176"/>
      <c r="H74" s="63"/>
      <c r="I74" s="175" t="s">
        <v>215</v>
      </c>
      <c r="J74" s="175"/>
      <c r="K74" s="63"/>
      <c r="L74" s="63"/>
      <c r="M74" s="63"/>
      <c r="N74" s="7"/>
      <c r="O74" s="7"/>
      <c r="P74" s="7"/>
      <c r="Q74" s="7"/>
      <c r="R74" s="24"/>
      <c r="S74" s="24"/>
      <c r="T74" s="24"/>
      <c r="U74" s="24"/>
    </row>
    <row r="75" spans="1:21" ht="12.75" hidden="1" customHeight="1">
      <c r="A75" s="30" t="s">
        <v>35</v>
      </c>
      <c r="B75" s="174" t="s">
        <v>34</v>
      </c>
      <c r="C75" s="174"/>
      <c r="F75" s="174" t="s">
        <v>26</v>
      </c>
      <c r="G75" s="174"/>
      <c r="I75" s="174" t="s">
        <v>27</v>
      </c>
      <c r="J75" s="174"/>
      <c r="K75" s="62"/>
      <c r="L75" s="62"/>
      <c r="M75" s="62"/>
      <c r="N75" s="62"/>
      <c r="O75" s="62"/>
      <c r="P75" s="62"/>
      <c r="Q75" s="62"/>
      <c r="R75" s="62"/>
      <c r="S75" s="62"/>
      <c r="T75" s="62"/>
      <c r="U75" s="62"/>
    </row>
    <row r="76" spans="1:21" hidden="1">
      <c r="A76" s="1" t="s">
        <v>217</v>
      </c>
    </row>
    <row r="77" spans="1:21" hidden="1">
      <c r="A77" s="7"/>
      <c r="B77" s="7"/>
      <c r="C77" s="7"/>
      <c r="D77" s="7"/>
      <c r="E77" s="7"/>
      <c r="F77" s="7"/>
      <c r="G77" s="7"/>
      <c r="H77" s="7"/>
      <c r="I77" s="7"/>
      <c r="J77" s="8"/>
      <c r="K77" s="8"/>
      <c r="L77" s="8"/>
      <c r="M77" s="8"/>
    </row>
    <row r="78" spans="1:21" hidden="1">
      <c r="A78" s="20"/>
      <c r="B78" s="20"/>
      <c r="C78" s="20"/>
      <c r="D78" s="20"/>
      <c r="E78" s="20"/>
      <c r="F78" s="20"/>
      <c r="G78" s="20"/>
      <c r="H78" s="20"/>
      <c r="I78" s="20"/>
      <c r="J78" s="20"/>
      <c r="K78" s="20"/>
      <c r="L78" s="20"/>
      <c r="M78" s="20"/>
    </row>
  </sheetData>
  <mergeCells count="34">
    <mergeCell ref="A26:A27"/>
    <mergeCell ref="A6:A8"/>
    <mergeCell ref="B6:M6"/>
    <mergeCell ref="A2:M2"/>
    <mergeCell ref="B4:H4"/>
    <mergeCell ref="A13:A14"/>
    <mergeCell ref="A15:A16"/>
    <mergeCell ref="A17:A18"/>
    <mergeCell ref="A19:A20"/>
    <mergeCell ref="A21:A22"/>
    <mergeCell ref="A23:A24"/>
    <mergeCell ref="B3:H3"/>
    <mergeCell ref="I68:J68"/>
    <mergeCell ref="B72:C72"/>
    <mergeCell ref="D72:E72"/>
    <mergeCell ref="F72:G72"/>
    <mergeCell ref="A65:M65"/>
    <mergeCell ref="B68:C68"/>
    <mergeCell ref="D68:E68"/>
    <mergeCell ref="F68:G68"/>
    <mergeCell ref="I69:J69"/>
    <mergeCell ref="B73:C73"/>
    <mergeCell ref="F73:G73"/>
    <mergeCell ref="B69:C69"/>
    <mergeCell ref="F69:G69"/>
    <mergeCell ref="I75:J75"/>
    <mergeCell ref="I72:J72"/>
    <mergeCell ref="I74:J74"/>
    <mergeCell ref="B74:C74"/>
    <mergeCell ref="D74:E74"/>
    <mergeCell ref="F74:G74"/>
    <mergeCell ref="B75:C75"/>
    <mergeCell ref="F75:G75"/>
    <mergeCell ref="I73:J73"/>
  </mergeCells>
  <printOptions horizontalCentered="1"/>
  <pageMargins left="0.39370078740157483" right="0.39370078740157483" top="0.78740157480314965" bottom="0.59055118110236227" header="0.15748031496062992" footer="0.35433070866141736"/>
  <pageSetup paperSize="9" scale="86" firstPageNumber="37"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Показатели объема гос.услуг</vt:lpstr>
      <vt:lpstr>Объемы ассигн без имущ и нал</vt:lpstr>
      <vt:lpstr>Объемы бюдж.ассигн.</vt:lpstr>
      <vt:lpstr>Объемы ассигн на имущ и нал</vt:lpstr>
      <vt:lpstr>Колич.гос. учрежд.</vt:lpstr>
      <vt:lpstr>'Колич.гос. 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бюдж.ассигн.'!Заголовки_для_печати</vt:lpstr>
      <vt:lpstr>'Показатели объема гос.услуг'!Заголовки_для_печати</vt:lpstr>
      <vt:lpstr>'Колич.гос. учрежд.'!Область_печати</vt:lpstr>
      <vt:lpstr>'Объемы ассигн без имущ и нал'!Область_печати</vt:lpstr>
      <vt:lpstr>'Объемы ассигн на имущ и нал'!Область_печати</vt:lpstr>
      <vt:lpstr>'Объемы бюдж.ассигн.'!Область_печати</vt:lpstr>
      <vt:lpstr>'Показатели объема гос.услуг'!Область_печати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Согрин Александр Викторович</dc:creator>
  <cp:lastModifiedBy>minfin user</cp:lastModifiedBy>
  <cp:lastPrinted>2020-10-11T06:45:21Z</cp:lastPrinted>
  <dcterms:created xsi:type="dcterms:W3CDTF">2017-07-05T15:40:48Z</dcterms:created>
  <dcterms:modified xsi:type="dcterms:W3CDTF">2020-10-11T06:45:24Z</dcterms:modified>
</cp:coreProperties>
</file>