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900" windowWidth="28800" windowHeight="11235"/>
  </bookViews>
  <sheets>
    <sheet name="2021" sheetId="6" r:id="rId1"/>
    <sheet name="2022" sheetId="7" state="hidden" r:id="rId2"/>
    <sheet name="2023" sheetId="8" state="hidden" r:id="rId3"/>
  </sheets>
  <definedNames>
    <definedName name="_xlnm.Print_Area" localSheetId="0">'2021'!$A$1:$Q$55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6"/>
  <c r="H33"/>
  <c r="J33" s="1"/>
  <c r="N33" s="1"/>
  <c r="H31"/>
  <c r="J31" s="1"/>
  <c r="N31" s="1"/>
  <c r="D31"/>
  <c r="D32"/>
  <c r="C32" s="1"/>
  <c r="D33"/>
  <c r="C33" s="1"/>
  <c r="D34"/>
  <c r="C34" s="1"/>
  <c r="C31"/>
  <c r="O33" l="1"/>
  <c r="Q33"/>
  <c r="Q31"/>
  <c r="O31"/>
  <c r="H32"/>
  <c r="J32" s="1"/>
  <c r="N32" s="1"/>
  <c r="H34"/>
  <c r="J34" s="1"/>
  <c r="N34" s="1"/>
  <c r="M36"/>
  <c r="D36"/>
  <c r="C36" s="1"/>
  <c r="D37"/>
  <c r="C37" s="1"/>
  <c r="D38"/>
  <c r="C38" s="1"/>
  <c r="D39"/>
  <c r="C39" s="1"/>
  <c r="D40"/>
  <c r="C40" s="1"/>
  <c r="D41"/>
  <c r="H41" s="1"/>
  <c r="J41" s="1"/>
  <c r="N41" s="1"/>
  <c r="D42"/>
  <c r="C42" s="1"/>
  <c r="D43"/>
  <c r="C43" s="1"/>
  <c r="D44"/>
  <c r="C44" s="1"/>
  <c r="O34" l="1"/>
  <c r="Q34" s="1"/>
  <c r="O32"/>
  <c r="Q32" s="1"/>
  <c r="H43"/>
  <c r="J43" s="1"/>
  <c r="N43" s="1"/>
  <c r="O43" s="1"/>
  <c r="H44"/>
  <c r="J44" s="1"/>
  <c r="N44" s="1"/>
  <c r="O44" s="1"/>
  <c r="H37"/>
  <c r="J37" s="1"/>
  <c r="N37" s="1"/>
  <c r="O37" s="1"/>
  <c r="H38"/>
  <c r="J38" s="1"/>
  <c r="N38" s="1"/>
  <c r="O38" s="1"/>
  <c r="H36"/>
  <c r="J36" s="1"/>
  <c r="N36" s="1"/>
  <c r="O36" s="1"/>
  <c r="C41"/>
  <c r="H42"/>
  <c r="J42" s="1"/>
  <c r="N42" s="1"/>
  <c r="O42" s="1"/>
  <c r="H40"/>
  <c r="J40" s="1"/>
  <c r="N40" s="1"/>
  <c r="O40" s="1"/>
  <c r="Q40" s="1"/>
  <c r="H39"/>
  <c r="J39" s="1"/>
  <c r="N39" s="1"/>
  <c r="O39" s="1"/>
  <c r="O41"/>
  <c r="Q41" s="1"/>
  <c r="Q43"/>
  <c r="Q44"/>
  <c r="Q38"/>
  <c r="D23"/>
  <c r="H23" s="1"/>
  <c r="J23" s="1"/>
  <c r="N23" s="1"/>
  <c r="Q37" l="1"/>
  <c r="C23"/>
  <c r="Q36"/>
  <c r="Q39"/>
  <c r="Q42"/>
  <c r="O23"/>
  <c r="Q23" s="1"/>
  <c r="D25" l="1"/>
  <c r="H25" s="1"/>
  <c r="J25" s="1"/>
  <c r="N25" s="1"/>
  <c r="C25"/>
  <c r="O25" l="1"/>
  <c r="Q25" s="1"/>
  <c r="H16"/>
  <c r="J16" s="1"/>
  <c r="N16" s="1"/>
  <c r="H17"/>
  <c r="J17" s="1"/>
  <c r="N17" s="1"/>
  <c r="O17" s="1"/>
  <c r="H18"/>
  <c r="J18" s="1"/>
  <c r="N18" s="1"/>
  <c r="H19"/>
  <c r="J19" s="1"/>
  <c r="N19" s="1"/>
  <c r="H20"/>
  <c r="J20" s="1"/>
  <c r="N20" s="1"/>
  <c r="C16"/>
  <c r="C17"/>
  <c r="C18"/>
  <c r="C19"/>
  <c r="C20"/>
  <c r="M14"/>
  <c r="M13"/>
  <c r="H14"/>
  <c r="J14" s="1"/>
  <c r="N14" s="1"/>
  <c r="H15"/>
  <c r="J15" s="1"/>
  <c r="N15" s="1"/>
  <c r="H13"/>
  <c r="J13" s="1"/>
  <c r="N13" s="1"/>
  <c r="C13"/>
  <c r="C14"/>
  <c r="C15"/>
  <c r="O20" l="1"/>
  <c r="Q20" s="1"/>
  <c r="O18"/>
  <c r="Q18" s="1"/>
  <c r="O19"/>
  <c r="Q19" s="1"/>
  <c r="O16"/>
  <c r="Q16" s="1"/>
  <c r="Q17"/>
  <c r="O15"/>
  <c r="Q15" s="1"/>
  <c r="O14"/>
  <c r="Q14" s="1"/>
  <c r="O13"/>
  <c r="Q13" s="1"/>
  <c r="K55" l="1"/>
  <c r="I55"/>
  <c r="H52"/>
  <c r="H51" l="1"/>
  <c r="D51" s="1"/>
  <c r="D54"/>
  <c r="D49"/>
  <c r="D35"/>
  <c r="D45"/>
  <c r="D46"/>
  <c r="D47"/>
  <c r="D30"/>
  <c r="D24"/>
  <c r="C24" s="1"/>
  <c r="D26"/>
  <c r="D27"/>
  <c r="D28"/>
  <c r="D22"/>
  <c r="D11"/>
  <c r="D9"/>
  <c r="H61"/>
  <c r="D8" l="1"/>
  <c r="D48"/>
  <c r="D29"/>
  <c r="D21"/>
  <c r="D10"/>
  <c r="D7"/>
  <c r="D53" l="1"/>
  <c r="L55" l="1"/>
  <c r="F22" i="7" l="1"/>
  <c r="F52" i="6"/>
  <c r="D52" s="1"/>
  <c r="F50"/>
  <c r="D50" s="1"/>
  <c r="F11"/>
  <c r="F9"/>
  <c r="F49"/>
  <c r="F55" l="1"/>
  <c r="F61" s="1"/>
  <c r="D61" s="1"/>
  <c r="C32" i="8"/>
  <c r="C34"/>
  <c r="D34" s="1"/>
  <c r="H34" s="1"/>
  <c r="C33"/>
  <c r="D33" s="1"/>
  <c r="H33" s="1"/>
  <c r="L32"/>
  <c r="L34" s="1"/>
  <c r="K32"/>
  <c r="I32"/>
  <c r="M31"/>
  <c r="H31"/>
  <c r="J31" s="1"/>
  <c r="N31" s="1"/>
  <c r="C31"/>
  <c r="M30"/>
  <c r="H30"/>
  <c r="J30" s="1"/>
  <c r="N30" s="1"/>
  <c r="C30"/>
  <c r="M29"/>
  <c r="H29"/>
  <c r="J29" s="1"/>
  <c r="N29" s="1"/>
  <c r="C29"/>
  <c r="M28"/>
  <c r="H28"/>
  <c r="J28" s="1"/>
  <c r="N28" s="1"/>
  <c r="O28" s="1"/>
  <c r="C28"/>
  <c r="M27"/>
  <c r="H27"/>
  <c r="J27" s="1"/>
  <c r="N27" s="1"/>
  <c r="C27"/>
  <c r="M26"/>
  <c r="H26"/>
  <c r="J26" s="1"/>
  <c r="N26" s="1"/>
  <c r="C26"/>
  <c r="M25"/>
  <c r="H25"/>
  <c r="J25" s="1"/>
  <c r="N25" s="1"/>
  <c r="C25"/>
  <c r="M24"/>
  <c r="H24"/>
  <c r="J24" s="1"/>
  <c r="N24" s="1"/>
  <c r="O24" s="1"/>
  <c r="C24"/>
  <c r="M23"/>
  <c r="H23"/>
  <c r="J23" s="1"/>
  <c r="N23" s="1"/>
  <c r="C23"/>
  <c r="M22"/>
  <c r="H22"/>
  <c r="J22" s="1"/>
  <c r="N22" s="1"/>
  <c r="F32"/>
  <c r="C22"/>
  <c r="M21"/>
  <c r="H21"/>
  <c r="J21" s="1"/>
  <c r="N21" s="1"/>
  <c r="C21"/>
  <c r="M20"/>
  <c r="H20"/>
  <c r="J20" s="1"/>
  <c r="N20" s="1"/>
  <c r="C20"/>
  <c r="M19"/>
  <c r="H19"/>
  <c r="J19" s="1"/>
  <c r="N19" s="1"/>
  <c r="O19" s="1"/>
  <c r="C19"/>
  <c r="M18"/>
  <c r="H18"/>
  <c r="J18" s="1"/>
  <c r="N18" s="1"/>
  <c r="C18"/>
  <c r="M17"/>
  <c r="H17"/>
  <c r="J17" s="1"/>
  <c r="N17" s="1"/>
  <c r="C17"/>
  <c r="M16"/>
  <c r="H16"/>
  <c r="J16" s="1"/>
  <c r="N16" s="1"/>
  <c r="C16"/>
  <c r="M15"/>
  <c r="H15"/>
  <c r="J15" s="1"/>
  <c r="N15" s="1"/>
  <c r="O15" s="1"/>
  <c r="C15"/>
  <c r="M14"/>
  <c r="H14"/>
  <c r="J14" s="1"/>
  <c r="N14" s="1"/>
  <c r="C14"/>
  <c r="M13"/>
  <c r="H13"/>
  <c r="J13" s="1"/>
  <c r="N13" s="1"/>
  <c r="C13"/>
  <c r="M12"/>
  <c r="H12"/>
  <c r="J12" s="1"/>
  <c r="N12" s="1"/>
  <c r="C12"/>
  <c r="M11"/>
  <c r="H11"/>
  <c r="J11" s="1"/>
  <c r="N11" s="1"/>
  <c r="O11" s="1"/>
  <c r="C11"/>
  <c r="M10"/>
  <c r="H10"/>
  <c r="J10" s="1"/>
  <c r="N10" s="1"/>
  <c r="C10"/>
  <c r="M9"/>
  <c r="H9"/>
  <c r="J9" s="1"/>
  <c r="N9" s="1"/>
  <c r="C9"/>
  <c r="M8"/>
  <c r="H8"/>
  <c r="J8" s="1"/>
  <c r="C8"/>
  <c r="M7"/>
  <c r="H7"/>
  <c r="J7" s="1"/>
  <c r="N7" s="1"/>
  <c r="O7" s="1"/>
  <c r="C7"/>
  <c r="H22" i="7"/>
  <c r="J22" s="1"/>
  <c r="N22" s="1"/>
  <c r="C34"/>
  <c r="D34" s="1"/>
  <c r="H34" s="1"/>
  <c r="C33"/>
  <c r="D33" s="1"/>
  <c r="H33" s="1"/>
  <c r="L32"/>
  <c r="L34" s="1"/>
  <c r="K32"/>
  <c r="I32"/>
  <c r="F32"/>
  <c r="C32"/>
  <c r="M31"/>
  <c r="H31"/>
  <c r="J31" s="1"/>
  <c r="N31" s="1"/>
  <c r="C31"/>
  <c r="M30"/>
  <c r="H30"/>
  <c r="J30" s="1"/>
  <c r="N30" s="1"/>
  <c r="C30"/>
  <c r="M29"/>
  <c r="H29"/>
  <c r="J29" s="1"/>
  <c r="N29" s="1"/>
  <c r="C29"/>
  <c r="M28"/>
  <c r="H28"/>
  <c r="J28" s="1"/>
  <c r="N28" s="1"/>
  <c r="C28"/>
  <c r="M27"/>
  <c r="H27"/>
  <c r="J27" s="1"/>
  <c r="N27" s="1"/>
  <c r="C27"/>
  <c r="M26"/>
  <c r="H26"/>
  <c r="J26" s="1"/>
  <c r="N26" s="1"/>
  <c r="C26"/>
  <c r="M25"/>
  <c r="H25"/>
  <c r="J25" s="1"/>
  <c r="N25" s="1"/>
  <c r="C25"/>
  <c r="M24"/>
  <c r="H24"/>
  <c r="J24" s="1"/>
  <c r="N24" s="1"/>
  <c r="C24"/>
  <c r="M23"/>
  <c r="H23"/>
  <c r="J23" s="1"/>
  <c r="N23" s="1"/>
  <c r="C23"/>
  <c r="M22"/>
  <c r="C22"/>
  <c r="M21"/>
  <c r="H21"/>
  <c r="J21" s="1"/>
  <c r="N21" s="1"/>
  <c r="C21"/>
  <c r="M20"/>
  <c r="H20"/>
  <c r="J20" s="1"/>
  <c r="N20" s="1"/>
  <c r="C20"/>
  <c r="M19"/>
  <c r="H19"/>
  <c r="J19" s="1"/>
  <c r="N19" s="1"/>
  <c r="C19"/>
  <c r="M18"/>
  <c r="H18"/>
  <c r="J18" s="1"/>
  <c r="N18" s="1"/>
  <c r="C18"/>
  <c r="M17"/>
  <c r="H17"/>
  <c r="J17" s="1"/>
  <c r="N17" s="1"/>
  <c r="C17"/>
  <c r="M16"/>
  <c r="H16"/>
  <c r="J16" s="1"/>
  <c r="N16" s="1"/>
  <c r="C16"/>
  <c r="M15"/>
  <c r="H15"/>
  <c r="J15" s="1"/>
  <c r="N15" s="1"/>
  <c r="C15"/>
  <c r="M14"/>
  <c r="H14"/>
  <c r="J14" s="1"/>
  <c r="N14" s="1"/>
  <c r="C14"/>
  <c r="M13"/>
  <c r="H13"/>
  <c r="J13" s="1"/>
  <c r="N13" s="1"/>
  <c r="C13"/>
  <c r="M12"/>
  <c r="H12"/>
  <c r="J12" s="1"/>
  <c r="N12" s="1"/>
  <c r="C12"/>
  <c r="M11"/>
  <c r="H11"/>
  <c r="J11" s="1"/>
  <c r="N11" s="1"/>
  <c r="C11"/>
  <c r="M10"/>
  <c r="H10"/>
  <c r="J10" s="1"/>
  <c r="N10" s="1"/>
  <c r="C10"/>
  <c r="M9"/>
  <c r="H9"/>
  <c r="J9" s="1"/>
  <c r="N9" s="1"/>
  <c r="C9"/>
  <c r="M8"/>
  <c r="H8"/>
  <c r="J8" s="1"/>
  <c r="N8" s="1"/>
  <c r="C8"/>
  <c r="M7"/>
  <c r="H7"/>
  <c r="C7"/>
  <c r="H32" i="8" l="1"/>
  <c r="M32"/>
  <c r="O18"/>
  <c r="P18" s="1"/>
  <c r="O20"/>
  <c r="P20" s="1"/>
  <c r="O13"/>
  <c r="P13" s="1"/>
  <c r="O16"/>
  <c r="P16" s="1"/>
  <c r="O30"/>
  <c r="P30" s="1"/>
  <c r="O31"/>
  <c r="P31" s="1"/>
  <c r="O9"/>
  <c r="P9" s="1"/>
  <c r="O10"/>
  <c r="P10" s="1"/>
  <c r="O12"/>
  <c r="P12" s="1"/>
  <c r="O26"/>
  <c r="P26" s="1"/>
  <c r="O27"/>
  <c r="P27" s="1"/>
  <c r="O29"/>
  <c r="P29" s="1"/>
  <c r="O17"/>
  <c r="P17" s="1"/>
  <c r="O14"/>
  <c r="P14" s="1"/>
  <c r="J32"/>
  <c r="N8"/>
  <c r="O21"/>
  <c r="P21" s="1"/>
  <c r="O22"/>
  <c r="P22" s="1"/>
  <c r="O23"/>
  <c r="P23" s="1"/>
  <c r="O25"/>
  <c r="P25" s="1"/>
  <c r="P7"/>
  <c r="P11"/>
  <c r="P15"/>
  <c r="P19"/>
  <c r="P24"/>
  <c r="P28"/>
  <c r="M32" i="7"/>
  <c r="H32"/>
  <c r="J7"/>
  <c r="J32" s="1"/>
  <c r="O13"/>
  <c r="P13" s="1"/>
  <c r="O24"/>
  <c r="P24" s="1"/>
  <c r="O8"/>
  <c r="P8" s="1"/>
  <c r="O18"/>
  <c r="P18" s="1"/>
  <c r="O19"/>
  <c r="P19" s="1"/>
  <c r="O29"/>
  <c r="P29" s="1"/>
  <c r="O12"/>
  <c r="P12" s="1"/>
  <c r="O17"/>
  <c r="P17" s="1"/>
  <c r="O22"/>
  <c r="P22" s="1"/>
  <c r="O23"/>
  <c r="P23" s="1"/>
  <c r="O28"/>
  <c r="P28" s="1"/>
  <c r="O10"/>
  <c r="P10" s="1"/>
  <c r="O11"/>
  <c r="P11" s="1"/>
  <c r="O16"/>
  <c r="P16" s="1"/>
  <c r="O21"/>
  <c r="P21" s="1"/>
  <c r="O26"/>
  <c r="P26" s="1"/>
  <c r="O27"/>
  <c r="P27" s="1"/>
  <c r="O9"/>
  <c r="P9" s="1"/>
  <c r="O14"/>
  <c r="P14" s="1"/>
  <c r="O15"/>
  <c r="P15" s="1"/>
  <c r="O20"/>
  <c r="P20" s="1"/>
  <c r="O25"/>
  <c r="P25" s="1"/>
  <c r="O30"/>
  <c r="P30" s="1"/>
  <c r="O31"/>
  <c r="P31" s="1"/>
  <c r="M7" i="6"/>
  <c r="O8" i="8" l="1"/>
  <c r="O32" s="1"/>
  <c r="N32"/>
  <c r="N7" i="7"/>
  <c r="J7" i="6"/>
  <c r="N7" s="1"/>
  <c r="C57"/>
  <c r="D57" s="1"/>
  <c r="H57" s="1"/>
  <c r="C56"/>
  <c r="D56" s="1"/>
  <c r="H56" s="1"/>
  <c r="M54"/>
  <c r="H54"/>
  <c r="J54" s="1"/>
  <c r="N54" s="1"/>
  <c r="C54"/>
  <c r="M53"/>
  <c r="J53"/>
  <c r="N53" s="1"/>
  <c r="O53" s="1"/>
  <c r="C53"/>
  <c r="M52"/>
  <c r="J52"/>
  <c r="N52" s="1"/>
  <c r="O52" s="1"/>
  <c r="C52"/>
  <c r="M51"/>
  <c r="C51"/>
  <c r="M50"/>
  <c r="J50"/>
  <c r="N50" s="1"/>
  <c r="O50" s="1"/>
  <c r="C50"/>
  <c r="M49"/>
  <c r="H49"/>
  <c r="J49" s="1"/>
  <c r="N49" s="1"/>
  <c r="O49" s="1"/>
  <c r="C49"/>
  <c r="M48"/>
  <c r="J48"/>
  <c r="N48" s="1"/>
  <c r="O48" s="1"/>
  <c r="C48"/>
  <c r="M47"/>
  <c r="H47"/>
  <c r="J47" s="1"/>
  <c r="N47" s="1"/>
  <c r="O47" s="1"/>
  <c r="C47"/>
  <c r="M46"/>
  <c r="H46"/>
  <c r="J46" s="1"/>
  <c r="N46" s="1"/>
  <c r="O46" s="1"/>
  <c r="C46"/>
  <c r="M45"/>
  <c r="H45"/>
  <c r="J45" s="1"/>
  <c r="N45" s="1"/>
  <c r="O45" s="1"/>
  <c r="C45"/>
  <c r="M35"/>
  <c r="H35"/>
  <c r="J35" s="1"/>
  <c r="N35" s="1"/>
  <c r="O35" s="1"/>
  <c r="C35"/>
  <c r="M30"/>
  <c r="H30"/>
  <c r="J30" s="1"/>
  <c r="C30"/>
  <c r="M29"/>
  <c r="J29"/>
  <c r="N29" s="1"/>
  <c r="O29" s="1"/>
  <c r="C29"/>
  <c r="M28"/>
  <c r="H28"/>
  <c r="J28" s="1"/>
  <c r="N28" s="1"/>
  <c r="O28" s="1"/>
  <c r="C28"/>
  <c r="M27"/>
  <c r="H27"/>
  <c r="J27" s="1"/>
  <c r="N27" s="1"/>
  <c r="O27" s="1"/>
  <c r="C27"/>
  <c r="M26"/>
  <c r="H26"/>
  <c r="J26" s="1"/>
  <c r="N26" s="1"/>
  <c r="O26" s="1"/>
  <c r="C26"/>
  <c r="M24"/>
  <c r="H24"/>
  <c r="J24" s="1"/>
  <c r="N24" s="1"/>
  <c r="O24" s="1"/>
  <c r="M22"/>
  <c r="H22"/>
  <c r="J22" s="1"/>
  <c r="N22" s="1"/>
  <c r="O22" s="1"/>
  <c r="C22"/>
  <c r="M21"/>
  <c r="J21"/>
  <c r="N21" s="1"/>
  <c r="O21" s="1"/>
  <c r="C21"/>
  <c r="M12"/>
  <c r="H12"/>
  <c r="J12" s="1"/>
  <c r="N12" s="1"/>
  <c r="C12"/>
  <c r="M11"/>
  <c r="H11"/>
  <c r="J11" s="1"/>
  <c r="N11" s="1"/>
  <c r="O11" s="1"/>
  <c r="C11"/>
  <c r="M10"/>
  <c r="J10"/>
  <c r="N10" s="1"/>
  <c r="O10" s="1"/>
  <c r="C10"/>
  <c r="M9"/>
  <c r="H9"/>
  <c r="C9"/>
  <c r="M8"/>
  <c r="C8"/>
  <c r="C7"/>
  <c r="N30" l="1"/>
  <c r="O30" s="1"/>
  <c r="Q30" s="1"/>
  <c r="O12"/>
  <c r="Q12" s="1"/>
  <c r="J9"/>
  <c r="N9" s="1"/>
  <c r="H55"/>
  <c r="D55" s="1"/>
  <c r="O54"/>
  <c r="O7"/>
  <c r="Q7" s="1"/>
  <c r="P8" i="8"/>
  <c r="P32" s="1"/>
  <c r="O7" i="7"/>
  <c r="O32" s="1"/>
  <c r="N32"/>
  <c r="Q22" i="6"/>
  <c r="Q28"/>
  <c r="Q45"/>
  <c r="Q53"/>
  <c r="Q11"/>
  <c r="Q48"/>
  <c r="Q52"/>
  <c r="Q21"/>
  <c r="Q27"/>
  <c r="Q35"/>
  <c r="Q46"/>
  <c r="Q50"/>
  <c r="M55"/>
  <c r="Q24"/>
  <c r="Q29"/>
  <c r="Q49"/>
  <c r="Q47"/>
  <c r="Q10"/>
  <c r="Q26"/>
  <c r="O9" l="1"/>
  <c r="N55"/>
  <c r="Q54"/>
  <c r="P7" i="7"/>
  <c r="P32" s="1"/>
  <c r="J8" i="6"/>
  <c r="Q9" l="1"/>
  <c r="Q55" s="1"/>
  <c r="O55"/>
  <c r="N8"/>
  <c r="O8" l="1"/>
  <c r="Q8" l="1"/>
  <c r="C55" l="1"/>
  <c r="J51"/>
  <c r="N51" l="1"/>
  <c r="J55"/>
  <c r="O51" l="1"/>
  <c r="Q51" l="1"/>
</calcChain>
</file>

<file path=xl/sharedStrings.xml><?xml version="1.0" encoding="utf-8"?>
<sst xmlns="http://schemas.openxmlformats.org/spreadsheetml/2006/main" count="196" uniqueCount="92">
  <si>
    <t>Наименование муниципального образования</t>
  </si>
  <si>
    <t>Коэффициент соотношения средней заработной платы работников муниципальных учреждений культуры и средней заработной платы в Архангельской области</t>
  </si>
  <si>
    <t>Планируемая в муниципальном образовании средняя заработная  плата работников муниципальных учреждений культуры,  тыс. рублей</t>
  </si>
  <si>
    <t>Коэффициент начислений на выплаты по оплате труда</t>
  </si>
  <si>
    <t>Количество месяцев  
в году</t>
  </si>
  <si>
    <t>4=2*3</t>
  </si>
  <si>
    <t>8=гр.4*гр.5*гр.6*гр.7</t>
  </si>
  <si>
    <t>10=гр.8-гр.9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</si>
  <si>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</si>
  <si>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</si>
  <si>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</si>
  <si>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</si>
  <si>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</si>
  <si>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</si>
  <si>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</si>
  <si>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</si>
  <si>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 xml:space="preserve">МО "Ленский муниципальный район" </t>
  </si>
  <si>
    <t xml:space="preserve">МО "Лешуконский муниципальный район" </t>
  </si>
  <si>
    <t xml:space="preserve">МО "Мезенский муниципальный район" 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</si>
  <si>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</si>
  <si>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</si>
  <si>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</si>
  <si>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</si>
  <si>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</si>
  <si>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</si>
  <si>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</si>
  <si>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</si>
  <si>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"Город Архангельск"</t>
  </si>
  <si>
    <t>МО "Город Северодвинск"</t>
  </si>
  <si>
    <t>МО "Котлас"</t>
  </si>
  <si>
    <t>МО "Город Новодвинск"</t>
  </si>
  <si>
    <t>МО "Город Коряжма"</t>
  </si>
  <si>
    <t>МО "Мирный"</t>
  </si>
  <si>
    <t>Итого</t>
  </si>
  <si>
    <t>Государственные учреждения культуры АО</t>
  </si>
  <si>
    <t>ВСЕГО</t>
  </si>
  <si>
    <t>Средняя заработная плата в Архангельской области на 2020 год (прогноз министерства экономического развития и конкурентной политики Архангельской области, учтенный при подготовке бюджета Архангельской области), тыс. рублей</t>
  </si>
  <si>
    <t>Н.В. Бакшеева</t>
  </si>
  <si>
    <t xml:space="preserve">Исполняющий обязанности министра культуры 
Архангельской области </t>
  </si>
  <si>
    <t>в том числе меры социальной поддержки, тыс. рублей</t>
  </si>
  <si>
    <t>Кузнецова Вероника Владимировна</t>
  </si>
  <si>
    <t>+7 (8182) 288-136</t>
  </si>
  <si>
    <t>15=13-14</t>
  </si>
  <si>
    <t xml:space="preserve"> Фонд оплаты труда с начислениями на 2020 год,  предусмотреннвй всего, тыс. руб.</t>
  </si>
  <si>
    <t>12а=гр.9+гр.12</t>
  </si>
  <si>
    <t xml:space="preserve">Расчет субсидий бюджетам муниципальных образований на повышение средней заработной платы работников муниципальных учреждений культуры на 2021 год
</t>
  </si>
  <si>
    <t>Планируемый фонд оплаты труда с начислениями по муниципальным работникам  культуры  на 2021 год, формируемый за счет всех источников финансирования, тыс. руб.</t>
  </si>
  <si>
    <t>Планируемый фонд оплаты труда с начислениями по муниципальным работникам  культуры  на 2021 год, формируемый за счет бюджета, тыс. руб.</t>
  </si>
  <si>
    <t xml:space="preserve"> Фонд оплаты труда с начислениями на 2021 год,  предусмотреннвй в бюджете, тыс. руб.</t>
  </si>
  <si>
    <t>13=гр.10-гр.12</t>
  </si>
  <si>
    <t xml:space="preserve">Объем субсидии на повышение средней заработной платы работников муниципальных учреждений культуры до уровня 99,6 процентов к средней заработной плате в Архангельской области, тыс. рублей за счет средств субсидии субъекта  </t>
  </si>
  <si>
    <t>Объем субсидии на повышение средней заработной платы работников муниципальных учреждений культуры до уровня 99,6 процентов к средней заработной плате в Архангельской области, тыс. рублей</t>
  </si>
  <si>
    <t>14=13* % софин. (138-пп)</t>
  </si>
  <si>
    <t>Приложение № 3
к письму министерства культуры
Архангельской области
от ___ августа 2020 года № 407-05/______</t>
  </si>
  <si>
    <t xml:space="preserve">Расчет субсидий бюджетам муниципальных образований на повышение средней заработной платы работников муниципальных учреждений культуры на 2022 год
</t>
  </si>
  <si>
    <t>Численность работников муниципальных учреждений культуры, работающих на территории муниципального образования (за 7 месяцев 2020 года), человек</t>
  </si>
  <si>
    <t>Планируемый фонд оплаты труда с начислениями по муниципальным работникам  культуры  на 2022 год, формируемый за счет всех источников финансирования, тыс. руб.</t>
  </si>
  <si>
    <t>Планируемый фонд оплаты труда с начислениями по муниципальным работникам  культуры  на 2022 год, формируемый за счет бюджета, тыс. руб.</t>
  </si>
  <si>
    <t xml:space="preserve"> Фонд оплаты труда с начислениями на 2022 год,  предусмотреннвй в бюджете, тыс. руб.</t>
  </si>
  <si>
    <t xml:space="preserve">Расчет субсидий бюджетам муниципальных образований на повышение средней заработной платы работников муниципальных учреждений культуры на 2023 год
</t>
  </si>
  <si>
    <t>Внебюджет 2021 года, тыс. рублей, индексированный на 6,0 процентов</t>
  </si>
  <si>
    <t>Внебюджет 2022 года, тыс. рублей, индексированный на 6,7 процентов</t>
  </si>
  <si>
    <t>Планируемый фонд оплаты труда с начислениями по муниципальным работникам  культуры  на 2023 год, формируемый за счет всех источников финансирования, тыс. руб.</t>
  </si>
  <si>
    <t>Планируемый фонд оплаты труда с начислениями по муниципальным работникам  культуры  на 2023 год, формируемый за счет бюджета, тыс. руб.</t>
  </si>
  <si>
    <t xml:space="preserve"> Фонд оплаты труда с начислениями на 2023 год,  предусмотреннвй в бюджете, тыс. руб.</t>
  </si>
  <si>
    <t>Приложение № 4
к письму министерства культуры
Архангельской области
от ___ августа 2020 года № 407-05/______</t>
  </si>
  <si>
    <t>Внебюджет 2019 года</t>
  </si>
  <si>
    <t>14а</t>
  </si>
  <si>
    <t>Процент софинансирования муниципальных образований согласн постановлению Правительства от 24.03.2020 № 138-пп</t>
  </si>
  <si>
    <t>МО "Коношское"</t>
  </si>
  <si>
    <t>МО "Волошское"</t>
  </si>
  <si>
    <t>МО "Вохтомское"</t>
  </si>
  <si>
    <t>МО "Ерцевское"</t>
  </si>
  <si>
    <t>МО "Климовское"</t>
  </si>
  <si>
    <t>МО "Подюжское"</t>
  </si>
  <si>
    <t>МО "Тавреньгское"</t>
  </si>
  <si>
    <t>МО "Урдомское"</t>
  </si>
  <si>
    <t>МО "Черевковское"</t>
  </si>
  <si>
    <t>МО "Кенозерское"</t>
  </si>
  <si>
    <t>МО "Коневское"</t>
  </si>
  <si>
    <t>МО "Обозерское"</t>
  </si>
  <si>
    <t>МО "Оксовское"</t>
  </si>
  <si>
    <t>МО "Плесецкое"</t>
  </si>
  <si>
    <t xml:space="preserve"> МО "Савинское"</t>
  </si>
  <si>
    <t xml:space="preserve"> МО "Самодедское"</t>
  </si>
  <si>
    <t>МО "Североонежское"</t>
  </si>
  <si>
    <t>МО "Федовское"</t>
  </si>
  <si>
    <t xml:space="preserve">  МО "Карпогорское"</t>
  </si>
  <si>
    <t>МО "Пинежское"</t>
  </si>
  <si>
    <t>МО "Сийское"</t>
  </si>
  <si>
    <t>МО Шилегское"</t>
  </si>
  <si>
    <t xml:space="preserve">                                                 Приложение № 22
                                                 к пояснительнной записке</t>
  </si>
</sst>
</file>

<file path=xl/styles.xml><?xml version="1.0" encoding="utf-8"?>
<styleSheet xmlns="http://schemas.openxmlformats.org/spreadsheetml/2006/main">
  <numFmts count="16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00_р_._-;\-* #,##0.0000_р_._-;_-* &quot;-&quot;??_р_._-;_-@_-"/>
    <numFmt numFmtId="166" formatCode="_-* #,##0.000_р_._-;\-* #,##0.000_р_._-;_-* &quot;-&quot;??_р_._-;_-@_-"/>
    <numFmt numFmtId="167" formatCode="_-* #,##0.000_р_._-;\-* #,##0.000_р_._-;_-* &quot;-&quot;?_р_._-;_-@_-"/>
    <numFmt numFmtId="168" formatCode="_-* #,##0.0_р_._-;\-* #,##0.0_р_._-;_-* &quot;-&quot;??_р_._-;_-@_-"/>
    <numFmt numFmtId="169" formatCode="#,##0.0"/>
    <numFmt numFmtId="170" formatCode="_-* #,##0.0_р_._-;\-* #,##0.0_р_._-;_-* &quot;-&quot;?_р_._-;_-@_-"/>
    <numFmt numFmtId="171" formatCode="_-* #,##0.00_р_._-;\-* #,##0.00_р_._-;_-* &quot;-&quot;?_р_._-;_-@_-"/>
    <numFmt numFmtId="172" formatCode="_-* #,##0.0\ _₽_-;\-* #,##0.0\ _₽_-;_-* &quot;-&quot;?\ _₽_-;_-@_-"/>
    <numFmt numFmtId="173" formatCode="_-* #,##0.000\ _₽_-;\-* #,##0.000\ _₽_-;_-* &quot;-&quot;???\ _₽_-;_-@_-"/>
    <numFmt numFmtId="174" formatCode="_-* #,##0.00000_р_._-;\-* #,##0.00000_р_._-;_-* &quot;-&quot;??_р_._-;_-@_-"/>
    <numFmt numFmtId="175" formatCode="_-* #,##0.00000_р_._-;\-* #,##0.00000_р_._-;_-* &quot;-&quot;?_р_._-;_-@_-"/>
    <numFmt numFmtId="176" formatCode="&quot;Да&quot;;&quot;Да&quot;;&quot;Нет&quot;"/>
    <numFmt numFmtId="177" formatCode="_-* #,##0.0000_р_._-;\-* #,##0.0000_р_._-;_-* &quot;-&quot;?_р_._-;_-@_-"/>
    <numFmt numFmtId="178" formatCode="_-* #,##0.000000\ _₽_-;\-* #,##0.000000\ _₽_-;_-* &quot;-&quot;??\ _₽_-;_-@_-"/>
  </numFmts>
  <fonts count="28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Arial"/>
      <family val="2"/>
      <charset val="204"/>
    </font>
    <font>
      <sz val="12"/>
      <name val="Arial Cyr"/>
      <charset val="204"/>
    </font>
    <font>
      <b/>
      <sz val="12"/>
      <color indexed="8"/>
      <name val="Arial"/>
      <family val="2"/>
      <charset val="204"/>
    </font>
    <font>
      <sz val="11"/>
      <color indexed="8"/>
      <name val="Times New Roman CYR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6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</font>
    <font>
      <sz val="12"/>
      <color theme="0"/>
      <name val="Calibri"/>
      <family val="2"/>
      <charset val="204"/>
    </font>
    <font>
      <sz val="14"/>
      <color theme="0"/>
      <name val="Calibri"/>
      <family val="2"/>
      <charset val="204"/>
    </font>
    <font>
      <sz val="12"/>
      <name val="Calibri"/>
      <family val="2"/>
      <charset val="204"/>
    </font>
    <font>
      <sz val="16"/>
      <name val="Times New Roman"/>
      <family val="1"/>
      <charset val="204"/>
    </font>
    <font>
      <sz val="11"/>
      <name val="Times New Roman CYR"/>
      <family val="1"/>
      <charset val="204"/>
    </font>
    <font>
      <sz val="16"/>
      <color theme="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0" fontId="1" fillId="0" borderId="0"/>
    <xf numFmtId="176" fontId="17" fillId="0" borderId="0" applyBorder="0" applyProtection="0"/>
    <xf numFmtId="0" fontId="19" fillId="0" borderId="0"/>
  </cellStyleXfs>
  <cellXfs count="138">
    <xf numFmtId="0" fontId="0" fillId="0" borderId="0" xfId="0"/>
    <xf numFmtId="0" fontId="2" fillId="0" borderId="0" xfId="2" applyFont="1"/>
    <xf numFmtId="0" fontId="1" fillId="0" borderId="0" xfId="2"/>
    <xf numFmtId="0" fontId="4" fillId="0" borderId="0" xfId="2" applyFont="1" applyAlignment="1">
      <alignment horizontal="left" wrapText="1"/>
    </xf>
    <xf numFmtId="0" fontId="4" fillId="0" borderId="0" xfId="2" applyFont="1" applyAlignment="1">
      <alignment horizontal="left"/>
    </xf>
    <xf numFmtId="0" fontId="3" fillId="2" borderId="2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" fillId="2" borderId="2" xfId="2" applyFont="1" applyFill="1" applyBorder="1" applyAlignment="1">
      <alignment horizontal="left" vertical="center" indent="1"/>
    </xf>
    <xf numFmtId="166" fontId="6" fillId="2" borderId="2" xfId="1" applyNumberFormat="1" applyFont="1" applyFill="1" applyBorder="1" applyAlignment="1">
      <alignment horizontal="center"/>
    </xf>
    <xf numFmtId="167" fontId="3" fillId="2" borderId="2" xfId="2" applyNumberFormat="1" applyFont="1" applyFill="1" applyBorder="1" applyAlignment="1">
      <alignment horizontal="center" vertical="center"/>
    </xf>
    <xf numFmtId="168" fontId="6" fillId="2" borderId="2" xfId="1" applyNumberFormat="1" applyFont="1" applyFill="1" applyBorder="1" applyAlignment="1">
      <alignment horizontal="center"/>
    </xf>
    <xf numFmtId="169" fontId="6" fillId="2" borderId="2" xfId="0" applyNumberFormat="1" applyFont="1" applyFill="1" applyBorder="1" applyAlignment="1">
      <alignment horizontal="center"/>
    </xf>
    <xf numFmtId="168" fontId="3" fillId="2" borderId="2" xfId="1" applyNumberFormat="1" applyFont="1" applyFill="1" applyBorder="1"/>
    <xf numFmtId="170" fontId="3" fillId="2" borderId="2" xfId="2" applyNumberFormat="1" applyFont="1" applyFill="1" applyBorder="1" applyAlignment="1">
      <alignment horizontal="center" vertical="center"/>
    </xf>
    <xf numFmtId="0" fontId="1" fillId="2" borderId="0" xfId="2" applyFill="1"/>
    <xf numFmtId="0" fontId="6" fillId="2" borderId="2" xfId="2" applyFont="1" applyFill="1" applyBorder="1" applyAlignment="1">
      <alignment horizontal="left" vertical="center" indent="1"/>
    </xf>
    <xf numFmtId="167" fontId="6" fillId="2" borderId="2" xfId="2" applyNumberFormat="1" applyFont="1" applyFill="1" applyBorder="1" applyAlignment="1">
      <alignment horizontal="center" vertical="center"/>
    </xf>
    <xf numFmtId="0" fontId="9" fillId="2" borderId="0" xfId="2" applyFont="1" applyFill="1"/>
    <xf numFmtId="0" fontId="10" fillId="2" borderId="2" xfId="2" applyFont="1" applyFill="1" applyBorder="1" applyAlignment="1">
      <alignment horizontal="left" vertical="center" indent="1"/>
    </xf>
    <xf numFmtId="167" fontId="10" fillId="2" borderId="2" xfId="2" applyNumberFormat="1" applyFont="1" applyFill="1" applyBorder="1" applyAlignment="1">
      <alignment horizontal="center" vertical="center"/>
    </xf>
    <xf numFmtId="170" fontId="10" fillId="2" borderId="2" xfId="2" applyNumberFormat="1" applyFont="1" applyFill="1" applyBorder="1" applyAlignment="1">
      <alignment horizontal="center" vertical="center"/>
    </xf>
    <xf numFmtId="169" fontId="10" fillId="2" borderId="2" xfId="2" applyNumberFormat="1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left" vertical="center" indent="1"/>
    </xf>
    <xf numFmtId="167" fontId="11" fillId="2" borderId="5" xfId="2" applyNumberFormat="1" applyFont="1" applyFill="1" applyBorder="1" applyAlignment="1">
      <alignment horizontal="center" vertical="center"/>
    </xf>
    <xf numFmtId="165" fontId="12" fillId="2" borderId="5" xfId="1" applyNumberFormat="1" applyFont="1" applyFill="1" applyBorder="1" applyAlignment="1">
      <alignment horizontal="center"/>
    </xf>
    <xf numFmtId="171" fontId="11" fillId="2" borderId="5" xfId="2" applyNumberFormat="1" applyFont="1" applyFill="1" applyBorder="1" applyAlignment="1">
      <alignment horizontal="center" vertical="center"/>
    </xf>
    <xf numFmtId="170" fontId="11" fillId="2" borderId="5" xfId="2" applyNumberFormat="1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left" vertical="center" indent="1"/>
    </xf>
    <xf numFmtId="166" fontId="13" fillId="2" borderId="2" xfId="1" applyNumberFormat="1" applyFont="1" applyFill="1" applyBorder="1" applyAlignment="1">
      <alignment horizontal="left" vertical="center" indent="1"/>
    </xf>
    <xf numFmtId="165" fontId="13" fillId="2" borderId="2" xfId="1" applyNumberFormat="1" applyFont="1" applyFill="1" applyBorder="1" applyAlignment="1">
      <alignment horizontal="left" vertical="center" indent="1"/>
    </xf>
    <xf numFmtId="165" fontId="13" fillId="2" borderId="1" xfId="1" applyNumberFormat="1" applyFont="1" applyFill="1" applyBorder="1" applyAlignment="1">
      <alignment horizontal="left" vertical="center" indent="1"/>
    </xf>
    <xf numFmtId="171" fontId="13" fillId="2" borderId="5" xfId="2" applyNumberFormat="1" applyFont="1" applyFill="1" applyBorder="1" applyAlignment="1">
      <alignment horizontal="center" vertical="center"/>
    </xf>
    <xf numFmtId="172" fontId="13" fillId="2" borderId="2" xfId="2" applyNumberFormat="1" applyFont="1" applyFill="1" applyBorder="1" applyAlignment="1">
      <alignment horizontal="left" vertical="center" indent="1"/>
    </xf>
    <xf numFmtId="0" fontId="14" fillId="2" borderId="0" xfId="2" applyFont="1" applyFill="1"/>
    <xf numFmtId="0" fontId="15" fillId="2" borderId="0" xfId="2" applyFont="1" applyFill="1"/>
    <xf numFmtId="173" fontId="15" fillId="2" borderId="0" xfId="2" applyNumberFormat="1" applyFont="1" applyFill="1"/>
    <xf numFmtId="174" fontId="6" fillId="2" borderId="2" xfId="1" applyNumberFormat="1" applyFont="1" applyFill="1" applyBorder="1" applyAlignment="1">
      <alignment horizontal="center"/>
    </xf>
    <xf numFmtId="175" fontId="10" fillId="2" borderId="2" xfId="2" applyNumberFormat="1" applyFont="1" applyFill="1" applyBorder="1" applyAlignment="1">
      <alignment horizontal="center" vertical="center"/>
    </xf>
    <xf numFmtId="168" fontId="16" fillId="2" borderId="2" xfId="1" applyNumberFormat="1" applyFont="1" applyFill="1" applyBorder="1" applyAlignment="1">
      <alignment horizontal="center"/>
    </xf>
    <xf numFmtId="0" fontId="1" fillId="0" borderId="6" xfId="2" applyBorder="1"/>
    <xf numFmtId="169" fontId="1" fillId="2" borderId="0" xfId="2" applyNumberFormat="1" applyFill="1"/>
    <xf numFmtId="171" fontId="13" fillId="2" borderId="1" xfId="2" applyNumberFormat="1" applyFont="1" applyFill="1" applyBorder="1" applyAlignment="1">
      <alignment horizontal="center" vertical="center"/>
    </xf>
    <xf numFmtId="0" fontId="3" fillId="0" borderId="0" xfId="2" applyFont="1" applyAlignment="1">
      <alignment wrapText="1"/>
    </xf>
    <xf numFmtId="4" fontId="10" fillId="2" borderId="2" xfId="2" applyNumberFormat="1" applyFont="1" applyFill="1" applyBorder="1" applyAlignment="1">
      <alignment horizontal="center" vertical="center"/>
    </xf>
    <xf numFmtId="171" fontId="10" fillId="2" borderId="2" xfId="2" applyNumberFormat="1" applyFont="1" applyFill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174" fontId="3" fillId="2" borderId="2" xfId="1" applyNumberFormat="1" applyFont="1" applyFill="1" applyBorder="1" applyAlignment="1">
      <alignment horizontal="center"/>
    </xf>
    <xf numFmtId="0" fontId="3" fillId="2" borderId="0" xfId="2" applyFont="1" applyFill="1"/>
    <xf numFmtId="49" fontId="3" fillId="2" borderId="0" xfId="2" applyNumberFormat="1" applyFont="1" applyFill="1"/>
    <xf numFmtId="0" fontId="2" fillId="0" borderId="0" xfId="2" applyFont="1" applyFill="1"/>
    <xf numFmtId="0" fontId="3" fillId="0" borderId="0" xfId="2" applyFont="1" applyFill="1" applyAlignment="1">
      <alignment wrapText="1"/>
    </xf>
    <xf numFmtId="0" fontId="1" fillId="0" borderId="0" xfId="2" applyFill="1"/>
    <xf numFmtId="0" fontId="4" fillId="0" borderId="0" xfId="2" applyFont="1" applyFill="1" applyAlignment="1">
      <alignment horizontal="left" wrapText="1"/>
    </xf>
    <xf numFmtId="0" fontId="4" fillId="0" borderId="0" xfId="2" applyFont="1" applyFill="1" applyAlignment="1">
      <alignment horizontal="left"/>
    </xf>
    <xf numFmtId="0" fontId="3" fillId="0" borderId="2" xfId="2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center" vertical="center" wrapText="1"/>
    </xf>
    <xf numFmtId="0" fontId="3" fillId="0" borderId="2" xfId="2" applyFont="1" applyFill="1" applyBorder="1" applyAlignment="1">
      <alignment horizontal="left" vertical="center" indent="1"/>
    </xf>
    <xf numFmtId="174" fontId="3" fillId="0" borderId="2" xfId="1" applyNumberFormat="1" applyFont="1" applyFill="1" applyBorder="1" applyAlignment="1">
      <alignment horizontal="center"/>
    </xf>
    <xf numFmtId="166" fontId="6" fillId="0" borderId="2" xfId="1" applyNumberFormat="1" applyFont="1" applyFill="1" applyBorder="1" applyAlignment="1">
      <alignment horizontal="center"/>
    </xf>
    <xf numFmtId="174" fontId="6" fillId="0" borderId="2" xfId="1" applyNumberFormat="1" applyFont="1" applyFill="1" applyBorder="1" applyAlignment="1">
      <alignment horizontal="center"/>
    </xf>
    <xf numFmtId="167" fontId="3" fillId="0" borderId="2" xfId="2" applyNumberFormat="1" applyFont="1" applyFill="1" applyBorder="1" applyAlignment="1">
      <alignment horizontal="center" vertical="center"/>
    </xf>
    <xf numFmtId="168" fontId="16" fillId="0" borderId="2" xfId="1" applyNumberFormat="1" applyFont="1" applyFill="1" applyBorder="1" applyAlignment="1">
      <alignment horizontal="center"/>
    </xf>
    <xf numFmtId="168" fontId="6" fillId="0" borderId="2" xfId="1" applyNumberFormat="1" applyFont="1" applyFill="1" applyBorder="1" applyAlignment="1">
      <alignment horizontal="center"/>
    </xf>
    <xf numFmtId="169" fontId="6" fillId="0" borderId="2" xfId="0" applyNumberFormat="1" applyFont="1" applyFill="1" applyBorder="1" applyAlignment="1">
      <alignment horizontal="center"/>
    </xf>
    <xf numFmtId="168" fontId="3" fillId="0" borderId="2" xfId="1" applyNumberFormat="1" applyFont="1" applyFill="1" applyBorder="1"/>
    <xf numFmtId="170" fontId="3" fillId="0" borderId="2" xfId="2" applyNumberFormat="1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left" vertical="center" indent="1"/>
    </xf>
    <xf numFmtId="174" fontId="10" fillId="0" borderId="2" xfId="1" applyNumberFormat="1" applyFont="1" applyFill="1" applyBorder="1" applyAlignment="1">
      <alignment horizontal="center"/>
    </xf>
    <xf numFmtId="166" fontId="5" fillId="0" borderId="2" xfId="1" applyNumberFormat="1" applyFont="1" applyFill="1" applyBorder="1" applyAlignment="1">
      <alignment horizontal="center"/>
    </xf>
    <xf numFmtId="174" fontId="5" fillId="0" borderId="2" xfId="1" applyNumberFormat="1" applyFont="1" applyFill="1" applyBorder="1" applyAlignment="1">
      <alignment horizontal="center"/>
    </xf>
    <xf numFmtId="167" fontId="10" fillId="0" borderId="2" xfId="2" applyNumberFormat="1" applyFont="1" applyFill="1" applyBorder="1" applyAlignment="1">
      <alignment horizontal="center" vertical="center"/>
    </xf>
    <xf numFmtId="168" fontId="27" fillId="0" borderId="2" xfId="1" applyNumberFormat="1" applyFont="1" applyFill="1" applyBorder="1" applyAlignment="1">
      <alignment horizontal="center"/>
    </xf>
    <xf numFmtId="168" fontId="5" fillId="0" borderId="2" xfId="1" applyNumberFormat="1" applyFont="1" applyFill="1" applyBorder="1" applyAlignment="1">
      <alignment horizontal="center"/>
    </xf>
    <xf numFmtId="169" fontId="5" fillId="0" borderId="2" xfId="0" applyNumberFormat="1" applyFont="1" applyFill="1" applyBorder="1" applyAlignment="1">
      <alignment horizontal="center"/>
    </xf>
    <xf numFmtId="168" fontId="10" fillId="0" borderId="2" xfId="1" applyNumberFormat="1" applyFont="1" applyFill="1" applyBorder="1"/>
    <xf numFmtId="170" fontId="10" fillId="0" borderId="2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left" vertical="center" indent="1"/>
    </xf>
    <xf numFmtId="167" fontId="6" fillId="0" borderId="2" xfId="2" applyNumberFormat="1" applyFont="1" applyFill="1" applyBorder="1" applyAlignment="1">
      <alignment horizontal="center" vertical="center"/>
    </xf>
    <xf numFmtId="0" fontId="9" fillId="0" borderId="0" xfId="2" applyFont="1" applyFill="1"/>
    <xf numFmtId="0" fontId="3" fillId="0" borderId="2" xfId="2" applyNumberFormat="1" applyFont="1" applyFill="1" applyBorder="1" applyAlignment="1">
      <alignment horizontal="left" vertical="center" wrapText="1"/>
    </xf>
    <xf numFmtId="164" fontId="16" fillId="0" borderId="2" xfId="1" applyNumberFormat="1" applyFont="1" applyFill="1" applyBorder="1" applyAlignment="1">
      <alignment horizontal="center"/>
    </xf>
    <xf numFmtId="171" fontId="3" fillId="0" borderId="2" xfId="2" applyNumberFormat="1" applyFont="1" applyFill="1" applyBorder="1" applyAlignment="1">
      <alignment horizontal="center" vertical="center"/>
    </xf>
    <xf numFmtId="177" fontId="10" fillId="0" borderId="2" xfId="2" applyNumberFormat="1" applyFont="1" applyFill="1" applyBorder="1" applyAlignment="1">
      <alignment horizontal="center" vertical="center"/>
    </xf>
    <xf numFmtId="175" fontId="10" fillId="0" borderId="2" xfId="2" applyNumberFormat="1" applyFont="1" applyFill="1" applyBorder="1" applyAlignment="1">
      <alignment horizontal="center" vertical="center"/>
    </xf>
    <xf numFmtId="171" fontId="10" fillId="0" borderId="2" xfId="2" applyNumberFormat="1" applyFont="1" applyFill="1" applyBorder="1" applyAlignment="1">
      <alignment horizontal="center" vertical="center"/>
    </xf>
    <xf numFmtId="169" fontId="10" fillId="0" borderId="2" xfId="2" applyNumberFormat="1" applyFont="1" applyFill="1" applyBorder="1" applyAlignment="1">
      <alignment horizontal="center" vertical="center"/>
    </xf>
    <xf numFmtId="4" fontId="10" fillId="0" borderId="2" xfId="2" applyNumberFormat="1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left" vertical="center" indent="1"/>
    </xf>
    <xf numFmtId="167" fontId="11" fillId="0" borderId="5" xfId="2" applyNumberFormat="1" applyFont="1" applyFill="1" applyBorder="1" applyAlignment="1">
      <alignment horizontal="center" vertical="center"/>
    </xf>
    <xf numFmtId="165" fontId="12" fillId="0" borderId="5" xfId="1" applyNumberFormat="1" applyFont="1" applyFill="1" applyBorder="1" applyAlignment="1">
      <alignment horizontal="center"/>
    </xf>
    <xf numFmtId="171" fontId="11" fillId="0" borderId="5" xfId="2" applyNumberFormat="1" applyFont="1" applyFill="1" applyBorder="1" applyAlignment="1">
      <alignment horizontal="center" vertical="center"/>
    </xf>
    <xf numFmtId="170" fontId="11" fillId="0" borderId="5" xfId="2" applyNumberFormat="1" applyFont="1" applyFill="1" applyBorder="1" applyAlignment="1">
      <alignment horizontal="center" vertical="center"/>
    </xf>
    <xf numFmtId="0" fontId="13" fillId="0" borderId="2" xfId="2" applyFont="1" applyFill="1" applyBorder="1" applyAlignment="1">
      <alignment horizontal="left" vertical="center" indent="1"/>
    </xf>
    <xf numFmtId="166" fontId="13" fillId="0" borderId="2" xfId="1" applyNumberFormat="1" applyFont="1" applyFill="1" applyBorder="1" applyAlignment="1">
      <alignment horizontal="left" vertical="center" indent="1"/>
    </xf>
    <xf numFmtId="165" fontId="13" fillId="0" borderId="2" xfId="1" applyNumberFormat="1" applyFont="1" applyFill="1" applyBorder="1" applyAlignment="1">
      <alignment horizontal="left" vertical="center" indent="1"/>
    </xf>
    <xf numFmtId="165" fontId="13" fillId="0" borderId="1" xfId="1" applyNumberFormat="1" applyFont="1" applyFill="1" applyBorder="1" applyAlignment="1">
      <alignment horizontal="left" vertical="center" indent="1"/>
    </xf>
    <xf numFmtId="171" fontId="13" fillId="0" borderId="5" xfId="2" applyNumberFormat="1" applyFont="1" applyFill="1" applyBorder="1" applyAlignment="1">
      <alignment horizontal="center" vertical="center"/>
    </xf>
    <xf numFmtId="171" fontId="13" fillId="0" borderId="1" xfId="2" applyNumberFormat="1" applyFont="1" applyFill="1" applyBorder="1" applyAlignment="1">
      <alignment horizontal="center" vertical="center"/>
    </xf>
    <xf numFmtId="172" fontId="13" fillId="0" borderId="2" xfId="2" applyNumberFormat="1" applyFont="1" applyFill="1" applyBorder="1" applyAlignment="1">
      <alignment horizontal="left" vertical="center" indent="1"/>
    </xf>
    <xf numFmtId="0" fontId="25" fillId="0" borderId="0" xfId="2" applyFont="1" applyFill="1"/>
    <xf numFmtId="0" fontId="20" fillId="0" borderId="0" xfId="2" applyFont="1" applyFill="1"/>
    <xf numFmtId="0" fontId="23" fillId="0" borderId="0" xfId="2" applyFont="1" applyFill="1"/>
    <xf numFmtId="0" fontId="21" fillId="0" borderId="0" xfId="2" applyFont="1" applyFill="1"/>
    <xf numFmtId="173" fontId="21" fillId="0" borderId="0" xfId="2" applyNumberFormat="1" applyFont="1" applyFill="1"/>
    <xf numFmtId="0" fontId="15" fillId="0" borderId="0" xfId="2" applyFont="1" applyFill="1"/>
    <xf numFmtId="0" fontId="6" fillId="0" borderId="0" xfId="2" applyFont="1" applyFill="1"/>
    <xf numFmtId="0" fontId="9" fillId="0" borderId="0" xfId="2" applyFont="1" applyFill="1" applyBorder="1"/>
    <xf numFmtId="0" fontId="20" fillId="0" borderId="0" xfId="2" applyFont="1" applyFill="1" applyBorder="1"/>
    <xf numFmtId="0" fontId="21" fillId="0" borderId="0" xfId="2" applyFont="1" applyFill="1" applyBorder="1"/>
    <xf numFmtId="169" fontId="20" fillId="0" borderId="0" xfId="2" applyNumberFormat="1" applyFont="1" applyFill="1" applyBorder="1"/>
    <xf numFmtId="49" fontId="6" fillId="0" borderId="0" xfId="2" applyNumberFormat="1" applyFont="1" applyFill="1"/>
    <xf numFmtId="178" fontId="20" fillId="0" borderId="0" xfId="2" applyNumberFormat="1" applyFont="1" applyFill="1" applyBorder="1"/>
    <xf numFmtId="43" fontId="20" fillId="0" borderId="0" xfId="2" applyNumberFormat="1" applyFont="1" applyFill="1" applyBorder="1"/>
    <xf numFmtId="0" fontId="22" fillId="0" borderId="0" xfId="2" applyFont="1" applyFill="1" applyBorder="1"/>
    <xf numFmtId="0" fontId="20" fillId="0" borderId="6" xfId="2" applyFont="1" applyFill="1" applyBorder="1"/>
    <xf numFmtId="0" fontId="3" fillId="0" borderId="0" xfId="2" applyFont="1" applyFill="1" applyAlignment="1">
      <alignment horizontal="left" wrapText="1"/>
    </xf>
    <xf numFmtId="0" fontId="3" fillId="0" borderId="0" xfId="2" applyFont="1" applyFill="1" applyAlignment="1">
      <alignment horizontal="left" vertical="center" wrapText="1"/>
    </xf>
    <xf numFmtId="0" fontId="3" fillId="0" borderId="0" xfId="2" applyFont="1" applyFill="1" applyAlignment="1">
      <alignment horizontal="left" vertical="center"/>
    </xf>
    <xf numFmtId="0" fontId="3" fillId="0" borderId="2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16" fillId="0" borderId="3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24" fillId="0" borderId="0" xfId="2" applyFont="1" applyFill="1" applyAlignment="1">
      <alignment horizontal="left" wrapText="1"/>
    </xf>
    <xf numFmtId="0" fontId="26" fillId="0" borderId="0" xfId="2" applyFont="1" applyFill="1" applyAlignment="1">
      <alignment horizontal="left"/>
    </xf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left"/>
    </xf>
    <xf numFmtId="0" fontId="3" fillId="0" borderId="2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18" fillId="0" borderId="0" xfId="2" applyFont="1" applyAlignment="1">
      <alignment horizontal="left" wrapText="1"/>
    </xf>
    <xf numFmtId="0" fontId="18" fillId="0" borderId="0" xfId="2" applyFont="1" applyAlignment="1">
      <alignment horizontal="left"/>
    </xf>
  </cellXfs>
  <cellStyles count="5">
    <cellStyle name="Excel Built-in Normal" xfId="3"/>
    <cellStyle name="Обычный" xfId="0" builtinId="0"/>
    <cellStyle name="Обычный 2" xfId="4"/>
    <cellStyle name="Обычный 3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71"/>
  <sheetViews>
    <sheetView tabSelected="1" view="pageBreakPreview" zoomScale="70" zoomScaleNormal="7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4" sqref="F4:F5"/>
    </sheetView>
  </sheetViews>
  <sheetFormatPr defaultRowHeight="15"/>
  <cols>
    <col min="1" max="1" width="68.7109375" style="51" customWidth="1"/>
    <col min="2" max="2" width="25.85546875" style="51" customWidth="1"/>
    <col min="3" max="3" width="18.28515625" style="51" customWidth="1"/>
    <col min="4" max="4" width="18" style="51" customWidth="1"/>
    <col min="5" max="5" width="12" style="51" customWidth="1"/>
    <col min="6" max="6" width="19.7109375" style="51" customWidth="1"/>
    <col min="7" max="7" width="11.5703125" style="51" customWidth="1"/>
    <col min="8" max="8" width="21.42578125" style="51" customWidth="1"/>
    <col min="9" max="9" width="16.5703125" style="51" customWidth="1"/>
    <col min="10" max="10" width="23.28515625" style="51" customWidth="1"/>
    <col min="11" max="11" width="15.28515625" style="51" customWidth="1"/>
    <col min="12" max="12" width="18.28515625" style="51" customWidth="1"/>
    <col min="13" max="13" width="22.42578125" style="51" hidden="1" customWidth="1"/>
    <col min="14" max="14" width="22.5703125" style="51" customWidth="1"/>
    <col min="15" max="15" width="24.85546875" style="51" customWidth="1"/>
    <col min="16" max="16" width="16.42578125" style="51" customWidth="1"/>
    <col min="17" max="17" width="21.42578125" style="51" customWidth="1"/>
    <col min="18" max="16384" width="9.140625" style="51"/>
  </cols>
  <sheetData>
    <row r="1" spans="1:17" ht="42" customHeight="1">
      <c r="A1" s="49"/>
      <c r="B1" s="49"/>
      <c r="C1" s="49"/>
      <c r="D1" s="49"/>
      <c r="E1" s="49"/>
      <c r="F1" s="49"/>
      <c r="G1" s="49"/>
      <c r="H1" s="50"/>
      <c r="I1" s="50"/>
      <c r="J1" s="50"/>
      <c r="K1" s="50"/>
      <c r="L1" s="115"/>
      <c r="M1" s="115"/>
      <c r="N1" s="115"/>
      <c r="O1" s="116" t="s">
        <v>91</v>
      </c>
      <c r="P1" s="116"/>
      <c r="Q1" s="117"/>
    </row>
    <row r="2" spans="1:17" ht="15.75">
      <c r="A2" s="49"/>
      <c r="B2" s="49"/>
      <c r="C2" s="49"/>
      <c r="D2" s="49"/>
      <c r="E2" s="49"/>
      <c r="F2" s="49"/>
      <c r="G2" s="49"/>
      <c r="H2" s="52"/>
      <c r="I2" s="52"/>
      <c r="J2" s="52"/>
      <c r="K2" s="52"/>
      <c r="L2" s="53"/>
    </row>
    <row r="3" spans="1:17" ht="39" customHeight="1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17" ht="37.5" customHeight="1">
      <c r="A4" s="118" t="s">
        <v>0</v>
      </c>
      <c r="B4" s="119" t="s">
        <v>36</v>
      </c>
      <c r="C4" s="119" t="s">
        <v>1</v>
      </c>
      <c r="D4" s="119" t="s">
        <v>2</v>
      </c>
      <c r="E4" s="121" t="s">
        <v>3</v>
      </c>
      <c r="F4" s="119" t="s">
        <v>55</v>
      </c>
      <c r="G4" s="119" t="s">
        <v>4</v>
      </c>
      <c r="H4" s="119" t="s">
        <v>46</v>
      </c>
      <c r="I4" s="119" t="s">
        <v>66</v>
      </c>
      <c r="J4" s="119" t="s">
        <v>47</v>
      </c>
      <c r="K4" s="119" t="s">
        <v>39</v>
      </c>
      <c r="L4" s="119" t="s">
        <v>48</v>
      </c>
      <c r="M4" s="119" t="s">
        <v>43</v>
      </c>
      <c r="N4" s="123" t="s">
        <v>51</v>
      </c>
      <c r="O4" s="123" t="s">
        <v>50</v>
      </c>
      <c r="P4" s="121" t="s">
        <v>68</v>
      </c>
      <c r="Q4" s="123" t="s">
        <v>51</v>
      </c>
    </row>
    <row r="5" spans="1:17" ht="161.25" customHeight="1">
      <c r="A5" s="118"/>
      <c r="B5" s="120"/>
      <c r="C5" s="120"/>
      <c r="D5" s="120"/>
      <c r="E5" s="122"/>
      <c r="F5" s="120"/>
      <c r="G5" s="120"/>
      <c r="H5" s="120"/>
      <c r="I5" s="120"/>
      <c r="J5" s="120"/>
      <c r="K5" s="120"/>
      <c r="L5" s="120"/>
      <c r="M5" s="120"/>
      <c r="N5" s="123"/>
      <c r="O5" s="123"/>
      <c r="P5" s="122"/>
      <c r="Q5" s="123"/>
    </row>
    <row r="6" spans="1:17" s="55" customFormat="1" ht="39" customHeight="1">
      <c r="A6" s="54">
        <v>1</v>
      </c>
      <c r="B6" s="54">
        <v>2</v>
      </c>
      <c r="C6" s="54">
        <v>3</v>
      </c>
      <c r="D6" s="54" t="s">
        <v>5</v>
      </c>
      <c r="E6" s="54">
        <v>5</v>
      </c>
      <c r="F6" s="54">
        <v>6</v>
      </c>
      <c r="G6" s="54">
        <v>7</v>
      </c>
      <c r="H6" s="54" t="s">
        <v>6</v>
      </c>
      <c r="I6" s="54">
        <v>9</v>
      </c>
      <c r="J6" s="54" t="s">
        <v>7</v>
      </c>
      <c r="K6" s="54">
        <v>11</v>
      </c>
      <c r="L6" s="54">
        <v>12</v>
      </c>
      <c r="M6" s="54" t="s">
        <v>44</v>
      </c>
      <c r="N6" s="54" t="s">
        <v>49</v>
      </c>
      <c r="O6" s="54" t="s">
        <v>52</v>
      </c>
      <c r="P6" s="54" t="s">
        <v>67</v>
      </c>
      <c r="Q6" s="54" t="s">
        <v>42</v>
      </c>
    </row>
    <row r="7" spans="1:17" ht="21" customHeight="1">
      <c r="A7" s="56" t="s">
        <v>8</v>
      </c>
      <c r="B7" s="57">
        <v>47.418550000000003</v>
      </c>
      <c r="C7" s="58">
        <f>D7/B7</f>
        <v>0.94903908605842446</v>
      </c>
      <c r="D7" s="59">
        <f>H7/G7/F7/E7</f>
        <v>45.002057354215708</v>
      </c>
      <c r="E7" s="60">
        <v>1.302</v>
      </c>
      <c r="F7" s="61">
        <v>172.1</v>
      </c>
      <c r="G7" s="62">
        <v>12</v>
      </c>
      <c r="H7" s="63">
        <v>121005.6</v>
      </c>
      <c r="I7" s="63">
        <v>60.15</v>
      </c>
      <c r="J7" s="63">
        <f>H7-I7</f>
        <v>120945.45000000001</v>
      </c>
      <c r="K7" s="63">
        <v>38.28</v>
      </c>
      <c r="L7" s="62">
        <v>120945.4218</v>
      </c>
      <c r="M7" s="64">
        <f>L7+I7</f>
        <v>121005.57179999999</v>
      </c>
      <c r="N7" s="65">
        <f t="shared" ref="N7:N53" si="0">J7-L7</f>
        <v>2.8200000015203841E-2</v>
      </c>
      <c r="O7" s="65">
        <f>N7*0.93</f>
        <v>2.6226000014139574E-2</v>
      </c>
      <c r="P7" s="65">
        <v>93</v>
      </c>
      <c r="Q7" s="65">
        <f>N7-O7</f>
        <v>1.9740000010642668E-3</v>
      </c>
    </row>
    <row r="8" spans="1:17" ht="21" customHeight="1">
      <c r="A8" s="56" t="s">
        <v>9</v>
      </c>
      <c r="B8" s="57">
        <v>47.418550000000003</v>
      </c>
      <c r="C8" s="58">
        <f t="shared" ref="C8:C54" si="1">D8/B8</f>
        <v>0.9445319304704286</v>
      </c>
      <c r="D8" s="59">
        <f>H8/G8/F8/E8</f>
        <v>44.788334571608544</v>
      </c>
      <c r="E8" s="60">
        <v>1.302</v>
      </c>
      <c r="F8" s="61">
        <v>64.3</v>
      </c>
      <c r="G8" s="62">
        <v>12</v>
      </c>
      <c r="H8" s="63">
        <v>44995.4</v>
      </c>
      <c r="I8" s="63">
        <v>0</v>
      </c>
      <c r="J8" s="63">
        <f t="shared" ref="J8:J54" si="2">H8-I8</f>
        <v>44995.4</v>
      </c>
      <c r="K8" s="63">
        <v>956.71</v>
      </c>
      <c r="L8" s="62">
        <v>44995.389600000002</v>
      </c>
      <c r="M8" s="64">
        <f t="shared" ref="M8:M54" si="3">L8+I8</f>
        <v>44995.389600000002</v>
      </c>
      <c r="N8" s="65">
        <f t="shared" si="0"/>
        <v>1.0399999999208376E-2</v>
      </c>
      <c r="O8" s="65">
        <f t="shared" ref="O8:O23" si="4">N8*0.95</f>
        <v>9.8799999992479574E-3</v>
      </c>
      <c r="P8" s="65">
        <v>95</v>
      </c>
      <c r="Q8" s="65">
        <f t="shared" ref="Q8:Q54" si="5">N8-O8</f>
        <v>5.1999999996041844E-4</v>
      </c>
    </row>
    <row r="9" spans="1:17" ht="21" customHeight="1">
      <c r="A9" s="56" t="s">
        <v>10</v>
      </c>
      <c r="B9" s="57">
        <v>47.418550000000003</v>
      </c>
      <c r="C9" s="58">
        <f t="shared" si="1"/>
        <v>0.94293562329510283</v>
      </c>
      <c r="D9" s="59">
        <f>$D$62</f>
        <v>44.71264</v>
      </c>
      <c r="E9" s="60">
        <v>1.302</v>
      </c>
      <c r="F9" s="61">
        <f>92.1+9.2</f>
        <v>101.3</v>
      </c>
      <c r="G9" s="62">
        <v>12</v>
      </c>
      <c r="H9" s="63">
        <f t="shared" ref="H9:H54" si="6">ROUND(D9*E9*F9*G9,3)</f>
        <v>70767.195999999996</v>
      </c>
      <c r="I9" s="63">
        <v>0</v>
      </c>
      <c r="J9" s="63">
        <f t="shared" si="2"/>
        <v>70767.195999999996</v>
      </c>
      <c r="K9" s="63">
        <v>1103.31</v>
      </c>
      <c r="L9" s="62">
        <v>65122.453199999996</v>
      </c>
      <c r="M9" s="64">
        <f t="shared" si="3"/>
        <v>65122.453199999996</v>
      </c>
      <c r="N9" s="65">
        <f t="shared" si="0"/>
        <v>5644.7428</v>
      </c>
      <c r="O9" s="65">
        <f t="shared" si="4"/>
        <v>5362.5056599999998</v>
      </c>
      <c r="P9" s="65">
        <v>95</v>
      </c>
      <c r="Q9" s="65">
        <f t="shared" si="5"/>
        <v>282.23714000000018</v>
      </c>
    </row>
    <row r="10" spans="1:17" ht="21" customHeight="1">
      <c r="A10" s="56" t="s">
        <v>11</v>
      </c>
      <c r="B10" s="57">
        <v>47.418550000000003</v>
      </c>
      <c r="C10" s="58">
        <f t="shared" si="1"/>
        <v>0.96019000493536977</v>
      </c>
      <c r="D10" s="59">
        <f>H10/G10/F10/E10</f>
        <v>45.53081775852808</v>
      </c>
      <c r="E10" s="60">
        <v>1.302</v>
      </c>
      <c r="F10" s="61">
        <v>89.8</v>
      </c>
      <c r="G10" s="62">
        <v>12</v>
      </c>
      <c r="H10" s="63">
        <v>63881.34</v>
      </c>
      <c r="I10" s="63">
        <v>0</v>
      </c>
      <c r="J10" s="63">
        <f t="shared" si="2"/>
        <v>63881.34</v>
      </c>
      <c r="K10" s="63">
        <v>449.84</v>
      </c>
      <c r="L10" s="62">
        <v>63881.3364</v>
      </c>
      <c r="M10" s="64">
        <f t="shared" si="3"/>
        <v>63881.3364</v>
      </c>
      <c r="N10" s="65">
        <f t="shared" si="0"/>
        <v>3.599999996367842E-3</v>
      </c>
      <c r="O10" s="65">
        <f>N10*0.91</f>
        <v>3.2759999966947362E-3</v>
      </c>
      <c r="P10" s="65">
        <v>91</v>
      </c>
      <c r="Q10" s="65">
        <f t="shared" si="5"/>
        <v>3.2399999967310574E-4</v>
      </c>
    </row>
    <row r="11" spans="1:17" ht="21" customHeight="1">
      <c r="A11" s="56" t="s">
        <v>12</v>
      </c>
      <c r="B11" s="57">
        <v>47.418550000000003</v>
      </c>
      <c r="C11" s="58">
        <f t="shared" si="1"/>
        <v>0.94293562329510283</v>
      </c>
      <c r="D11" s="59">
        <f>$D$62</f>
        <v>44.71264</v>
      </c>
      <c r="E11" s="60">
        <v>1.302</v>
      </c>
      <c r="F11" s="61">
        <f>112+2</f>
        <v>114</v>
      </c>
      <c r="G11" s="62">
        <v>12</v>
      </c>
      <c r="H11" s="63">
        <f t="shared" si="6"/>
        <v>79639.293000000005</v>
      </c>
      <c r="I11" s="63">
        <v>1339.37</v>
      </c>
      <c r="J11" s="63">
        <f t="shared" si="2"/>
        <v>78299.92300000001</v>
      </c>
      <c r="K11" s="63">
        <v>0</v>
      </c>
      <c r="L11" s="62">
        <v>76444.986799999999</v>
      </c>
      <c r="M11" s="64">
        <f t="shared" si="3"/>
        <v>77784.356799999994</v>
      </c>
      <c r="N11" s="65">
        <f t="shared" si="0"/>
        <v>1854.936200000011</v>
      </c>
      <c r="O11" s="65">
        <f>N11*0.95</f>
        <v>1762.1893900000105</v>
      </c>
      <c r="P11" s="65">
        <v>95</v>
      </c>
      <c r="Q11" s="65">
        <f t="shared" si="5"/>
        <v>92.746810000000551</v>
      </c>
    </row>
    <row r="12" spans="1:17" ht="21" customHeight="1">
      <c r="A12" s="66" t="s">
        <v>13</v>
      </c>
      <c r="B12" s="67">
        <v>47.418550000000003</v>
      </c>
      <c r="C12" s="68">
        <f t="shared" si="1"/>
        <v>0.93832244975858603</v>
      </c>
      <c r="D12" s="69">
        <v>44.49389</v>
      </c>
      <c r="E12" s="70">
        <v>1.302</v>
      </c>
      <c r="F12" s="71">
        <v>71.2</v>
      </c>
      <c r="G12" s="72">
        <v>12</v>
      </c>
      <c r="H12" s="73">
        <f t="shared" si="6"/>
        <v>49496.285000000003</v>
      </c>
      <c r="I12" s="73">
        <v>147.6</v>
      </c>
      <c r="J12" s="73">
        <f t="shared" si="2"/>
        <v>49348.685000000005</v>
      </c>
      <c r="K12" s="73">
        <v>1458.2</v>
      </c>
      <c r="L12" s="72">
        <v>47565.8</v>
      </c>
      <c r="M12" s="74">
        <f t="shared" si="3"/>
        <v>47713.4</v>
      </c>
      <c r="N12" s="75">
        <f t="shared" si="0"/>
        <v>1782.885000000002</v>
      </c>
      <c r="O12" s="75">
        <f>N12*0.93</f>
        <v>1658.083050000002</v>
      </c>
      <c r="P12" s="75">
        <v>93</v>
      </c>
      <c r="Q12" s="75">
        <f>N12-O12</f>
        <v>124.80195000000003</v>
      </c>
    </row>
    <row r="13" spans="1:17" ht="21" customHeight="1">
      <c r="A13" s="56" t="s">
        <v>69</v>
      </c>
      <c r="B13" s="57">
        <v>47.418550000000003</v>
      </c>
      <c r="C13" s="58">
        <f t="shared" si="1"/>
        <v>0.93832266064651904</v>
      </c>
      <c r="D13" s="59">
        <v>44.493899999999996</v>
      </c>
      <c r="E13" s="60">
        <v>1.302</v>
      </c>
      <c r="F13" s="61">
        <v>14.2</v>
      </c>
      <c r="G13" s="62">
        <v>12</v>
      </c>
      <c r="H13" s="63">
        <f>D13*E13*F13*G13</f>
        <v>9871.4522491200005</v>
      </c>
      <c r="I13" s="63">
        <v>265.36</v>
      </c>
      <c r="J13" s="63">
        <f t="shared" si="2"/>
        <v>9606.0922491199999</v>
      </c>
      <c r="K13" s="63">
        <v>83.8</v>
      </c>
      <c r="L13" s="62">
        <v>9377.5</v>
      </c>
      <c r="M13" s="64">
        <f t="shared" si="3"/>
        <v>9642.86</v>
      </c>
      <c r="N13" s="65">
        <f>J13-L13</f>
        <v>228.59224911999991</v>
      </c>
      <c r="O13" s="65">
        <f>N13*93%</f>
        <v>212.59079168159991</v>
      </c>
      <c r="P13" s="65">
        <v>93</v>
      </c>
      <c r="Q13" s="65">
        <f>N13-O13</f>
        <v>16.001457438399996</v>
      </c>
    </row>
    <row r="14" spans="1:17" ht="21" customHeight="1">
      <c r="A14" s="56" t="s">
        <v>70</v>
      </c>
      <c r="B14" s="57">
        <v>47.418550000000003</v>
      </c>
      <c r="C14" s="58">
        <f t="shared" si="1"/>
        <v>0.93832287153445215</v>
      </c>
      <c r="D14" s="59">
        <v>44.49391</v>
      </c>
      <c r="E14" s="60">
        <v>1.302</v>
      </c>
      <c r="F14" s="61">
        <v>2</v>
      </c>
      <c r="G14" s="62">
        <v>12</v>
      </c>
      <c r="H14" s="63">
        <f t="shared" ref="H14:H20" si="7">D14*E14*F14*G14</f>
        <v>1390.3456996800001</v>
      </c>
      <c r="I14" s="63">
        <v>0</v>
      </c>
      <c r="J14" s="63">
        <f t="shared" si="2"/>
        <v>1390.3456996800001</v>
      </c>
      <c r="K14" s="63">
        <v>0</v>
      </c>
      <c r="L14" s="62">
        <v>1321.1</v>
      </c>
      <c r="M14" s="64">
        <f t="shared" si="3"/>
        <v>1321.1</v>
      </c>
      <c r="N14" s="65">
        <f t="shared" ref="N14:N20" si="8">J14-L14</f>
        <v>69.245699680000143</v>
      </c>
      <c r="O14" s="65">
        <f t="shared" ref="O14:O20" si="9">N14*93%</f>
        <v>64.398500702400142</v>
      </c>
      <c r="P14" s="65">
        <v>93</v>
      </c>
      <c r="Q14" s="65">
        <f t="shared" ref="Q14:Q20" si="10">N14-O14</f>
        <v>4.8471989776000015</v>
      </c>
    </row>
    <row r="15" spans="1:17" ht="21" customHeight="1">
      <c r="A15" s="56" t="s">
        <v>71</v>
      </c>
      <c r="B15" s="57">
        <v>47.418550000000003</v>
      </c>
      <c r="C15" s="58">
        <f t="shared" si="1"/>
        <v>0.93832287153445215</v>
      </c>
      <c r="D15" s="59">
        <v>44.49391</v>
      </c>
      <c r="E15" s="60">
        <v>1.302</v>
      </c>
      <c r="F15" s="61">
        <v>2.9</v>
      </c>
      <c r="G15" s="62">
        <v>12</v>
      </c>
      <c r="H15" s="63">
        <f t="shared" si="7"/>
        <v>2016.001264536</v>
      </c>
      <c r="I15" s="63">
        <v>15.4</v>
      </c>
      <c r="J15" s="63">
        <f t="shared" si="2"/>
        <v>2000.6012645359999</v>
      </c>
      <c r="K15" s="63">
        <v>0</v>
      </c>
      <c r="L15" s="62">
        <v>1994</v>
      </c>
      <c r="M15" s="64"/>
      <c r="N15" s="65">
        <f t="shared" si="8"/>
        <v>6.6012645359999169</v>
      </c>
      <c r="O15" s="65">
        <f t="shared" si="9"/>
        <v>6.1391760184799233</v>
      </c>
      <c r="P15" s="65">
        <v>93</v>
      </c>
      <c r="Q15" s="65">
        <f t="shared" si="10"/>
        <v>0.46208851751999358</v>
      </c>
    </row>
    <row r="16" spans="1:17" ht="21" customHeight="1">
      <c r="A16" s="56" t="s">
        <v>72</v>
      </c>
      <c r="B16" s="57">
        <v>47.418550000000003</v>
      </c>
      <c r="C16" s="58">
        <f t="shared" si="1"/>
        <v>1.0335516374920786</v>
      </c>
      <c r="D16" s="59">
        <v>49.009520000000002</v>
      </c>
      <c r="E16" s="60">
        <v>1.302</v>
      </c>
      <c r="F16" s="61">
        <v>2.9</v>
      </c>
      <c r="G16" s="62">
        <v>12</v>
      </c>
      <c r="H16" s="63">
        <f t="shared" si="7"/>
        <v>2220.6017473920001</v>
      </c>
      <c r="I16" s="63">
        <v>0</v>
      </c>
      <c r="J16" s="63">
        <f t="shared" si="2"/>
        <v>2220.6017473920001</v>
      </c>
      <c r="K16" s="63">
        <v>0</v>
      </c>
      <c r="L16" s="62">
        <v>2220.6</v>
      </c>
      <c r="M16" s="64"/>
      <c r="N16" s="65">
        <f t="shared" si="8"/>
        <v>1.7473920001975785E-3</v>
      </c>
      <c r="O16" s="65">
        <f t="shared" si="9"/>
        <v>1.6250745601837481E-3</v>
      </c>
      <c r="P16" s="65">
        <v>93</v>
      </c>
      <c r="Q16" s="65">
        <f t="shared" si="10"/>
        <v>1.2231744001383032E-4</v>
      </c>
    </row>
    <row r="17" spans="1:17" ht="21" customHeight="1">
      <c r="A17" s="56" t="s">
        <v>73</v>
      </c>
      <c r="B17" s="57">
        <v>47.418550000000003</v>
      </c>
      <c r="C17" s="58">
        <f t="shared" si="1"/>
        <v>0.93872545659873607</v>
      </c>
      <c r="D17" s="59">
        <v>44.512999999999998</v>
      </c>
      <c r="E17" s="60">
        <v>1.302</v>
      </c>
      <c r="F17" s="61">
        <v>1</v>
      </c>
      <c r="G17" s="62">
        <v>12</v>
      </c>
      <c r="H17" s="63">
        <f t="shared" si="7"/>
        <v>695.47111199999995</v>
      </c>
      <c r="I17" s="63">
        <v>0</v>
      </c>
      <c r="J17" s="63">
        <f t="shared" si="2"/>
        <v>695.47111199999995</v>
      </c>
      <c r="K17" s="63">
        <v>0</v>
      </c>
      <c r="L17" s="62">
        <v>695.5</v>
      </c>
      <c r="M17" s="64"/>
      <c r="N17" s="65">
        <f t="shared" si="8"/>
        <v>-2.8888000000051761E-2</v>
      </c>
      <c r="O17" s="65">
        <f t="shared" si="9"/>
        <v>-2.6865840000048141E-2</v>
      </c>
      <c r="P17" s="65">
        <v>93</v>
      </c>
      <c r="Q17" s="65">
        <f t="shared" si="10"/>
        <v>-2.0221600000036206E-3</v>
      </c>
    </row>
    <row r="18" spans="1:17" ht="21" customHeight="1">
      <c r="A18" s="56" t="s">
        <v>32</v>
      </c>
      <c r="B18" s="57">
        <v>47.418550000000003</v>
      </c>
      <c r="C18" s="58">
        <f t="shared" si="1"/>
        <v>0.94587097243589258</v>
      </c>
      <c r="D18" s="59">
        <v>44.85183</v>
      </c>
      <c r="E18" s="60">
        <v>1.302</v>
      </c>
      <c r="F18" s="61">
        <v>2.5</v>
      </c>
      <c r="G18" s="62">
        <v>12</v>
      </c>
      <c r="H18" s="63">
        <f t="shared" si="7"/>
        <v>1751.9124798</v>
      </c>
      <c r="I18" s="63">
        <v>0</v>
      </c>
      <c r="J18" s="63">
        <f t="shared" si="2"/>
        <v>1751.9124798</v>
      </c>
      <c r="K18" s="63">
        <v>29.6</v>
      </c>
      <c r="L18" s="62">
        <v>1751.9</v>
      </c>
      <c r="M18" s="64"/>
      <c r="N18" s="65">
        <f t="shared" si="8"/>
        <v>1.2479799999937313E-2</v>
      </c>
      <c r="O18" s="65">
        <f t="shared" si="9"/>
        <v>1.1606213999941701E-2</v>
      </c>
      <c r="P18" s="65">
        <v>93</v>
      </c>
      <c r="Q18" s="65">
        <f t="shared" si="10"/>
        <v>8.73585999995612E-4</v>
      </c>
    </row>
    <row r="19" spans="1:17" ht="21" customHeight="1">
      <c r="A19" s="56" t="s">
        <v>74</v>
      </c>
      <c r="B19" s="57">
        <v>47.418550000000003</v>
      </c>
      <c r="C19" s="58">
        <f t="shared" si="1"/>
        <v>0.94683304318668526</v>
      </c>
      <c r="D19" s="59">
        <v>44.897449999999999</v>
      </c>
      <c r="E19" s="60">
        <v>1.302</v>
      </c>
      <c r="F19" s="61">
        <v>5.3</v>
      </c>
      <c r="G19" s="62">
        <v>12</v>
      </c>
      <c r="H19" s="63">
        <f t="shared" si="7"/>
        <v>3717.83212164</v>
      </c>
      <c r="I19" s="63">
        <v>0</v>
      </c>
      <c r="J19" s="63">
        <f t="shared" si="2"/>
        <v>3717.83212164</v>
      </c>
      <c r="K19" s="63">
        <v>0</v>
      </c>
      <c r="L19" s="62">
        <v>3717.8</v>
      </c>
      <c r="M19" s="64"/>
      <c r="N19" s="65">
        <f t="shared" si="8"/>
        <v>3.2121639999786566E-2</v>
      </c>
      <c r="O19" s="65">
        <f t="shared" si="9"/>
        <v>2.9873125199801509E-2</v>
      </c>
      <c r="P19" s="65">
        <v>93</v>
      </c>
      <c r="Q19" s="65">
        <f t="shared" si="10"/>
        <v>2.2485147999850574E-3</v>
      </c>
    </row>
    <row r="20" spans="1:17" ht="21" customHeight="1">
      <c r="A20" s="56" t="s">
        <v>75</v>
      </c>
      <c r="B20" s="57">
        <v>47.418550000000003</v>
      </c>
      <c r="C20" s="58">
        <f t="shared" si="1"/>
        <v>0.99945190226187852</v>
      </c>
      <c r="D20" s="59">
        <v>47.392560000000003</v>
      </c>
      <c r="E20" s="60">
        <v>1.302</v>
      </c>
      <c r="F20" s="61">
        <v>2.2999999999999998</v>
      </c>
      <c r="G20" s="62">
        <v>12</v>
      </c>
      <c r="H20" s="63">
        <f t="shared" si="7"/>
        <v>1703.0611221119998</v>
      </c>
      <c r="I20" s="63">
        <v>0</v>
      </c>
      <c r="J20" s="63">
        <f t="shared" si="2"/>
        <v>1703.0611221119998</v>
      </c>
      <c r="K20" s="63">
        <v>0</v>
      </c>
      <c r="L20" s="62">
        <v>1703.1</v>
      </c>
      <c r="M20" s="64"/>
      <c r="N20" s="65">
        <f t="shared" si="8"/>
        <v>-3.887788800011549E-2</v>
      </c>
      <c r="O20" s="65">
        <f t="shared" si="9"/>
        <v>-3.6156435840107408E-2</v>
      </c>
      <c r="P20" s="65">
        <v>93</v>
      </c>
      <c r="Q20" s="65">
        <f t="shared" si="10"/>
        <v>-2.7214521600080824E-3</v>
      </c>
    </row>
    <row r="21" spans="1:17" ht="21" customHeight="1">
      <c r="A21" s="56" t="s">
        <v>14</v>
      </c>
      <c r="B21" s="57">
        <v>47.418550000000003</v>
      </c>
      <c r="C21" s="58">
        <f t="shared" si="1"/>
        <v>0.95054713948935787</v>
      </c>
      <c r="D21" s="59">
        <f>H21/G21/F21/E21</f>
        <v>45.073567061233092</v>
      </c>
      <c r="E21" s="60">
        <v>1.302</v>
      </c>
      <c r="F21" s="61">
        <v>85</v>
      </c>
      <c r="G21" s="62">
        <v>12</v>
      </c>
      <c r="H21" s="63">
        <v>59859.5</v>
      </c>
      <c r="I21" s="63">
        <v>336.96</v>
      </c>
      <c r="J21" s="63">
        <f t="shared" si="2"/>
        <v>59522.54</v>
      </c>
      <c r="K21" s="63">
        <v>480.96</v>
      </c>
      <c r="L21" s="62">
        <v>59522.507013199996</v>
      </c>
      <c r="M21" s="64">
        <f t="shared" si="3"/>
        <v>59859.467013199996</v>
      </c>
      <c r="N21" s="65">
        <f t="shared" si="0"/>
        <v>3.29868000044371E-2</v>
      </c>
      <c r="O21" s="65">
        <f>N21*0.94</f>
        <v>3.1007592004170872E-2</v>
      </c>
      <c r="P21" s="65">
        <v>94</v>
      </c>
      <c r="Q21" s="65">
        <f t="shared" si="5"/>
        <v>1.9792080002662277E-3</v>
      </c>
    </row>
    <row r="22" spans="1:17" ht="21" customHeight="1">
      <c r="A22" s="66" t="s">
        <v>15</v>
      </c>
      <c r="B22" s="67">
        <v>47.418550000000003</v>
      </c>
      <c r="C22" s="68">
        <f t="shared" si="1"/>
        <v>0.94293562329510283</v>
      </c>
      <c r="D22" s="69">
        <f t="shared" ref="D22:D28" si="11">$D$62</f>
        <v>44.71264</v>
      </c>
      <c r="E22" s="70">
        <v>1.302</v>
      </c>
      <c r="F22" s="71">
        <v>105.2</v>
      </c>
      <c r="G22" s="72">
        <v>12</v>
      </c>
      <c r="H22" s="73">
        <f t="shared" si="6"/>
        <v>73491.698000000004</v>
      </c>
      <c r="I22" s="73">
        <v>43.49</v>
      </c>
      <c r="J22" s="73">
        <f t="shared" si="2"/>
        <v>73448.207999999999</v>
      </c>
      <c r="K22" s="73">
        <v>1294.3499999999999</v>
      </c>
      <c r="L22" s="72">
        <v>73379.399999999994</v>
      </c>
      <c r="M22" s="74">
        <f t="shared" si="3"/>
        <v>73422.89</v>
      </c>
      <c r="N22" s="75">
        <f t="shared" si="0"/>
        <v>68.80800000000454</v>
      </c>
      <c r="O22" s="75">
        <f>N22*0.95</f>
        <v>65.367600000004316</v>
      </c>
      <c r="P22" s="75">
        <v>95</v>
      </c>
      <c r="Q22" s="75">
        <f t="shared" si="5"/>
        <v>3.4404000000002242</v>
      </c>
    </row>
    <row r="23" spans="1:17" ht="21" customHeight="1">
      <c r="A23" s="56" t="s">
        <v>77</v>
      </c>
      <c r="B23" s="57">
        <v>47.418550000000003</v>
      </c>
      <c r="C23" s="58">
        <f t="shared" si="1"/>
        <v>0.94293562329510283</v>
      </c>
      <c r="D23" s="59">
        <f t="shared" si="11"/>
        <v>44.71264</v>
      </c>
      <c r="E23" s="60">
        <v>1.302</v>
      </c>
      <c r="F23" s="61">
        <v>19.899999999999999</v>
      </c>
      <c r="G23" s="62">
        <v>12</v>
      </c>
      <c r="H23" s="63">
        <f t="shared" si="6"/>
        <v>13901.947</v>
      </c>
      <c r="I23" s="63">
        <v>0</v>
      </c>
      <c r="J23" s="63">
        <f t="shared" si="2"/>
        <v>13901.947</v>
      </c>
      <c r="K23" s="63">
        <v>117.8</v>
      </c>
      <c r="L23" s="62">
        <v>13538.5</v>
      </c>
      <c r="M23" s="64"/>
      <c r="N23" s="65">
        <f t="shared" si="0"/>
        <v>363.44700000000012</v>
      </c>
      <c r="O23" s="65">
        <f t="shared" si="4"/>
        <v>345.27465000000012</v>
      </c>
      <c r="P23" s="65">
        <v>95</v>
      </c>
      <c r="Q23" s="65">
        <f t="shared" si="5"/>
        <v>18.172349999999994</v>
      </c>
    </row>
    <row r="24" spans="1:17" ht="21" customHeight="1">
      <c r="A24" s="66" t="s">
        <v>16</v>
      </c>
      <c r="B24" s="67">
        <v>47.418550000000003</v>
      </c>
      <c r="C24" s="68">
        <f>D24/B24</f>
        <v>0.94293562329510283</v>
      </c>
      <c r="D24" s="69">
        <f t="shared" si="11"/>
        <v>44.71264</v>
      </c>
      <c r="E24" s="70">
        <v>1.302</v>
      </c>
      <c r="F24" s="71">
        <v>71.2</v>
      </c>
      <c r="G24" s="72">
        <v>12</v>
      </c>
      <c r="H24" s="73">
        <f t="shared" si="6"/>
        <v>49739.627999999997</v>
      </c>
      <c r="I24" s="73">
        <v>330.17</v>
      </c>
      <c r="J24" s="73">
        <f t="shared" si="2"/>
        <v>49409.457999999999</v>
      </c>
      <c r="K24" s="73">
        <v>0</v>
      </c>
      <c r="L24" s="72">
        <v>48029.7</v>
      </c>
      <c r="M24" s="74">
        <f t="shared" si="3"/>
        <v>48359.869999999995</v>
      </c>
      <c r="N24" s="75">
        <f t="shared" si="0"/>
        <v>1379.7580000000016</v>
      </c>
      <c r="O24" s="75">
        <f>N24*0.91</f>
        <v>1255.5797800000016</v>
      </c>
      <c r="P24" s="75">
        <v>91</v>
      </c>
      <c r="Q24" s="75">
        <f t="shared" si="5"/>
        <v>124.17822000000001</v>
      </c>
    </row>
    <row r="25" spans="1:17" ht="21" customHeight="1">
      <c r="A25" s="56" t="s">
        <v>76</v>
      </c>
      <c r="B25" s="57">
        <v>47.418550000000003</v>
      </c>
      <c r="C25" s="58">
        <f>D25/B25</f>
        <v>0.94293562329510283</v>
      </c>
      <c r="D25" s="59">
        <f t="shared" si="11"/>
        <v>44.71264</v>
      </c>
      <c r="E25" s="60">
        <v>1.302</v>
      </c>
      <c r="F25" s="61">
        <v>15.7</v>
      </c>
      <c r="G25" s="62">
        <v>12</v>
      </c>
      <c r="H25" s="63">
        <f t="shared" si="6"/>
        <v>10967.868</v>
      </c>
      <c r="I25" s="63">
        <v>225</v>
      </c>
      <c r="J25" s="63">
        <f t="shared" si="2"/>
        <v>10742.868</v>
      </c>
      <c r="K25" s="63">
        <v>245.8</v>
      </c>
      <c r="L25" s="62">
        <v>10641.3</v>
      </c>
      <c r="M25" s="64"/>
      <c r="N25" s="65">
        <f t="shared" si="0"/>
        <v>101.56800000000112</v>
      </c>
      <c r="O25" s="65">
        <f>N25*0.91</f>
        <v>92.42688000000102</v>
      </c>
      <c r="P25" s="65">
        <v>91</v>
      </c>
      <c r="Q25" s="65">
        <f t="shared" si="5"/>
        <v>9.1411200000001003</v>
      </c>
    </row>
    <row r="26" spans="1:17" ht="21" customHeight="1">
      <c r="A26" s="56" t="s">
        <v>17</v>
      </c>
      <c r="B26" s="57">
        <v>47.418550000000003</v>
      </c>
      <c r="C26" s="58">
        <f t="shared" si="1"/>
        <v>0.94293562329510283</v>
      </c>
      <c r="D26" s="59">
        <f t="shared" si="11"/>
        <v>44.71264</v>
      </c>
      <c r="E26" s="60">
        <v>1.302</v>
      </c>
      <c r="F26" s="61">
        <v>59.2</v>
      </c>
      <c r="G26" s="62">
        <v>12</v>
      </c>
      <c r="H26" s="63">
        <f t="shared" si="6"/>
        <v>41356.544999999998</v>
      </c>
      <c r="I26" s="63">
        <v>29.16</v>
      </c>
      <c r="J26" s="63">
        <f t="shared" si="2"/>
        <v>41327.384999999995</v>
      </c>
      <c r="K26" s="63">
        <v>0</v>
      </c>
      <c r="L26" s="62">
        <v>41130.696600000003</v>
      </c>
      <c r="M26" s="64">
        <f t="shared" si="3"/>
        <v>41159.856600000006</v>
      </c>
      <c r="N26" s="65">
        <f t="shared" si="0"/>
        <v>196.68839999999182</v>
      </c>
      <c r="O26" s="65">
        <f>N26*0.9</f>
        <v>177.01955999999265</v>
      </c>
      <c r="P26" s="65">
        <v>90</v>
      </c>
      <c r="Q26" s="65">
        <f t="shared" si="5"/>
        <v>19.668839999999165</v>
      </c>
    </row>
    <row r="27" spans="1:17" s="78" customFormat="1" ht="21" customHeight="1">
      <c r="A27" s="76" t="s">
        <v>18</v>
      </c>
      <c r="B27" s="57">
        <v>47.418550000000003</v>
      </c>
      <c r="C27" s="58">
        <f t="shared" si="1"/>
        <v>0.94293562329510283</v>
      </c>
      <c r="D27" s="59">
        <f t="shared" si="11"/>
        <v>44.71264</v>
      </c>
      <c r="E27" s="77">
        <v>1.302</v>
      </c>
      <c r="F27" s="61">
        <v>74.7</v>
      </c>
      <c r="G27" s="62">
        <v>12</v>
      </c>
      <c r="H27" s="63">
        <f t="shared" si="6"/>
        <v>52184.694000000003</v>
      </c>
      <c r="I27" s="63">
        <v>0</v>
      </c>
      <c r="J27" s="63">
        <f t="shared" si="2"/>
        <v>52184.694000000003</v>
      </c>
      <c r="K27" s="63">
        <v>1038.74</v>
      </c>
      <c r="L27" s="62">
        <v>51265.257399999995</v>
      </c>
      <c r="M27" s="64">
        <f t="shared" si="3"/>
        <v>51265.257399999995</v>
      </c>
      <c r="N27" s="65">
        <f t="shared" si="0"/>
        <v>919.43660000000818</v>
      </c>
      <c r="O27" s="65">
        <f>N27*0.81</f>
        <v>744.74364600000672</v>
      </c>
      <c r="P27" s="65">
        <v>81</v>
      </c>
      <c r="Q27" s="65">
        <f t="shared" si="5"/>
        <v>174.69295400000146</v>
      </c>
    </row>
    <row r="28" spans="1:17" ht="21" customHeight="1">
      <c r="A28" s="56" t="s">
        <v>19</v>
      </c>
      <c r="B28" s="57">
        <v>47.418550000000003</v>
      </c>
      <c r="C28" s="58">
        <f t="shared" si="1"/>
        <v>0.94293562329510283</v>
      </c>
      <c r="D28" s="59">
        <f t="shared" si="11"/>
        <v>44.71264</v>
      </c>
      <c r="E28" s="60">
        <v>1.302</v>
      </c>
      <c r="F28" s="61">
        <v>105.5</v>
      </c>
      <c r="G28" s="62">
        <v>12</v>
      </c>
      <c r="H28" s="63">
        <f t="shared" si="6"/>
        <v>73701.274999999994</v>
      </c>
      <c r="I28" s="63">
        <v>965.95</v>
      </c>
      <c r="J28" s="63">
        <f t="shared" si="2"/>
        <v>72735.324999999997</v>
      </c>
      <c r="K28" s="63">
        <v>192.05</v>
      </c>
      <c r="L28" s="62">
        <v>68856.228000000003</v>
      </c>
      <c r="M28" s="64">
        <f t="shared" si="3"/>
        <v>69822.178</v>
      </c>
      <c r="N28" s="65">
        <f t="shared" si="0"/>
        <v>3879.0969999999943</v>
      </c>
      <c r="O28" s="65">
        <f>N28*0.93</f>
        <v>3607.5602099999951</v>
      </c>
      <c r="P28" s="65">
        <v>93</v>
      </c>
      <c r="Q28" s="65">
        <f t="shared" si="5"/>
        <v>271.5367899999992</v>
      </c>
    </row>
    <row r="29" spans="1:17" ht="21" customHeight="1">
      <c r="A29" s="56" t="s">
        <v>20</v>
      </c>
      <c r="B29" s="57">
        <v>47.418550000000003</v>
      </c>
      <c r="C29" s="58">
        <f t="shared" si="1"/>
        <v>0.9596699487299607</v>
      </c>
      <c r="D29" s="59">
        <f>H29/G29/F29/E29</f>
        <v>45.506157447349082</v>
      </c>
      <c r="E29" s="60">
        <v>1.302</v>
      </c>
      <c r="F29" s="61">
        <v>131.4</v>
      </c>
      <c r="G29" s="62">
        <v>12</v>
      </c>
      <c r="H29" s="63">
        <v>93423.85</v>
      </c>
      <c r="I29" s="63">
        <v>755.94</v>
      </c>
      <c r="J29" s="63">
        <f t="shared" si="2"/>
        <v>92667.91</v>
      </c>
      <c r="K29" s="63">
        <v>1255.9100000000001</v>
      </c>
      <c r="L29" s="62">
        <v>92667.908200000005</v>
      </c>
      <c r="M29" s="64">
        <f t="shared" si="3"/>
        <v>93423.848200000008</v>
      </c>
      <c r="N29" s="65">
        <f t="shared" si="0"/>
        <v>1.799999998183921E-3</v>
      </c>
      <c r="O29" s="65">
        <f>N29*0.92</f>
        <v>1.6559999983292073E-3</v>
      </c>
      <c r="P29" s="65">
        <v>92</v>
      </c>
      <c r="Q29" s="65">
        <f t="shared" si="5"/>
        <v>1.4399999985471369E-4</v>
      </c>
    </row>
    <row r="30" spans="1:17" ht="21" customHeight="1">
      <c r="A30" s="66" t="s">
        <v>21</v>
      </c>
      <c r="B30" s="67">
        <v>47.418550000000003</v>
      </c>
      <c r="C30" s="68">
        <f t="shared" si="1"/>
        <v>0.94293562329510283</v>
      </c>
      <c r="D30" s="69">
        <f>$D$62</f>
        <v>44.71264</v>
      </c>
      <c r="E30" s="70">
        <v>1.302</v>
      </c>
      <c r="F30" s="71">
        <v>108.2</v>
      </c>
      <c r="G30" s="72">
        <v>12</v>
      </c>
      <c r="H30" s="73">
        <f t="shared" si="6"/>
        <v>75587.468999999997</v>
      </c>
      <c r="I30" s="73">
        <v>32.94</v>
      </c>
      <c r="J30" s="73">
        <f t="shared" si="2"/>
        <v>75554.528999999995</v>
      </c>
      <c r="K30" s="73">
        <v>878.9</v>
      </c>
      <c r="L30" s="72">
        <v>73669.7</v>
      </c>
      <c r="M30" s="74">
        <f t="shared" si="3"/>
        <v>73702.64</v>
      </c>
      <c r="N30" s="75">
        <f>J30-L30-0.1</f>
        <v>1884.728999999998</v>
      </c>
      <c r="O30" s="75">
        <f>N30*0.94</f>
        <v>1771.645259999998</v>
      </c>
      <c r="P30" s="75">
        <v>94</v>
      </c>
      <c r="Q30" s="75">
        <f t="shared" si="5"/>
        <v>113.08374000000003</v>
      </c>
    </row>
    <row r="31" spans="1:17" ht="21" customHeight="1">
      <c r="A31" s="79" t="s">
        <v>87</v>
      </c>
      <c r="B31" s="57">
        <v>47.418550000000003</v>
      </c>
      <c r="C31" s="58">
        <f t="shared" si="1"/>
        <v>0.94293562329510283</v>
      </c>
      <c r="D31" s="59">
        <f t="shared" ref="D31:D34" si="12">$D$62</f>
        <v>44.71264</v>
      </c>
      <c r="E31" s="60">
        <v>1.302</v>
      </c>
      <c r="F31" s="61">
        <v>10.3</v>
      </c>
      <c r="G31" s="62">
        <v>12</v>
      </c>
      <c r="H31" s="63">
        <f t="shared" si="6"/>
        <v>7195.48</v>
      </c>
      <c r="I31" s="63">
        <v>0</v>
      </c>
      <c r="J31" s="63">
        <f t="shared" si="2"/>
        <v>7195.48</v>
      </c>
      <c r="K31" s="63">
        <v>0</v>
      </c>
      <c r="L31" s="62">
        <v>6975.9</v>
      </c>
      <c r="M31" s="64">
        <f t="shared" si="3"/>
        <v>6975.9</v>
      </c>
      <c r="N31" s="65">
        <f t="shared" si="0"/>
        <v>219.57999999999993</v>
      </c>
      <c r="O31" s="65">
        <f t="shared" ref="O31:O34" si="13">N31*0.94</f>
        <v>206.40519999999992</v>
      </c>
      <c r="P31" s="65">
        <v>94</v>
      </c>
      <c r="Q31" s="65">
        <f t="shared" si="5"/>
        <v>13.174800000000005</v>
      </c>
    </row>
    <row r="32" spans="1:17" ht="21" customHeight="1">
      <c r="A32" s="56" t="s">
        <v>88</v>
      </c>
      <c r="B32" s="57">
        <v>47.418550000000003</v>
      </c>
      <c r="C32" s="58">
        <f t="shared" si="1"/>
        <v>0.94293562329510283</v>
      </c>
      <c r="D32" s="59">
        <f t="shared" si="12"/>
        <v>44.71264</v>
      </c>
      <c r="E32" s="60">
        <v>1.302</v>
      </c>
      <c r="F32" s="61">
        <v>26.6</v>
      </c>
      <c r="G32" s="62">
        <v>12</v>
      </c>
      <c r="H32" s="63">
        <f t="shared" si="6"/>
        <v>18582.502</v>
      </c>
      <c r="I32" s="63">
        <v>0</v>
      </c>
      <c r="J32" s="63">
        <f t="shared" si="2"/>
        <v>18582.502</v>
      </c>
      <c r="K32" s="63">
        <v>229</v>
      </c>
      <c r="L32" s="62">
        <v>18341.8</v>
      </c>
      <c r="M32" s="64"/>
      <c r="N32" s="65">
        <f t="shared" si="0"/>
        <v>240.70200000000114</v>
      </c>
      <c r="O32" s="65">
        <f t="shared" si="13"/>
        <v>226.25988000000106</v>
      </c>
      <c r="P32" s="65">
        <v>94</v>
      </c>
      <c r="Q32" s="65">
        <f t="shared" si="5"/>
        <v>14.442120000000074</v>
      </c>
    </row>
    <row r="33" spans="1:17" ht="21" customHeight="1">
      <c r="A33" s="56" t="s">
        <v>89</v>
      </c>
      <c r="B33" s="57">
        <v>47.418550000000003</v>
      </c>
      <c r="C33" s="58">
        <f t="shared" si="1"/>
        <v>0.94293562329510283</v>
      </c>
      <c r="D33" s="59">
        <f t="shared" si="12"/>
        <v>44.71264</v>
      </c>
      <c r="E33" s="60">
        <v>1.302</v>
      </c>
      <c r="F33" s="61">
        <v>2.8</v>
      </c>
      <c r="G33" s="62">
        <v>12</v>
      </c>
      <c r="H33" s="63">
        <f t="shared" si="6"/>
        <v>1956.0530000000001</v>
      </c>
      <c r="I33" s="63">
        <v>0</v>
      </c>
      <c r="J33" s="63">
        <f t="shared" si="2"/>
        <v>1956.0530000000001</v>
      </c>
      <c r="K33" s="63">
        <v>47.8</v>
      </c>
      <c r="L33" s="62">
        <v>1956.1</v>
      </c>
      <c r="M33" s="64"/>
      <c r="N33" s="65">
        <f t="shared" si="0"/>
        <v>-4.6999999999798092E-2</v>
      </c>
      <c r="O33" s="65">
        <f t="shared" si="13"/>
        <v>-4.4179999999810204E-2</v>
      </c>
      <c r="P33" s="65">
        <v>94</v>
      </c>
      <c r="Q33" s="65">
        <f t="shared" si="5"/>
        <v>-2.8199999999878878E-3</v>
      </c>
    </row>
    <row r="34" spans="1:17" ht="21" customHeight="1">
      <c r="A34" s="56" t="s">
        <v>90</v>
      </c>
      <c r="B34" s="57">
        <v>47.418550000000003</v>
      </c>
      <c r="C34" s="58">
        <f t="shared" si="1"/>
        <v>0.94293562329510283</v>
      </c>
      <c r="D34" s="59">
        <f t="shared" si="12"/>
        <v>44.71264</v>
      </c>
      <c r="E34" s="60">
        <v>1.302</v>
      </c>
      <c r="F34" s="61">
        <v>5.8</v>
      </c>
      <c r="G34" s="62">
        <v>12</v>
      </c>
      <c r="H34" s="63">
        <f t="shared" si="6"/>
        <v>4051.8240000000001</v>
      </c>
      <c r="I34" s="63">
        <v>0</v>
      </c>
      <c r="J34" s="63">
        <f t="shared" si="2"/>
        <v>4051.8240000000001</v>
      </c>
      <c r="K34" s="63">
        <v>36</v>
      </c>
      <c r="L34" s="62">
        <v>4031.9</v>
      </c>
      <c r="M34" s="64"/>
      <c r="N34" s="65">
        <f t="shared" si="0"/>
        <v>19.923999999999978</v>
      </c>
      <c r="O34" s="65">
        <f t="shared" si="13"/>
        <v>18.728559999999977</v>
      </c>
      <c r="P34" s="65">
        <v>94</v>
      </c>
      <c r="Q34" s="65">
        <f t="shared" si="5"/>
        <v>1.1954400000000014</v>
      </c>
    </row>
    <row r="35" spans="1:17" ht="21" customHeight="1">
      <c r="A35" s="66" t="s">
        <v>22</v>
      </c>
      <c r="B35" s="67">
        <v>47.418550000000003</v>
      </c>
      <c r="C35" s="68">
        <f t="shared" si="1"/>
        <v>0.94293562329510283</v>
      </c>
      <c r="D35" s="69">
        <f t="shared" ref="D35:D47" si="14">$D$62</f>
        <v>44.71264</v>
      </c>
      <c r="E35" s="70">
        <v>1.302</v>
      </c>
      <c r="F35" s="71">
        <v>19.899999999999999</v>
      </c>
      <c r="G35" s="72">
        <v>12</v>
      </c>
      <c r="H35" s="73">
        <f t="shared" si="6"/>
        <v>13901.947</v>
      </c>
      <c r="I35" s="73">
        <v>0</v>
      </c>
      <c r="J35" s="73">
        <f t="shared" si="2"/>
        <v>13901.947</v>
      </c>
      <c r="K35" s="73">
        <v>637.29999999999995</v>
      </c>
      <c r="L35" s="72">
        <v>12289.7</v>
      </c>
      <c r="M35" s="74">
        <f t="shared" si="3"/>
        <v>12289.7</v>
      </c>
      <c r="N35" s="75">
        <f t="shared" si="0"/>
        <v>1612.2469999999994</v>
      </c>
      <c r="O35" s="75">
        <f>N35*0.89</f>
        <v>1434.8998299999994</v>
      </c>
      <c r="P35" s="75">
        <v>89</v>
      </c>
      <c r="Q35" s="75">
        <f t="shared" si="5"/>
        <v>177.34717000000001</v>
      </c>
    </row>
    <row r="36" spans="1:17" ht="21" customHeight="1">
      <c r="A36" s="56" t="s">
        <v>78</v>
      </c>
      <c r="B36" s="57">
        <v>47.418550000000003</v>
      </c>
      <c r="C36" s="58">
        <f t="shared" si="1"/>
        <v>0.94293562329510283</v>
      </c>
      <c r="D36" s="59">
        <f t="shared" si="14"/>
        <v>44.71264</v>
      </c>
      <c r="E36" s="60">
        <v>1.302</v>
      </c>
      <c r="F36" s="61">
        <v>1.6</v>
      </c>
      <c r="G36" s="62">
        <v>12</v>
      </c>
      <c r="H36" s="63">
        <f t="shared" si="6"/>
        <v>1117.7439999999999</v>
      </c>
      <c r="I36" s="63">
        <v>0</v>
      </c>
      <c r="J36" s="63">
        <f t="shared" si="2"/>
        <v>1117.7439999999999</v>
      </c>
      <c r="K36" s="63">
        <v>4</v>
      </c>
      <c r="L36" s="62">
        <v>1117.7</v>
      </c>
      <c r="M36" s="64">
        <f t="shared" si="3"/>
        <v>1117.7</v>
      </c>
      <c r="N36" s="65">
        <f t="shared" si="0"/>
        <v>4.3999999999869033E-2</v>
      </c>
      <c r="O36" s="65">
        <f t="shared" ref="O36:O44" si="15">N36*0.89</f>
        <v>3.9159999999883441E-2</v>
      </c>
      <c r="P36" s="65">
        <v>89</v>
      </c>
      <c r="Q36" s="65">
        <f t="shared" si="5"/>
        <v>4.8399999999855919E-3</v>
      </c>
    </row>
    <row r="37" spans="1:17" ht="21" customHeight="1">
      <c r="A37" s="56" t="s">
        <v>79</v>
      </c>
      <c r="B37" s="57">
        <v>47.418550000000003</v>
      </c>
      <c r="C37" s="58">
        <f t="shared" si="1"/>
        <v>0.94293562329510283</v>
      </c>
      <c r="D37" s="59">
        <f t="shared" si="14"/>
        <v>44.71264</v>
      </c>
      <c r="E37" s="60">
        <v>1.302</v>
      </c>
      <c r="F37" s="61">
        <v>3.7</v>
      </c>
      <c r="G37" s="62">
        <v>12</v>
      </c>
      <c r="H37" s="63">
        <f t="shared" si="6"/>
        <v>2584.7840000000001</v>
      </c>
      <c r="I37" s="63">
        <v>0</v>
      </c>
      <c r="J37" s="63">
        <f t="shared" si="2"/>
        <v>2584.7840000000001</v>
      </c>
      <c r="K37" s="63">
        <v>0</v>
      </c>
      <c r="L37" s="62">
        <v>2584.8000000000002</v>
      </c>
      <c r="M37" s="64"/>
      <c r="N37" s="65">
        <f t="shared" si="0"/>
        <v>-1.6000000000076398E-2</v>
      </c>
      <c r="O37" s="65">
        <f t="shared" si="15"/>
        <v>-1.4240000000067993E-2</v>
      </c>
      <c r="P37" s="65">
        <v>89</v>
      </c>
      <c r="Q37" s="65">
        <f t="shared" si="5"/>
        <v>-1.7600000000084041E-3</v>
      </c>
    </row>
    <row r="38" spans="1:17" ht="21" customHeight="1">
      <c r="A38" s="56" t="s">
        <v>80</v>
      </c>
      <c r="B38" s="57">
        <v>47.418550000000003</v>
      </c>
      <c r="C38" s="58">
        <f t="shared" si="1"/>
        <v>0.94293562329510283</v>
      </c>
      <c r="D38" s="59">
        <f t="shared" si="14"/>
        <v>44.71264</v>
      </c>
      <c r="E38" s="60">
        <v>1.302</v>
      </c>
      <c r="F38" s="61">
        <v>8.5</v>
      </c>
      <c r="G38" s="62">
        <v>12</v>
      </c>
      <c r="H38" s="63">
        <f t="shared" si="6"/>
        <v>5938.0169999999998</v>
      </c>
      <c r="I38" s="63">
        <v>25.52</v>
      </c>
      <c r="J38" s="63">
        <f t="shared" si="2"/>
        <v>5912.4969999999994</v>
      </c>
      <c r="K38" s="63">
        <v>0</v>
      </c>
      <c r="L38" s="62">
        <v>5876.8</v>
      </c>
      <c r="M38" s="64"/>
      <c r="N38" s="65">
        <f t="shared" si="0"/>
        <v>35.696999999999207</v>
      </c>
      <c r="O38" s="65">
        <f t="shared" si="15"/>
        <v>31.770329999999294</v>
      </c>
      <c r="P38" s="65">
        <v>89</v>
      </c>
      <c r="Q38" s="65">
        <f t="shared" si="5"/>
        <v>3.9266699999999126</v>
      </c>
    </row>
    <row r="39" spans="1:17" ht="21" customHeight="1">
      <c r="A39" s="56" t="s">
        <v>81</v>
      </c>
      <c r="B39" s="57">
        <v>47.418550000000003</v>
      </c>
      <c r="C39" s="58">
        <f t="shared" si="1"/>
        <v>0.94293562329510283</v>
      </c>
      <c r="D39" s="59">
        <f t="shared" si="14"/>
        <v>44.71264</v>
      </c>
      <c r="E39" s="60">
        <v>1.302</v>
      </c>
      <c r="F39" s="61">
        <v>1</v>
      </c>
      <c r="G39" s="62">
        <v>12</v>
      </c>
      <c r="H39" s="63">
        <f t="shared" si="6"/>
        <v>698.59</v>
      </c>
      <c r="I39" s="63">
        <v>0</v>
      </c>
      <c r="J39" s="63">
        <f t="shared" si="2"/>
        <v>698.59</v>
      </c>
      <c r="K39" s="63">
        <v>6</v>
      </c>
      <c r="L39" s="62">
        <v>673.8</v>
      </c>
      <c r="M39" s="64"/>
      <c r="N39" s="65">
        <f t="shared" si="0"/>
        <v>24.790000000000077</v>
      </c>
      <c r="O39" s="65">
        <f t="shared" si="15"/>
        <v>22.06310000000007</v>
      </c>
      <c r="P39" s="65">
        <v>89</v>
      </c>
      <c r="Q39" s="65">
        <f t="shared" si="5"/>
        <v>2.7269000000000077</v>
      </c>
    </row>
    <row r="40" spans="1:17" ht="21" customHeight="1">
      <c r="A40" s="56" t="s">
        <v>82</v>
      </c>
      <c r="B40" s="57">
        <v>47.418550000000003</v>
      </c>
      <c r="C40" s="58">
        <f t="shared" si="1"/>
        <v>0.94293562329510283</v>
      </c>
      <c r="D40" s="59">
        <f t="shared" si="14"/>
        <v>44.71264</v>
      </c>
      <c r="E40" s="60">
        <v>1.302</v>
      </c>
      <c r="F40" s="61">
        <v>12.9</v>
      </c>
      <c r="G40" s="62">
        <v>12</v>
      </c>
      <c r="H40" s="63">
        <f t="shared" si="6"/>
        <v>9011.8150000000005</v>
      </c>
      <c r="I40" s="63">
        <v>0</v>
      </c>
      <c r="J40" s="63">
        <f t="shared" si="2"/>
        <v>9011.8150000000005</v>
      </c>
      <c r="K40" s="63">
        <v>303</v>
      </c>
      <c r="L40" s="62">
        <v>9011.7999999999993</v>
      </c>
      <c r="M40" s="64"/>
      <c r="N40" s="65">
        <f t="shared" si="0"/>
        <v>1.5000000001236913E-2</v>
      </c>
      <c r="O40" s="65">
        <f t="shared" si="15"/>
        <v>1.3350000001100853E-2</v>
      </c>
      <c r="P40" s="65">
        <v>89</v>
      </c>
      <c r="Q40" s="65">
        <f t="shared" si="5"/>
        <v>1.65000000013606E-3</v>
      </c>
    </row>
    <row r="41" spans="1:17" ht="21" customHeight="1">
      <c r="A41" s="56" t="s">
        <v>83</v>
      </c>
      <c r="B41" s="57">
        <v>47.418550000000003</v>
      </c>
      <c r="C41" s="58">
        <f t="shared" si="1"/>
        <v>0.94293562329510283</v>
      </c>
      <c r="D41" s="59">
        <f t="shared" si="14"/>
        <v>44.71264</v>
      </c>
      <c r="E41" s="60">
        <v>1.302</v>
      </c>
      <c r="F41" s="61">
        <v>4.9000000000000004</v>
      </c>
      <c r="G41" s="62">
        <v>12</v>
      </c>
      <c r="H41" s="63">
        <f t="shared" si="6"/>
        <v>3423.0920000000001</v>
      </c>
      <c r="I41" s="63">
        <v>0</v>
      </c>
      <c r="J41" s="63">
        <f t="shared" si="2"/>
        <v>3423.0920000000001</v>
      </c>
      <c r="K41" s="63">
        <v>135.30000000000001</v>
      </c>
      <c r="L41" s="62">
        <v>3290.7</v>
      </c>
      <c r="M41" s="64"/>
      <c r="N41" s="65">
        <f t="shared" si="0"/>
        <v>132.39200000000028</v>
      </c>
      <c r="O41" s="65">
        <f t="shared" si="15"/>
        <v>117.82888000000025</v>
      </c>
      <c r="P41" s="65">
        <v>89</v>
      </c>
      <c r="Q41" s="65">
        <f t="shared" si="5"/>
        <v>14.563120000000026</v>
      </c>
    </row>
    <row r="42" spans="1:17" ht="21" customHeight="1">
      <c r="A42" s="56" t="s">
        <v>84</v>
      </c>
      <c r="B42" s="57">
        <v>47.418550000000003</v>
      </c>
      <c r="C42" s="58">
        <f t="shared" si="1"/>
        <v>0.94293562329510283</v>
      </c>
      <c r="D42" s="59">
        <f t="shared" si="14"/>
        <v>44.71264</v>
      </c>
      <c r="E42" s="60">
        <v>1.302</v>
      </c>
      <c r="F42" s="61">
        <v>0.8</v>
      </c>
      <c r="G42" s="62">
        <v>12</v>
      </c>
      <c r="H42" s="63">
        <f t="shared" si="6"/>
        <v>558.87199999999996</v>
      </c>
      <c r="I42" s="63">
        <v>0</v>
      </c>
      <c r="J42" s="63">
        <f t="shared" si="2"/>
        <v>558.87199999999996</v>
      </c>
      <c r="K42" s="63">
        <v>0</v>
      </c>
      <c r="L42" s="62">
        <v>558.9</v>
      </c>
      <c r="M42" s="64"/>
      <c r="N42" s="65">
        <f t="shared" si="0"/>
        <v>-2.8000000000020009E-2</v>
      </c>
      <c r="O42" s="65">
        <f t="shared" si="15"/>
        <v>-2.492000000001781E-2</v>
      </c>
      <c r="P42" s="65">
        <v>89</v>
      </c>
      <c r="Q42" s="65">
        <f t="shared" si="5"/>
        <v>-3.080000000002199E-3</v>
      </c>
    </row>
    <row r="43" spans="1:17" ht="21" customHeight="1">
      <c r="A43" s="56" t="s">
        <v>85</v>
      </c>
      <c r="B43" s="57">
        <v>47.418550000000003</v>
      </c>
      <c r="C43" s="58">
        <f t="shared" si="1"/>
        <v>0.94293562329510283</v>
      </c>
      <c r="D43" s="59">
        <f t="shared" si="14"/>
        <v>44.71264</v>
      </c>
      <c r="E43" s="60">
        <v>1.302</v>
      </c>
      <c r="F43" s="61">
        <v>9.5</v>
      </c>
      <c r="G43" s="62">
        <v>12</v>
      </c>
      <c r="H43" s="63">
        <f t="shared" si="6"/>
        <v>6636.6080000000002</v>
      </c>
      <c r="I43" s="63">
        <v>0</v>
      </c>
      <c r="J43" s="63">
        <f t="shared" si="2"/>
        <v>6636.6080000000002</v>
      </c>
      <c r="K43" s="63">
        <v>370.4</v>
      </c>
      <c r="L43" s="62">
        <v>6147.6</v>
      </c>
      <c r="M43" s="64"/>
      <c r="N43" s="65">
        <f t="shared" si="0"/>
        <v>489.00799999999981</v>
      </c>
      <c r="O43" s="65">
        <f t="shared" si="15"/>
        <v>435.21711999999985</v>
      </c>
      <c r="P43" s="65">
        <v>89</v>
      </c>
      <c r="Q43" s="65">
        <f t="shared" si="5"/>
        <v>53.790879999999959</v>
      </c>
    </row>
    <row r="44" spans="1:17" ht="21" customHeight="1">
      <c r="A44" s="56" t="s">
        <v>86</v>
      </c>
      <c r="B44" s="57">
        <v>47.418550000000003</v>
      </c>
      <c r="C44" s="58">
        <f t="shared" si="1"/>
        <v>0.94293562329510283</v>
      </c>
      <c r="D44" s="59">
        <f t="shared" si="14"/>
        <v>44.71264</v>
      </c>
      <c r="E44" s="60">
        <v>1.302</v>
      </c>
      <c r="F44" s="61">
        <v>0.2</v>
      </c>
      <c r="G44" s="62">
        <v>12</v>
      </c>
      <c r="H44" s="63">
        <f t="shared" si="6"/>
        <v>139.71799999999999</v>
      </c>
      <c r="I44" s="63">
        <v>0</v>
      </c>
      <c r="J44" s="63">
        <f t="shared" si="2"/>
        <v>139.71799999999999</v>
      </c>
      <c r="K44" s="63">
        <v>0</v>
      </c>
      <c r="L44" s="62">
        <v>139.69999999999999</v>
      </c>
      <c r="M44" s="64"/>
      <c r="N44" s="65">
        <f t="shared" si="0"/>
        <v>1.8000000000000682E-2</v>
      </c>
      <c r="O44" s="65">
        <f t="shared" si="15"/>
        <v>1.6020000000000607E-2</v>
      </c>
      <c r="P44" s="65">
        <v>89</v>
      </c>
      <c r="Q44" s="65">
        <f t="shared" si="5"/>
        <v>1.9800000000000754E-3</v>
      </c>
    </row>
    <row r="45" spans="1:17" ht="21" customHeight="1">
      <c r="A45" s="56" t="s">
        <v>23</v>
      </c>
      <c r="B45" s="57">
        <v>47.418550000000003</v>
      </c>
      <c r="C45" s="58">
        <f t="shared" si="1"/>
        <v>0.94293562329510283</v>
      </c>
      <c r="D45" s="59">
        <f t="shared" si="14"/>
        <v>44.71264</v>
      </c>
      <c r="E45" s="60">
        <v>1.302</v>
      </c>
      <c r="F45" s="80">
        <v>149.25</v>
      </c>
      <c r="G45" s="62">
        <v>12</v>
      </c>
      <c r="H45" s="63">
        <f t="shared" si="6"/>
        <v>104264.6</v>
      </c>
      <c r="I45" s="63">
        <v>553.35</v>
      </c>
      <c r="J45" s="63">
        <f t="shared" si="2"/>
        <v>103711.25</v>
      </c>
      <c r="K45" s="63">
        <v>2590.46</v>
      </c>
      <c r="L45" s="62">
        <v>96420.753519999998</v>
      </c>
      <c r="M45" s="64">
        <f t="shared" si="3"/>
        <v>96974.103520000004</v>
      </c>
      <c r="N45" s="65">
        <f t="shared" si="0"/>
        <v>7290.4964800000016</v>
      </c>
      <c r="O45" s="65">
        <f>N45*0.83</f>
        <v>6051.1120784000013</v>
      </c>
      <c r="P45" s="65">
        <v>83</v>
      </c>
      <c r="Q45" s="65">
        <f t="shared" si="5"/>
        <v>1239.3844016000003</v>
      </c>
    </row>
    <row r="46" spans="1:17" ht="21" customHeight="1">
      <c r="A46" s="56" t="s">
        <v>24</v>
      </c>
      <c r="B46" s="57">
        <v>47.418550000000003</v>
      </c>
      <c r="C46" s="58">
        <f t="shared" si="1"/>
        <v>0.94293562329510283</v>
      </c>
      <c r="D46" s="59">
        <f t="shared" si="14"/>
        <v>44.71264</v>
      </c>
      <c r="E46" s="60">
        <v>1.302</v>
      </c>
      <c r="F46" s="61">
        <v>166.8</v>
      </c>
      <c r="G46" s="62">
        <v>12</v>
      </c>
      <c r="H46" s="63">
        <f t="shared" si="6"/>
        <v>116524.86</v>
      </c>
      <c r="I46" s="63">
        <v>734.98</v>
      </c>
      <c r="J46" s="63">
        <f t="shared" si="2"/>
        <v>115789.88</v>
      </c>
      <c r="K46" s="63">
        <v>1262.68</v>
      </c>
      <c r="L46" s="62">
        <v>114927.37479999999</v>
      </c>
      <c r="M46" s="64">
        <f t="shared" si="3"/>
        <v>115662.35479999999</v>
      </c>
      <c r="N46" s="65">
        <f t="shared" si="0"/>
        <v>862.50520000001416</v>
      </c>
      <c r="O46" s="65">
        <f>N46*0.85</f>
        <v>733.12942000001203</v>
      </c>
      <c r="P46" s="65">
        <v>85</v>
      </c>
      <c r="Q46" s="65">
        <f t="shared" si="5"/>
        <v>129.37578000000212</v>
      </c>
    </row>
    <row r="47" spans="1:17" ht="21" customHeight="1">
      <c r="A47" s="56" t="s">
        <v>25</v>
      </c>
      <c r="B47" s="57">
        <v>47.418550000000003</v>
      </c>
      <c r="C47" s="58">
        <f t="shared" si="1"/>
        <v>0.94293562329510283</v>
      </c>
      <c r="D47" s="59">
        <f t="shared" si="14"/>
        <v>44.71264</v>
      </c>
      <c r="E47" s="60">
        <v>1.302</v>
      </c>
      <c r="F47" s="61">
        <v>106.2</v>
      </c>
      <c r="G47" s="62">
        <v>12</v>
      </c>
      <c r="H47" s="63">
        <f t="shared" si="6"/>
        <v>74190.289000000004</v>
      </c>
      <c r="I47" s="63">
        <v>0</v>
      </c>
      <c r="J47" s="63">
        <f t="shared" si="2"/>
        <v>74190.289000000004</v>
      </c>
      <c r="K47" s="63">
        <v>1579.72</v>
      </c>
      <c r="L47" s="62">
        <v>72512.433000000005</v>
      </c>
      <c r="M47" s="64">
        <f t="shared" si="3"/>
        <v>72512.433000000005</v>
      </c>
      <c r="N47" s="65">
        <f t="shared" si="0"/>
        <v>1677.8559999999998</v>
      </c>
      <c r="O47" s="65">
        <f>N47*0.89</f>
        <v>1493.2918399999999</v>
      </c>
      <c r="P47" s="65">
        <v>89</v>
      </c>
      <c r="Q47" s="65">
        <f t="shared" si="5"/>
        <v>184.5641599999999</v>
      </c>
    </row>
    <row r="48" spans="1:17" ht="21" customHeight="1">
      <c r="A48" s="56" t="s">
        <v>26</v>
      </c>
      <c r="B48" s="57">
        <v>47.418550000000003</v>
      </c>
      <c r="C48" s="58">
        <f t="shared" si="1"/>
        <v>0.94950705929205537</v>
      </c>
      <c r="D48" s="59">
        <f>H48/G48/F48/E48</f>
        <v>45.024247966393297</v>
      </c>
      <c r="E48" s="60">
        <v>1.302</v>
      </c>
      <c r="F48" s="61">
        <v>66.099999999999994</v>
      </c>
      <c r="G48" s="62">
        <v>12</v>
      </c>
      <c r="H48" s="63">
        <v>46498.63</v>
      </c>
      <c r="I48" s="63">
        <v>153.38</v>
      </c>
      <c r="J48" s="63">
        <f t="shared" si="2"/>
        <v>46345.25</v>
      </c>
      <c r="K48" s="63">
        <v>0</v>
      </c>
      <c r="L48" s="62">
        <v>46345.247199999998</v>
      </c>
      <c r="M48" s="64">
        <f t="shared" si="3"/>
        <v>46498.627199999995</v>
      </c>
      <c r="N48" s="81">
        <f t="shared" si="0"/>
        <v>2.8000000020256266E-3</v>
      </c>
      <c r="O48" s="65">
        <f>N48*0.94</f>
        <v>2.6320000019040887E-3</v>
      </c>
      <c r="P48" s="65">
        <v>94</v>
      </c>
      <c r="Q48" s="65">
        <f t="shared" si="5"/>
        <v>1.6800000012153794E-4</v>
      </c>
    </row>
    <row r="49" spans="1:22" ht="21" customHeight="1">
      <c r="A49" s="56" t="s">
        <v>27</v>
      </c>
      <c r="B49" s="57">
        <v>47.418550000000003</v>
      </c>
      <c r="C49" s="58">
        <f t="shared" si="1"/>
        <v>0.94293562329510283</v>
      </c>
      <c r="D49" s="59">
        <f>$D$62</f>
        <v>44.71264</v>
      </c>
      <c r="E49" s="60">
        <v>1.302</v>
      </c>
      <c r="F49" s="61">
        <f>551.8+22.5</f>
        <v>574.29999999999995</v>
      </c>
      <c r="G49" s="62">
        <v>12</v>
      </c>
      <c r="H49" s="63">
        <f t="shared" si="6"/>
        <v>401200.402</v>
      </c>
      <c r="I49" s="63">
        <v>67720.28</v>
      </c>
      <c r="J49" s="63">
        <f t="shared" si="2"/>
        <v>333480.12199999997</v>
      </c>
      <c r="K49" s="63">
        <v>0</v>
      </c>
      <c r="L49" s="62">
        <v>323089.35680000001</v>
      </c>
      <c r="M49" s="64">
        <f t="shared" si="3"/>
        <v>390809.63679999998</v>
      </c>
      <c r="N49" s="65">
        <f t="shared" si="0"/>
        <v>10390.765199999965</v>
      </c>
      <c r="O49" s="65">
        <f>N49*0.85</f>
        <v>8832.1504199999708</v>
      </c>
      <c r="P49" s="65">
        <v>85</v>
      </c>
      <c r="Q49" s="65">
        <f t="shared" si="5"/>
        <v>1558.6147799999944</v>
      </c>
    </row>
    <row r="50" spans="1:22" ht="21" customHeight="1">
      <c r="A50" s="56" t="s">
        <v>28</v>
      </c>
      <c r="B50" s="57">
        <v>47.418550000000003</v>
      </c>
      <c r="C50" s="58">
        <f t="shared" si="1"/>
        <v>0.98093888110462402</v>
      </c>
      <c r="D50" s="59">
        <f>H50/G50/F50/E50</f>
        <v>46.514699380603673</v>
      </c>
      <c r="E50" s="60">
        <v>1.302</v>
      </c>
      <c r="F50" s="61">
        <f>341.5+15.9</f>
        <v>357.4</v>
      </c>
      <c r="G50" s="62">
        <v>12</v>
      </c>
      <c r="H50" s="63">
        <v>259738.9</v>
      </c>
      <c r="I50" s="63">
        <v>40179.46</v>
      </c>
      <c r="J50" s="63">
        <f t="shared" si="2"/>
        <v>219559.44</v>
      </c>
      <c r="K50" s="63">
        <v>0</v>
      </c>
      <c r="L50" s="62">
        <v>219559.42820000002</v>
      </c>
      <c r="M50" s="64">
        <f t="shared" si="3"/>
        <v>259738.88820000002</v>
      </c>
      <c r="N50" s="65">
        <f t="shared" si="0"/>
        <v>1.1799999978393316E-2</v>
      </c>
      <c r="O50" s="65">
        <f>N50*0.75</f>
        <v>8.8499999837949872E-3</v>
      </c>
      <c r="P50" s="65">
        <v>75</v>
      </c>
      <c r="Q50" s="65">
        <f t="shared" si="5"/>
        <v>2.9499999945983291E-3</v>
      </c>
    </row>
    <row r="51" spans="1:22" ht="21" customHeight="1">
      <c r="A51" s="56" t="s">
        <v>29</v>
      </c>
      <c r="B51" s="57">
        <v>47.418550000000003</v>
      </c>
      <c r="C51" s="58">
        <f t="shared" si="1"/>
        <v>0.94293572710197371</v>
      </c>
      <c r="D51" s="59">
        <f>H51/G51/F51/E51</f>
        <v>44.712644922371297</v>
      </c>
      <c r="E51" s="60">
        <v>1.302</v>
      </c>
      <c r="F51" s="61">
        <v>230.6</v>
      </c>
      <c r="G51" s="62">
        <v>12</v>
      </c>
      <c r="H51" s="63">
        <f>161176.598-81.66</f>
        <v>161094.93799999999</v>
      </c>
      <c r="I51" s="63">
        <v>10079.82</v>
      </c>
      <c r="J51" s="63">
        <f t="shared" si="2"/>
        <v>151015.11799999999</v>
      </c>
      <c r="K51" s="63">
        <v>1241.5899999999999</v>
      </c>
      <c r="L51" s="62">
        <v>151015.1146</v>
      </c>
      <c r="M51" s="64">
        <f t="shared" si="3"/>
        <v>161094.93460000001</v>
      </c>
      <c r="N51" s="65">
        <f t="shared" si="0"/>
        <v>3.3999999868683517E-3</v>
      </c>
      <c r="O51" s="65">
        <f>N51*0.88</f>
        <v>2.9919999884441494E-3</v>
      </c>
      <c r="P51" s="65">
        <v>88</v>
      </c>
      <c r="Q51" s="65">
        <f t="shared" si="5"/>
        <v>4.0799999842420229E-4</v>
      </c>
    </row>
    <row r="52" spans="1:22" ht="21" customHeight="1">
      <c r="A52" s="56" t="s">
        <v>30</v>
      </c>
      <c r="B52" s="57">
        <v>47.418550000000003</v>
      </c>
      <c r="C52" s="58">
        <f t="shared" si="1"/>
        <v>0.94341144427691304</v>
      </c>
      <c r="D52" s="59">
        <f>H52/G52/F52/E52</f>
        <v>44.735202741017019</v>
      </c>
      <c r="E52" s="60">
        <v>1.302</v>
      </c>
      <c r="F52" s="61">
        <f>56.9+0.8</f>
        <v>57.699999999999996</v>
      </c>
      <c r="G52" s="62">
        <v>12</v>
      </c>
      <c r="H52" s="63">
        <f>40308.6+20.4</f>
        <v>40329</v>
      </c>
      <c r="I52" s="63">
        <v>0</v>
      </c>
      <c r="J52" s="63">
        <f t="shared" si="2"/>
        <v>40329</v>
      </c>
      <c r="K52" s="63">
        <v>0</v>
      </c>
      <c r="L52" s="62">
        <v>40329.039799999999</v>
      </c>
      <c r="M52" s="64">
        <f t="shared" si="3"/>
        <v>40329.039799999999</v>
      </c>
      <c r="N52" s="65">
        <f t="shared" si="0"/>
        <v>-3.9799999998649582E-2</v>
      </c>
      <c r="O52" s="65">
        <f>N52*0.87</f>
        <v>-3.4625999998825138E-2</v>
      </c>
      <c r="P52" s="65">
        <v>87</v>
      </c>
      <c r="Q52" s="65">
        <f t="shared" si="5"/>
        <v>-5.173999999824444E-3</v>
      </c>
    </row>
    <row r="53" spans="1:22" ht="21" customHeight="1">
      <c r="A53" s="56" t="s">
        <v>31</v>
      </c>
      <c r="B53" s="57">
        <v>47.418550000000003</v>
      </c>
      <c r="C53" s="58">
        <f t="shared" si="1"/>
        <v>0.97319369394675959</v>
      </c>
      <c r="D53" s="59">
        <f>H53/F53/G53/E53</f>
        <v>46.147433836099118</v>
      </c>
      <c r="E53" s="60">
        <v>1.302</v>
      </c>
      <c r="F53" s="61">
        <v>119.9</v>
      </c>
      <c r="G53" s="62">
        <v>12</v>
      </c>
      <c r="H53" s="63">
        <v>86448.8</v>
      </c>
      <c r="I53" s="63">
        <v>985.74</v>
      </c>
      <c r="J53" s="63">
        <f t="shared" si="2"/>
        <v>85463.06</v>
      </c>
      <c r="K53" s="63">
        <v>0</v>
      </c>
      <c r="L53" s="62">
        <v>85463.012600000002</v>
      </c>
      <c r="M53" s="64">
        <f t="shared" si="3"/>
        <v>86448.752600000007</v>
      </c>
      <c r="N53" s="65">
        <f t="shared" si="0"/>
        <v>4.7399999995832331E-2</v>
      </c>
      <c r="O53" s="65">
        <f>N53*0.86</f>
        <v>4.0763999996415806E-2</v>
      </c>
      <c r="P53" s="65">
        <v>86</v>
      </c>
      <c r="Q53" s="65">
        <f t="shared" si="5"/>
        <v>6.6359999994165253E-3</v>
      </c>
    </row>
    <row r="54" spans="1:22" ht="21" customHeight="1">
      <c r="A54" s="56" t="s">
        <v>32</v>
      </c>
      <c r="B54" s="57">
        <v>47.418550000000003</v>
      </c>
      <c r="C54" s="58">
        <f t="shared" si="1"/>
        <v>0.94293562329510283</v>
      </c>
      <c r="D54" s="59">
        <f>$D$62</f>
        <v>44.71264</v>
      </c>
      <c r="E54" s="60">
        <v>1.302</v>
      </c>
      <c r="F54" s="61">
        <v>20.6</v>
      </c>
      <c r="G54" s="62">
        <v>12</v>
      </c>
      <c r="H54" s="63">
        <f t="shared" si="6"/>
        <v>14390.96</v>
      </c>
      <c r="I54" s="63">
        <v>0</v>
      </c>
      <c r="J54" s="63">
        <f t="shared" si="2"/>
        <v>14390.96</v>
      </c>
      <c r="K54" s="63">
        <v>0</v>
      </c>
      <c r="L54" s="62">
        <v>14295.5316</v>
      </c>
      <c r="M54" s="64">
        <f t="shared" si="3"/>
        <v>14295.5316</v>
      </c>
      <c r="N54" s="65">
        <f>J54-L54-0.01</f>
        <v>95.418399999998869</v>
      </c>
      <c r="O54" s="65">
        <f>N54*0.78</f>
        <v>74.426351999999113</v>
      </c>
      <c r="P54" s="65">
        <v>78</v>
      </c>
      <c r="Q54" s="65">
        <f t="shared" si="5"/>
        <v>20.992047999999755</v>
      </c>
    </row>
    <row r="55" spans="1:22" ht="27" customHeight="1">
      <c r="A55" s="66" t="s">
        <v>33</v>
      </c>
      <c r="B55" s="82">
        <v>47.418550000000003</v>
      </c>
      <c r="C55" s="70">
        <f>D55/B55</f>
        <v>0.94980732548075886</v>
      </c>
      <c r="D55" s="83">
        <f>H55/G55/F55/E55</f>
        <v>45.038486153675642</v>
      </c>
      <c r="E55" s="70">
        <v>1.302</v>
      </c>
      <c r="F55" s="84">
        <f>SUM(F7:F54)</f>
        <v>3379.1499999999996</v>
      </c>
      <c r="G55" s="75">
        <v>12</v>
      </c>
      <c r="H55" s="85">
        <f t="shared" ref="H55:M55" si="16">SUM(H7:H54)</f>
        <v>2377844.6907962798</v>
      </c>
      <c r="I55" s="86">
        <f t="shared" si="16"/>
        <v>124980.02</v>
      </c>
      <c r="J55" s="85">
        <f t="shared" si="16"/>
        <v>2252864.6707962798</v>
      </c>
      <c r="K55" s="85">
        <f t="shared" si="16"/>
        <v>18067.5</v>
      </c>
      <c r="L55" s="85">
        <f t="shared" si="16"/>
        <v>2211392.5771331997</v>
      </c>
      <c r="M55" s="85">
        <f t="shared" si="16"/>
        <v>2247230.0771331997</v>
      </c>
      <c r="N55" s="84">
        <f>SUM(N7:N54)</f>
        <v>41471.983663079991</v>
      </c>
      <c r="O55" s="75">
        <f>SUM(O7:O54)</f>
        <v>36802.865094532382</v>
      </c>
      <c r="P55" s="75"/>
      <c r="Q55" s="84">
        <f>SUM(Q7:Q54)</f>
        <v>4669.1185685475912</v>
      </c>
    </row>
    <row r="56" spans="1:22" ht="21.75" hidden="1" customHeight="1">
      <c r="A56" s="87" t="s">
        <v>34</v>
      </c>
      <c r="B56" s="88">
        <v>34.557000000000002</v>
      </c>
      <c r="C56" s="58">
        <f t="shared" ref="C56:C57" si="17">99.335827535/100</f>
        <v>0.9933582753500001</v>
      </c>
      <c r="D56" s="89">
        <f t="shared" ref="D56:D57" si="18">ROUND(B56*C56,5)</f>
        <v>34.327480000000001</v>
      </c>
      <c r="E56" s="89"/>
      <c r="F56" s="89"/>
      <c r="G56" s="89"/>
      <c r="H56" s="90" t="e">
        <f>ROUND(D56*#REF!*#REF!*12,2)</f>
        <v>#REF!</v>
      </c>
      <c r="I56" s="90"/>
      <c r="J56" s="90"/>
      <c r="K56" s="90"/>
      <c r="L56" s="91">
        <v>85463.012600000002</v>
      </c>
    </row>
    <row r="57" spans="1:22" ht="22.5" hidden="1" customHeight="1">
      <c r="A57" s="92" t="s">
        <v>35</v>
      </c>
      <c r="B57" s="93">
        <v>34.557000000000002</v>
      </c>
      <c r="C57" s="58">
        <f t="shared" si="17"/>
        <v>0.9933582753500001</v>
      </c>
      <c r="D57" s="94">
        <f t="shared" si="18"/>
        <v>34.327480000000001</v>
      </c>
      <c r="E57" s="95"/>
      <c r="F57" s="95"/>
      <c r="G57" s="95"/>
      <c r="H57" s="96" t="e">
        <f>ROUND(D57*#REF!*#REF!*12,2)</f>
        <v>#REF!</v>
      </c>
      <c r="I57" s="97"/>
      <c r="J57" s="97"/>
      <c r="K57" s="97"/>
      <c r="L57" s="98">
        <v>14295.5316</v>
      </c>
    </row>
    <row r="58" spans="1:22" ht="13.5" customHeight="1">
      <c r="A58" s="99"/>
      <c r="B58" s="78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</row>
    <row r="59" spans="1:22" s="104" customFormat="1" ht="15.75" hidden="1">
      <c r="A59" s="101"/>
      <c r="B59" s="101"/>
      <c r="C59" s="102"/>
      <c r="D59" s="102"/>
      <c r="E59" s="102"/>
      <c r="F59" s="102"/>
      <c r="G59" s="102"/>
      <c r="H59" s="103"/>
      <c r="I59" s="103"/>
      <c r="J59" s="103"/>
      <c r="K59" s="103"/>
      <c r="L59" s="102"/>
      <c r="M59" s="102"/>
      <c r="N59" s="102"/>
      <c r="O59" s="102"/>
      <c r="P59" s="102"/>
      <c r="Q59" s="102"/>
      <c r="R59" s="102"/>
      <c r="S59" s="102"/>
      <c r="T59" s="102"/>
      <c r="U59" s="101"/>
      <c r="V59" s="101"/>
    </row>
    <row r="60" spans="1:22" ht="18.75" hidden="1">
      <c r="A60" s="105" t="s">
        <v>40</v>
      </c>
      <c r="B60" s="106"/>
      <c r="C60" s="107"/>
      <c r="D60" s="108">
        <v>45.731099999999998</v>
      </c>
      <c r="E60" s="107"/>
      <c r="F60" s="107"/>
      <c r="G60" s="107"/>
      <c r="H60" s="109">
        <v>2379397.8681000001</v>
      </c>
      <c r="I60" s="109"/>
      <c r="J60" s="109"/>
      <c r="K60" s="109"/>
      <c r="L60" s="107"/>
      <c r="M60" s="107"/>
      <c r="N60" s="107"/>
      <c r="O60" s="107"/>
      <c r="P60" s="107"/>
      <c r="Q60" s="107"/>
      <c r="R60" s="100"/>
      <c r="S60" s="100"/>
      <c r="T60" s="100"/>
      <c r="U60" s="78"/>
      <c r="V60" s="78"/>
    </row>
    <row r="61" spans="1:22" ht="18.75" hidden="1">
      <c r="A61" s="110" t="s">
        <v>41</v>
      </c>
      <c r="B61" s="106"/>
      <c r="C61" s="107"/>
      <c r="D61" s="111">
        <f>H61/F61/G55/E55</f>
        <v>44.756558804518107</v>
      </c>
      <c r="E61" s="107"/>
      <c r="F61" s="112">
        <f>F55-F53-F50-F7-F10-F21-F29-F48-F8</f>
        <v>2293.1499999999992</v>
      </c>
      <c r="G61" s="107"/>
      <c r="H61" s="109">
        <f>H60-H53-H50-H7-H10-H21-H29-H48-H8</f>
        <v>1603545.8481000003</v>
      </c>
      <c r="I61" s="109"/>
      <c r="J61" s="109"/>
      <c r="K61" s="109"/>
      <c r="L61" s="107"/>
      <c r="M61" s="107"/>
      <c r="N61" s="107"/>
      <c r="O61" s="107"/>
      <c r="P61" s="107"/>
      <c r="Q61" s="107"/>
      <c r="R61" s="100"/>
      <c r="S61" s="100"/>
      <c r="T61" s="100"/>
      <c r="U61" s="78"/>
      <c r="V61" s="78"/>
    </row>
    <row r="62" spans="1:22" ht="25.5" hidden="1" customHeight="1">
      <c r="A62" s="78"/>
      <c r="B62" s="106"/>
      <c r="C62" s="107"/>
      <c r="D62" s="107">
        <v>44.71264</v>
      </c>
      <c r="E62" s="107"/>
      <c r="F62" s="107"/>
      <c r="G62" s="107"/>
      <c r="H62" s="107"/>
      <c r="I62" s="107"/>
      <c r="J62" s="107"/>
      <c r="K62" s="107"/>
      <c r="L62" s="107"/>
      <c r="M62" s="107"/>
      <c r="N62" s="113">
        <v>78039.34</v>
      </c>
      <c r="O62" s="113">
        <v>70036.600000000006</v>
      </c>
      <c r="P62" s="113"/>
      <c r="Q62" s="113">
        <v>8002.78</v>
      </c>
      <c r="R62" s="100"/>
      <c r="S62" s="100"/>
      <c r="T62" s="100"/>
      <c r="U62" s="78"/>
      <c r="V62" s="78"/>
    </row>
    <row r="63" spans="1:22">
      <c r="A63" s="78"/>
      <c r="B63" s="106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0"/>
      <c r="S63" s="100"/>
      <c r="T63" s="100"/>
      <c r="U63" s="78"/>
      <c r="V63" s="78"/>
    </row>
    <row r="64" spans="1:22" hidden="1">
      <c r="A64" s="78"/>
      <c r="B64" s="78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78"/>
      <c r="V64" s="78"/>
    </row>
    <row r="65" spans="1:22" hidden="1">
      <c r="A65" s="78"/>
      <c r="B65" s="78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78"/>
      <c r="V65" s="78"/>
    </row>
    <row r="66" spans="1:22" ht="41.25" hidden="1" customHeight="1">
      <c r="A66" s="125" t="s">
        <v>38</v>
      </c>
      <c r="B66" s="125"/>
      <c r="C66" s="114"/>
      <c r="D66" s="126" t="s">
        <v>37</v>
      </c>
      <c r="E66" s="126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78"/>
      <c r="V66" s="78"/>
    </row>
    <row r="67" spans="1:22">
      <c r="A67" s="78"/>
      <c r="B67" s="78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78"/>
      <c r="V67" s="78"/>
    </row>
    <row r="68" spans="1:22">
      <c r="A68" s="78"/>
      <c r="B68" s="78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78"/>
      <c r="V68" s="78"/>
    </row>
    <row r="69" spans="1:22">
      <c r="A69" s="78"/>
      <c r="B69" s="78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78"/>
      <c r="V69" s="78"/>
    </row>
    <row r="70" spans="1:22"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</row>
    <row r="71" spans="1:22"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</row>
  </sheetData>
  <mergeCells count="22">
    <mergeCell ref="P4:P5"/>
    <mergeCell ref="A66:B66"/>
    <mergeCell ref="D66:E66"/>
    <mergeCell ref="H4:H5"/>
    <mergeCell ref="I4:I5"/>
    <mergeCell ref="J4:J5"/>
    <mergeCell ref="L1:N1"/>
    <mergeCell ref="O1:Q1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Q4:Q5"/>
    <mergeCell ref="K4:K5"/>
    <mergeCell ref="L4:L5"/>
    <mergeCell ref="M4:M5"/>
    <mergeCell ref="A3:Q3"/>
  </mergeCells>
  <pageMargins left="0.19685039370078741" right="0" top="0.15748031496062992" bottom="0.15748031496062992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3"/>
  <sheetViews>
    <sheetView topLeftCell="C10" zoomScale="70" zoomScaleNormal="70" workbookViewId="0">
      <selection activeCell="O2" sqref="O2"/>
    </sheetView>
  </sheetViews>
  <sheetFormatPr defaultRowHeight="15"/>
  <cols>
    <col min="1" max="1" width="54.7109375" style="2" customWidth="1"/>
    <col min="2" max="2" width="32.28515625" style="2" customWidth="1"/>
    <col min="3" max="3" width="26.7109375" style="2" customWidth="1"/>
    <col min="4" max="4" width="24.140625" style="2" customWidth="1"/>
    <col min="5" max="5" width="17.5703125" style="2" customWidth="1"/>
    <col min="6" max="6" width="19.140625" style="2" customWidth="1"/>
    <col min="7" max="7" width="15.5703125" style="2" customWidth="1"/>
    <col min="8" max="8" width="26.140625" style="2" customWidth="1"/>
    <col min="9" max="9" width="22.7109375" style="2" customWidth="1"/>
    <col min="10" max="10" width="26.140625" style="2" customWidth="1"/>
    <col min="11" max="11" width="21.28515625" style="2" customWidth="1"/>
    <col min="12" max="12" width="27.42578125" style="2" customWidth="1"/>
    <col min="13" max="13" width="22.42578125" style="2" hidden="1" customWidth="1"/>
    <col min="14" max="14" width="29.5703125" style="2" customWidth="1"/>
    <col min="15" max="15" width="26.7109375" style="2" customWidth="1"/>
    <col min="16" max="16" width="25.28515625" style="14" customWidth="1"/>
    <col min="17" max="16384" width="9.140625" style="2"/>
  </cols>
  <sheetData>
    <row r="1" spans="1:16" ht="79.5" customHeight="1">
      <c r="A1" s="1"/>
      <c r="B1" s="1"/>
      <c r="C1" s="1"/>
      <c r="D1" s="1"/>
      <c r="E1" s="1"/>
      <c r="F1" s="1"/>
      <c r="G1" s="1"/>
      <c r="H1" s="42"/>
      <c r="I1" s="42"/>
      <c r="J1" s="42"/>
      <c r="K1" s="42"/>
      <c r="L1" s="127"/>
      <c r="M1" s="127"/>
      <c r="N1" s="127"/>
      <c r="O1" s="127" t="s">
        <v>53</v>
      </c>
      <c r="P1" s="128"/>
    </row>
    <row r="2" spans="1:16" ht="30.75" customHeight="1">
      <c r="A2" s="1"/>
      <c r="B2" s="1"/>
      <c r="C2" s="1"/>
      <c r="D2" s="1"/>
      <c r="E2" s="1"/>
      <c r="F2" s="1"/>
      <c r="G2" s="1"/>
      <c r="H2" s="3"/>
      <c r="I2" s="3"/>
      <c r="J2" s="3"/>
      <c r="K2" s="3"/>
      <c r="L2" s="4"/>
    </row>
    <row r="3" spans="1:16" ht="44.25" customHeight="1">
      <c r="A3" s="135" t="s">
        <v>54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37.5" customHeight="1">
      <c r="A4" s="129" t="s">
        <v>0</v>
      </c>
      <c r="B4" s="130" t="s">
        <v>36</v>
      </c>
      <c r="C4" s="130" t="s">
        <v>1</v>
      </c>
      <c r="D4" s="130" t="s">
        <v>2</v>
      </c>
      <c r="E4" s="132" t="s">
        <v>3</v>
      </c>
      <c r="F4" s="130" t="s">
        <v>55</v>
      </c>
      <c r="G4" s="130" t="s">
        <v>4</v>
      </c>
      <c r="H4" s="130" t="s">
        <v>56</v>
      </c>
      <c r="I4" s="130" t="s">
        <v>60</v>
      </c>
      <c r="J4" s="130" t="s">
        <v>57</v>
      </c>
      <c r="K4" s="130" t="s">
        <v>39</v>
      </c>
      <c r="L4" s="130" t="s">
        <v>58</v>
      </c>
      <c r="M4" s="130" t="s">
        <v>43</v>
      </c>
      <c r="N4" s="134" t="s">
        <v>51</v>
      </c>
      <c r="O4" s="134" t="s">
        <v>50</v>
      </c>
      <c r="P4" s="134" t="s">
        <v>51</v>
      </c>
    </row>
    <row r="5" spans="1:16" ht="254.25" customHeight="1">
      <c r="A5" s="129"/>
      <c r="B5" s="131"/>
      <c r="C5" s="131"/>
      <c r="D5" s="131"/>
      <c r="E5" s="133"/>
      <c r="F5" s="131"/>
      <c r="G5" s="131"/>
      <c r="H5" s="131"/>
      <c r="I5" s="131"/>
      <c r="J5" s="131"/>
      <c r="K5" s="131"/>
      <c r="L5" s="131"/>
      <c r="M5" s="131"/>
      <c r="N5" s="134"/>
      <c r="O5" s="134"/>
      <c r="P5" s="134"/>
    </row>
    <row r="6" spans="1:16" s="6" customFormat="1" ht="39" customHeight="1">
      <c r="A6" s="45">
        <v>1</v>
      </c>
      <c r="B6" s="45">
        <v>2</v>
      </c>
      <c r="C6" s="45">
        <v>3</v>
      </c>
      <c r="D6" s="45" t="s">
        <v>5</v>
      </c>
      <c r="E6" s="5">
        <v>5</v>
      </c>
      <c r="F6" s="45">
        <v>6</v>
      </c>
      <c r="G6" s="45">
        <v>7</v>
      </c>
      <c r="H6" s="45" t="s">
        <v>6</v>
      </c>
      <c r="I6" s="45">
        <v>9</v>
      </c>
      <c r="J6" s="45" t="s">
        <v>7</v>
      </c>
      <c r="K6" s="45">
        <v>11</v>
      </c>
      <c r="L6" s="5">
        <v>12</v>
      </c>
      <c r="M6" s="5" t="s">
        <v>44</v>
      </c>
      <c r="N6" s="5" t="s">
        <v>49</v>
      </c>
      <c r="O6" s="5" t="s">
        <v>52</v>
      </c>
      <c r="P6" s="5" t="s">
        <v>42</v>
      </c>
    </row>
    <row r="7" spans="1:16" s="14" customFormat="1" ht="21" customHeight="1">
      <c r="A7" s="7" t="s">
        <v>8</v>
      </c>
      <c r="B7" s="46">
        <v>49.604819999999997</v>
      </c>
      <c r="C7" s="8">
        <f>D7/B7</f>
        <v>0.99947006770417179</v>
      </c>
      <c r="D7" s="36">
        <v>49.57853280385325</v>
      </c>
      <c r="E7" s="9">
        <v>1.302</v>
      </c>
      <c r="F7" s="38">
        <v>172.1</v>
      </c>
      <c r="G7" s="10">
        <v>12</v>
      </c>
      <c r="H7" s="11">
        <f>ROUND(D7*E7*F7*G7,3)</f>
        <v>133311.24100000001</v>
      </c>
      <c r="I7" s="11">
        <v>68.099999999999994</v>
      </c>
      <c r="J7" s="11">
        <f>H7-I7</f>
        <v>133243.141</v>
      </c>
      <c r="K7" s="11">
        <v>40.1</v>
      </c>
      <c r="L7" s="10">
        <v>118110.87999999999</v>
      </c>
      <c r="M7" s="12">
        <f>L7+I7</f>
        <v>118178.98</v>
      </c>
      <c r="N7" s="13">
        <f>J7-L7</f>
        <v>15132.261000000013</v>
      </c>
      <c r="O7" s="13">
        <f>N7*0.93</f>
        <v>14073.002730000013</v>
      </c>
      <c r="P7" s="13">
        <f>N7-O7</f>
        <v>1059.2582700000003</v>
      </c>
    </row>
    <row r="8" spans="1:16" s="14" customFormat="1" ht="21" customHeight="1">
      <c r="A8" s="7" t="s">
        <v>9</v>
      </c>
      <c r="B8" s="46">
        <v>49.604819999999997</v>
      </c>
      <c r="C8" s="8">
        <f t="shared" ref="C8:C31" si="0">D8/B8</f>
        <v>0.99947006770417179</v>
      </c>
      <c r="D8" s="36">
        <v>49.57853280385325</v>
      </c>
      <c r="E8" s="9">
        <v>1.302</v>
      </c>
      <c r="F8" s="38">
        <v>63.7</v>
      </c>
      <c r="G8" s="10">
        <v>12</v>
      </c>
      <c r="H8" s="11">
        <f t="shared" ref="H8:H31" si="1">ROUND(D8*E8*F8*G8,3)</f>
        <v>49342.974999999999</v>
      </c>
      <c r="I8" s="11">
        <v>0</v>
      </c>
      <c r="J8" s="11">
        <f t="shared" ref="J8:J30" si="2">H8-I8</f>
        <v>49342.974999999999</v>
      </c>
      <c r="K8" s="11">
        <v>928.72</v>
      </c>
      <c r="L8" s="10">
        <v>43949.139000000003</v>
      </c>
      <c r="M8" s="12">
        <f t="shared" ref="M8:M31" si="3">L8+I8</f>
        <v>43949.139000000003</v>
      </c>
      <c r="N8" s="13">
        <f t="shared" ref="N8:N21" si="4">J8-L8</f>
        <v>5393.8359999999957</v>
      </c>
      <c r="O8" s="13">
        <f t="shared" ref="O8:O14" si="5">N8*0.95</f>
        <v>5124.1441999999961</v>
      </c>
      <c r="P8" s="13">
        <f t="shared" ref="P8:P31" si="6">N8-O8</f>
        <v>269.6917999999996</v>
      </c>
    </row>
    <row r="9" spans="1:16" s="14" customFormat="1" ht="21" customHeight="1">
      <c r="A9" s="7" t="s">
        <v>10</v>
      </c>
      <c r="B9" s="46">
        <v>49.604819999999997</v>
      </c>
      <c r="C9" s="8">
        <f t="shared" si="0"/>
        <v>0.99947006770417179</v>
      </c>
      <c r="D9" s="36">
        <v>49.57853280385325</v>
      </c>
      <c r="E9" s="9">
        <v>1.302</v>
      </c>
      <c r="F9" s="38">
        <v>101.3</v>
      </c>
      <c r="G9" s="10">
        <v>12</v>
      </c>
      <c r="H9" s="11">
        <f t="shared" si="1"/>
        <v>78468.498999999996</v>
      </c>
      <c r="I9" s="11">
        <v>0</v>
      </c>
      <c r="J9" s="11">
        <f t="shared" si="2"/>
        <v>78468.498999999996</v>
      </c>
      <c r="K9" s="11">
        <v>1363.98</v>
      </c>
      <c r="L9" s="10">
        <v>64903.218000000001</v>
      </c>
      <c r="M9" s="12">
        <f t="shared" si="3"/>
        <v>64903.218000000001</v>
      </c>
      <c r="N9" s="13">
        <f t="shared" si="4"/>
        <v>13565.280999999995</v>
      </c>
      <c r="O9" s="13">
        <f t="shared" si="5"/>
        <v>12887.016949999996</v>
      </c>
      <c r="P9" s="13">
        <f t="shared" si="6"/>
        <v>678.26404999999977</v>
      </c>
    </row>
    <row r="10" spans="1:16" s="14" customFormat="1" ht="21" customHeight="1">
      <c r="A10" s="7" t="s">
        <v>11</v>
      </c>
      <c r="B10" s="46">
        <v>49.604819999999997</v>
      </c>
      <c r="C10" s="8">
        <f t="shared" si="0"/>
        <v>0.99947006770417179</v>
      </c>
      <c r="D10" s="36">
        <v>49.57853280385325</v>
      </c>
      <c r="E10" s="9">
        <v>1.302</v>
      </c>
      <c r="F10" s="38">
        <v>88.9</v>
      </c>
      <c r="G10" s="10">
        <v>12</v>
      </c>
      <c r="H10" s="11">
        <f t="shared" si="1"/>
        <v>68863.273000000001</v>
      </c>
      <c r="I10" s="11">
        <v>0</v>
      </c>
      <c r="J10" s="11">
        <f t="shared" si="2"/>
        <v>68863.273000000001</v>
      </c>
      <c r="K10" s="11">
        <v>512.34</v>
      </c>
      <c r="L10" s="10">
        <v>61229.451000000001</v>
      </c>
      <c r="M10" s="12">
        <f t="shared" si="3"/>
        <v>61229.451000000001</v>
      </c>
      <c r="N10" s="13">
        <f t="shared" si="4"/>
        <v>7633.8220000000001</v>
      </c>
      <c r="O10" s="13">
        <f>N10*0.91</f>
        <v>6946.7780200000007</v>
      </c>
      <c r="P10" s="13">
        <f t="shared" si="6"/>
        <v>687.04397999999946</v>
      </c>
    </row>
    <row r="11" spans="1:16" s="14" customFormat="1" ht="21" customHeight="1">
      <c r="A11" s="7" t="s">
        <v>12</v>
      </c>
      <c r="B11" s="46">
        <v>49.604819999999997</v>
      </c>
      <c r="C11" s="8">
        <f t="shared" si="0"/>
        <v>0.99947006770417179</v>
      </c>
      <c r="D11" s="36">
        <v>49.57853280385325</v>
      </c>
      <c r="E11" s="9">
        <v>1.302</v>
      </c>
      <c r="F11" s="38">
        <v>114</v>
      </c>
      <c r="G11" s="10">
        <v>12</v>
      </c>
      <c r="H11" s="11">
        <f t="shared" si="1"/>
        <v>88306.11</v>
      </c>
      <c r="I11" s="11">
        <v>1516.27</v>
      </c>
      <c r="J11" s="11">
        <f t="shared" si="2"/>
        <v>86789.84</v>
      </c>
      <c r="K11" s="11">
        <v>19.53</v>
      </c>
      <c r="L11" s="10">
        <v>74681.034</v>
      </c>
      <c r="M11" s="12">
        <f t="shared" si="3"/>
        <v>76197.304000000004</v>
      </c>
      <c r="N11" s="13">
        <f t="shared" si="4"/>
        <v>12108.805999999997</v>
      </c>
      <c r="O11" s="13">
        <f>N11*0.95</f>
        <v>11503.365699999997</v>
      </c>
      <c r="P11" s="13">
        <f t="shared" si="6"/>
        <v>605.44030000000021</v>
      </c>
    </row>
    <row r="12" spans="1:16" s="14" customFormat="1" ht="21" customHeight="1">
      <c r="A12" s="7" t="s">
        <v>13</v>
      </c>
      <c r="B12" s="46">
        <v>49.604819999999997</v>
      </c>
      <c r="C12" s="8">
        <f t="shared" si="0"/>
        <v>0.99947006770417179</v>
      </c>
      <c r="D12" s="36">
        <v>49.57853280385325</v>
      </c>
      <c r="E12" s="9">
        <v>1.302</v>
      </c>
      <c r="F12" s="38">
        <v>104.3</v>
      </c>
      <c r="G12" s="10">
        <v>12</v>
      </c>
      <c r="H12" s="11">
        <f t="shared" si="1"/>
        <v>80792.343999999997</v>
      </c>
      <c r="I12" s="11">
        <v>484.94</v>
      </c>
      <c r="J12" s="11">
        <f t="shared" si="2"/>
        <v>80307.403999999995</v>
      </c>
      <c r="K12" s="11">
        <v>1594.04</v>
      </c>
      <c r="L12" s="10">
        <v>71129.214999999997</v>
      </c>
      <c r="M12" s="12">
        <f t="shared" si="3"/>
        <v>71614.154999999999</v>
      </c>
      <c r="N12" s="13">
        <f t="shared" si="4"/>
        <v>9178.1889999999985</v>
      </c>
      <c r="O12" s="13">
        <f>N12*0.93</f>
        <v>8535.7157699999989</v>
      </c>
      <c r="P12" s="13">
        <f t="shared" si="6"/>
        <v>642.4732299999996</v>
      </c>
    </row>
    <row r="13" spans="1:16" s="14" customFormat="1" ht="21" customHeight="1">
      <c r="A13" s="7" t="s">
        <v>14</v>
      </c>
      <c r="B13" s="46">
        <v>49.604819999999997</v>
      </c>
      <c r="C13" s="8">
        <f t="shared" si="0"/>
        <v>0.99947006770417179</v>
      </c>
      <c r="D13" s="36">
        <v>49.57853280385325</v>
      </c>
      <c r="E13" s="9">
        <v>1.302</v>
      </c>
      <c r="F13" s="38">
        <v>85.3</v>
      </c>
      <c r="G13" s="10">
        <v>12</v>
      </c>
      <c r="H13" s="11">
        <f t="shared" si="1"/>
        <v>66074.659</v>
      </c>
      <c r="I13" s="11">
        <v>381.46</v>
      </c>
      <c r="J13" s="11">
        <f t="shared" si="2"/>
        <v>65693.198999999993</v>
      </c>
      <c r="K13" s="11">
        <v>1071.55</v>
      </c>
      <c r="L13" s="10">
        <v>56460.254000000001</v>
      </c>
      <c r="M13" s="12">
        <f t="shared" si="3"/>
        <v>56841.714</v>
      </c>
      <c r="N13" s="13">
        <f t="shared" si="4"/>
        <v>9232.9449999999924</v>
      </c>
      <c r="O13" s="13">
        <f>N13*0.94</f>
        <v>8678.9682999999932</v>
      </c>
      <c r="P13" s="13">
        <f t="shared" si="6"/>
        <v>553.97669999999925</v>
      </c>
    </row>
    <row r="14" spans="1:16" s="14" customFormat="1" ht="21" customHeight="1">
      <c r="A14" s="7" t="s">
        <v>15</v>
      </c>
      <c r="B14" s="46">
        <v>49.604819999999997</v>
      </c>
      <c r="C14" s="8">
        <f t="shared" si="0"/>
        <v>0.99947006770417179</v>
      </c>
      <c r="D14" s="36">
        <v>49.57853280385325</v>
      </c>
      <c r="E14" s="9">
        <v>1.302</v>
      </c>
      <c r="F14" s="38">
        <v>125.1</v>
      </c>
      <c r="G14" s="10">
        <v>12</v>
      </c>
      <c r="H14" s="11">
        <f t="shared" si="1"/>
        <v>96904.335999999996</v>
      </c>
      <c r="I14" s="11">
        <v>49.23</v>
      </c>
      <c r="J14" s="11">
        <f t="shared" si="2"/>
        <v>96855.106</v>
      </c>
      <c r="K14" s="11">
        <v>1358.51</v>
      </c>
      <c r="L14" s="10">
        <v>85064.147000000012</v>
      </c>
      <c r="M14" s="12">
        <f t="shared" si="3"/>
        <v>85113.377000000008</v>
      </c>
      <c r="N14" s="13">
        <f t="shared" si="4"/>
        <v>11790.958999999988</v>
      </c>
      <c r="O14" s="13">
        <f t="shared" si="5"/>
        <v>11201.411049999988</v>
      </c>
      <c r="P14" s="13">
        <f t="shared" si="6"/>
        <v>589.54795000000013</v>
      </c>
    </row>
    <row r="15" spans="1:16" s="14" customFormat="1" ht="21" customHeight="1">
      <c r="A15" s="7" t="s">
        <v>16</v>
      </c>
      <c r="B15" s="46">
        <v>49.604819999999997</v>
      </c>
      <c r="C15" s="8">
        <f t="shared" si="0"/>
        <v>0.99947006770417179</v>
      </c>
      <c r="D15" s="36">
        <v>49.57853280385325</v>
      </c>
      <c r="E15" s="9">
        <v>1.302</v>
      </c>
      <c r="F15" s="38">
        <v>87.9</v>
      </c>
      <c r="G15" s="10">
        <v>12</v>
      </c>
      <c r="H15" s="11">
        <f t="shared" si="1"/>
        <v>68088.657999999996</v>
      </c>
      <c r="I15" s="11">
        <v>628.5</v>
      </c>
      <c r="J15" s="11">
        <f t="shared" si="2"/>
        <v>67460.157999999996</v>
      </c>
      <c r="K15" s="11">
        <v>221.34</v>
      </c>
      <c r="L15" s="10">
        <v>58480.574000000001</v>
      </c>
      <c r="M15" s="12">
        <f t="shared" si="3"/>
        <v>59109.074000000001</v>
      </c>
      <c r="N15" s="13">
        <f t="shared" si="4"/>
        <v>8979.5839999999953</v>
      </c>
      <c r="O15" s="13">
        <f>N15*0.91</f>
        <v>8171.4214399999964</v>
      </c>
      <c r="P15" s="13">
        <f t="shared" si="6"/>
        <v>808.16255999999885</v>
      </c>
    </row>
    <row r="16" spans="1:16" s="14" customFormat="1" ht="21" customHeight="1">
      <c r="A16" s="7" t="s">
        <v>17</v>
      </c>
      <c r="B16" s="46">
        <v>49.604819999999997</v>
      </c>
      <c r="C16" s="8">
        <f t="shared" si="0"/>
        <v>0.99947006770417179</v>
      </c>
      <c r="D16" s="36">
        <v>49.57853280385325</v>
      </c>
      <c r="E16" s="9">
        <v>1.302</v>
      </c>
      <c r="F16" s="38">
        <v>60.3</v>
      </c>
      <c r="G16" s="10">
        <v>12</v>
      </c>
      <c r="H16" s="11">
        <f t="shared" si="1"/>
        <v>46709.284</v>
      </c>
      <c r="I16" s="11">
        <v>33.020000000000003</v>
      </c>
      <c r="J16" s="11">
        <f t="shared" si="2"/>
        <v>46676.264000000003</v>
      </c>
      <c r="K16" s="11">
        <v>0</v>
      </c>
      <c r="L16" s="10">
        <v>40245.332000000002</v>
      </c>
      <c r="M16" s="12">
        <f t="shared" si="3"/>
        <v>40278.351999999999</v>
      </c>
      <c r="N16" s="13">
        <f t="shared" si="4"/>
        <v>6430.9320000000007</v>
      </c>
      <c r="O16" s="13">
        <f>N16*0.9</f>
        <v>5787.8388000000004</v>
      </c>
      <c r="P16" s="13">
        <f t="shared" si="6"/>
        <v>643.09320000000025</v>
      </c>
    </row>
    <row r="17" spans="1:16" s="17" customFormat="1" ht="21" customHeight="1">
      <c r="A17" s="15" t="s">
        <v>18</v>
      </c>
      <c r="B17" s="46">
        <v>49.604819999999997</v>
      </c>
      <c r="C17" s="8">
        <f t="shared" si="0"/>
        <v>0.99947006770417179</v>
      </c>
      <c r="D17" s="36">
        <v>49.57853280385325</v>
      </c>
      <c r="E17" s="16">
        <v>1.302</v>
      </c>
      <c r="F17" s="38">
        <v>75.099999999999994</v>
      </c>
      <c r="G17" s="10">
        <v>12</v>
      </c>
      <c r="H17" s="11">
        <f t="shared" si="1"/>
        <v>58173.586000000003</v>
      </c>
      <c r="I17" s="11">
        <v>0</v>
      </c>
      <c r="J17" s="11">
        <f t="shared" si="2"/>
        <v>58173.586000000003</v>
      </c>
      <c r="K17" s="11">
        <v>881.19</v>
      </c>
      <c r="L17" s="10">
        <v>50888.476999999999</v>
      </c>
      <c r="M17" s="12">
        <f t="shared" si="3"/>
        <v>50888.476999999999</v>
      </c>
      <c r="N17" s="13">
        <f t="shared" si="4"/>
        <v>7285.109000000004</v>
      </c>
      <c r="O17" s="13">
        <f>N17*0.81</f>
        <v>5900.9382900000037</v>
      </c>
      <c r="P17" s="13">
        <f t="shared" si="6"/>
        <v>1384.1707100000003</v>
      </c>
    </row>
    <row r="18" spans="1:16" s="14" customFormat="1" ht="21" customHeight="1">
      <c r="A18" s="7" t="s">
        <v>19</v>
      </c>
      <c r="B18" s="46">
        <v>49.604819999999997</v>
      </c>
      <c r="C18" s="8">
        <f t="shared" si="0"/>
        <v>0.99947006770417179</v>
      </c>
      <c r="D18" s="36">
        <v>49.57853280385325</v>
      </c>
      <c r="E18" s="9">
        <v>1.302</v>
      </c>
      <c r="F18" s="38">
        <v>104.1</v>
      </c>
      <c r="G18" s="10">
        <v>12</v>
      </c>
      <c r="H18" s="11">
        <f t="shared" si="1"/>
        <v>80637.421000000002</v>
      </c>
      <c r="I18" s="11">
        <v>1093.54</v>
      </c>
      <c r="J18" s="11">
        <f t="shared" si="2"/>
        <v>79543.881000000008</v>
      </c>
      <c r="K18" s="11">
        <v>200.64</v>
      </c>
      <c r="L18" s="10">
        <v>67514.022000000012</v>
      </c>
      <c r="M18" s="12">
        <f t="shared" si="3"/>
        <v>68607.562000000005</v>
      </c>
      <c r="N18" s="13">
        <f t="shared" si="4"/>
        <v>12029.858999999997</v>
      </c>
      <c r="O18" s="13">
        <f>N18*0.93</f>
        <v>11187.768869999998</v>
      </c>
      <c r="P18" s="13">
        <f t="shared" si="6"/>
        <v>842.09012999999868</v>
      </c>
    </row>
    <row r="19" spans="1:16" s="14" customFormat="1" ht="21" customHeight="1">
      <c r="A19" s="7" t="s">
        <v>20</v>
      </c>
      <c r="B19" s="46">
        <v>49.604819999999997</v>
      </c>
      <c r="C19" s="8">
        <f t="shared" si="0"/>
        <v>0.99947006770417179</v>
      </c>
      <c r="D19" s="36">
        <v>49.57853280385325</v>
      </c>
      <c r="E19" s="9">
        <v>1.302</v>
      </c>
      <c r="F19" s="38">
        <v>131.19999999999999</v>
      </c>
      <c r="G19" s="10">
        <v>12</v>
      </c>
      <c r="H19" s="11">
        <f t="shared" si="1"/>
        <v>101629.488</v>
      </c>
      <c r="I19" s="11">
        <v>855.79</v>
      </c>
      <c r="J19" s="11">
        <f t="shared" si="2"/>
        <v>100773.698</v>
      </c>
      <c r="K19" s="11">
        <v>1160.47</v>
      </c>
      <c r="L19" s="10">
        <v>87663.92</v>
      </c>
      <c r="M19" s="12">
        <f t="shared" si="3"/>
        <v>88519.709999999992</v>
      </c>
      <c r="N19" s="13">
        <f t="shared" si="4"/>
        <v>13109.778000000006</v>
      </c>
      <c r="O19" s="13">
        <f>N19*0.92</f>
        <v>12060.995760000005</v>
      </c>
      <c r="P19" s="13">
        <f t="shared" si="6"/>
        <v>1048.7822400000005</v>
      </c>
    </row>
    <row r="20" spans="1:16" s="14" customFormat="1" ht="21" customHeight="1">
      <c r="A20" s="7" t="s">
        <v>21</v>
      </c>
      <c r="B20" s="46">
        <v>49.604819999999997</v>
      </c>
      <c r="C20" s="8">
        <f t="shared" si="0"/>
        <v>0.99947006770417179</v>
      </c>
      <c r="D20" s="36">
        <v>49.57853280385325</v>
      </c>
      <c r="E20" s="9">
        <v>1.302</v>
      </c>
      <c r="F20" s="38">
        <v>154</v>
      </c>
      <c r="G20" s="10">
        <v>12</v>
      </c>
      <c r="H20" s="11">
        <f t="shared" si="1"/>
        <v>119290.709</v>
      </c>
      <c r="I20" s="11">
        <v>37.29</v>
      </c>
      <c r="J20" s="11">
        <f t="shared" si="2"/>
        <v>119253.41900000001</v>
      </c>
      <c r="K20" s="11">
        <v>1122.98</v>
      </c>
      <c r="L20" s="10">
        <v>103852.038</v>
      </c>
      <c r="M20" s="12">
        <f t="shared" si="3"/>
        <v>103889.32799999999</v>
      </c>
      <c r="N20" s="13">
        <f t="shared" si="4"/>
        <v>15401.381000000008</v>
      </c>
      <c r="O20" s="13">
        <f>N20*0.94</f>
        <v>14477.298140000008</v>
      </c>
      <c r="P20" s="13">
        <f t="shared" si="6"/>
        <v>924.08286000000044</v>
      </c>
    </row>
    <row r="21" spans="1:16" s="14" customFormat="1" ht="21" customHeight="1">
      <c r="A21" s="7" t="s">
        <v>22</v>
      </c>
      <c r="B21" s="46">
        <v>49.604819999999997</v>
      </c>
      <c r="C21" s="8">
        <f t="shared" si="0"/>
        <v>0.99947006770417179</v>
      </c>
      <c r="D21" s="36">
        <v>49.57853280385325</v>
      </c>
      <c r="E21" s="9">
        <v>1.302</v>
      </c>
      <c r="F21" s="38">
        <v>63.5</v>
      </c>
      <c r="G21" s="10">
        <v>12</v>
      </c>
      <c r="H21" s="11">
        <f t="shared" si="1"/>
        <v>49188.052000000003</v>
      </c>
      <c r="I21" s="11">
        <v>28.89</v>
      </c>
      <c r="J21" s="11">
        <f t="shared" si="2"/>
        <v>49159.162000000004</v>
      </c>
      <c r="K21" s="11">
        <v>1268.1500000000001</v>
      </c>
      <c r="L21" s="10">
        <v>42902.368000000002</v>
      </c>
      <c r="M21" s="12">
        <f t="shared" si="3"/>
        <v>42931.258000000002</v>
      </c>
      <c r="N21" s="13">
        <f t="shared" si="4"/>
        <v>6256.7940000000017</v>
      </c>
      <c r="O21" s="13">
        <f>N21*0.89</f>
        <v>5568.5466600000018</v>
      </c>
      <c r="P21" s="13">
        <f t="shared" si="6"/>
        <v>688.24733999999989</v>
      </c>
    </row>
    <row r="22" spans="1:16" s="14" customFormat="1" ht="21" customHeight="1">
      <c r="A22" s="7" t="s">
        <v>23</v>
      </c>
      <c r="B22" s="46">
        <v>49.604819999999997</v>
      </c>
      <c r="C22" s="8">
        <f t="shared" si="0"/>
        <v>0.99947006770417179</v>
      </c>
      <c r="D22" s="36">
        <v>49.57853280385325</v>
      </c>
      <c r="E22" s="9">
        <v>1.302</v>
      </c>
      <c r="F22" s="38">
        <f>149.25+11.25</f>
        <v>160.5</v>
      </c>
      <c r="G22" s="10">
        <v>12</v>
      </c>
      <c r="H22" s="11">
        <f t="shared" si="1"/>
        <v>124325.70699999999</v>
      </c>
      <c r="I22" s="11">
        <v>626.44000000000005</v>
      </c>
      <c r="J22" s="11">
        <f t="shared" si="2"/>
        <v>123699.26699999999</v>
      </c>
      <c r="K22" s="11">
        <v>1344.05</v>
      </c>
      <c r="L22" s="10">
        <v>96376.680000000008</v>
      </c>
      <c r="M22" s="12">
        <f t="shared" si="3"/>
        <v>97003.12000000001</v>
      </c>
      <c r="N22" s="13">
        <f>J22-L22</f>
        <v>27322.586999999985</v>
      </c>
      <c r="O22" s="13">
        <f>N22*0.83</f>
        <v>22677.747209999987</v>
      </c>
      <c r="P22" s="13">
        <f t="shared" si="6"/>
        <v>4644.8397899999982</v>
      </c>
    </row>
    <row r="23" spans="1:16" s="14" customFormat="1" ht="21" customHeight="1">
      <c r="A23" s="7" t="s">
        <v>24</v>
      </c>
      <c r="B23" s="46">
        <v>49.604819999999997</v>
      </c>
      <c r="C23" s="8">
        <f t="shared" si="0"/>
        <v>0.99947006770417179</v>
      </c>
      <c r="D23" s="36">
        <v>49.57853280385325</v>
      </c>
      <c r="E23" s="9">
        <v>1.302</v>
      </c>
      <c r="F23" s="38">
        <v>166.4</v>
      </c>
      <c r="G23" s="10">
        <v>12</v>
      </c>
      <c r="H23" s="11">
        <f t="shared" si="1"/>
        <v>128895.935</v>
      </c>
      <c r="I23" s="11">
        <v>832.06</v>
      </c>
      <c r="J23" s="11">
        <f t="shared" si="2"/>
        <v>128063.875</v>
      </c>
      <c r="K23" s="11">
        <v>1391.71</v>
      </c>
      <c r="L23" s="10">
        <v>113333.84699999999</v>
      </c>
      <c r="M23" s="12">
        <f t="shared" si="3"/>
        <v>114165.90699999999</v>
      </c>
      <c r="N23" s="13">
        <f t="shared" ref="N23:N30" si="7">J23-L23</f>
        <v>14730.028000000006</v>
      </c>
      <c r="O23" s="13">
        <f>N23*0.85</f>
        <v>12520.523800000004</v>
      </c>
      <c r="P23" s="13">
        <f t="shared" si="6"/>
        <v>2209.5042000000012</v>
      </c>
    </row>
    <row r="24" spans="1:16" s="14" customFormat="1" ht="21" customHeight="1">
      <c r="A24" s="7" t="s">
        <v>25</v>
      </c>
      <c r="B24" s="46">
        <v>49.604819999999997</v>
      </c>
      <c r="C24" s="8">
        <f t="shared" si="0"/>
        <v>0.99947006770417179</v>
      </c>
      <c r="D24" s="36">
        <v>49.57853280385325</v>
      </c>
      <c r="E24" s="9">
        <v>1.302</v>
      </c>
      <c r="F24" s="38">
        <v>106.2</v>
      </c>
      <c r="G24" s="10">
        <v>12</v>
      </c>
      <c r="H24" s="11">
        <f t="shared" si="1"/>
        <v>82264.112999999998</v>
      </c>
      <c r="I24" s="11">
        <v>0</v>
      </c>
      <c r="J24" s="11">
        <f t="shared" si="2"/>
        <v>82264.112999999998</v>
      </c>
      <c r="K24" s="11">
        <v>1803.01</v>
      </c>
      <c r="L24" s="10">
        <v>72863.046000000002</v>
      </c>
      <c r="M24" s="12">
        <f t="shared" si="3"/>
        <v>72863.046000000002</v>
      </c>
      <c r="N24" s="13">
        <f t="shared" si="7"/>
        <v>9401.0669999999955</v>
      </c>
      <c r="O24" s="13">
        <f>N24*0.89</f>
        <v>8366.9496299999955</v>
      </c>
      <c r="P24" s="13">
        <f t="shared" si="6"/>
        <v>1034.1173699999999</v>
      </c>
    </row>
    <row r="25" spans="1:16" s="14" customFormat="1" ht="21" customHeight="1">
      <c r="A25" s="7" t="s">
        <v>26</v>
      </c>
      <c r="B25" s="46">
        <v>49.604819999999997</v>
      </c>
      <c r="C25" s="8">
        <f t="shared" si="0"/>
        <v>0.99947006770417179</v>
      </c>
      <c r="D25" s="36">
        <v>49.57853280385325</v>
      </c>
      <c r="E25" s="9">
        <v>1.302</v>
      </c>
      <c r="F25" s="38">
        <v>66.400000000000006</v>
      </c>
      <c r="G25" s="10">
        <v>12</v>
      </c>
      <c r="H25" s="11">
        <f t="shared" si="1"/>
        <v>51434.436000000002</v>
      </c>
      <c r="I25" s="11">
        <v>173.63</v>
      </c>
      <c r="J25" s="11">
        <f t="shared" si="2"/>
        <v>51260.806000000004</v>
      </c>
      <c r="K25" s="11">
        <v>0</v>
      </c>
      <c r="L25" s="10">
        <v>44607.551999999996</v>
      </c>
      <c r="M25" s="12">
        <f t="shared" si="3"/>
        <v>44781.181999999993</v>
      </c>
      <c r="N25" s="13">
        <f t="shared" si="7"/>
        <v>6653.2540000000081</v>
      </c>
      <c r="O25" s="13">
        <f>N25*0.94</f>
        <v>6254.0587600000072</v>
      </c>
      <c r="P25" s="13">
        <f t="shared" si="6"/>
        <v>399.19524000000092</v>
      </c>
    </row>
    <row r="26" spans="1:16" s="14" customFormat="1" ht="21" customHeight="1">
      <c r="A26" s="7" t="s">
        <v>27</v>
      </c>
      <c r="B26" s="46">
        <v>49.604819999999997</v>
      </c>
      <c r="C26" s="8">
        <f t="shared" si="0"/>
        <v>0.99947006770417179</v>
      </c>
      <c r="D26" s="36">
        <v>49.57853280385325</v>
      </c>
      <c r="E26" s="9">
        <v>1.302</v>
      </c>
      <c r="F26" s="38">
        <v>574.29999999999995</v>
      </c>
      <c r="G26" s="10">
        <v>12</v>
      </c>
      <c r="H26" s="11">
        <f t="shared" si="1"/>
        <v>444861.39299999998</v>
      </c>
      <c r="I26" s="11">
        <v>76664.77</v>
      </c>
      <c r="J26" s="11">
        <f t="shared" si="2"/>
        <v>368196.62299999996</v>
      </c>
      <c r="K26" s="11">
        <v>0</v>
      </c>
      <c r="L26" s="10">
        <v>320960.049</v>
      </c>
      <c r="M26" s="12">
        <f t="shared" si="3"/>
        <v>397624.81900000002</v>
      </c>
      <c r="N26" s="13">
        <f t="shared" si="7"/>
        <v>47236.573999999964</v>
      </c>
      <c r="O26" s="13">
        <f>N26*0.85</f>
        <v>40151.08789999997</v>
      </c>
      <c r="P26" s="13">
        <f t="shared" si="6"/>
        <v>7085.4860999999946</v>
      </c>
    </row>
    <row r="27" spans="1:16" s="14" customFormat="1" ht="21" customHeight="1">
      <c r="A27" s="7" t="s">
        <v>28</v>
      </c>
      <c r="B27" s="46">
        <v>49.604819999999997</v>
      </c>
      <c r="C27" s="8">
        <f t="shared" si="0"/>
        <v>0.99947006770417179</v>
      </c>
      <c r="D27" s="36">
        <v>49.57853280385325</v>
      </c>
      <c r="E27" s="9">
        <v>1.302</v>
      </c>
      <c r="F27" s="38">
        <v>357.4</v>
      </c>
      <c r="G27" s="10">
        <v>12</v>
      </c>
      <c r="H27" s="11">
        <f t="shared" si="1"/>
        <v>276847.40000000002</v>
      </c>
      <c r="I27" s="11">
        <v>45486.36</v>
      </c>
      <c r="J27" s="11">
        <f t="shared" si="2"/>
        <v>231361.04000000004</v>
      </c>
      <c r="K27" s="11">
        <v>0</v>
      </c>
      <c r="L27" s="10">
        <v>202648.538</v>
      </c>
      <c r="M27" s="12">
        <f t="shared" si="3"/>
        <v>248134.89799999999</v>
      </c>
      <c r="N27" s="13">
        <f t="shared" si="7"/>
        <v>28712.502000000037</v>
      </c>
      <c r="O27" s="13">
        <f>N27*0.75</f>
        <v>21534.376500000028</v>
      </c>
      <c r="P27" s="13">
        <f t="shared" si="6"/>
        <v>7178.1255000000092</v>
      </c>
    </row>
    <row r="28" spans="1:16" s="14" customFormat="1" ht="21" customHeight="1">
      <c r="A28" s="7" t="s">
        <v>29</v>
      </c>
      <c r="B28" s="46">
        <v>49.604819999999997</v>
      </c>
      <c r="C28" s="8">
        <f t="shared" si="0"/>
        <v>0.99947006770417179</v>
      </c>
      <c r="D28" s="36">
        <v>49.57853280385325</v>
      </c>
      <c r="E28" s="9">
        <v>1.302</v>
      </c>
      <c r="F28" s="38">
        <v>231.5</v>
      </c>
      <c r="G28" s="10">
        <v>12</v>
      </c>
      <c r="H28" s="11">
        <f t="shared" si="1"/>
        <v>179323.372</v>
      </c>
      <c r="I28" s="11">
        <v>11411.17</v>
      </c>
      <c r="J28" s="11">
        <f t="shared" si="2"/>
        <v>167912.20199999999</v>
      </c>
      <c r="K28" s="11">
        <v>866.09</v>
      </c>
      <c r="L28" s="10">
        <v>145820.91200000001</v>
      </c>
      <c r="M28" s="12">
        <f t="shared" si="3"/>
        <v>157232.08200000002</v>
      </c>
      <c r="N28" s="13">
        <f t="shared" si="7"/>
        <v>22091.289999999979</v>
      </c>
      <c r="O28" s="13">
        <f>N28*0.88</f>
        <v>19440.335199999983</v>
      </c>
      <c r="P28" s="13">
        <f t="shared" si="6"/>
        <v>2650.9547999999959</v>
      </c>
    </row>
    <row r="29" spans="1:16" s="14" customFormat="1" ht="21" customHeight="1">
      <c r="A29" s="7" t="s">
        <v>30</v>
      </c>
      <c r="B29" s="46">
        <v>49.604819999999997</v>
      </c>
      <c r="C29" s="8">
        <f t="shared" si="0"/>
        <v>0.99947006770417179</v>
      </c>
      <c r="D29" s="36">
        <v>49.57853280385325</v>
      </c>
      <c r="E29" s="9">
        <v>1.302</v>
      </c>
      <c r="F29" s="38">
        <v>57.699999999999996</v>
      </c>
      <c r="G29" s="10">
        <v>12</v>
      </c>
      <c r="H29" s="11">
        <f t="shared" si="1"/>
        <v>44695.285000000003</v>
      </c>
      <c r="I29" s="11">
        <v>0</v>
      </c>
      <c r="J29" s="11">
        <f t="shared" si="2"/>
        <v>44695.285000000003</v>
      </c>
      <c r="K29" s="11">
        <v>0</v>
      </c>
      <c r="L29" s="10">
        <v>38574.553999999996</v>
      </c>
      <c r="M29" s="12">
        <f t="shared" si="3"/>
        <v>38574.553999999996</v>
      </c>
      <c r="N29" s="13">
        <f t="shared" si="7"/>
        <v>6120.731000000007</v>
      </c>
      <c r="O29" s="13">
        <f>N29*0.87</f>
        <v>5325.0359700000063</v>
      </c>
      <c r="P29" s="13">
        <f t="shared" si="6"/>
        <v>795.69503000000077</v>
      </c>
    </row>
    <row r="30" spans="1:16" s="14" customFormat="1" ht="21" customHeight="1">
      <c r="A30" s="7" t="s">
        <v>31</v>
      </c>
      <c r="B30" s="46">
        <v>49.604819999999997</v>
      </c>
      <c r="C30" s="8">
        <f t="shared" si="0"/>
        <v>0.99947006770417179</v>
      </c>
      <c r="D30" s="36">
        <v>49.57853280385325</v>
      </c>
      <c r="E30" s="9">
        <v>1.302</v>
      </c>
      <c r="F30" s="38">
        <v>119.8</v>
      </c>
      <c r="G30" s="10">
        <v>12</v>
      </c>
      <c r="H30" s="11">
        <f t="shared" si="1"/>
        <v>92798.876999999993</v>
      </c>
      <c r="I30" s="11">
        <v>1115.94</v>
      </c>
      <c r="J30" s="11">
        <f t="shared" si="2"/>
        <v>91682.936999999991</v>
      </c>
      <c r="K30" s="11">
        <v>0</v>
      </c>
      <c r="L30" s="10">
        <v>82800.994999999995</v>
      </c>
      <c r="M30" s="12">
        <f t="shared" si="3"/>
        <v>83916.934999999998</v>
      </c>
      <c r="N30" s="13">
        <f t="shared" si="7"/>
        <v>8881.9419999999955</v>
      </c>
      <c r="O30" s="13">
        <f>N30*0.86</f>
        <v>7638.4701199999963</v>
      </c>
      <c r="P30" s="13">
        <f t="shared" si="6"/>
        <v>1243.4718799999991</v>
      </c>
    </row>
    <row r="31" spans="1:16" s="14" customFormat="1" ht="21" customHeight="1">
      <c r="A31" s="7" t="s">
        <v>32</v>
      </c>
      <c r="B31" s="46">
        <v>49.604819999999997</v>
      </c>
      <c r="C31" s="8">
        <f t="shared" si="0"/>
        <v>0.99947006770417179</v>
      </c>
      <c r="D31" s="36">
        <v>49.57853280385325</v>
      </c>
      <c r="E31" s="9">
        <v>1.302</v>
      </c>
      <c r="F31" s="38">
        <v>20.8</v>
      </c>
      <c r="G31" s="10">
        <v>12</v>
      </c>
      <c r="H31" s="11">
        <f t="shared" si="1"/>
        <v>16111.992</v>
      </c>
      <c r="I31" s="11">
        <v>0</v>
      </c>
      <c r="J31" s="11">
        <f>H31-I31-0.01</f>
        <v>16111.982</v>
      </c>
      <c r="K31" s="11">
        <v>0</v>
      </c>
      <c r="L31" s="10">
        <v>14082.773999999999</v>
      </c>
      <c r="M31" s="12">
        <f t="shared" si="3"/>
        <v>14082.773999999999</v>
      </c>
      <c r="N31" s="13">
        <f>J31-L31+0.04</f>
        <v>2029.2480000000005</v>
      </c>
      <c r="O31" s="13">
        <f>N31*0.78</f>
        <v>1582.8134400000004</v>
      </c>
      <c r="P31" s="13">
        <f t="shared" si="6"/>
        <v>446.43456000000015</v>
      </c>
    </row>
    <row r="32" spans="1:16" s="14" customFormat="1" ht="27" customHeight="1">
      <c r="A32" s="18" t="s">
        <v>33</v>
      </c>
      <c r="B32" s="37">
        <v>49.604819999999997</v>
      </c>
      <c r="C32" s="19">
        <f>D32/B32</f>
        <v>0.99947006770417179</v>
      </c>
      <c r="D32" s="37">
        <v>49.57853280385325</v>
      </c>
      <c r="E32" s="19">
        <v>1.302</v>
      </c>
      <c r="F32" s="44">
        <f>SUM(F7:F31)</f>
        <v>3391.8</v>
      </c>
      <c r="G32" s="20">
        <v>12</v>
      </c>
      <c r="H32" s="43">
        <f t="shared" ref="H32:I32" si="8">SUM(H7:H31)</f>
        <v>2627339.1449999996</v>
      </c>
      <c r="I32" s="43">
        <f t="shared" si="8"/>
        <v>141487.40000000002</v>
      </c>
      <c r="J32" s="21">
        <f>SUM(J7:J31)</f>
        <v>2485851.7349999999</v>
      </c>
      <c r="K32" s="21">
        <f>SUM(K7:K31)</f>
        <v>17148.399999999998</v>
      </c>
      <c r="L32" s="21">
        <f>SUM(L7:L31)</f>
        <v>2159143.0160000003</v>
      </c>
      <c r="M32" s="21">
        <f t="shared" ref="M32" si="9">SUM(M7:M31)</f>
        <v>2300630.4160000002</v>
      </c>
      <c r="N32" s="20">
        <f>SUM(N7:N31)</f>
        <v>326708.75899999996</v>
      </c>
      <c r="O32" s="20">
        <f t="shared" ref="O32:P32" si="10">SUM(O7:O31)</f>
        <v>287596.60920999997</v>
      </c>
      <c r="P32" s="44">
        <f t="shared" si="10"/>
        <v>39112.149790000003</v>
      </c>
    </row>
    <row r="33" spans="1:12" s="14" customFormat="1" ht="21.75" hidden="1" customHeight="1">
      <c r="A33" s="22" t="s">
        <v>34</v>
      </c>
      <c r="B33" s="23">
        <v>34.557000000000002</v>
      </c>
      <c r="C33" s="8">
        <f t="shared" ref="C33:C34" si="11">99.335827535/100</f>
        <v>0.9933582753500001</v>
      </c>
      <c r="D33" s="24">
        <f t="shared" ref="D33:D34" si="12">ROUND(B33*C33,5)</f>
        <v>34.327480000000001</v>
      </c>
      <c r="E33" s="24"/>
      <c r="F33" s="24"/>
      <c r="G33" s="24"/>
      <c r="H33" s="25" t="e">
        <f>ROUND(D33*#REF!*#REF!*12,2)</f>
        <v>#REF!</v>
      </c>
      <c r="I33" s="25"/>
      <c r="J33" s="25"/>
      <c r="K33" s="25"/>
      <c r="L33" s="26">
        <v>477328.8</v>
      </c>
    </row>
    <row r="34" spans="1:12" s="14" customFormat="1" ht="22.5" hidden="1" customHeight="1">
      <c r="A34" s="27" t="s">
        <v>35</v>
      </c>
      <c r="B34" s="28">
        <v>34.557000000000002</v>
      </c>
      <c r="C34" s="8">
        <f t="shared" si="11"/>
        <v>0.9933582753500001</v>
      </c>
      <c r="D34" s="29">
        <f t="shared" si="12"/>
        <v>34.327480000000001</v>
      </c>
      <c r="E34" s="30"/>
      <c r="F34" s="30"/>
      <c r="G34" s="30"/>
      <c r="H34" s="31" t="e">
        <f>ROUND(D34*#REF!*#REF!*12,2)</f>
        <v>#REF!</v>
      </c>
      <c r="I34" s="41"/>
      <c r="J34" s="41"/>
      <c r="K34" s="41"/>
      <c r="L34" s="32">
        <f>L32+L33</f>
        <v>2636471.8160000001</v>
      </c>
    </row>
    <row r="35" spans="1:12" s="14" customFormat="1" ht="13.5" customHeight="1">
      <c r="A35" s="33"/>
    </row>
    <row r="36" spans="1:12" s="34" customFormat="1" ht="15.75">
      <c r="H36" s="35"/>
      <c r="I36" s="35"/>
      <c r="J36" s="35"/>
      <c r="K36" s="35"/>
    </row>
    <row r="37" spans="1:12" s="14" customFormat="1" ht="18.75">
      <c r="A37" s="47" t="s">
        <v>40</v>
      </c>
      <c r="H37" s="40"/>
      <c r="I37" s="40"/>
      <c r="J37" s="40"/>
      <c r="K37" s="40"/>
    </row>
    <row r="38" spans="1:12" s="14" customFormat="1" ht="18.75">
      <c r="A38" s="48" t="s">
        <v>41</v>
      </c>
      <c r="I38" s="40"/>
      <c r="J38" s="40"/>
      <c r="K38" s="40"/>
    </row>
    <row r="39" spans="1:12" s="14" customFormat="1" ht="14.25" customHeight="1"/>
    <row r="40" spans="1:12" s="14" customFormat="1"/>
    <row r="41" spans="1:12" s="14" customFormat="1" hidden="1"/>
    <row r="42" spans="1:12" s="14" customFormat="1" hidden="1"/>
    <row r="43" spans="1:12" ht="41.25" hidden="1" customHeight="1">
      <c r="A43" s="136" t="s">
        <v>38</v>
      </c>
      <c r="B43" s="136"/>
      <c r="C43" s="39"/>
      <c r="D43" s="137" t="s">
        <v>37</v>
      </c>
      <c r="E43" s="137"/>
    </row>
  </sheetData>
  <mergeCells count="21">
    <mergeCell ref="A43:B43"/>
    <mergeCell ref="D43:E43"/>
    <mergeCell ref="H4:H5"/>
    <mergeCell ref="I4:I5"/>
    <mergeCell ref="J4:J5"/>
    <mergeCell ref="L1:N1"/>
    <mergeCell ref="O1:P1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3:P3"/>
  </mergeCells>
  <pageMargins left="0" right="0" top="0.74803149606299213" bottom="0.35433070866141736" header="0.31496062992125984" footer="0.31496062992125984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3"/>
  <sheetViews>
    <sheetView topLeftCell="C16" zoomScale="70" zoomScaleNormal="70" workbookViewId="0">
      <selection activeCell="O2" sqref="O2"/>
    </sheetView>
  </sheetViews>
  <sheetFormatPr defaultRowHeight="15"/>
  <cols>
    <col min="1" max="1" width="54.7109375" style="2" customWidth="1"/>
    <col min="2" max="2" width="32.28515625" style="2" customWidth="1"/>
    <col min="3" max="3" width="26.7109375" style="2" customWidth="1"/>
    <col min="4" max="4" width="24.140625" style="2" customWidth="1"/>
    <col min="5" max="5" width="17.5703125" style="2" customWidth="1"/>
    <col min="6" max="6" width="19.140625" style="2" customWidth="1"/>
    <col min="7" max="7" width="15.5703125" style="2" customWidth="1"/>
    <col min="8" max="8" width="26.140625" style="2" customWidth="1"/>
    <col min="9" max="9" width="22.7109375" style="2" customWidth="1"/>
    <col min="10" max="10" width="26.140625" style="2" customWidth="1"/>
    <col min="11" max="11" width="21.28515625" style="2" customWidth="1"/>
    <col min="12" max="12" width="27.42578125" style="2" customWidth="1"/>
    <col min="13" max="13" width="22.42578125" style="2" hidden="1" customWidth="1"/>
    <col min="14" max="14" width="29.5703125" style="2" customWidth="1"/>
    <col min="15" max="15" width="26.7109375" style="2" customWidth="1"/>
    <col min="16" max="16" width="25.28515625" style="14" customWidth="1"/>
    <col min="17" max="16384" width="9.140625" style="2"/>
  </cols>
  <sheetData>
    <row r="1" spans="1:16" ht="79.5" customHeight="1">
      <c r="A1" s="1"/>
      <c r="B1" s="1"/>
      <c r="C1" s="1"/>
      <c r="D1" s="1"/>
      <c r="E1" s="1"/>
      <c r="F1" s="1"/>
      <c r="G1" s="1"/>
      <c r="H1" s="42"/>
      <c r="I1" s="42"/>
      <c r="J1" s="42"/>
      <c r="K1" s="42"/>
      <c r="L1" s="127"/>
      <c r="M1" s="127"/>
      <c r="N1" s="127"/>
      <c r="O1" s="127" t="s">
        <v>65</v>
      </c>
      <c r="P1" s="128"/>
    </row>
    <row r="2" spans="1:16" ht="30.75" customHeight="1">
      <c r="A2" s="1"/>
      <c r="B2" s="1"/>
      <c r="C2" s="1"/>
      <c r="D2" s="1"/>
      <c r="E2" s="1"/>
      <c r="F2" s="1"/>
      <c r="G2" s="1"/>
      <c r="H2" s="3"/>
      <c r="I2" s="3"/>
      <c r="J2" s="3"/>
      <c r="K2" s="3"/>
      <c r="L2" s="4"/>
    </row>
    <row r="3" spans="1:16" ht="44.25" customHeight="1">
      <c r="A3" s="135" t="s">
        <v>59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37.5" customHeight="1">
      <c r="A4" s="129" t="s">
        <v>0</v>
      </c>
      <c r="B4" s="130" t="s">
        <v>36</v>
      </c>
      <c r="C4" s="130" t="s">
        <v>1</v>
      </c>
      <c r="D4" s="130" t="s">
        <v>2</v>
      </c>
      <c r="E4" s="132" t="s">
        <v>3</v>
      </c>
      <c r="F4" s="130" t="s">
        <v>55</v>
      </c>
      <c r="G4" s="130" t="s">
        <v>4</v>
      </c>
      <c r="H4" s="130" t="s">
        <v>62</v>
      </c>
      <c r="I4" s="130" t="s">
        <v>61</v>
      </c>
      <c r="J4" s="130" t="s">
        <v>63</v>
      </c>
      <c r="K4" s="130" t="s">
        <v>39</v>
      </c>
      <c r="L4" s="130" t="s">
        <v>64</v>
      </c>
      <c r="M4" s="130" t="s">
        <v>43</v>
      </c>
      <c r="N4" s="134" t="s">
        <v>51</v>
      </c>
      <c r="O4" s="134" t="s">
        <v>50</v>
      </c>
      <c r="P4" s="134" t="s">
        <v>51</v>
      </c>
    </row>
    <row r="5" spans="1:16" ht="254.25" customHeight="1">
      <c r="A5" s="129"/>
      <c r="B5" s="131"/>
      <c r="C5" s="131"/>
      <c r="D5" s="131"/>
      <c r="E5" s="133"/>
      <c r="F5" s="131"/>
      <c r="G5" s="131"/>
      <c r="H5" s="131"/>
      <c r="I5" s="131"/>
      <c r="J5" s="131"/>
      <c r="K5" s="131"/>
      <c r="L5" s="131"/>
      <c r="M5" s="131"/>
      <c r="N5" s="134"/>
      <c r="O5" s="134"/>
      <c r="P5" s="134"/>
    </row>
    <row r="6" spans="1:16" s="6" customFormat="1" ht="39" customHeight="1">
      <c r="A6" s="45">
        <v>1</v>
      </c>
      <c r="B6" s="45">
        <v>2</v>
      </c>
      <c r="C6" s="45">
        <v>3</v>
      </c>
      <c r="D6" s="45" t="s">
        <v>5</v>
      </c>
      <c r="E6" s="5">
        <v>5</v>
      </c>
      <c r="F6" s="45">
        <v>6</v>
      </c>
      <c r="G6" s="45">
        <v>7</v>
      </c>
      <c r="H6" s="45" t="s">
        <v>6</v>
      </c>
      <c r="I6" s="45">
        <v>9</v>
      </c>
      <c r="J6" s="45" t="s">
        <v>7</v>
      </c>
      <c r="K6" s="45">
        <v>11</v>
      </c>
      <c r="L6" s="5">
        <v>12</v>
      </c>
      <c r="M6" s="5" t="s">
        <v>44</v>
      </c>
      <c r="N6" s="5" t="s">
        <v>49</v>
      </c>
      <c r="O6" s="5" t="s">
        <v>52</v>
      </c>
      <c r="P6" s="5" t="s">
        <v>42</v>
      </c>
    </row>
    <row r="7" spans="1:16" s="14" customFormat="1" ht="21" customHeight="1">
      <c r="A7" s="7" t="s">
        <v>8</v>
      </c>
      <c r="B7" s="46">
        <v>52.928339999999999</v>
      </c>
      <c r="C7" s="8">
        <f>D7/B7</f>
        <v>1</v>
      </c>
      <c r="D7" s="46">
        <v>52.928339999999999</v>
      </c>
      <c r="E7" s="9">
        <v>1.302</v>
      </c>
      <c r="F7" s="38">
        <v>172.1</v>
      </c>
      <c r="G7" s="10">
        <v>12</v>
      </c>
      <c r="H7" s="11">
        <f>ROUND(D7*E7*F7*G7,3)</f>
        <v>142318.505</v>
      </c>
      <c r="I7" s="11">
        <v>72.66</v>
      </c>
      <c r="J7" s="11">
        <f>H7-I7</f>
        <v>142245.845</v>
      </c>
      <c r="K7" s="11">
        <v>40.1</v>
      </c>
      <c r="L7" s="10">
        <v>118110.87999999999</v>
      </c>
      <c r="M7" s="12">
        <f>L7+I7</f>
        <v>118183.54</v>
      </c>
      <c r="N7" s="13">
        <f>J7-L7</f>
        <v>24134.965000000011</v>
      </c>
      <c r="O7" s="13">
        <f>N7*0.93</f>
        <v>22445.51745000001</v>
      </c>
      <c r="P7" s="13">
        <f>N7-O7</f>
        <v>1689.4475500000008</v>
      </c>
    </row>
    <row r="8" spans="1:16" s="14" customFormat="1" ht="21" customHeight="1">
      <c r="A8" s="7" t="s">
        <v>9</v>
      </c>
      <c r="B8" s="46">
        <v>52.928339999999999</v>
      </c>
      <c r="C8" s="8">
        <f t="shared" ref="C8:C32" si="0">D8/B8</f>
        <v>1</v>
      </c>
      <c r="D8" s="46">
        <v>52.928339999999999</v>
      </c>
      <c r="E8" s="9">
        <v>1.302</v>
      </c>
      <c r="F8" s="38">
        <v>63.7</v>
      </c>
      <c r="G8" s="10">
        <v>12</v>
      </c>
      <c r="H8" s="11">
        <f t="shared" ref="H8:H31" si="1">ROUND(D8*E8*F8*G8,3)</f>
        <v>52676.866999999998</v>
      </c>
      <c r="I8" s="11">
        <v>0</v>
      </c>
      <c r="J8" s="11">
        <f t="shared" ref="J8:J31" si="2">H8-I8</f>
        <v>52676.866999999998</v>
      </c>
      <c r="K8" s="11">
        <v>928.72</v>
      </c>
      <c r="L8" s="10">
        <v>43949.139000000003</v>
      </c>
      <c r="M8" s="12">
        <f t="shared" ref="M8:M31" si="3">L8+I8</f>
        <v>43949.139000000003</v>
      </c>
      <c r="N8" s="13">
        <f t="shared" ref="N8:N21" si="4">J8-L8</f>
        <v>8727.7279999999955</v>
      </c>
      <c r="O8" s="13">
        <f t="shared" ref="O8:O14" si="5">N8*0.95</f>
        <v>8291.3415999999961</v>
      </c>
      <c r="P8" s="13">
        <f t="shared" ref="P8:P31" si="6">N8-O8</f>
        <v>436.38639999999941</v>
      </c>
    </row>
    <row r="9" spans="1:16" s="14" customFormat="1" ht="21" customHeight="1">
      <c r="A9" s="7" t="s">
        <v>10</v>
      </c>
      <c r="B9" s="46">
        <v>52.928339999999999</v>
      </c>
      <c r="C9" s="8">
        <f t="shared" si="0"/>
        <v>1</v>
      </c>
      <c r="D9" s="46">
        <v>52.928339999999999</v>
      </c>
      <c r="E9" s="9">
        <v>1.302</v>
      </c>
      <c r="F9" s="38">
        <v>101.3</v>
      </c>
      <c r="G9" s="10">
        <v>12</v>
      </c>
      <c r="H9" s="11">
        <f t="shared" si="1"/>
        <v>83770.277000000002</v>
      </c>
      <c r="I9" s="11">
        <v>0</v>
      </c>
      <c r="J9" s="11">
        <f t="shared" si="2"/>
        <v>83770.277000000002</v>
      </c>
      <c r="K9" s="11">
        <v>1363.98</v>
      </c>
      <c r="L9" s="10">
        <v>64903.218000000001</v>
      </c>
      <c r="M9" s="12">
        <f t="shared" si="3"/>
        <v>64903.218000000001</v>
      </c>
      <c r="N9" s="13">
        <f t="shared" si="4"/>
        <v>18867.059000000001</v>
      </c>
      <c r="O9" s="13">
        <f t="shared" si="5"/>
        <v>17923.706050000001</v>
      </c>
      <c r="P9" s="13">
        <f t="shared" si="6"/>
        <v>943.35295000000042</v>
      </c>
    </row>
    <row r="10" spans="1:16" s="14" customFormat="1" ht="21" customHeight="1">
      <c r="A10" s="7" t="s">
        <v>11</v>
      </c>
      <c r="B10" s="46">
        <v>52.928339999999999</v>
      </c>
      <c r="C10" s="8">
        <f t="shared" si="0"/>
        <v>1</v>
      </c>
      <c r="D10" s="46">
        <v>52.928339999999999</v>
      </c>
      <c r="E10" s="9">
        <v>1.302</v>
      </c>
      <c r="F10" s="38">
        <v>88.9</v>
      </c>
      <c r="G10" s="10">
        <v>12</v>
      </c>
      <c r="H10" s="11">
        <f t="shared" si="1"/>
        <v>73516.066999999995</v>
      </c>
      <c r="I10" s="11">
        <v>0</v>
      </c>
      <c r="J10" s="11">
        <f t="shared" si="2"/>
        <v>73516.066999999995</v>
      </c>
      <c r="K10" s="11">
        <v>512.34</v>
      </c>
      <c r="L10" s="10">
        <v>61229.451000000001</v>
      </c>
      <c r="M10" s="12">
        <f t="shared" si="3"/>
        <v>61229.451000000001</v>
      </c>
      <c r="N10" s="13">
        <f t="shared" si="4"/>
        <v>12286.615999999995</v>
      </c>
      <c r="O10" s="13">
        <f>N10*0.91</f>
        <v>11180.820559999995</v>
      </c>
      <c r="P10" s="13">
        <f t="shared" si="6"/>
        <v>1105.7954399999999</v>
      </c>
    </row>
    <row r="11" spans="1:16" s="14" customFormat="1" ht="21" customHeight="1">
      <c r="A11" s="7" t="s">
        <v>12</v>
      </c>
      <c r="B11" s="46">
        <v>52.928339999999999</v>
      </c>
      <c r="C11" s="8">
        <f t="shared" si="0"/>
        <v>1</v>
      </c>
      <c r="D11" s="46">
        <v>52.928339999999999</v>
      </c>
      <c r="E11" s="9">
        <v>1.302</v>
      </c>
      <c r="F11" s="38">
        <v>114</v>
      </c>
      <c r="G11" s="10">
        <v>12</v>
      </c>
      <c r="H11" s="11">
        <f t="shared" si="1"/>
        <v>94272.572</v>
      </c>
      <c r="I11" s="11">
        <v>1617.86</v>
      </c>
      <c r="J11" s="11">
        <f t="shared" si="2"/>
        <v>92654.712</v>
      </c>
      <c r="K11" s="11">
        <v>19.53</v>
      </c>
      <c r="L11" s="10">
        <v>74681.034</v>
      </c>
      <c r="M11" s="12">
        <f t="shared" si="3"/>
        <v>76298.894</v>
      </c>
      <c r="N11" s="13">
        <f t="shared" si="4"/>
        <v>17973.678</v>
      </c>
      <c r="O11" s="13">
        <f>N11*0.95</f>
        <v>17074.9941</v>
      </c>
      <c r="P11" s="13">
        <f t="shared" si="6"/>
        <v>898.68389999999999</v>
      </c>
    </row>
    <row r="12" spans="1:16" s="14" customFormat="1" ht="21" customHeight="1">
      <c r="A12" s="7" t="s">
        <v>13</v>
      </c>
      <c r="B12" s="46">
        <v>52.928339999999999</v>
      </c>
      <c r="C12" s="8">
        <f t="shared" si="0"/>
        <v>1</v>
      </c>
      <c r="D12" s="46">
        <v>52.928339999999999</v>
      </c>
      <c r="E12" s="9">
        <v>1.302</v>
      </c>
      <c r="F12" s="38">
        <v>104.3</v>
      </c>
      <c r="G12" s="10">
        <v>12</v>
      </c>
      <c r="H12" s="11">
        <f t="shared" si="1"/>
        <v>86251.134000000005</v>
      </c>
      <c r="I12" s="11">
        <v>517.42999999999995</v>
      </c>
      <c r="J12" s="11">
        <f t="shared" si="2"/>
        <v>85733.704000000012</v>
      </c>
      <c r="K12" s="11">
        <v>1594.04</v>
      </c>
      <c r="L12" s="10">
        <v>71129.214999999997</v>
      </c>
      <c r="M12" s="12">
        <f t="shared" si="3"/>
        <v>71646.64499999999</v>
      </c>
      <c r="N12" s="13">
        <f t="shared" si="4"/>
        <v>14604.489000000016</v>
      </c>
      <c r="O12" s="13">
        <f>N12*0.93</f>
        <v>13582.174770000016</v>
      </c>
      <c r="P12" s="13">
        <f t="shared" si="6"/>
        <v>1022.31423</v>
      </c>
    </row>
    <row r="13" spans="1:16" s="14" customFormat="1" ht="21" customHeight="1">
      <c r="A13" s="7" t="s">
        <v>14</v>
      </c>
      <c r="B13" s="46">
        <v>52.928339999999999</v>
      </c>
      <c r="C13" s="8">
        <f t="shared" si="0"/>
        <v>1</v>
      </c>
      <c r="D13" s="46">
        <v>52.928339999999999</v>
      </c>
      <c r="E13" s="9">
        <v>1.302</v>
      </c>
      <c r="F13" s="38">
        <v>85.3</v>
      </c>
      <c r="G13" s="10">
        <v>12</v>
      </c>
      <c r="H13" s="11">
        <f t="shared" si="1"/>
        <v>70539.038</v>
      </c>
      <c r="I13" s="11">
        <v>407.02</v>
      </c>
      <c r="J13" s="11">
        <f t="shared" si="2"/>
        <v>70132.017999999996</v>
      </c>
      <c r="K13" s="11">
        <v>1071.55</v>
      </c>
      <c r="L13" s="10">
        <v>56460.254000000001</v>
      </c>
      <c r="M13" s="12">
        <f t="shared" si="3"/>
        <v>56867.273999999998</v>
      </c>
      <c r="N13" s="13">
        <f t="shared" si="4"/>
        <v>13671.763999999996</v>
      </c>
      <c r="O13" s="13">
        <f>N13*0.94</f>
        <v>12851.458159999995</v>
      </c>
      <c r="P13" s="13">
        <f t="shared" si="6"/>
        <v>820.3058400000009</v>
      </c>
    </row>
    <row r="14" spans="1:16" s="14" customFormat="1" ht="21" customHeight="1">
      <c r="A14" s="7" t="s">
        <v>15</v>
      </c>
      <c r="B14" s="46">
        <v>52.928339999999999</v>
      </c>
      <c r="C14" s="8">
        <f t="shared" si="0"/>
        <v>1</v>
      </c>
      <c r="D14" s="46">
        <v>52.928339999999999</v>
      </c>
      <c r="E14" s="9">
        <v>1.302</v>
      </c>
      <c r="F14" s="38">
        <v>125.1</v>
      </c>
      <c r="G14" s="10">
        <v>12</v>
      </c>
      <c r="H14" s="11">
        <f t="shared" si="1"/>
        <v>103451.743</v>
      </c>
      <c r="I14" s="11">
        <v>52.53</v>
      </c>
      <c r="J14" s="11">
        <f t="shared" si="2"/>
        <v>103399.213</v>
      </c>
      <c r="K14" s="11">
        <v>1358.51</v>
      </c>
      <c r="L14" s="10">
        <v>85064.147000000012</v>
      </c>
      <c r="M14" s="12">
        <f t="shared" si="3"/>
        <v>85116.677000000011</v>
      </c>
      <c r="N14" s="13">
        <f t="shared" si="4"/>
        <v>18335.065999999992</v>
      </c>
      <c r="O14" s="13">
        <f t="shared" si="5"/>
        <v>17418.312699999991</v>
      </c>
      <c r="P14" s="13">
        <f t="shared" si="6"/>
        <v>916.75330000000031</v>
      </c>
    </row>
    <row r="15" spans="1:16" s="14" customFormat="1" ht="21" customHeight="1">
      <c r="A15" s="7" t="s">
        <v>16</v>
      </c>
      <c r="B15" s="46">
        <v>52.928339999999999</v>
      </c>
      <c r="C15" s="8">
        <f t="shared" si="0"/>
        <v>1</v>
      </c>
      <c r="D15" s="46">
        <v>52.928339999999999</v>
      </c>
      <c r="E15" s="9">
        <v>1.302</v>
      </c>
      <c r="F15" s="38">
        <v>87.9</v>
      </c>
      <c r="G15" s="10">
        <v>12</v>
      </c>
      <c r="H15" s="11">
        <f t="shared" si="1"/>
        <v>72689.115000000005</v>
      </c>
      <c r="I15" s="11">
        <v>670.61</v>
      </c>
      <c r="J15" s="11">
        <f t="shared" si="2"/>
        <v>72018.505000000005</v>
      </c>
      <c r="K15" s="11">
        <v>221.34</v>
      </c>
      <c r="L15" s="10">
        <v>58480.574000000001</v>
      </c>
      <c r="M15" s="12">
        <f t="shared" si="3"/>
        <v>59151.184000000001</v>
      </c>
      <c r="N15" s="13">
        <f t="shared" si="4"/>
        <v>13537.931000000004</v>
      </c>
      <c r="O15" s="13">
        <f>N15*0.91</f>
        <v>12319.517210000004</v>
      </c>
      <c r="P15" s="13">
        <f t="shared" si="6"/>
        <v>1218.4137900000005</v>
      </c>
    </row>
    <row r="16" spans="1:16" s="14" customFormat="1" ht="21" customHeight="1">
      <c r="A16" s="7" t="s">
        <v>17</v>
      </c>
      <c r="B16" s="46">
        <v>52.928339999999999</v>
      </c>
      <c r="C16" s="8">
        <f t="shared" si="0"/>
        <v>1</v>
      </c>
      <c r="D16" s="46">
        <v>52.928339999999999</v>
      </c>
      <c r="E16" s="9">
        <v>1.302</v>
      </c>
      <c r="F16" s="38">
        <v>60.3</v>
      </c>
      <c r="G16" s="10">
        <v>12</v>
      </c>
      <c r="H16" s="11">
        <f t="shared" si="1"/>
        <v>49865.228999999999</v>
      </c>
      <c r="I16" s="11">
        <v>35.229999999999997</v>
      </c>
      <c r="J16" s="11">
        <f t="shared" si="2"/>
        <v>49829.998999999996</v>
      </c>
      <c r="K16" s="11">
        <v>0</v>
      </c>
      <c r="L16" s="10">
        <v>40245.332000000002</v>
      </c>
      <c r="M16" s="12">
        <f t="shared" si="3"/>
        <v>40280.562000000005</v>
      </c>
      <c r="N16" s="13">
        <f t="shared" si="4"/>
        <v>9584.666999999994</v>
      </c>
      <c r="O16" s="13">
        <f>N16*0.9</f>
        <v>8626.200299999995</v>
      </c>
      <c r="P16" s="13">
        <f t="shared" si="6"/>
        <v>958.46669999999904</v>
      </c>
    </row>
    <row r="17" spans="1:16" s="17" customFormat="1" ht="21" customHeight="1">
      <c r="A17" s="15" t="s">
        <v>18</v>
      </c>
      <c r="B17" s="46">
        <v>52.928339999999999</v>
      </c>
      <c r="C17" s="8">
        <f t="shared" si="0"/>
        <v>1</v>
      </c>
      <c r="D17" s="46">
        <v>52.928339999999999</v>
      </c>
      <c r="E17" s="16">
        <v>1.302</v>
      </c>
      <c r="F17" s="38">
        <v>75.099999999999994</v>
      </c>
      <c r="G17" s="10">
        <v>12</v>
      </c>
      <c r="H17" s="11">
        <f t="shared" si="1"/>
        <v>62104.124000000003</v>
      </c>
      <c r="I17" s="11">
        <v>0</v>
      </c>
      <c r="J17" s="11">
        <f t="shared" si="2"/>
        <v>62104.124000000003</v>
      </c>
      <c r="K17" s="11">
        <v>881.19</v>
      </c>
      <c r="L17" s="10">
        <v>50888.476999999999</v>
      </c>
      <c r="M17" s="12">
        <f t="shared" si="3"/>
        <v>50888.476999999999</v>
      </c>
      <c r="N17" s="13">
        <f t="shared" si="4"/>
        <v>11215.647000000004</v>
      </c>
      <c r="O17" s="13">
        <f>N17*0.81</f>
        <v>9084.6740700000046</v>
      </c>
      <c r="P17" s="13">
        <f t="shared" si="6"/>
        <v>2130.9729299999999</v>
      </c>
    </row>
    <row r="18" spans="1:16" s="14" customFormat="1" ht="21" customHeight="1">
      <c r="A18" s="7" t="s">
        <v>19</v>
      </c>
      <c r="B18" s="46">
        <v>52.928339999999999</v>
      </c>
      <c r="C18" s="8">
        <f t="shared" si="0"/>
        <v>1</v>
      </c>
      <c r="D18" s="46">
        <v>52.928339999999999</v>
      </c>
      <c r="E18" s="9">
        <v>1.302</v>
      </c>
      <c r="F18" s="38">
        <v>104.1</v>
      </c>
      <c r="G18" s="10">
        <v>12</v>
      </c>
      <c r="H18" s="11">
        <f t="shared" si="1"/>
        <v>86085.743000000002</v>
      </c>
      <c r="I18" s="11">
        <v>1166.8</v>
      </c>
      <c r="J18" s="11">
        <f t="shared" si="2"/>
        <v>84918.942999999999</v>
      </c>
      <c r="K18" s="11">
        <v>200.64</v>
      </c>
      <c r="L18" s="10">
        <v>67514.022000000012</v>
      </c>
      <c r="M18" s="12">
        <f t="shared" si="3"/>
        <v>68680.822000000015</v>
      </c>
      <c r="N18" s="13">
        <f t="shared" si="4"/>
        <v>17404.920999999988</v>
      </c>
      <c r="O18" s="13">
        <f>N18*0.93</f>
        <v>16186.576529999989</v>
      </c>
      <c r="P18" s="13">
        <f t="shared" si="6"/>
        <v>1218.3444699999982</v>
      </c>
    </row>
    <row r="19" spans="1:16" s="14" customFormat="1" ht="21" customHeight="1">
      <c r="A19" s="7" t="s">
        <v>20</v>
      </c>
      <c r="B19" s="46">
        <v>52.928339999999999</v>
      </c>
      <c r="C19" s="8">
        <f t="shared" si="0"/>
        <v>1</v>
      </c>
      <c r="D19" s="46">
        <v>52.928339999999999</v>
      </c>
      <c r="E19" s="9">
        <v>1.302</v>
      </c>
      <c r="F19" s="38">
        <v>131.19999999999999</v>
      </c>
      <c r="G19" s="10">
        <v>12</v>
      </c>
      <c r="H19" s="11">
        <f t="shared" si="1"/>
        <v>108496.15300000001</v>
      </c>
      <c r="I19" s="11">
        <v>913.12</v>
      </c>
      <c r="J19" s="11">
        <f t="shared" si="2"/>
        <v>107583.03300000001</v>
      </c>
      <c r="K19" s="11">
        <v>1160.47</v>
      </c>
      <c r="L19" s="10">
        <v>87663.92</v>
      </c>
      <c r="M19" s="12">
        <f t="shared" si="3"/>
        <v>88577.04</v>
      </c>
      <c r="N19" s="13">
        <f t="shared" si="4"/>
        <v>19919.113000000012</v>
      </c>
      <c r="O19" s="13">
        <f>N19*0.92</f>
        <v>18325.583960000011</v>
      </c>
      <c r="P19" s="13">
        <f t="shared" si="6"/>
        <v>1593.5290400000013</v>
      </c>
    </row>
    <row r="20" spans="1:16" s="14" customFormat="1" ht="21" customHeight="1">
      <c r="A20" s="7" t="s">
        <v>21</v>
      </c>
      <c r="B20" s="46">
        <v>52.928339999999999</v>
      </c>
      <c r="C20" s="8">
        <f t="shared" si="0"/>
        <v>1</v>
      </c>
      <c r="D20" s="46">
        <v>52.928339999999999</v>
      </c>
      <c r="E20" s="9">
        <v>1.302</v>
      </c>
      <c r="F20" s="38">
        <v>154</v>
      </c>
      <c r="G20" s="10">
        <v>12</v>
      </c>
      <c r="H20" s="11">
        <f t="shared" si="1"/>
        <v>127350.667</v>
      </c>
      <c r="I20" s="11">
        <v>39.79</v>
      </c>
      <c r="J20" s="11">
        <f t="shared" si="2"/>
        <v>127310.87700000001</v>
      </c>
      <c r="K20" s="11">
        <v>1122.98</v>
      </c>
      <c r="L20" s="10">
        <v>103852.038</v>
      </c>
      <c r="M20" s="12">
        <f t="shared" si="3"/>
        <v>103891.82799999999</v>
      </c>
      <c r="N20" s="13">
        <f t="shared" si="4"/>
        <v>23458.839000000007</v>
      </c>
      <c r="O20" s="13">
        <f>N20*0.94</f>
        <v>22051.308660000006</v>
      </c>
      <c r="P20" s="13">
        <f t="shared" si="6"/>
        <v>1407.5303400000012</v>
      </c>
    </row>
    <row r="21" spans="1:16" s="14" customFormat="1" ht="21" customHeight="1">
      <c r="A21" s="7" t="s">
        <v>22</v>
      </c>
      <c r="B21" s="46">
        <v>52.928339999999999</v>
      </c>
      <c r="C21" s="8">
        <f t="shared" si="0"/>
        <v>1</v>
      </c>
      <c r="D21" s="46">
        <v>52.928339999999999</v>
      </c>
      <c r="E21" s="9">
        <v>1.302</v>
      </c>
      <c r="F21" s="38">
        <v>63.5</v>
      </c>
      <c r="G21" s="10">
        <v>12</v>
      </c>
      <c r="H21" s="11">
        <f t="shared" si="1"/>
        <v>52511.476000000002</v>
      </c>
      <c r="I21" s="11">
        <v>30.83</v>
      </c>
      <c r="J21" s="11">
        <f t="shared" si="2"/>
        <v>52480.646000000001</v>
      </c>
      <c r="K21" s="11">
        <v>1268.1500000000001</v>
      </c>
      <c r="L21" s="10">
        <v>42902.368000000002</v>
      </c>
      <c r="M21" s="12">
        <f t="shared" si="3"/>
        <v>42933.198000000004</v>
      </c>
      <c r="N21" s="13">
        <f t="shared" si="4"/>
        <v>9578.2779999999984</v>
      </c>
      <c r="O21" s="13">
        <f>N21*0.89</f>
        <v>8524.6674199999979</v>
      </c>
      <c r="P21" s="13">
        <f t="shared" si="6"/>
        <v>1053.6105800000005</v>
      </c>
    </row>
    <row r="22" spans="1:16" s="14" customFormat="1" ht="21" customHeight="1">
      <c r="A22" s="7" t="s">
        <v>23</v>
      </c>
      <c r="B22" s="46">
        <v>52.928339999999999</v>
      </c>
      <c r="C22" s="8">
        <f t="shared" si="0"/>
        <v>1</v>
      </c>
      <c r="D22" s="46">
        <v>52.928339999999999</v>
      </c>
      <c r="E22" s="9">
        <v>1.302</v>
      </c>
      <c r="F22" s="38">
        <v>160.5</v>
      </c>
      <c r="G22" s="10">
        <v>12</v>
      </c>
      <c r="H22" s="11">
        <f t="shared" si="1"/>
        <v>132725.85800000001</v>
      </c>
      <c r="I22" s="11">
        <v>668.41</v>
      </c>
      <c r="J22" s="11">
        <f t="shared" si="2"/>
        <v>132057.448</v>
      </c>
      <c r="K22" s="11">
        <v>1344.05</v>
      </c>
      <c r="L22" s="10">
        <v>96376.680000000008</v>
      </c>
      <c r="M22" s="12">
        <f t="shared" si="3"/>
        <v>97045.090000000011</v>
      </c>
      <c r="N22" s="13">
        <f>J22-L22</f>
        <v>35680.767999999996</v>
      </c>
      <c r="O22" s="13">
        <f>N22*0.83</f>
        <v>29615.037439999996</v>
      </c>
      <c r="P22" s="13">
        <f t="shared" si="6"/>
        <v>6065.73056</v>
      </c>
    </row>
    <row r="23" spans="1:16" s="14" customFormat="1" ht="21" customHeight="1">
      <c r="A23" s="7" t="s">
        <v>24</v>
      </c>
      <c r="B23" s="46">
        <v>52.928339999999999</v>
      </c>
      <c r="C23" s="8">
        <f t="shared" si="0"/>
        <v>1</v>
      </c>
      <c r="D23" s="46">
        <v>52.928339999999999</v>
      </c>
      <c r="E23" s="9">
        <v>1.302</v>
      </c>
      <c r="F23" s="38">
        <v>166.4</v>
      </c>
      <c r="G23" s="10">
        <v>12</v>
      </c>
      <c r="H23" s="11">
        <f t="shared" si="1"/>
        <v>137604.87700000001</v>
      </c>
      <c r="I23" s="11">
        <v>887.8</v>
      </c>
      <c r="J23" s="11">
        <f t="shared" si="2"/>
        <v>136717.07700000002</v>
      </c>
      <c r="K23" s="11">
        <v>1391.71</v>
      </c>
      <c r="L23" s="10">
        <v>113333.84699999999</v>
      </c>
      <c r="M23" s="12">
        <f t="shared" si="3"/>
        <v>114221.647</v>
      </c>
      <c r="N23" s="13">
        <f t="shared" ref="N23:N30" si="7">J23-L23</f>
        <v>23383.230000000025</v>
      </c>
      <c r="O23" s="13">
        <f>N23*0.85</f>
        <v>19875.745500000019</v>
      </c>
      <c r="P23" s="13">
        <f t="shared" si="6"/>
        <v>3507.4845000000059</v>
      </c>
    </row>
    <row r="24" spans="1:16" s="14" customFormat="1" ht="21" customHeight="1">
      <c r="A24" s="7" t="s">
        <v>25</v>
      </c>
      <c r="B24" s="46">
        <v>52.928339999999999</v>
      </c>
      <c r="C24" s="8">
        <f t="shared" si="0"/>
        <v>1</v>
      </c>
      <c r="D24" s="46">
        <v>52.928339999999999</v>
      </c>
      <c r="E24" s="9">
        <v>1.302</v>
      </c>
      <c r="F24" s="38">
        <v>106.2</v>
      </c>
      <c r="G24" s="10">
        <v>12</v>
      </c>
      <c r="H24" s="11">
        <f t="shared" si="1"/>
        <v>87822.342999999993</v>
      </c>
      <c r="I24" s="11">
        <v>0</v>
      </c>
      <c r="J24" s="11">
        <f t="shared" si="2"/>
        <v>87822.342999999993</v>
      </c>
      <c r="K24" s="11">
        <v>1803.01</v>
      </c>
      <c r="L24" s="10">
        <v>72863.046000000002</v>
      </c>
      <c r="M24" s="12">
        <f t="shared" si="3"/>
        <v>72863.046000000002</v>
      </c>
      <c r="N24" s="13">
        <f t="shared" si="7"/>
        <v>14959.296999999991</v>
      </c>
      <c r="O24" s="13">
        <f>N24*0.89</f>
        <v>13313.774329999993</v>
      </c>
      <c r="P24" s="13">
        <f t="shared" si="6"/>
        <v>1645.5226699999985</v>
      </c>
    </row>
    <row r="25" spans="1:16" s="14" customFormat="1" ht="21" customHeight="1">
      <c r="A25" s="7" t="s">
        <v>26</v>
      </c>
      <c r="B25" s="46">
        <v>52.928339999999999</v>
      </c>
      <c r="C25" s="8">
        <f t="shared" si="0"/>
        <v>1</v>
      </c>
      <c r="D25" s="46">
        <v>52.928339999999999</v>
      </c>
      <c r="E25" s="9">
        <v>1.302</v>
      </c>
      <c r="F25" s="38">
        <v>66.400000000000006</v>
      </c>
      <c r="G25" s="10">
        <v>12</v>
      </c>
      <c r="H25" s="11">
        <f t="shared" si="1"/>
        <v>54909.637999999999</v>
      </c>
      <c r="I25" s="11">
        <v>185.27</v>
      </c>
      <c r="J25" s="11">
        <f t="shared" si="2"/>
        <v>54724.368000000002</v>
      </c>
      <c r="K25" s="11">
        <v>0</v>
      </c>
      <c r="L25" s="10">
        <v>44607.551999999996</v>
      </c>
      <c r="M25" s="12">
        <f t="shared" si="3"/>
        <v>44792.821999999993</v>
      </c>
      <c r="N25" s="13">
        <f t="shared" si="7"/>
        <v>10116.816000000006</v>
      </c>
      <c r="O25" s="13">
        <f>N25*0.94</f>
        <v>9509.8070400000051</v>
      </c>
      <c r="P25" s="13">
        <f t="shared" si="6"/>
        <v>607.00896000000103</v>
      </c>
    </row>
    <row r="26" spans="1:16" s="14" customFormat="1" ht="21" customHeight="1">
      <c r="A26" s="7" t="s">
        <v>27</v>
      </c>
      <c r="B26" s="46">
        <v>52.928339999999999</v>
      </c>
      <c r="C26" s="8">
        <f t="shared" si="0"/>
        <v>1</v>
      </c>
      <c r="D26" s="46">
        <v>52.928339999999999</v>
      </c>
      <c r="E26" s="9">
        <v>1.302</v>
      </c>
      <c r="F26" s="38">
        <v>574.29999999999995</v>
      </c>
      <c r="G26" s="10">
        <v>12</v>
      </c>
      <c r="H26" s="11">
        <f t="shared" si="1"/>
        <v>474918.75400000002</v>
      </c>
      <c r="I26" s="11">
        <v>81801.31</v>
      </c>
      <c r="J26" s="11">
        <f t="shared" si="2"/>
        <v>393117.44400000002</v>
      </c>
      <c r="K26" s="11">
        <v>0</v>
      </c>
      <c r="L26" s="10">
        <v>320960.049</v>
      </c>
      <c r="M26" s="12">
        <f t="shared" si="3"/>
        <v>402761.359</v>
      </c>
      <c r="N26" s="13">
        <f t="shared" si="7"/>
        <v>72157.395000000019</v>
      </c>
      <c r="O26" s="13">
        <f>N26*0.85</f>
        <v>61333.785750000017</v>
      </c>
      <c r="P26" s="13">
        <f t="shared" si="6"/>
        <v>10823.609250000001</v>
      </c>
    </row>
    <row r="27" spans="1:16" s="14" customFormat="1" ht="21" customHeight="1">
      <c r="A27" s="7" t="s">
        <v>28</v>
      </c>
      <c r="B27" s="46">
        <v>52.928339999999999</v>
      </c>
      <c r="C27" s="8">
        <f t="shared" si="0"/>
        <v>1</v>
      </c>
      <c r="D27" s="46">
        <v>52.928339999999999</v>
      </c>
      <c r="E27" s="9">
        <v>1.302</v>
      </c>
      <c r="F27" s="38">
        <v>357.4</v>
      </c>
      <c r="G27" s="10">
        <v>12</v>
      </c>
      <c r="H27" s="11">
        <f t="shared" si="1"/>
        <v>295552.78200000001</v>
      </c>
      <c r="I27" s="11">
        <v>48533.95</v>
      </c>
      <c r="J27" s="11">
        <f t="shared" si="2"/>
        <v>247018.83199999999</v>
      </c>
      <c r="K27" s="11">
        <v>0</v>
      </c>
      <c r="L27" s="10">
        <v>202648.538</v>
      </c>
      <c r="M27" s="12">
        <f t="shared" si="3"/>
        <v>251182.48800000001</v>
      </c>
      <c r="N27" s="13">
        <f t="shared" si="7"/>
        <v>44370.293999999994</v>
      </c>
      <c r="O27" s="13">
        <f>N27*0.75</f>
        <v>33277.720499999996</v>
      </c>
      <c r="P27" s="13">
        <f t="shared" si="6"/>
        <v>11092.573499999999</v>
      </c>
    </row>
    <row r="28" spans="1:16" s="14" customFormat="1" ht="21" customHeight="1">
      <c r="A28" s="7" t="s">
        <v>29</v>
      </c>
      <c r="B28" s="46">
        <v>52.928339999999999</v>
      </c>
      <c r="C28" s="8">
        <f t="shared" si="0"/>
        <v>1</v>
      </c>
      <c r="D28" s="46">
        <v>52.928339999999999</v>
      </c>
      <c r="E28" s="9">
        <v>1.302</v>
      </c>
      <c r="F28" s="38">
        <v>231.5</v>
      </c>
      <c r="G28" s="10">
        <v>12</v>
      </c>
      <c r="H28" s="11">
        <f t="shared" si="1"/>
        <v>191439.47700000001</v>
      </c>
      <c r="I28" s="11">
        <v>12175.71</v>
      </c>
      <c r="J28" s="11">
        <f t="shared" si="2"/>
        <v>179263.76700000002</v>
      </c>
      <c r="K28" s="11">
        <v>866.09</v>
      </c>
      <c r="L28" s="10">
        <v>145820.91200000001</v>
      </c>
      <c r="M28" s="12">
        <f t="shared" si="3"/>
        <v>157996.622</v>
      </c>
      <c r="N28" s="13">
        <f t="shared" si="7"/>
        <v>33442.85500000001</v>
      </c>
      <c r="O28" s="13">
        <f>N28*0.88</f>
        <v>29429.712400000008</v>
      </c>
      <c r="P28" s="13">
        <f t="shared" si="6"/>
        <v>4013.1426000000029</v>
      </c>
    </row>
    <row r="29" spans="1:16" s="14" customFormat="1" ht="21" customHeight="1">
      <c r="A29" s="7" t="s">
        <v>30</v>
      </c>
      <c r="B29" s="46">
        <v>52.928339999999999</v>
      </c>
      <c r="C29" s="8">
        <f t="shared" si="0"/>
        <v>1</v>
      </c>
      <c r="D29" s="46">
        <v>52.928339999999999</v>
      </c>
      <c r="E29" s="9">
        <v>1.302</v>
      </c>
      <c r="F29" s="38">
        <v>57.699999999999996</v>
      </c>
      <c r="G29" s="10">
        <v>12</v>
      </c>
      <c r="H29" s="11">
        <f t="shared" si="1"/>
        <v>47715.152999999998</v>
      </c>
      <c r="I29" s="11">
        <v>0</v>
      </c>
      <c r="J29" s="11">
        <f t="shared" si="2"/>
        <v>47715.152999999998</v>
      </c>
      <c r="K29" s="11">
        <v>0</v>
      </c>
      <c r="L29" s="10">
        <v>38574.553999999996</v>
      </c>
      <c r="M29" s="12">
        <f t="shared" si="3"/>
        <v>38574.553999999996</v>
      </c>
      <c r="N29" s="13">
        <f t="shared" si="7"/>
        <v>9140.599000000002</v>
      </c>
      <c r="O29" s="13">
        <f>N29*0.87</f>
        <v>7952.3211300000021</v>
      </c>
      <c r="P29" s="13">
        <f t="shared" si="6"/>
        <v>1188.2778699999999</v>
      </c>
    </row>
    <row r="30" spans="1:16" s="14" customFormat="1" ht="21" customHeight="1">
      <c r="A30" s="7" t="s">
        <v>31</v>
      </c>
      <c r="B30" s="46">
        <v>52.928339999999999</v>
      </c>
      <c r="C30" s="8">
        <f t="shared" si="0"/>
        <v>1</v>
      </c>
      <c r="D30" s="46">
        <v>52.928339999999999</v>
      </c>
      <c r="E30" s="9">
        <v>1.302</v>
      </c>
      <c r="F30" s="38">
        <v>119.8</v>
      </c>
      <c r="G30" s="10">
        <v>12</v>
      </c>
      <c r="H30" s="11">
        <f t="shared" si="1"/>
        <v>99068.895999999993</v>
      </c>
      <c r="I30" s="11">
        <v>1190.71</v>
      </c>
      <c r="J30" s="11">
        <f t="shared" si="2"/>
        <v>97878.185999999987</v>
      </c>
      <c r="K30" s="11">
        <v>0</v>
      </c>
      <c r="L30" s="10">
        <v>82800.994999999995</v>
      </c>
      <c r="M30" s="12">
        <f t="shared" si="3"/>
        <v>83991.705000000002</v>
      </c>
      <c r="N30" s="13">
        <f t="shared" si="7"/>
        <v>15077.190999999992</v>
      </c>
      <c r="O30" s="13">
        <f>N30*0.86</f>
        <v>12966.384259999993</v>
      </c>
      <c r="P30" s="13">
        <f t="shared" si="6"/>
        <v>2110.8067399999982</v>
      </c>
    </row>
    <row r="31" spans="1:16" s="14" customFormat="1" ht="21" customHeight="1">
      <c r="A31" s="7" t="s">
        <v>32</v>
      </c>
      <c r="B31" s="46">
        <v>52.928339999999999</v>
      </c>
      <c r="C31" s="8">
        <f t="shared" si="0"/>
        <v>1</v>
      </c>
      <c r="D31" s="46">
        <v>52.928339999999999</v>
      </c>
      <c r="E31" s="9">
        <v>1.302</v>
      </c>
      <c r="F31" s="38">
        <v>20.8</v>
      </c>
      <c r="G31" s="10">
        <v>12</v>
      </c>
      <c r="H31" s="11">
        <f t="shared" si="1"/>
        <v>17200.61</v>
      </c>
      <c r="I31" s="11">
        <v>0</v>
      </c>
      <c r="J31" s="11">
        <f t="shared" si="2"/>
        <v>17200.61</v>
      </c>
      <c r="K31" s="11">
        <v>0</v>
      </c>
      <c r="L31" s="10">
        <v>14082.773999999999</v>
      </c>
      <c r="M31" s="12">
        <f t="shared" si="3"/>
        <v>14082.773999999999</v>
      </c>
      <c r="N31" s="13">
        <f>J31-L31+0.05</f>
        <v>3117.8860000000013</v>
      </c>
      <c r="O31" s="13">
        <f>N31*0.78</f>
        <v>2431.9510800000012</v>
      </c>
      <c r="P31" s="13">
        <f t="shared" si="6"/>
        <v>685.93492000000015</v>
      </c>
    </row>
    <row r="32" spans="1:16" s="14" customFormat="1" ht="27" customHeight="1">
      <c r="A32" s="18" t="s">
        <v>33</v>
      </c>
      <c r="B32" s="19">
        <v>52.928339999999999</v>
      </c>
      <c r="C32" s="19">
        <f t="shared" si="0"/>
        <v>1</v>
      </c>
      <c r="D32" s="19">
        <v>52.928339999999999</v>
      </c>
      <c r="E32" s="19">
        <v>1.302</v>
      </c>
      <c r="F32" s="44">
        <f>SUM(F7:F31)</f>
        <v>3391.8</v>
      </c>
      <c r="G32" s="20">
        <v>12</v>
      </c>
      <c r="H32" s="43">
        <f t="shared" ref="H32:I32" si="8">SUM(H7:H31)</f>
        <v>2804857.0980000002</v>
      </c>
      <c r="I32" s="43">
        <f t="shared" si="8"/>
        <v>150967.03999999998</v>
      </c>
      <c r="J32" s="21">
        <f>SUM(J7:J31)</f>
        <v>2653890.0579999997</v>
      </c>
      <c r="K32" s="21">
        <f>SUM(K7:K31)</f>
        <v>17148.399999999998</v>
      </c>
      <c r="L32" s="21">
        <f>SUM(L7:L31)</f>
        <v>2159143.0160000003</v>
      </c>
      <c r="M32" s="21">
        <f t="shared" ref="M32" si="9">SUM(M7:M31)</f>
        <v>2310110.0560000003</v>
      </c>
      <c r="N32" s="20">
        <f>SUM(N7:N31)</f>
        <v>494747.09199999995</v>
      </c>
      <c r="O32" s="20">
        <f t="shared" ref="O32:P32" si="10">SUM(O7:O31)</f>
        <v>435593.09297000011</v>
      </c>
      <c r="P32" s="44">
        <f t="shared" si="10"/>
        <v>59153.999030000014</v>
      </c>
    </row>
    <row r="33" spans="1:12" s="14" customFormat="1" ht="21.75" hidden="1" customHeight="1">
      <c r="A33" s="22" t="s">
        <v>34</v>
      </c>
      <c r="B33" s="23">
        <v>34.557000000000002</v>
      </c>
      <c r="C33" s="8">
        <f t="shared" ref="C33:C34" si="11">99.335827535/100</f>
        <v>0.9933582753500001</v>
      </c>
      <c r="D33" s="24">
        <f t="shared" ref="D33:D34" si="12">ROUND(B33*C33,5)</f>
        <v>34.327480000000001</v>
      </c>
      <c r="E33" s="24"/>
      <c r="F33" s="24"/>
      <c r="G33" s="24"/>
      <c r="H33" s="25" t="e">
        <f>ROUND(D33*#REF!*#REF!*12,2)</f>
        <v>#REF!</v>
      </c>
      <c r="I33" s="25"/>
      <c r="J33" s="25"/>
      <c r="K33" s="25"/>
      <c r="L33" s="26">
        <v>477328.8</v>
      </c>
    </row>
    <row r="34" spans="1:12" s="14" customFormat="1" ht="22.5" hidden="1" customHeight="1">
      <c r="A34" s="27" t="s">
        <v>35</v>
      </c>
      <c r="B34" s="28">
        <v>34.557000000000002</v>
      </c>
      <c r="C34" s="8">
        <f t="shared" si="11"/>
        <v>0.9933582753500001</v>
      </c>
      <c r="D34" s="29">
        <f t="shared" si="12"/>
        <v>34.327480000000001</v>
      </c>
      <c r="E34" s="30"/>
      <c r="F34" s="30"/>
      <c r="G34" s="30"/>
      <c r="H34" s="31" t="e">
        <f>ROUND(D34*#REF!*#REF!*12,2)</f>
        <v>#REF!</v>
      </c>
      <c r="I34" s="41"/>
      <c r="J34" s="41"/>
      <c r="K34" s="41"/>
      <c r="L34" s="32">
        <f>L32+L33</f>
        <v>2636471.8160000001</v>
      </c>
    </row>
    <row r="35" spans="1:12" s="14" customFormat="1" ht="13.5" customHeight="1">
      <c r="A35" s="33"/>
    </row>
    <row r="36" spans="1:12" s="34" customFormat="1" ht="15.75">
      <c r="H36" s="35"/>
      <c r="I36" s="35"/>
      <c r="J36" s="35"/>
      <c r="K36" s="35"/>
    </row>
    <row r="37" spans="1:12" s="14" customFormat="1" ht="18.75">
      <c r="A37" s="47" t="s">
        <v>40</v>
      </c>
      <c r="H37" s="40"/>
      <c r="I37" s="40"/>
      <c r="J37" s="40"/>
      <c r="K37" s="40"/>
    </row>
    <row r="38" spans="1:12" s="14" customFormat="1" ht="18.75">
      <c r="A38" s="48" t="s">
        <v>41</v>
      </c>
      <c r="I38" s="40"/>
      <c r="J38" s="40"/>
      <c r="K38" s="40"/>
    </row>
    <row r="39" spans="1:12" s="14" customFormat="1" ht="14.25" customHeight="1"/>
    <row r="40" spans="1:12" s="14" customFormat="1"/>
    <row r="41" spans="1:12" s="14" customFormat="1" hidden="1"/>
    <row r="42" spans="1:12" s="14" customFormat="1" hidden="1"/>
    <row r="43" spans="1:12" ht="41.25" hidden="1" customHeight="1">
      <c r="A43" s="136" t="s">
        <v>38</v>
      </c>
      <c r="B43" s="136"/>
      <c r="C43" s="39"/>
      <c r="D43" s="137" t="s">
        <v>37</v>
      </c>
      <c r="E43" s="137"/>
    </row>
  </sheetData>
  <mergeCells count="21">
    <mergeCell ref="A43:B43"/>
    <mergeCell ref="D43:E43"/>
    <mergeCell ref="H4:H5"/>
    <mergeCell ref="I4:I5"/>
    <mergeCell ref="J4:J5"/>
    <mergeCell ref="L1:N1"/>
    <mergeCell ref="O1:P1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3:P3"/>
  </mergeCells>
  <pageMargins left="0" right="0" top="0.74803149606299213" bottom="0.35433070866141736" header="0.31496062992125984" footer="0.31496062992125984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2021</vt:lpstr>
      <vt:lpstr>2022</vt:lpstr>
      <vt:lpstr>2023</vt:lpstr>
      <vt:lpstr>'2021'!Область_печати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Вероника Владимировна</dc:creator>
  <cp:lastModifiedBy>minfin user</cp:lastModifiedBy>
  <cp:lastPrinted>2021-02-07T12:20:23Z</cp:lastPrinted>
  <dcterms:created xsi:type="dcterms:W3CDTF">2017-09-18T08:19:38Z</dcterms:created>
  <dcterms:modified xsi:type="dcterms:W3CDTF">2021-02-08T09:17:36Z</dcterms:modified>
</cp:coreProperties>
</file>