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1" sheetId="3" r:id="rId1"/>
  </sheets>
  <definedNames>
    <definedName name="_xlnm.Print_Titles" localSheetId="0">Table1!$8:$8</definedName>
    <definedName name="_xlnm.Print_Area" localSheetId="0">Table1!$A$1:$Q$418</definedName>
  </definedNames>
  <calcPr calcId="125725"/>
</workbook>
</file>

<file path=xl/calcChain.xml><?xml version="1.0" encoding="utf-8"?>
<calcChain xmlns="http://schemas.openxmlformats.org/spreadsheetml/2006/main">
  <c r="G9" i="3"/>
  <c r="G214"/>
  <c r="G218"/>
  <c r="G192"/>
  <c r="G212"/>
  <c r="G209"/>
  <c r="G202"/>
  <c r="G199"/>
  <c r="G196"/>
  <c r="G183"/>
  <c r="G187"/>
  <c r="G165"/>
  <c r="G178"/>
  <c r="G169"/>
  <c r="G144"/>
  <c r="G148"/>
  <c r="G138"/>
  <c r="G142"/>
  <c r="G130"/>
  <c r="G134"/>
  <c r="G124"/>
  <c r="G128"/>
  <c r="G118"/>
  <c r="G122"/>
  <c r="G89"/>
  <c r="G103"/>
  <c r="G93"/>
  <c r="G83"/>
  <c r="G87"/>
  <c r="G52"/>
  <c r="G48"/>
  <c r="G12"/>
  <c r="H13"/>
  <c r="G16"/>
  <c r="H16"/>
  <c r="G136" l="1"/>
  <c r="G123" l="1"/>
  <c r="G189" l="1"/>
  <c r="G219" l="1"/>
  <c r="G46" l="1"/>
  <c r="G47"/>
  <c r="G45"/>
  <c r="G44"/>
  <c r="G43"/>
  <c r="G42"/>
  <c r="G41"/>
  <c r="G40"/>
  <c r="G39"/>
  <c r="G36"/>
  <c r="G34"/>
  <c r="G33"/>
  <c r="G32"/>
  <c r="G31"/>
  <c r="G29"/>
  <c r="G28"/>
  <c r="G24"/>
  <c r="G23"/>
  <c r="G22"/>
  <c r="G21"/>
  <c r="G19"/>
  <c r="G17"/>
  <c r="O364" l="1"/>
  <c r="O362"/>
  <c r="L364"/>
  <c r="L363"/>
  <c r="L362"/>
  <c r="I364"/>
  <c r="I363"/>
  <c r="I362"/>
  <c r="H364"/>
  <c r="H363"/>
  <c r="H362"/>
  <c r="H369"/>
  <c r="H368" s="1"/>
  <c r="H367" s="1"/>
  <c r="H365" s="1"/>
  <c r="O369"/>
  <c r="O368"/>
  <c r="O367"/>
  <c r="O365"/>
  <c r="L369"/>
  <c r="L368"/>
  <c r="L367"/>
  <c r="L365"/>
  <c r="I369"/>
  <c r="I368"/>
  <c r="I367"/>
  <c r="I365"/>
  <c r="O378"/>
  <c r="O377"/>
  <c r="O376"/>
  <c r="O374"/>
  <c r="I378"/>
  <c r="I377"/>
  <c r="I376"/>
  <c r="I374"/>
  <c r="H374"/>
  <c r="H376"/>
  <c r="H377"/>
  <c r="H378"/>
  <c r="I380"/>
  <c r="O380"/>
  <c r="H380"/>
  <c r="I400"/>
  <c r="H400"/>
  <c r="O400" l="1"/>
  <c r="Q399"/>
  <c r="O399"/>
  <c r="O398"/>
  <c r="O396"/>
  <c r="I399"/>
  <c r="K398"/>
  <c r="I398"/>
  <c r="I396"/>
  <c r="H396"/>
  <c r="K396" s="1"/>
  <c r="H398"/>
  <c r="H399"/>
  <c r="K399" s="1"/>
  <c r="O406"/>
  <c r="O405"/>
  <c r="O404"/>
  <c r="O402"/>
  <c r="L406"/>
  <c r="L405"/>
  <c r="N405" s="1"/>
  <c r="L404"/>
  <c r="L402"/>
  <c r="I406"/>
  <c r="I405"/>
  <c r="I404"/>
  <c r="I402"/>
  <c r="H402"/>
  <c r="H404"/>
  <c r="H405"/>
  <c r="K405" s="1"/>
  <c r="H406"/>
  <c r="Q416"/>
  <c r="Q408"/>
  <c r="Q407"/>
  <c r="Q406"/>
  <c r="Q405"/>
  <c r="Q404"/>
  <c r="Q402"/>
  <c r="Q400"/>
  <c r="Q398"/>
  <c r="Q396"/>
  <c r="Q395"/>
  <c r="Q394"/>
  <c r="Q393"/>
  <c r="Q392"/>
  <c r="Q391"/>
  <c r="Q390"/>
  <c r="Q389"/>
  <c r="Q388"/>
  <c r="Q387"/>
  <c r="Q386"/>
  <c r="Q385"/>
  <c r="Q384"/>
  <c r="Q383"/>
  <c r="Q382"/>
  <c r="Q381"/>
  <c r="Q380"/>
  <c r="Q379"/>
  <c r="Q378"/>
  <c r="Q377"/>
  <c r="Q376"/>
  <c r="Q374"/>
  <c r="Q373"/>
  <c r="Q372"/>
  <c r="Q371"/>
  <c r="Q370"/>
  <c r="Q369"/>
  <c r="Q368"/>
  <c r="Q367"/>
  <c r="Q365"/>
  <c r="Q364"/>
  <c r="Q362"/>
  <c r="N362"/>
  <c r="N415"/>
  <c r="N414"/>
  <c r="N408"/>
  <c r="N406"/>
  <c r="N404"/>
  <c r="N402"/>
  <c r="N379"/>
  <c r="N373"/>
  <c r="N372"/>
  <c r="N371"/>
  <c r="N369"/>
  <c r="N368"/>
  <c r="N367"/>
  <c r="N365"/>
  <c r="N364"/>
  <c r="N363"/>
  <c r="K416"/>
  <c r="K415"/>
  <c r="K414"/>
  <c r="K408"/>
  <c r="K407"/>
  <c r="K406"/>
  <c r="K404"/>
  <c r="K402"/>
  <c r="K400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4"/>
  <c r="K373"/>
  <c r="K372"/>
  <c r="K371"/>
  <c r="K370"/>
  <c r="K369"/>
  <c r="K368"/>
  <c r="K367"/>
  <c r="K365"/>
  <c r="K364"/>
  <c r="K363"/>
  <c r="K362"/>
  <c r="Q413"/>
  <c r="O413"/>
  <c r="O412"/>
  <c r="Q412" s="1"/>
  <c r="Q411"/>
  <c r="O411"/>
  <c r="O409"/>
  <c r="N413"/>
  <c r="L413"/>
  <c r="N412"/>
  <c r="L412"/>
  <c r="N410"/>
  <c r="L410"/>
  <c r="L409"/>
  <c r="N409" s="1"/>
  <c r="K413"/>
  <c r="I413"/>
  <c r="K412"/>
  <c r="I412"/>
  <c r="K411"/>
  <c r="I411"/>
  <c r="K410"/>
  <c r="I410"/>
  <c r="K409"/>
  <c r="I409"/>
  <c r="H409"/>
  <c r="H410"/>
  <c r="H411"/>
  <c r="H412"/>
  <c r="H413"/>
  <c r="I414"/>
  <c r="P238"/>
  <c r="O238"/>
  <c r="P237"/>
  <c r="P236"/>
  <c r="M238"/>
  <c r="L238"/>
  <c r="M237"/>
  <c r="M236"/>
  <c r="J238"/>
  <c r="I238"/>
  <c r="J237"/>
  <c r="J236"/>
  <c r="H238"/>
  <c r="Q409" l="1"/>
  <c r="O352"/>
  <c r="O351"/>
  <c r="O349"/>
  <c r="O237" s="1"/>
  <c r="O236" s="1"/>
  <c r="L352"/>
  <c r="L351"/>
  <c r="L349"/>
  <c r="L237" s="1"/>
  <c r="L236" s="1"/>
  <c r="I352"/>
  <c r="I351"/>
  <c r="I349"/>
  <c r="I237" s="1"/>
  <c r="I236" s="1"/>
  <c r="H349"/>
  <c r="H237" s="1"/>
  <c r="H236" s="1"/>
  <c r="H351"/>
  <c r="H352"/>
  <c r="K352" s="1"/>
  <c r="I355"/>
  <c r="O340"/>
  <c r="Q340" s="1"/>
  <c r="O339"/>
  <c r="O338"/>
  <c r="Q338" s="1"/>
  <c r="O336"/>
  <c r="L338"/>
  <c r="L336"/>
  <c r="N336" s="1"/>
  <c r="I340"/>
  <c r="I339"/>
  <c r="I338"/>
  <c r="I336"/>
  <c r="H336"/>
  <c r="H338"/>
  <c r="O344"/>
  <c r="Q343"/>
  <c r="O343"/>
  <c r="N344"/>
  <c r="L344"/>
  <c r="L343"/>
  <c r="K344"/>
  <c r="I344"/>
  <c r="I343"/>
  <c r="H343"/>
  <c r="H344"/>
  <c r="H339"/>
  <c r="H340"/>
  <c r="O329"/>
  <c r="O328"/>
  <c r="Q328" s="1"/>
  <c r="O327"/>
  <c r="O325"/>
  <c r="L329"/>
  <c r="N329" s="1"/>
  <c r="L328"/>
  <c r="L327"/>
  <c r="N327" s="1"/>
  <c r="L326"/>
  <c r="L325"/>
  <c r="N325" s="1"/>
  <c r="I329"/>
  <c r="I328"/>
  <c r="I327"/>
  <c r="I326"/>
  <c r="I325"/>
  <c r="H325"/>
  <c r="H326"/>
  <c r="H327"/>
  <c r="H328"/>
  <c r="K328" s="1"/>
  <c r="H329"/>
  <c r="K329" s="1"/>
  <c r="K333"/>
  <c r="O313"/>
  <c r="Q313" s="1"/>
  <c r="O311"/>
  <c r="M313"/>
  <c r="L313"/>
  <c r="M311"/>
  <c r="L311"/>
  <c r="N311" s="1"/>
  <c r="J313"/>
  <c r="I313"/>
  <c r="J311"/>
  <c r="I311"/>
  <c r="H311"/>
  <c r="H313"/>
  <c r="Q314"/>
  <c r="O314"/>
  <c r="L314"/>
  <c r="H314"/>
  <c r="O315"/>
  <c r="M315"/>
  <c r="N315" s="1"/>
  <c r="L315"/>
  <c r="J315"/>
  <c r="I315"/>
  <c r="J314"/>
  <c r="I314"/>
  <c r="H315"/>
  <c r="O320"/>
  <c r="I320"/>
  <c r="H320"/>
  <c r="Q321"/>
  <c r="Q320" s="1"/>
  <c r="O321"/>
  <c r="I321"/>
  <c r="H321"/>
  <c r="K324"/>
  <c r="O300"/>
  <c r="Q299"/>
  <c r="O299"/>
  <c r="O297"/>
  <c r="Q296"/>
  <c r="O296"/>
  <c r="L300"/>
  <c r="N299"/>
  <c r="L299"/>
  <c r="L297"/>
  <c r="N296"/>
  <c r="L296"/>
  <c r="K300"/>
  <c r="I300"/>
  <c r="I299"/>
  <c r="K297"/>
  <c r="I297"/>
  <c r="I296"/>
  <c r="H296"/>
  <c r="H297"/>
  <c r="H299"/>
  <c r="H300"/>
  <c r="I307"/>
  <c r="I303"/>
  <c r="I305"/>
  <c r="I309"/>
  <c r="I301"/>
  <c r="H267"/>
  <c r="Q294"/>
  <c r="O294"/>
  <c r="O293"/>
  <c r="O292"/>
  <c r="O290"/>
  <c r="K294"/>
  <c r="I294"/>
  <c r="I293"/>
  <c r="K292"/>
  <c r="I292"/>
  <c r="K290"/>
  <c r="I290"/>
  <c r="H290"/>
  <c r="H292"/>
  <c r="H293"/>
  <c r="H294"/>
  <c r="K267"/>
  <c r="Q269"/>
  <c r="O269"/>
  <c r="Q268"/>
  <c r="O268"/>
  <c r="P267"/>
  <c r="O267"/>
  <c r="P266"/>
  <c r="Q266" s="1"/>
  <c r="O265"/>
  <c r="L269"/>
  <c r="L268"/>
  <c r="M267"/>
  <c r="N267" s="1"/>
  <c r="L267"/>
  <c r="M266"/>
  <c r="N265"/>
  <c r="L265"/>
  <c r="I269"/>
  <c r="K268"/>
  <c r="I268"/>
  <c r="J267"/>
  <c r="I267"/>
  <c r="J266"/>
  <c r="I266"/>
  <c r="I265"/>
  <c r="H265"/>
  <c r="K265" s="1"/>
  <c r="N268"/>
  <c r="H268"/>
  <c r="K275"/>
  <c r="K277"/>
  <c r="K276"/>
  <c r="I275"/>
  <c r="H275"/>
  <c r="H269"/>
  <c r="Q274"/>
  <c r="K270"/>
  <c r="K274"/>
  <c r="I271"/>
  <c r="I272"/>
  <c r="O263"/>
  <c r="O262"/>
  <c r="Q262" s="1"/>
  <c r="O261"/>
  <c r="O259"/>
  <c r="Q259" s="1"/>
  <c r="L263"/>
  <c r="L262"/>
  <c r="N262" s="1"/>
  <c r="L261"/>
  <c r="L259"/>
  <c r="N259" s="1"/>
  <c r="I263"/>
  <c r="I262"/>
  <c r="I261"/>
  <c r="I259"/>
  <c r="H259"/>
  <c r="H261"/>
  <c r="H262"/>
  <c r="K262" s="1"/>
  <c r="H263"/>
  <c r="L252"/>
  <c r="L250"/>
  <c r="P254"/>
  <c r="Q254" s="1"/>
  <c r="O254"/>
  <c r="P253"/>
  <c r="O253"/>
  <c r="P252"/>
  <c r="Q252" s="1"/>
  <c r="O252"/>
  <c r="P251"/>
  <c r="O251"/>
  <c r="P250"/>
  <c r="Q250" s="1"/>
  <c r="O250"/>
  <c r="L254"/>
  <c r="L253" s="1"/>
  <c r="N253" s="1"/>
  <c r="N252"/>
  <c r="L251"/>
  <c r="N250"/>
  <c r="J254"/>
  <c r="I254"/>
  <c r="J253"/>
  <c r="K253" s="1"/>
  <c r="I253"/>
  <c r="J252"/>
  <c r="I252"/>
  <c r="J251"/>
  <c r="K251" s="1"/>
  <c r="I251"/>
  <c r="J250"/>
  <c r="I250"/>
  <c r="H250"/>
  <c r="H251"/>
  <c r="H252"/>
  <c r="H253"/>
  <c r="H254"/>
  <c r="K254" s="1"/>
  <c r="N254"/>
  <c r="K256"/>
  <c r="K255"/>
  <c r="Q356"/>
  <c r="Q355"/>
  <c r="Q354"/>
  <c r="Q353"/>
  <c r="Q351"/>
  <c r="Q350"/>
  <c r="Q349"/>
  <c r="Q347"/>
  <c r="Q346"/>
  <c r="Q345"/>
  <c r="Q344"/>
  <c r="Q342"/>
  <c r="Q341"/>
  <c r="Q339"/>
  <c r="Q336"/>
  <c r="Q335"/>
  <c r="Q334"/>
  <c r="Q333"/>
  <c r="Q332"/>
  <c r="Q331"/>
  <c r="Q330"/>
  <c r="Q329"/>
  <c r="Q327"/>
  <c r="Q325"/>
  <c r="Q324"/>
  <c r="Q323"/>
  <c r="Q322"/>
  <c r="Q319"/>
  <c r="Q318"/>
  <c r="Q316"/>
  <c r="Q311"/>
  <c r="Q310"/>
  <c r="Q309"/>
  <c r="Q308"/>
  <c r="Q307"/>
  <c r="Q306"/>
  <c r="Q305"/>
  <c r="Q304"/>
  <c r="Q303"/>
  <c r="Q302"/>
  <c r="Q301"/>
  <c r="Q300"/>
  <c r="Q297"/>
  <c r="Q295"/>
  <c r="Q292"/>
  <c r="Q290"/>
  <c r="Q289"/>
  <c r="Q288"/>
  <c r="Q287"/>
  <c r="Q286"/>
  <c r="Q285"/>
  <c r="Q284"/>
  <c r="Q283"/>
  <c r="Q282"/>
  <c r="Q281"/>
  <c r="Q280"/>
  <c r="Q279"/>
  <c r="Q278"/>
  <c r="Q277"/>
  <c r="Q276"/>
  <c r="Q275"/>
  <c r="Q273"/>
  <c r="Q272"/>
  <c r="Q271"/>
  <c r="Q270"/>
  <c r="Q267"/>
  <c r="Q265"/>
  <c r="Q264"/>
  <c r="Q263"/>
  <c r="Q261"/>
  <c r="Q258"/>
  <c r="Q257"/>
  <c r="Q256"/>
  <c r="Q255"/>
  <c r="Q253"/>
  <c r="Q251"/>
  <c r="Q249"/>
  <c r="Q248"/>
  <c r="Q247"/>
  <c r="Q246"/>
  <c r="Q245"/>
  <c r="Q244"/>
  <c r="Q239"/>
  <c r="N356"/>
  <c r="N355"/>
  <c r="N354"/>
  <c r="N353"/>
  <c r="N352"/>
  <c r="N347"/>
  <c r="N346"/>
  <c r="N345"/>
  <c r="N343"/>
  <c r="N338"/>
  <c r="N335"/>
  <c r="N334"/>
  <c r="N333"/>
  <c r="N332"/>
  <c r="N331"/>
  <c r="N330"/>
  <c r="N328"/>
  <c r="N326"/>
  <c r="N317"/>
  <c r="N313"/>
  <c r="N310"/>
  <c r="N309"/>
  <c r="N308"/>
  <c r="N307"/>
  <c r="N306"/>
  <c r="N305"/>
  <c r="N304"/>
  <c r="N303"/>
  <c r="N302"/>
  <c r="N301"/>
  <c r="N300"/>
  <c r="N297"/>
  <c r="N274"/>
  <c r="N272"/>
  <c r="N271"/>
  <c r="N270"/>
  <c r="N269"/>
  <c r="N266"/>
  <c r="N264"/>
  <c r="N263"/>
  <c r="N261"/>
  <c r="N258"/>
  <c r="N257"/>
  <c r="N256"/>
  <c r="N251"/>
  <c r="N249"/>
  <c r="N248"/>
  <c r="N247"/>
  <c r="N246"/>
  <c r="N245"/>
  <c r="N239"/>
  <c r="K356"/>
  <c r="K355"/>
  <c r="K354"/>
  <c r="K353"/>
  <c r="K351"/>
  <c r="K349"/>
  <c r="K347"/>
  <c r="K346"/>
  <c r="K345"/>
  <c r="K343"/>
  <c r="K342"/>
  <c r="K341"/>
  <c r="K340"/>
  <c r="K339"/>
  <c r="K338"/>
  <c r="K336"/>
  <c r="K335"/>
  <c r="K334"/>
  <c r="K332"/>
  <c r="K331"/>
  <c r="K330"/>
  <c r="K327"/>
  <c r="K326"/>
  <c r="K325"/>
  <c r="K323"/>
  <c r="K322"/>
  <c r="K319"/>
  <c r="K318"/>
  <c r="K317"/>
  <c r="K316"/>
  <c r="K314"/>
  <c r="K313"/>
  <c r="K311"/>
  <c r="K310"/>
  <c r="K309"/>
  <c r="K308"/>
  <c r="K307"/>
  <c r="K306"/>
  <c r="K305"/>
  <c r="K304"/>
  <c r="K303"/>
  <c r="K302"/>
  <c r="K301"/>
  <c r="K299"/>
  <c r="K296"/>
  <c r="K295"/>
  <c r="K293"/>
  <c r="K289"/>
  <c r="K288"/>
  <c r="K287"/>
  <c r="K286"/>
  <c r="K285"/>
  <c r="K284"/>
  <c r="K283"/>
  <c r="K282"/>
  <c r="K281"/>
  <c r="K280"/>
  <c r="K279"/>
  <c r="K278"/>
  <c r="K273"/>
  <c r="K272"/>
  <c r="K271"/>
  <c r="K266"/>
  <c r="K264"/>
  <c r="K263"/>
  <c r="K261"/>
  <c r="K259"/>
  <c r="K258"/>
  <c r="K257"/>
  <c r="K252"/>
  <c r="K250"/>
  <c r="K249"/>
  <c r="I256"/>
  <c r="I257"/>
  <c r="I345"/>
  <c r="I346"/>
  <c r="L348" l="1"/>
  <c r="N348" s="1"/>
  <c r="O348"/>
  <c r="Q348" s="1"/>
  <c r="I348"/>
  <c r="H348"/>
  <c r="K348" s="1"/>
  <c r="N349"/>
  <c r="Q352"/>
  <c r="N351"/>
  <c r="Q315"/>
  <c r="M314"/>
  <c r="N314" s="1"/>
  <c r="K315"/>
  <c r="K321"/>
  <c r="K320" s="1"/>
  <c r="Q293"/>
  <c r="K269"/>
  <c r="Q240" l="1"/>
  <c r="N240"/>
  <c r="K240"/>
  <c r="K239"/>
  <c r="Q243"/>
  <c r="O243"/>
  <c r="Q242"/>
  <c r="O242"/>
  <c r="O241"/>
  <c r="O240"/>
  <c r="O239"/>
  <c r="L243"/>
  <c r="N242"/>
  <c r="L242"/>
  <c r="L241"/>
  <c r="L240"/>
  <c r="L239"/>
  <c r="I243"/>
  <c r="I242"/>
  <c r="I241"/>
  <c r="I240"/>
  <c r="I239"/>
  <c r="H241"/>
  <c r="H239"/>
  <c r="H240"/>
  <c r="H242"/>
  <c r="K243"/>
  <c r="K241"/>
  <c r="K245"/>
  <c r="K246"/>
  <c r="K247"/>
  <c r="K248"/>
  <c r="K244"/>
  <c r="H243"/>
  <c r="I333"/>
  <c r="I248"/>
  <c r="I245"/>
  <c r="I371"/>
  <c r="I103"/>
  <c r="H89"/>
  <c r="J93"/>
  <c r="J90"/>
  <c r="I48"/>
  <c r="L11"/>
  <c r="K17"/>
  <c r="K12"/>
  <c r="P10"/>
  <c r="O10"/>
  <c r="M11"/>
  <c r="M10"/>
  <c r="L10"/>
  <c r="J10"/>
  <c r="I10"/>
  <c r="H10"/>
  <c r="Q218"/>
  <c r="O218"/>
  <c r="O217"/>
  <c r="P216"/>
  <c r="Q216" s="1"/>
  <c r="O216"/>
  <c r="P215"/>
  <c r="O215"/>
  <c r="Q214"/>
  <c r="O214"/>
  <c r="L218"/>
  <c r="N217"/>
  <c r="L217"/>
  <c r="N215"/>
  <c r="L215"/>
  <c r="L214"/>
  <c r="N214" s="1"/>
  <c r="J216"/>
  <c r="J215"/>
  <c r="I218"/>
  <c r="I217"/>
  <c r="I216"/>
  <c r="I215"/>
  <c r="I214" s="1"/>
  <c r="H214"/>
  <c r="K214" s="1"/>
  <c r="H215"/>
  <c r="H216"/>
  <c r="H217"/>
  <c r="H218"/>
  <c r="Q230"/>
  <c r="Q229"/>
  <c r="Q228"/>
  <c r="Q227"/>
  <c r="Q226"/>
  <c r="Q225"/>
  <c r="Q224"/>
  <c r="Q223"/>
  <c r="Q222"/>
  <c r="Q221"/>
  <c r="Q220"/>
  <c r="Q219"/>
  <c r="Q217"/>
  <c r="Q215"/>
  <c r="N229"/>
  <c r="N228"/>
  <c r="N226"/>
  <c r="N225"/>
  <c r="N224"/>
  <c r="N223"/>
  <c r="N220"/>
  <c r="N219"/>
  <c r="N218"/>
  <c r="I228"/>
  <c r="I225"/>
  <c r="I226"/>
  <c r="I223"/>
  <c r="I219"/>
  <c r="I220"/>
  <c r="I209"/>
  <c r="I201" s="1"/>
  <c r="I212"/>
  <c r="I213"/>
  <c r="I199"/>
  <c r="H194"/>
  <c r="M194"/>
  <c r="M192" s="1"/>
  <c r="O196"/>
  <c r="O195"/>
  <c r="P194"/>
  <c r="O194"/>
  <c r="P192"/>
  <c r="O192"/>
  <c r="L196"/>
  <c r="L195"/>
  <c r="L194"/>
  <c r="L192"/>
  <c r="I196"/>
  <c r="I195"/>
  <c r="J194"/>
  <c r="J192"/>
  <c r="K192" s="1"/>
  <c r="H192"/>
  <c r="H195"/>
  <c r="K196"/>
  <c r="O201"/>
  <c r="N201"/>
  <c r="Q196"/>
  <c r="N196"/>
  <c r="H196"/>
  <c r="O199"/>
  <c r="L199"/>
  <c r="Q199"/>
  <c r="N199"/>
  <c r="H199"/>
  <c r="M201"/>
  <c r="K201"/>
  <c r="K165"/>
  <c r="N165"/>
  <c r="I208"/>
  <c r="I206"/>
  <c r="L201"/>
  <c r="H201"/>
  <c r="P202"/>
  <c r="Q202" s="1"/>
  <c r="O202"/>
  <c r="M202"/>
  <c r="N202" s="1"/>
  <c r="L202"/>
  <c r="J202"/>
  <c r="J201" s="1"/>
  <c r="I202"/>
  <c r="H202"/>
  <c r="O209"/>
  <c r="L209"/>
  <c r="H209"/>
  <c r="O212"/>
  <c r="L212"/>
  <c r="H212"/>
  <c r="O187"/>
  <c r="I187"/>
  <c r="P187"/>
  <c r="P186" s="1"/>
  <c r="P185" s="1"/>
  <c r="P183" s="1"/>
  <c r="O186"/>
  <c r="O185"/>
  <c r="O11" s="1"/>
  <c r="L187"/>
  <c r="L186"/>
  <c r="L185"/>
  <c r="L183"/>
  <c r="J187"/>
  <c r="J186" s="1"/>
  <c r="J185" s="1"/>
  <c r="J183" s="1"/>
  <c r="I186"/>
  <c r="I185"/>
  <c r="I183" s="1"/>
  <c r="H185"/>
  <c r="H183" s="1"/>
  <c r="H186"/>
  <c r="H187"/>
  <c r="I177"/>
  <c r="I178"/>
  <c r="L167"/>
  <c r="L165" s="1"/>
  <c r="Q169"/>
  <c r="Q168" s="1"/>
  <c r="Q167" s="1"/>
  <c r="Q165" s="1"/>
  <c r="P169"/>
  <c r="P168" s="1"/>
  <c r="O169"/>
  <c r="O168" s="1"/>
  <c r="O167" s="1"/>
  <c r="O165" s="1"/>
  <c r="N169"/>
  <c r="N168" s="1"/>
  <c r="N167" s="1"/>
  <c r="L169"/>
  <c r="L168" s="1"/>
  <c r="J169"/>
  <c r="J168" s="1"/>
  <c r="I169"/>
  <c r="I168" s="1"/>
  <c r="I167" s="1"/>
  <c r="I165" s="1"/>
  <c r="O178"/>
  <c r="O177"/>
  <c r="H178"/>
  <c r="J178"/>
  <c r="J177" s="1"/>
  <c r="H177"/>
  <c r="H168"/>
  <c r="H167" s="1"/>
  <c r="H165" s="1"/>
  <c r="H169"/>
  <c r="I161"/>
  <c r="I148" s="1"/>
  <c r="I159"/>
  <c r="I145"/>
  <c r="I144" s="1"/>
  <c r="I157"/>
  <c r="I155"/>
  <c r="I163"/>
  <c r="I151"/>
  <c r="I153"/>
  <c r="I149"/>
  <c r="O148"/>
  <c r="O147"/>
  <c r="O145"/>
  <c r="O144" s="1"/>
  <c r="L148"/>
  <c r="L147"/>
  <c r="L145"/>
  <c r="L144"/>
  <c r="K147"/>
  <c r="H144"/>
  <c r="K144" s="1"/>
  <c r="H145"/>
  <c r="H147"/>
  <c r="H148"/>
  <c r="P142"/>
  <c r="O142"/>
  <c r="P141"/>
  <c r="O141"/>
  <c r="P140"/>
  <c r="O140"/>
  <c r="P138"/>
  <c r="O138"/>
  <c r="J142"/>
  <c r="I142"/>
  <c r="J141"/>
  <c r="I141"/>
  <c r="J140"/>
  <c r="I140"/>
  <c r="J138"/>
  <c r="I138"/>
  <c r="H138"/>
  <c r="H140"/>
  <c r="H141"/>
  <c r="H142"/>
  <c r="O134"/>
  <c r="J130"/>
  <c r="P130"/>
  <c r="I132"/>
  <c r="I130" s="1"/>
  <c r="J132"/>
  <c r="K132"/>
  <c r="K130" s="1"/>
  <c r="O132"/>
  <c r="O130" s="1"/>
  <c r="P132"/>
  <c r="Q132"/>
  <c r="Q130" s="1"/>
  <c r="I133"/>
  <c r="J133"/>
  <c r="K133"/>
  <c r="O133"/>
  <c r="P133"/>
  <c r="Q133"/>
  <c r="I134"/>
  <c r="J134"/>
  <c r="K134"/>
  <c r="P134"/>
  <c r="Q134"/>
  <c r="H130"/>
  <c r="H132"/>
  <c r="H133"/>
  <c r="H134"/>
  <c r="I118"/>
  <c r="I120"/>
  <c r="I121"/>
  <c r="I122"/>
  <c r="H118"/>
  <c r="H120"/>
  <c r="H121"/>
  <c r="H122"/>
  <c r="K122" s="1"/>
  <c r="K123"/>
  <c r="O9" l="1"/>
  <c r="P11"/>
  <c r="P9" s="1"/>
  <c r="Q9" s="1"/>
  <c r="H11"/>
  <c r="H9" s="1"/>
  <c r="K9" s="1"/>
  <c r="O183"/>
  <c r="J11"/>
  <c r="J9" s="1"/>
  <c r="N237"/>
  <c r="Q241"/>
  <c r="N238"/>
  <c r="N243"/>
  <c r="N241"/>
  <c r="K237"/>
  <c r="K242"/>
  <c r="Q238"/>
  <c r="Q237"/>
  <c r="Q236"/>
  <c r="L9"/>
  <c r="M9"/>
  <c r="N11"/>
  <c r="K10"/>
  <c r="N10"/>
  <c r="Q10"/>
  <c r="I194"/>
  <c r="I192" s="1"/>
  <c r="P201"/>
  <c r="Q201" s="1"/>
  <c r="P167"/>
  <c r="P165" s="1"/>
  <c r="J167"/>
  <c r="J165" s="1"/>
  <c r="I147"/>
  <c r="Q11" l="1"/>
  <c r="K11"/>
  <c r="N236"/>
  <c r="K236"/>
  <c r="K238"/>
  <c r="N9"/>
  <c r="Q94" l="1"/>
  <c r="Q95"/>
  <c r="Q97"/>
  <c r="Q98"/>
  <c r="Q90" s="1"/>
  <c r="Q99"/>
  <c r="Q100"/>
  <c r="Q101"/>
  <c r="Q102"/>
  <c r="N96"/>
  <c r="N97"/>
  <c r="N98"/>
  <c r="N90" s="1"/>
  <c r="N94"/>
  <c r="K98"/>
  <c r="K95"/>
  <c r="K94"/>
  <c r="M90"/>
  <c r="O90"/>
  <c r="P90"/>
  <c r="L91"/>
  <c r="M91"/>
  <c r="O91"/>
  <c r="O89" s="1"/>
  <c r="P91"/>
  <c r="P89" s="1"/>
  <c r="L93"/>
  <c r="L92" s="1"/>
  <c r="O93"/>
  <c r="O92" s="1"/>
  <c r="P93"/>
  <c r="P92" s="1"/>
  <c r="I90"/>
  <c r="I91"/>
  <c r="J91"/>
  <c r="I93"/>
  <c r="I92" s="1"/>
  <c r="J92"/>
  <c r="H91"/>
  <c r="H90"/>
  <c r="H92"/>
  <c r="H103"/>
  <c r="H93"/>
  <c r="I83"/>
  <c r="K83"/>
  <c r="O83"/>
  <c r="Q83"/>
  <c r="I85"/>
  <c r="K85"/>
  <c r="L85"/>
  <c r="L83" s="1"/>
  <c r="N85"/>
  <c r="N83" s="1"/>
  <c r="O85"/>
  <c r="Q85"/>
  <c r="I86"/>
  <c r="K86"/>
  <c r="L86"/>
  <c r="N86"/>
  <c r="O86"/>
  <c r="Q86"/>
  <c r="I87"/>
  <c r="K87"/>
  <c r="L87"/>
  <c r="N87"/>
  <c r="O87"/>
  <c r="Q87"/>
  <c r="H83"/>
  <c r="H85"/>
  <c r="H86"/>
  <c r="H87"/>
  <c r="I88"/>
  <c r="K113"/>
  <c r="I100"/>
  <c r="I203"/>
  <c r="I97"/>
  <c r="I98"/>
  <c r="I94"/>
  <c r="Q82"/>
  <c r="Q54"/>
  <c r="Q49" s="1"/>
  <c r="Q48" s="1"/>
  <c r="Q55"/>
  <c r="Q56"/>
  <c r="Q51" s="1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53"/>
  <c r="I81"/>
  <c r="I63"/>
  <c r="I64"/>
  <c r="I65"/>
  <c r="I224"/>
  <c r="I207"/>
  <c r="I78"/>
  <c r="I79"/>
  <c r="I72"/>
  <c r="I73"/>
  <c r="I82"/>
  <c r="I49" s="1"/>
  <c r="K77"/>
  <c r="I75"/>
  <c r="I76"/>
  <c r="I204"/>
  <c r="I205"/>
  <c r="I68"/>
  <c r="I69"/>
  <c r="I66"/>
  <c r="I67"/>
  <c r="I61"/>
  <c r="I62"/>
  <c r="I58"/>
  <c r="I59"/>
  <c r="I56"/>
  <c r="I57"/>
  <c r="I53"/>
  <c r="I52" s="1"/>
  <c r="I54"/>
  <c r="I51"/>
  <c r="K61"/>
  <c r="K60"/>
  <c r="K58"/>
  <c r="J49"/>
  <c r="L49"/>
  <c r="N49"/>
  <c r="O49"/>
  <c r="P49"/>
  <c r="J50"/>
  <c r="L50"/>
  <c r="N50"/>
  <c r="O50"/>
  <c r="P50"/>
  <c r="Q50"/>
  <c r="J51"/>
  <c r="L51"/>
  <c r="N51"/>
  <c r="O51"/>
  <c r="P51"/>
  <c r="J52"/>
  <c r="L52"/>
  <c r="N52"/>
  <c r="O52"/>
  <c r="P52"/>
  <c r="Q52"/>
  <c r="I50"/>
  <c r="H52"/>
  <c r="H51"/>
  <c r="H50"/>
  <c r="H49"/>
  <c r="H48"/>
  <c r="O16"/>
  <c r="Q22"/>
  <c r="N18"/>
  <c r="N20"/>
  <c r="N25"/>
  <c r="N26"/>
  <c r="N27"/>
  <c r="N28"/>
  <c r="N29"/>
  <c r="N30"/>
  <c r="N31"/>
  <c r="N32"/>
  <c r="N33"/>
  <c r="N35"/>
  <c r="N36"/>
  <c r="Q18"/>
  <c r="Q17"/>
  <c r="Q31"/>
  <c r="I89" l="1"/>
  <c r="I11"/>
  <c r="I9" s="1"/>
  <c r="Q91"/>
  <c r="Q89" s="1"/>
  <c r="N91"/>
  <c r="N89" s="1"/>
  <c r="L89"/>
  <c r="Q93"/>
  <c r="Q92" s="1"/>
  <c r="N93"/>
  <c r="N92" s="1"/>
  <c r="J89"/>
  <c r="P48"/>
  <c r="O48"/>
  <c r="N48"/>
  <c r="L48"/>
  <c r="J48"/>
  <c r="Q23"/>
  <c r="Q20"/>
  <c r="P16"/>
  <c r="Q47"/>
  <c r="Q46"/>
  <c r="Q45"/>
  <c r="Q44"/>
  <c r="Q43"/>
  <c r="Q42"/>
  <c r="Q41"/>
  <c r="Q40"/>
  <c r="Q39"/>
  <c r="Q38"/>
  <c r="Q37"/>
  <c r="Q36"/>
  <c r="Q34"/>
  <c r="Q33"/>
  <c r="Q32"/>
  <c r="Q30"/>
  <c r="Q29"/>
  <c r="Q28"/>
  <c r="Q27"/>
  <c r="Q26"/>
  <c r="Q25"/>
  <c r="Q24"/>
  <c r="Q21"/>
  <c r="Q19"/>
  <c r="I12"/>
  <c r="J12"/>
  <c r="H12"/>
  <c r="L36"/>
  <c r="I36"/>
  <c r="H36"/>
  <c r="I37"/>
  <c r="J13"/>
  <c r="K18"/>
  <c r="I29"/>
  <c r="I32"/>
  <c r="I31"/>
  <c r="I28"/>
  <c r="I26"/>
  <c r="I33"/>
  <c r="I25"/>
  <c r="I27"/>
  <c r="I30"/>
  <c r="I20" l="1"/>
  <c r="I189"/>
  <c r="I13"/>
  <c r="I18"/>
  <c r="Q13"/>
  <c r="O13"/>
  <c r="L13"/>
  <c r="Q14"/>
  <c r="P14"/>
  <c r="P12" s="1"/>
  <c r="O14"/>
  <c r="O12" s="1"/>
  <c r="N14"/>
  <c r="L14"/>
  <c r="L12" s="1"/>
  <c r="J14"/>
  <c r="I14"/>
  <c r="H14"/>
  <c r="Q15"/>
  <c r="P15"/>
  <c r="O15"/>
  <c r="N15"/>
  <c r="L15"/>
  <c r="J15"/>
  <c r="H15"/>
  <c r="J16"/>
  <c r="K230"/>
  <c r="K229"/>
  <c r="K228"/>
  <c r="K227"/>
  <c r="K226"/>
  <c r="K225"/>
  <c r="K224"/>
  <c r="K223"/>
  <c r="K222"/>
  <c r="K221"/>
  <c r="K220"/>
  <c r="K219"/>
  <c r="K218"/>
  <c r="K217"/>
  <c r="K216"/>
  <c r="K215"/>
  <c r="K213"/>
  <c r="K212"/>
  <c r="K211"/>
  <c r="K210"/>
  <c r="K209"/>
  <c r="K208"/>
  <c r="K207"/>
  <c r="K206"/>
  <c r="K205"/>
  <c r="K204"/>
  <c r="K203"/>
  <c r="K202"/>
  <c r="K198"/>
  <c r="K197"/>
  <c r="K195"/>
  <c r="K194"/>
  <c r="K191"/>
  <c r="K190"/>
  <c r="K189"/>
  <c r="K188"/>
  <c r="K187"/>
  <c r="K186"/>
  <c r="K185"/>
  <c r="K183"/>
  <c r="K182"/>
  <c r="K180"/>
  <c r="K179"/>
  <c r="K178"/>
  <c r="K177"/>
  <c r="K167" s="1"/>
  <c r="K176"/>
  <c r="K175"/>
  <c r="K173"/>
  <c r="K172"/>
  <c r="K171"/>
  <c r="K169" s="1"/>
  <c r="K168" s="1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5"/>
  <c r="K135"/>
  <c r="K129"/>
  <c r="K128"/>
  <c r="K127"/>
  <c r="K126"/>
  <c r="K124"/>
  <c r="K121"/>
  <c r="K120"/>
  <c r="K118"/>
  <c r="K117"/>
  <c r="K116"/>
  <c r="K115"/>
  <c r="K114"/>
  <c r="K112"/>
  <c r="K111"/>
  <c r="K110"/>
  <c r="K109"/>
  <c r="K108"/>
  <c r="K107"/>
  <c r="K106"/>
  <c r="K105"/>
  <c r="K104"/>
  <c r="K103"/>
  <c r="K102"/>
  <c r="K100"/>
  <c r="K99"/>
  <c r="K90"/>
  <c r="K97"/>
  <c r="K96"/>
  <c r="K88"/>
  <c r="K82"/>
  <c r="K81"/>
  <c r="K80"/>
  <c r="K79"/>
  <c r="K78"/>
  <c r="K76"/>
  <c r="K75"/>
  <c r="K74"/>
  <c r="K73"/>
  <c r="K72"/>
  <c r="K71"/>
  <c r="K70"/>
  <c r="K69"/>
  <c r="K68"/>
  <c r="K67"/>
  <c r="K66"/>
  <c r="K65"/>
  <c r="K64"/>
  <c r="K63"/>
  <c r="K62"/>
  <c r="K59"/>
  <c r="K57"/>
  <c r="K56"/>
  <c r="K55"/>
  <c r="K54"/>
  <c r="K53"/>
  <c r="K47"/>
  <c r="K46"/>
  <c r="K45"/>
  <c r="K44"/>
  <c r="K43"/>
  <c r="K42"/>
  <c r="K41"/>
  <c r="K40"/>
  <c r="K39"/>
  <c r="K38"/>
  <c r="K37"/>
  <c r="K13" s="1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O36"/>
  <c r="K91" l="1"/>
  <c r="K89" s="1"/>
  <c r="K93"/>
  <c r="K92" s="1"/>
  <c r="K50"/>
  <c r="K49"/>
  <c r="K51"/>
  <c r="K52"/>
  <c r="N12"/>
  <c r="Q12"/>
  <c r="K16"/>
  <c r="K15"/>
  <c r="K14"/>
  <c r="I15"/>
  <c r="K48" l="1"/>
  <c r="I16"/>
  <c r="Q16" l="1"/>
  <c r="N16"/>
  <c r="L16"/>
</calcChain>
</file>

<file path=xl/sharedStrings.xml><?xml version="1.0" encoding="utf-8"?>
<sst xmlns="http://schemas.openxmlformats.org/spreadsheetml/2006/main" count="1895" uniqueCount="315">
  <si>
    <t/>
  </si>
  <si>
    <t>Предлагаемые изменения в областную адресную инвестиционную программу на 2021 год и на плановый период 2022 и 2023 годов</t>
  </si>
  <si>
    <t>Наименование объекта капитального строительства (объекта недвижимого имущества, мероприятия) с указанием направления инвестирования</t>
  </si>
  <si>
    <t>Код федераль-ного проекта</t>
  </si>
  <si>
    <t>в рамках
дорож-
ного фонда (ДФ)</t>
  </si>
  <si>
    <t>Прогнозная мощность (прогнозный прирост мощности)</t>
  </si>
  <si>
    <t>Наименование заказчика по объектам государственной (муниципальной) собственности</t>
  </si>
  <si>
    <t>Прогнозный срок (начало / окончание)</t>
  </si>
  <si>
    <t>2021 год</t>
  </si>
  <si>
    <t>Предлагаемые изменения</t>
  </si>
  <si>
    <t>Сумма с учетом изменений</t>
  </si>
  <si>
    <t>в том числе</t>
  </si>
  <si>
    <t>средства федерального бюджета и прочие целевые средства</t>
  </si>
  <si>
    <t>средства областного бюджета</t>
  </si>
  <si>
    <t>1</t>
  </si>
  <si>
    <t>2</t>
  </si>
  <si>
    <t>3</t>
  </si>
  <si>
    <t>4</t>
  </si>
  <si>
    <t>5</t>
  </si>
  <si>
    <t>6</t>
  </si>
  <si>
    <t>ВСЕГО по областной адресной инвестиционной программе, в том числе:</t>
  </si>
  <si>
    <t>по федеральным проектам</t>
  </si>
  <si>
    <t>вне рамок федеральных проектов</t>
  </si>
  <si>
    <t>Государственная программа Архангельской области "Развитие здравоохранения Архангельской области"</t>
  </si>
  <si>
    <t>Подпрограмма "Совершенствование системы территориального планирования Архангельской области"</t>
  </si>
  <si>
    <t>Министерство строительства и архитектуры Архангельской области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</si>
  <si>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</si>
  <si>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-</t>
  </si>
  <si>
    <t>298 посещений в смену</t>
  </si>
  <si>
    <t>государственное казенное учреждение Архангельской области "Главное управление капитального строительства"</t>
  </si>
  <si>
    <t>2015/2022</t>
  </si>
  <si>
    <t>Поликлиника для детского населения в г. Котлас. Строительство</t>
  </si>
  <si>
    <t>400 посещений, 20 коек</t>
  </si>
  <si>
    <t>2021/2024</t>
  </si>
  <si>
    <t>Приобретение здания фельдшерско-акушерского пункта в пос. Зеленый Бор Вельского района Архангельской области</t>
  </si>
  <si>
    <t>20 посещений в смену</t>
  </si>
  <si>
    <t>2020/2021</t>
  </si>
  <si>
    <t>Приобретение фельдшерско-акушерского пункта в пос. Лайский Док Приморского района Архангельской области</t>
  </si>
  <si>
    <t>2021</t>
  </si>
  <si>
    <t>Проектирование и строительство  фельдшерско-акушерского пункта в дер. Патровская Каргопольского района Архангельской области</t>
  </si>
  <si>
    <t>2022/2022</t>
  </si>
  <si>
    <t>Проектирование и строительство больницы в пос. Березник Виноградовского района Архангельской области</t>
  </si>
  <si>
    <t>45 коек</t>
  </si>
  <si>
    <t>2015/2021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</si>
  <si>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</si>
  <si>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50 посещений в смену</t>
  </si>
  <si>
    <t>2021/2022</t>
  </si>
  <si>
    <t>Проектирование и строительство здания патологоанатомического отделения с патогистологической лабораторией ГБУЗ АО "Няндомская центральная районная больница"</t>
  </si>
  <si>
    <t>3 – 4 трупа в сутки</t>
  </si>
  <si>
    <t>2021/2023</t>
  </si>
  <si>
    <t>Проектирование и строительство фельдшерско-акушерского пункта в дер. Бычье Мезенского района Архангельской области</t>
  </si>
  <si>
    <t>Проектирование и строительство фельдшерско-акушерского пункта в дер. Гридино Няндомского района Архангельской области</t>
  </si>
  <si>
    <t>Проектирование и строительство фельдшерско-акушерского пункта в дер. Кощеевская Коношского района Архангельской области</t>
  </si>
  <si>
    <t>Проектирование и строительство фельдшерско-акушерского пункта в дер. Нагорская Устьянского района Архангельской области</t>
  </si>
  <si>
    <t>Проектирование и строительство фельдшерско-акушерского пункта в дер. Никифоровская Шенкурского района Архангельской области</t>
  </si>
  <si>
    <t>Проектирование и строительство фельдшерско-акушерского пункта в дер. Шиловская Вельского района Архангельской области</t>
  </si>
  <si>
    <t>Проектирование и строительство фельдшерско-акушерского пункта в пос. Квазеньга Устьянского района Архангельской области</t>
  </si>
  <si>
    <t>Проектирование и строительство фельдшерско-акушерского пункта в пос. Советский Устьянского района Архангельской области</t>
  </si>
  <si>
    <t>Проектирование и строительство фельдшерско-акушерского пункта в с. Койда Мезенского района Архангельской области</t>
  </si>
  <si>
    <t>Строительство больницы на 15 коек с поликлиникой на 100 посещений, Обозерский филиал ГБУЗ АО "Плесецкая ЦРБ"</t>
  </si>
  <si>
    <t>15 коек</t>
  </si>
  <si>
    <t>2017/2020</t>
  </si>
  <si>
    <t>Строительство больницы на 16 стационарных коек и 7 коек дневного стационара в пос. Урдома Ленского района</t>
  </si>
  <si>
    <t>16 коек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</si>
  <si>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 Выжлецова"</t>
  </si>
  <si>
    <t>70 коек</t>
  </si>
  <si>
    <t>2011/2022</t>
  </si>
  <si>
    <t>Федеральный проект "Развитие детского здравоохранения, включая создание современной инфраструктуры оказания медицинской помощи детям"</t>
  </si>
  <si>
    <t>N4</t>
  </si>
  <si>
    <t>вне рамок федерального проекта</t>
  </si>
  <si>
    <t>Фельдшерско-акушерский пункт в дер. Копачево Холмогорского района Архангельской области</t>
  </si>
  <si>
    <t>2019/2020</t>
  </si>
  <si>
    <t>Фельдшерско-акушерский пункт в дер. Никольская Шенкурского района Архангельской области</t>
  </si>
  <si>
    <t>Фельдшерско-акушерский пункт в дер. Осташевская Коношского района Архангельской области</t>
  </si>
  <si>
    <t>Фельдшерско-акушерский пункт в дер. Федотовская Котласского района Архангельской области</t>
  </si>
  <si>
    <t>Фельдшерско-акушерский пункт в дер. Хомяковская Холмогорского района Архангельской области</t>
  </si>
  <si>
    <t>Фельдшерско-акушерский пункт в пос. Волошка Коношского района Архангельской области</t>
  </si>
  <si>
    <t>Фельдшерско-акушерский пункт в пос. Глубокий Устьянского района Архангельской области</t>
  </si>
  <si>
    <t>Фельдшерско-акушерский пункт в пос. Красная Верхнетоемского района Архангельской области</t>
  </si>
  <si>
    <t>Фельдшерско-акушерский пункт в с. Лена Ленского района Архангельской области</t>
  </si>
  <si>
    <t>Государственная программа Архангельской области "Развитие образования и науки Архангельской области"</t>
  </si>
  <si>
    <t>Подпрограмма "Строительство и капитальный ремонт объектов инфраструктуры системы образования в Архангельской области"</t>
  </si>
  <si>
    <t>Строительство детского сада на 120 мест в пос. Малошуйка Онежского района*</t>
  </si>
  <si>
    <t>120 мест</t>
  </si>
  <si>
    <t>администрация Онежского муниципального района Архангельской области</t>
  </si>
  <si>
    <t>2019/2021</t>
  </si>
  <si>
    <t>Федеральный проект "Содействие занятости"</t>
  </si>
  <si>
    <t>P2</t>
  </si>
  <si>
    <t>Строительство детского сада на 220 мест в г. Мезень Архангельской области*</t>
  </si>
  <si>
    <t>220 мест</t>
  </si>
  <si>
    <t>администрация Мезенского муниципального района Архангельской области</t>
  </si>
  <si>
    <t>Строительство детского сада на 220 мест в микрорайоне Южный г. Котласа*</t>
  </si>
  <si>
    <t>администрация городского округа Архангельской области "Котлас"</t>
  </si>
  <si>
    <t>Строительство детского сада на 220 мест в пос. Урдома Ленского района</t>
  </si>
  <si>
    <t>Строительство детского сада на 280 мест в 167 квартале города Северодвинска Архангельской области*</t>
  </si>
  <si>
    <t>280 мест</t>
  </si>
  <si>
    <t>администрация городского округа Архангельской области "Северодвинск"</t>
  </si>
  <si>
    <t>Строительство детского сада на 280 мест в 6 микрорайоне территориального округа Майская горка города Архангельска*</t>
  </si>
  <si>
    <t>администрация городского округа "Город Архангельск"</t>
  </si>
  <si>
    <t>2018/2021</t>
  </si>
  <si>
    <t>Строительство детского сада на 280 мест по ул. Первомайской территориального округа Майская горка г. Архангельска*</t>
  </si>
  <si>
    <t>Строительство детского сада на 60 мест в г. Няндома*</t>
  </si>
  <si>
    <t>60 мест</t>
  </si>
  <si>
    <t>администрация Няндомского муниципального района Архангельской области</t>
  </si>
  <si>
    <t>Строительство начальной общеобразовательной школы на 320 учащихся в с. Ильинско-Подомское Вилегодского района*</t>
  </si>
  <si>
    <t>320 мест</t>
  </si>
  <si>
    <t>администрация Вилегодского муниципального округа Архангельской области</t>
  </si>
  <si>
    <t>Строительство пристройки на 200 учащихся к зданию школы в пос. Приводино Котласского района</t>
  </si>
  <si>
    <t>200 мест</t>
  </si>
  <si>
    <t>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</si>
  <si>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250 мест</t>
  </si>
  <si>
    <t>администрация Шенкурского муниципального района Архангельской области</t>
  </si>
  <si>
    <t>2013/2021</t>
  </si>
  <si>
    <t>Федеральный проект "Современная школа"</t>
  </si>
  <si>
    <t>E1</t>
  </si>
  <si>
    <t>Строительство школы на 1 600 мест в территориальном округе Майская горка г. Архангельска*</t>
  </si>
  <si>
    <t>1 600 мест</t>
  </si>
  <si>
    <t>2020/2023</t>
  </si>
  <si>
    <t>Строительство школы на 860 мест в территориальном округе Варавино-Фактория г. Архангельска*</t>
  </si>
  <si>
    <t>860 мест</t>
  </si>
  <si>
    <t>Строительство школы на 90 учащихся в с. Долгощелье Мезенского района Архангельской области*</t>
  </si>
  <si>
    <t>90 мест</t>
  </si>
  <si>
    <t>Государственная программа Архангельской области "Культура Русского Севера"</t>
  </si>
  <si>
    <t>Министерство транспорта Архангельской области</t>
  </si>
  <si>
    <t>Реконструкция мостового перехода через реку Вага на км 2 + 067 автомобильной дороги Вельск – Шангалы</t>
  </si>
  <si>
    <t>ДФ</t>
  </si>
  <si>
    <t>протяженность дороги – 560 м, в том числе моста – 172,77 м</t>
  </si>
  <si>
    <t>государственное казенное учреждение Архангельской области "Дорожное агентство "Архангельскавтодор"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</si>
  <si>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</si>
  <si>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Подпрограмма "Создание условий для обеспечения доступным и комфортным жильем жителей Архангельской области"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</si>
  <si>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</si>
  <si>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жилых дома</t>
  </si>
  <si>
    <t>администрация городского округа Архангельской области "Мирный"</t>
  </si>
  <si>
    <t>2014/2021</t>
  </si>
  <si>
    <t>Строительство канализационного коллектора по ул. Красноармейской в г. Каргополе (от канализационной насосной станции № 2 ул. Ленинградская д. 63 стр. 1 до канализационной насосной станции ул. Ленина д. 38, стр. 1) Каргопольского района, Архангельской области</t>
  </si>
  <si>
    <t>протяженность сетей канализации – 1,3 км</t>
  </si>
  <si>
    <t>администрация Каргопольского муниципального округа Архангельской области</t>
  </si>
  <si>
    <t>Строительство канализационных очистных сооружений мощностью до 2 500 куб. м / сутки с трассами напорного коллектора в пос. Приводино Котласского района</t>
  </si>
  <si>
    <t>до 2 500 куб. м / сутки</t>
  </si>
  <si>
    <t>Строительство коллектора ливневой канализации с установкой для очистки ливневых стоков в районе Приморского бульвара в г. Северодвинске</t>
  </si>
  <si>
    <t>производительность 96 л/сек.</t>
  </si>
  <si>
    <t>Федеральный проект "Жилье"</t>
  </si>
  <si>
    <t>F1</t>
  </si>
  <si>
    <t>Строительство школы на 860 мест в г. Котласе*</t>
  </si>
  <si>
    <t>Министерство здравоохранения Архангельской области</t>
  </si>
  <si>
    <t>Приобретение жилых помещений для предоставления в качестве служебного жилья медицинским работникам</t>
  </si>
  <si>
    <t>государственное автономное учреждение здравоохранения Архангельской области "Вельская стоматологическая поликлиника"</t>
  </si>
  <si>
    <t>государственное автономное учреждение здравоохранения Архангельской области "Санаторий "Сольвычегодск"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</si>
  <si>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</si>
  <si>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государственное бюджетное учреждение здравоохранения Архангельской области "Вельская центральная районная больница"</t>
  </si>
  <si>
    <t>государственное бюджетное учреждение здравоохранения Архангельской области "Ильинская центральная районная больница"</t>
  </si>
  <si>
    <t>государственное бюджетное учреждение здравоохранения Архангельской области "Каргопольская центральная районная больница имени Н.Д. Кировой"</t>
  </si>
  <si>
    <t>государственное бюджетное учреждение здравоохранения Архангельской области "Мезенская центральная районная больница"</t>
  </si>
  <si>
    <t>государственное бюджетное учреждение здравоохранения Архангельской области "Новодвинская центральная городская больница"</t>
  </si>
  <si>
    <t>государственное бюджетное учреждение здравоохранения Архангельской области "Няндомская центральная районная больница"</t>
  </si>
  <si>
    <t>государственное бюджетное учреждение здравоохранения Архангельской области "Плесецкая центральная районная больница"</t>
  </si>
  <si>
    <t>государственное бюджетное учреждение здравоохранения Архангельской области "Приморская центральная районная больница"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</si>
  <si>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</si>
  <si>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государственное бюджетное учреждение здравоохранения Архангельской области "Устьянская центральная районная больница"</t>
  </si>
  <si>
    <t>государственное бюджетное учреждение здравоохранения Архангельской области "Шенкурская центральная районная больница им Н.Н. Приорова"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</si>
  <si>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</si>
  <si>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Подпрограмма "Профилактика преступлений и иных правонарушений в Архангельской области"</t>
  </si>
  <si>
    <t>Строительство здания специального учреждения УФМС в г. Архангельске</t>
  </si>
  <si>
    <t>31 человек</t>
  </si>
  <si>
    <t>2017/2021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</si>
  <si>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</si>
  <si>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Подпрограмма "Пожарная безопасность в Архангельской области"</t>
  </si>
  <si>
    <t>Строительство объекта «Пожарное депо ГКУ «ОГПС-21» на 4 автомашины в г. Сольвычегодске Котласского района</t>
  </si>
  <si>
    <t>4 автомобиля</t>
  </si>
  <si>
    <t>2013/2022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</si>
  <si>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</si>
  <si>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Подпрограмма "Развитие водохозяйственного комплекса Архангельской области"</t>
  </si>
  <si>
    <t>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стоимости, разработка рабочей документации и выполнение работ по укреплению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2 подэтап, и II этап)</t>
  </si>
  <si>
    <t>2021/2021</t>
  </si>
  <si>
    <t>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подэтап)</t>
  </si>
  <si>
    <t>0,85 км</t>
  </si>
  <si>
    <t>2011/2021</t>
  </si>
  <si>
    <t>Укрепление правого берега реки Северная Двина в Соломбальском территориальном округе г. Архангельска на участке от ул. Маяковского до ул. Кедрова (II этап)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</si>
  <si>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</si>
  <si>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Подпрограмма "Адресная поддержка муниципального образования "Ленский муниципальный район Архангельской области"</t>
  </si>
  <si>
    <t>Строительство начальной школы на 320 мест в с. Яренск</t>
  </si>
  <si>
    <t>Государственная программа Архангельской области "Развитие энергетики и жилищно-коммунального хозяйства Архангельской области"</t>
  </si>
  <si>
    <t>Подпрограмма "Энергосбережение и повышение энергетической эффективности в Архангельской области"</t>
  </si>
  <si>
    <t>Министерство топливно-энергетического комплекса и жилищно-коммунального хозяйства Архангельской области</t>
  </si>
  <si>
    <t>Водоснабжение правобережной части города Каргополя Каргопольского района Архангельской области</t>
  </si>
  <si>
    <t>6,58 км</t>
  </si>
  <si>
    <t>Федеральный проект "Чистая вода"</t>
  </si>
  <si>
    <t>F5</t>
  </si>
  <si>
    <t>Проектирование водопровода от дер. Рикасиха до пос. Лайский Док МО Приморское Приморского района Архангельской области</t>
  </si>
  <si>
    <t>4,5665 км</t>
  </si>
  <si>
    <t>администрация Приморского муниципального района Архангельской области</t>
  </si>
  <si>
    <t>Проектирование водопровода от точки подключения к городскому водопроводу по адресу: г. Архангельск, ул. Дрейера 1 стр. 1 МО Город Архангельск до ВОС дер. Рикасово д. 27 МО Заостровское Приморского района Архангельской области</t>
  </si>
  <si>
    <t>4,709 км</t>
  </si>
  <si>
    <t>Проектирование и строительство ВОС о. Кего</t>
  </si>
  <si>
    <t>152,64 куб. м /сутки</t>
  </si>
  <si>
    <t>Реконструкция очистных сооружений водопровода в г. Котласе Архангельской области</t>
  </si>
  <si>
    <t>30 000 куб. м / сутки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</si>
  <si>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</t>
  </si>
  <si>
    <t>490 куб. м / сутки</t>
  </si>
  <si>
    <t>администрация Виноградовского муниципального района Архангельской области</t>
  </si>
  <si>
    <t>Строительство водоочистных сооружений в питьевых целях в с. Ильинско-Подомское Вилегодского района Архангельской области (Первый этап. Строительство магистральных водоводов и ВОС)</t>
  </si>
  <si>
    <t>663,67 куб. м / сутки</t>
  </si>
  <si>
    <t>Строительство станции очистки холодной воды по адресу: Архангельская область, Холмогорский район, МО "Емецкое", дер. Кузнецово</t>
  </si>
  <si>
    <t>408 куб. м / сутки</t>
  </si>
  <si>
    <t>администрация Холмогорского муниципального района Архангельской области</t>
  </si>
  <si>
    <t>Государственная программа Архангельской области "Развитие транспортной системы Архангельской области"</t>
  </si>
  <si>
    <t>Подпрограмма "Развитие общественного пассажирского транспорта и транспортной инфраструктуры Архангельской области"</t>
  </si>
  <si>
    <t>Обеспечение земельных участков дорожной инфраструктурой для строительства многоквартирных домов в VII жилом районе (ул. Стрелковая – ул. Карпогорская, длиной 1 650 м)</t>
  </si>
  <si>
    <t>протяженность дороги – 1 650 м</t>
  </si>
  <si>
    <t>Приобретение наплавного (понтонного) моста через реку Емца в Холмогорском муниципальном районе Архангельской области</t>
  </si>
  <si>
    <t>1 наплавной (понтонный) мост</t>
  </si>
  <si>
    <t>Проектирование и строительство автомобильного моста (путепровода) через железнодорожные пути Северной железной дороги в городе Вельске Архангельской области в районе км 824 пк 8 (ул. Дзержинского)</t>
  </si>
  <si>
    <t>1 проектная документация</t>
  </si>
  <si>
    <t>администрация Вельского муниципального района Архангельской области</t>
  </si>
  <si>
    <t>Реконструкция моста через Никольское устье Северной Двины в г. Северодвинске</t>
  </si>
  <si>
    <t>протяженность дороги – 2,916 км, в том числе моста – 185,8 пог. м</t>
  </si>
  <si>
    <t>2019/2023</t>
  </si>
  <si>
    <t>Строительство автодороги по ул. Ушинского на участке от ул. Маяковского до ул. Посадская (протяженность 1 900 м) в г. Котласе Архангельской области</t>
  </si>
  <si>
    <t>строительная длина – 1,8909 км</t>
  </si>
  <si>
    <t>Строительство автомобильной дороги по проспекту Мира на участке от ул. Ушинского до объездной автомобильной дороги "Котлас – Коряжма, км 0 – км 41"</t>
  </si>
  <si>
    <t>протяженность дороги – 1,38 км</t>
  </si>
  <si>
    <t>Строительство пр. Московский на участке от ул. Прокопия Галушина до ул. Энтузиастов в г. Архангельске</t>
  </si>
  <si>
    <t>протяженность – 669,66 м</t>
  </si>
  <si>
    <t>Подпрограмма "Развитие и совершенствование сети автомобильных дорог общего пользования регионального значения"</t>
  </si>
  <si>
    <t>Разработка проектной документации и реконструкция мостового перехода через реку Онега на км 12 + 977 автомобильной дороги Дениславье – Североонежск – СОБР</t>
  </si>
  <si>
    <t>Разработка проектной документации на реконструкцию мостового перехода через реку Вождеромка на км 60 + 464 автомобильной дороги Архангельск – Белогорский – Пинега – Кимжа – Мезень</t>
  </si>
  <si>
    <t>Разработка проектной документации на строительство автомобильной дороги Онега – Тамица – Кянда на участке Тамица – Кянда в Онежском районе Архангельской области</t>
  </si>
  <si>
    <t>2 проектных документации (в 2022 году – 1 проектная документация на 1 и 2 этапы; в 2022 году – 1 проектная документация на 3 этап)</t>
  </si>
  <si>
    <t>2022</t>
  </si>
  <si>
    <t>Строительство мостового перехода через реку Устья на км 139 + 309 автомобильной дороги Шангалы – Квазеньга – Кизема</t>
  </si>
  <si>
    <t>протяженность дороги – 5,6 км, в том числе моста – 113,6 п. м</t>
  </si>
  <si>
    <t>2020/2022</t>
  </si>
  <si>
    <t>Государственная программа Архангельской области "Развитие инфраструктуры Соловецкого архипелага"</t>
  </si>
  <si>
    <t>Реконструкция аэропортового комплекса "Соловки" о. Соловецкий, Архангельская область</t>
  </si>
  <si>
    <t>68 675 кв. м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</si>
  <si>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</si>
  <si>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10 коек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</si>
  <si>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</si>
  <si>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протяженность – 14,4 км, производительность – 600 куб. м / сутки</t>
  </si>
  <si>
    <t>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</si>
  <si>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t>протяженность – 10,97 км, производительность – до 1 000 куб. м / сутки</t>
  </si>
  <si>
    <t>Государственная программа Архангельской области "Комплексное развитие сельских территорий Архангельской области"</t>
  </si>
  <si>
    <t>Подпрограмма "Создание условий для обеспечения доступным и комфортным жильем сельского населения"</t>
  </si>
  <si>
    <t>Комплексное обустройство площадки под компактную жилищную застройку в дер. Бор Няндомского района Архангельской области</t>
  </si>
  <si>
    <t>1 проект</t>
  </si>
  <si>
    <t>Комплексное обустройство площадки под компактную жилищную застройку в дер. Куимиха Котласского района Архангельской области</t>
  </si>
  <si>
    <t>администрация муниципального образования "Приводинское"</t>
  </si>
  <si>
    <t>Министерство агропромышленного комплекса и торговли Архангельской области</t>
  </si>
  <si>
    <t>Строительство многоквартирного дома</t>
  </si>
  <si>
    <t>1 152 кв. м</t>
  </si>
  <si>
    <t>Подпрограмма "Создание и развитие инфраструктуры на сельских территориях"</t>
  </si>
  <si>
    <t>Реконструкция канализационных очистных сооружений*</t>
  </si>
  <si>
    <t>3 000 куб. м / сутки</t>
  </si>
  <si>
    <t>администрация городского поселения "Октябрьское" Устьянского муниципального района Архангельской области</t>
  </si>
  <si>
    <t>Строительство детского сада "Золушка" в с. Черевково Красноборского района Архангельской области (90 мест)</t>
  </si>
  <si>
    <t>администрация Красноборского муниципального района Архангельской области</t>
  </si>
  <si>
    <t>Строительство детского сада на 60 мест в пос. Лайский Док Приморского района Архангельской области</t>
  </si>
  <si>
    <t>Строительство лыже-роллерной трассы "Черевковская средняя школа" в с. Черевково Красноборского района Архангельской области</t>
  </si>
  <si>
    <t>Строительство объекта "Средняя общеобразовательная школа на 352 учащихся с интернатом на 80 мест в п. Шалакуша"*</t>
  </si>
  <si>
    <t>352 учащихся</t>
  </si>
  <si>
    <t>Строительство социально-культурного центра в пос. Лайский Док МО "Приморское" Приморского района Архангельской области (на 75 мест)</t>
  </si>
  <si>
    <t>75 мест</t>
  </si>
  <si>
    <t>Строительство линейного объекта: "Уличное освещение дер. Поповская улица Приозерная, дер. Макаровская улица Набережная, дер. Корехино улица Набережная, дер. Логиновская переулок Индустриальный, дер. Логиновская улица Тепличная, дер. Логиновская улица Озерная с использованием энергосберегающих технологий" в сельском поселении "Мошинское" Няндомского района Архангельской области</t>
  </si>
  <si>
    <t>1,969 км</t>
  </si>
  <si>
    <t>Строительство линий освещения территории по проекту "Светлое будущее" с. Черевково, д. Овсянниковская Красноборского района Архангельской области</t>
  </si>
  <si>
    <t>4,75 км</t>
  </si>
  <si>
    <t>Реконструкция автомобильной дороги Усть-Ваеньга – Осиново – Фалюки на участке км 85 + 000 – км 97 + 000 в Виноградовском районе Архангельской области</t>
  </si>
  <si>
    <t>протяженность дороги – 11,211 км (2020 год – 6,358 км; 2021 год – 4,853 км), кроме того, подъездов – 0,999 км (2020 год – 0,654 км, 2021 год – 0,345 км)</t>
  </si>
  <si>
    <t>Государственная программа Архангельской области "Развитие физической культуры и спорта в Архангельской области"</t>
  </si>
  <si>
    <t>Многоцелевой физкультурно-оздоровительный объект (хоккейная арена – "Ледовый дворец") по адресу: Российская Федерация, Архангельская область, г. Коряжма, ул. Архангельская, земельный участок 35</t>
  </si>
  <si>
    <t>100 человек в смену</t>
  </si>
  <si>
    <t>2019/2022</t>
  </si>
  <si>
    <t>Федеральный проект "Спорт – норма жизни"</t>
  </si>
  <si>
    <t>P5</t>
  </si>
  <si>
    <t>Проектирование и строительство крытого катка с искусственным льдом в г. Архангельске</t>
  </si>
  <si>
    <t>Строительство здания спортивного зала МБОУ "Илезская СОШ" по адресу: 165270, Архангельская область, Устьянский район, п. Илеза, ул. Школьная, д. 1</t>
  </si>
  <si>
    <t>165,7 кв. м</t>
  </si>
  <si>
    <t>администрация Устьянского муниципального района Архангельской области</t>
  </si>
  <si>
    <t>Строительство объекта "Спортивный зал "ГАПОУ АО "Каргопольский индустриальный техникум" по адресу: г. Каргополь, ул. Семенковская, д. 79"</t>
  </si>
  <si>
    <t>44 человека</t>
  </si>
  <si>
    <t>Строительство спортивного зала ГБНОУ АО "АГЛ имени М.В. Ломоносова" по адресу: г. Архангельск, набережная Северной Двины, д. 25</t>
  </si>
  <si>
    <t>483,9 кв. м</t>
  </si>
  <si>
    <t>2022 год</t>
  </si>
  <si>
    <t>Строительство моста (Пентус)</t>
  </si>
  <si>
    <t>протяженность моста – 130 м</t>
  </si>
  <si>
    <t>2022/2023</t>
  </si>
  <si>
    <t>Строительство коллектора ливневой канализации по ул. Октябрьская от выпуска по ул. Логинова до перспективных очистных сооружений по ул. Ричарда Ченслера в г. Северодвинске</t>
  </si>
  <si>
    <t>производительность очистных сооружений – 94,9 л/сек., протяженность сетей ливневой канализации – 1 866 п. м</t>
  </si>
  <si>
    <t>Строительство ливневого коллектора вдоль ул. Железнодорожной, от ул. Торцева до рефулерного озера, с устройством локальных очистных сооружений в г. Северодвинске</t>
  </si>
  <si>
    <t>протяженность – 2 919 п. м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</si>
  <si>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</si>
  <si>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бюджетное учреждение здравоохранения Архангельской области "Архангельская городская клиническая больница № 4"</t>
  </si>
  <si>
    <t>государственное бюджетное учреждение здравоохранения Архангельской области "Архангельская городская клиническая поликлиника № 1"</t>
  </si>
  <si>
    <t>государственное бюджетное учреждение здравоохранения Архангельской области "Коряжемская городская больница"</t>
  </si>
  <si>
    <t>государственное бюджетное учреждение здравоохранения Архангельской области "Красноборская центральная районная больница"</t>
  </si>
  <si>
    <t>государственное бюджетное учреждение здравоохранения Архангельской области "Северодвинская городская больница № 2 скорой медицинской помощи"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</si>
  <si>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</si>
  <si>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государственное бюджетное учреждение здравоохранения Архангельской области "Яренская центральная районная больница"</t>
  </si>
  <si>
    <t>Строительство здания средней школы на 120 мест в поселке Соловецкий Приморского района</t>
  </si>
  <si>
    <t>2023 год</t>
  </si>
  <si>
    <t>Проектирование и строительство  фельдшерско-акушерского пункта в пос. Приозерный Верхнетоемского района Архангельской области</t>
  </si>
  <si>
    <t>2023/2023</t>
  </si>
  <si>
    <t>государственное автономное учреждение здравоохранения Архангельской области "Коряжемская стоматологическая поликлиника"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</si>
  <si>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</si>
  <si>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_______________________
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</si>
  <si>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Сумма с учетом изменений в областной закон</t>
  </si>
  <si>
    <t>Остаточная сметная стоимость строительства по состоянию на 01.01.2021</t>
  </si>
  <si>
    <t>в рублях</t>
  </si>
  <si>
    <t>Остаточная стоимость строительства по состоянию на 01.01.2021</t>
  </si>
  <si>
    <t>Утверждено 
областным законом от 21.12.2020 № 363-22-ОЗ (ред. от 30.03.2021 № 394-24-ОЗ) 
на 2021 год</t>
  </si>
  <si>
    <t>Уточненная сводная бюджетная роспись по состоянию на 30.05.2021</t>
  </si>
  <si>
    <t>Предлагаемые изменения на июньскую сессию АОСД</t>
  </si>
  <si>
    <t>Утверждено 
областным законом от 21.12.2020 № 363-22-ОЗ (ред. от 30.03.2021 № 394-24-ОЗ) 
на 2023 год</t>
  </si>
  <si>
    <t>Утверждено 
областным законом от 21.12.2020 № 363-22-ОЗ (ред. от 30.03.2021 № 394-24-ОЗ) 
на 2022 год</t>
  </si>
  <si>
    <t>Приложение № 6
к пояснительной записке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</si>
</sst>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5">
    <xf numFmtId="0" fontId="0" fillId="0" borderId="0" xfId="0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4" fontId="0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top" wrapText="1" indent="1"/>
    </xf>
    <xf numFmtId="0" fontId="2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top" wrapText="1" inden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top" wrapText="1" indent="1"/>
    </xf>
    <xf numFmtId="0" fontId="4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8"/>
  <sheetViews>
    <sheetView tabSelected="1" view="pageBreakPreview" zoomScale="130" zoomScaleNormal="100" zoomScaleSheetLayoutView="130" workbookViewId="0">
      <selection activeCell="A2" sqref="A2:Q2"/>
    </sheetView>
  </sheetViews>
  <sheetFormatPr defaultRowHeight="12.75"/>
  <cols>
    <col min="1" max="1" width="26.6640625" style="3" customWidth="1"/>
    <col min="2" max="2" width="5" style="3" customWidth="1"/>
    <col min="3" max="3" width="5.1640625" style="3" customWidth="1"/>
    <col min="4" max="4" width="7.83203125" style="3" customWidth="1"/>
    <col min="5" max="5" width="13" style="3" customWidth="1"/>
    <col min="6" max="6" width="5.33203125" style="3" customWidth="1"/>
    <col min="7" max="7" width="15.33203125" style="3" customWidth="1"/>
    <col min="8" max="9" width="13.83203125" style="3" customWidth="1"/>
    <col min="10" max="10" width="12.6640625" style="3" customWidth="1"/>
    <col min="11" max="11" width="14.6640625" style="3" customWidth="1"/>
    <col min="12" max="12" width="13.83203125" style="3" customWidth="1"/>
    <col min="13" max="13" width="12.5" style="3" customWidth="1"/>
    <col min="14" max="16" width="13.33203125" style="3" customWidth="1"/>
    <col min="17" max="17" width="13.83203125" style="3" customWidth="1"/>
    <col min="18" max="18" width="9.33203125" style="1"/>
    <col min="19" max="19" width="15.5" style="1" bestFit="1" customWidth="1"/>
    <col min="20" max="16384" width="9.33203125" style="1"/>
  </cols>
  <sheetData>
    <row r="1" spans="1:17" s="12" customFormat="1" ht="37.5" customHeight="1">
      <c r="P1" s="22" t="s">
        <v>314</v>
      </c>
      <c r="Q1" s="22"/>
    </row>
    <row r="2" spans="1:17" s="12" customFormat="1" ht="26.2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12" customFormat="1">
      <c r="Q3" s="13" t="s">
        <v>307</v>
      </c>
    </row>
    <row r="4" spans="1:17" ht="12.95" customHeight="1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308</v>
      </c>
      <c r="H4" s="20" t="s">
        <v>8</v>
      </c>
      <c r="I4" s="20"/>
      <c r="J4" s="20"/>
      <c r="K4" s="20"/>
      <c r="L4" s="20"/>
      <c r="M4" s="20"/>
      <c r="N4" s="20"/>
      <c r="O4" s="20"/>
      <c r="P4" s="20"/>
      <c r="Q4" s="20"/>
    </row>
    <row r="5" spans="1:17" ht="21.75" customHeight="1">
      <c r="A5" s="14" t="s">
        <v>0</v>
      </c>
      <c r="B5" s="14" t="s">
        <v>0</v>
      </c>
      <c r="C5" s="14" t="s">
        <v>0</v>
      </c>
      <c r="D5" s="14" t="s">
        <v>0</v>
      </c>
      <c r="E5" s="14" t="s">
        <v>0</v>
      </c>
      <c r="F5" s="14" t="s">
        <v>0</v>
      </c>
      <c r="G5" s="14" t="s">
        <v>0</v>
      </c>
      <c r="H5" s="18" t="s">
        <v>309</v>
      </c>
      <c r="I5" s="18" t="s">
        <v>310</v>
      </c>
      <c r="J5" s="18" t="s">
        <v>311</v>
      </c>
      <c r="K5" s="18" t="s">
        <v>305</v>
      </c>
      <c r="L5" s="18" t="s">
        <v>11</v>
      </c>
      <c r="M5" s="18"/>
      <c r="N5" s="18"/>
      <c r="O5" s="18"/>
      <c r="P5" s="18"/>
      <c r="Q5" s="18"/>
    </row>
    <row r="6" spans="1:17" ht="19.5" customHeight="1">
      <c r="A6" s="14" t="s">
        <v>0</v>
      </c>
      <c r="B6" s="14" t="s">
        <v>0</v>
      </c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21" t="s">
        <v>0</v>
      </c>
      <c r="I6" s="21" t="s">
        <v>0</v>
      </c>
      <c r="J6" s="21" t="s">
        <v>0</v>
      </c>
      <c r="K6" s="21" t="s">
        <v>0</v>
      </c>
      <c r="L6" s="18" t="s">
        <v>12</v>
      </c>
      <c r="M6" s="18" t="s">
        <v>9</v>
      </c>
      <c r="N6" s="18" t="s">
        <v>10</v>
      </c>
      <c r="O6" s="18" t="s">
        <v>13</v>
      </c>
      <c r="P6" s="18" t="s">
        <v>9</v>
      </c>
      <c r="Q6" s="18" t="s">
        <v>10</v>
      </c>
    </row>
    <row r="7" spans="1:17" ht="38.25" customHeight="1">
      <c r="A7" s="14" t="s">
        <v>0</v>
      </c>
      <c r="B7" s="14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21" t="s">
        <v>0</v>
      </c>
      <c r="I7" s="21" t="s">
        <v>0</v>
      </c>
      <c r="J7" s="21" t="s">
        <v>0</v>
      </c>
      <c r="K7" s="21" t="s">
        <v>0</v>
      </c>
      <c r="L7" s="21" t="s">
        <v>0</v>
      </c>
      <c r="M7" s="21" t="s">
        <v>0</v>
      </c>
      <c r="N7" s="21" t="s">
        <v>0</v>
      </c>
      <c r="O7" s="21" t="s">
        <v>0</v>
      </c>
      <c r="P7" s="21" t="s">
        <v>0</v>
      </c>
      <c r="Q7" s="21" t="s">
        <v>0</v>
      </c>
    </row>
    <row r="8" spans="1:17" ht="12.95" customHeight="1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</row>
    <row r="9" spans="1:17" ht="14.45" customHeight="1">
      <c r="A9" s="14" t="s">
        <v>20</v>
      </c>
      <c r="B9" s="14"/>
      <c r="C9" s="14"/>
      <c r="D9" s="14"/>
      <c r="E9" s="14"/>
      <c r="F9" s="14"/>
      <c r="G9" s="5">
        <f>G12+G48+G83+G89+G118+G124+G130+G138+G144+G165+G183+G192+G214</f>
        <v>25578916630.799999</v>
      </c>
      <c r="H9" s="5">
        <f>H10+H11</f>
        <v>9145056945.8800011</v>
      </c>
      <c r="I9" s="5">
        <f t="shared" ref="I9:J9" si="0">I10+I11</f>
        <v>9145056945.9000015</v>
      </c>
      <c r="J9" s="5">
        <f t="shared" si="0"/>
        <v>-49511480.469999999</v>
      </c>
      <c r="K9" s="5">
        <f t="shared" ref="K9:K11" si="1">H9+J9</f>
        <v>9095545465.4100018</v>
      </c>
      <c r="L9" s="5">
        <f t="shared" ref="L9:M9" si="2">L10+L11</f>
        <v>7597423290.5200005</v>
      </c>
      <c r="M9" s="5">
        <f t="shared" si="2"/>
        <v>0.11000001430511475</v>
      </c>
      <c r="N9" s="5">
        <f>L9+M9</f>
        <v>7597423290.6300001</v>
      </c>
      <c r="O9" s="5">
        <f t="shared" ref="O9:P9" si="3">O10+O11</f>
        <v>1547633655.3600001</v>
      </c>
      <c r="P9" s="5">
        <f t="shared" si="3"/>
        <v>-49511480.579999998</v>
      </c>
      <c r="Q9" s="5">
        <f>O9+P9</f>
        <v>1498122174.7800002</v>
      </c>
    </row>
    <row r="10" spans="1:17" ht="14.45" customHeight="1">
      <c r="A10" s="15" t="s">
        <v>21</v>
      </c>
      <c r="B10" s="15"/>
      <c r="C10" s="15"/>
      <c r="D10" s="15"/>
      <c r="E10" s="15"/>
      <c r="F10" s="15"/>
      <c r="G10" s="6"/>
      <c r="H10" s="7">
        <f>H13+H49+H84+H90+H119+H125+H131+H145+H166+H184+H193+H215</f>
        <v>3852130288.0600009</v>
      </c>
      <c r="I10" s="7">
        <f t="shared" ref="I10:J10" si="4">I13+I49+I84+I90+I119+I125+I131+I145+I166+I184+I193+I215</f>
        <v>3924060487.4800005</v>
      </c>
      <c r="J10" s="7">
        <f t="shared" si="4"/>
        <v>71930198.25</v>
      </c>
      <c r="K10" s="7">
        <f t="shared" si="1"/>
        <v>3924060486.3100009</v>
      </c>
      <c r="L10" s="7">
        <f t="shared" ref="L10:M10" si="5">L13+L49+L84+L90+L119+L125+L131+L145+L166+L184+L193+L215</f>
        <v>3517507400</v>
      </c>
      <c r="M10" s="7">
        <f t="shared" si="5"/>
        <v>145683200</v>
      </c>
      <c r="N10" s="7">
        <f t="shared" ref="N10:N11" si="6">L10+M10</f>
        <v>3663190600</v>
      </c>
      <c r="O10" s="7">
        <f t="shared" ref="O10:P10" si="7">O13+O49+O84+O90+O119+O125+O131+O145+O166+O184+O193+O215</f>
        <v>334622888.05999994</v>
      </c>
      <c r="P10" s="7">
        <f t="shared" si="7"/>
        <v>-73753001.75</v>
      </c>
      <c r="Q10" s="7">
        <f t="shared" ref="Q10:Q11" si="8">O10+P10</f>
        <v>260869886.30999994</v>
      </c>
    </row>
    <row r="11" spans="1:17" ht="14.45" customHeight="1">
      <c r="A11" s="15" t="s">
        <v>22</v>
      </c>
      <c r="B11" s="15"/>
      <c r="C11" s="15"/>
      <c r="D11" s="15"/>
      <c r="E11" s="15"/>
      <c r="F11" s="15"/>
      <c r="G11" s="6"/>
      <c r="H11" s="7">
        <f>H14+H50+H86+H91+H120+H126+H132+H140+H146+H167+H185+H194+H216</f>
        <v>5292926657.8199997</v>
      </c>
      <c r="I11" s="7">
        <f t="shared" ref="I11:J11" si="9">I14+I50+I86+I91+I120+I126+I132+I140+I146+I167+I185+I194+I216</f>
        <v>5220996458.4200001</v>
      </c>
      <c r="J11" s="7">
        <f t="shared" si="9"/>
        <v>-121441678.72</v>
      </c>
      <c r="K11" s="7">
        <f t="shared" si="1"/>
        <v>5171484979.0999994</v>
      </c>
      <c r="L11" s="7">
        <f>L14+L50+L86+L91+L120+L126+L132+L140+L146+L167+L185+L194+L216</f>
        <v>4079915890.5200005</v>
      </c>
      <c r="M11" s="7">
        <f t="shared" ref="M11" si="10">M14+M50+M86+M91+M120+M126+M132+M140+M146+M167+M185+M194+M216</f>
        <v>-145683199.88999999</v>
      </c>
      <c r="N11" s="7">
        <f t="shared" si="6"/>
        <v>3934232690.6300006</v>
      </c>
      <c r="O11" s="7">
        <f t="shared" ref="O11:P11" si="11">O14+O50+O86+O91+O120+O126+O132+O140+O146+O167+O185+O194+O216</f>
        <v>1213010767.3000002</v>
      </c>
      <c r="P11" s="7">
        <f t="shared" si="11"/>
        <v>24241521.170000006</v>
      </c>
      <c r="Q11" s="7">
        <f t="shared" si="8"/>
        <v>1237252288.4700003</v>
      </c>
    </row>
    <row r="12" spans="1:17" ht="21.75" customHeight="1">
      <c r="A12" s="19" t="s">
        <v>23</v>
      </c>
      <c r="B12" s="19"/>
      <c r="C12" s="19"/>
      <c r="D12" s="19"/>
      <c r="E12" s="19"/>
      <c r="F12" s="19"/>
      <c r="G12" s="7">
        <f>G16</f>
        <v>7250628825.5799999</v>
      </c>
      <c r="H12" s="7">
        <f>H13+H14</f>
        <v>2128871976</v>
      </c>
      <c r="I12" s="7">
        <f t="shared" ref="I12:Q12" si="12">I13+I14</f>
        <v>2128871976</v>
      </c>
      <c r="J12" s="7">
        <f t="shared" si="12"/>
        <v>-6714009.4300000006</v>
      </c>
      <c r="K12" s="7">
        <f>K13+K14</f>
        <v>2122157966.5700002</v>
      </c>
      <c r="L12" s="7">
        <f t="shared" si="12"/>
        <v>1682006080</v>
      </c>
      <c r="M12" s="7"/>
      <c r="N12" s="7">
        <f t="shared" si="12"/>
        <v>623253480</v>
      </c>
      <c r="O12" s="7">
        <f t="shared" si="12"/>
        <v>446865896</v>
      </c>
      <c r="P12" s="7">
        <f t="shared" si="12"/>
        <v>-6714009.4300000006</v>
      </c>
      <c r="Q12" s="7">
        <f t="shared" si="12"/>
        <v>440151886.57000005</v>
      </c>
    </row>
    <row r="13" spans="1:17" ht="12.95" customHeight="1">
      <c r="A13" s="19" t="s">
        <v>21</v>
      </c>
      <c r="B13" s="19"/>
      <c r="C13" s="19"/>
      <c r="D13" s="19"/>
      <c r="E13" s="19"/>
      <c r="F13" s="19"/>
      <c r="G13" s="7"/>
      <c r="H13" s="7">
        <f>H37</f>
        <v>1176391777.78</v>
      </c>
      <c r="I13" s="7">
        <f t="shared" ref="I13:Q13" si="13">I37</f>
        <v>1176391777.78</v>
      </c>
      <c r="J13" s="7">
        <f>J37</f>
        <v>0</v>
      </c>
      <c r="K13" s="7">
        <f>K37</f>
        <v>1176391777.78</v>
      </c>
      <c r="L13" s="7">
        <f t="shared" si="13"/>
        <v>1058752600</v>
      </c>
      <c r="M13" s="7"/>
      <c r="N13" s="7"/>
      <c r="O13" s="7">
        <f t="shared" si="13"/>
        <v>117639177.78</v>
      </c>
      <c r="P13" s="7"/>
      <c r="Q13" s="7">
        <f t="shared" si="13"/>
        <v>117639177.78</v>
      </c>
    </row>
    <row r="14" spans="1:17" ht="12.95" customHeight="1">
      <c r="A14" s="19" t="s">
        <v>22</v>
      </c>
      <c r="B14" s="19"/>
      <c r="C14" s="19"/>
      <c r="D14" s="19"/>
      <c r="E14" s="19"/>
      <c r="F14" s="19"/>
      <c r="G14" s="7"/>
      <c r="H14" s="7">
        <f>H17+H18+H19+H20+H21+H22+H23+H24+H25+H26+H27+H28+H29+H30+H31+H32+H33+H34+H35+H38+H39+H40+H41+H42+H43+H44+H45+H46+H47</f>
        <v>952480198.22000015</v>
      </c>
      <c r="I14" s="7">
        <f t="shared" ref="I14:Q14" si="14">I17+I18+I19+I20+I21+I22+I23+I24+I25+I26+I27+I28+I29+I30+I31+I32+I33+I34+I35+I38+I39+I40+I41+I42+I43+I44+I45+I46+I47</f>
        <v>952480198.22000015</v>
      </c>
      <c r="J14" s="7">
        <f t="shared" si="14"/>
        <v>-6714009.4300000006</v>
      </c>
      <c r="K14" s="7">
        <f t="shared" si="14"/>
        <v>945766188.7900002</v>
      </c>
      <c r="L14" s="7">
        <f t="shared" si="14"/>
        <v>623253480</v>
      </c>
      <c r="M14" s="7"/>
      <c r="N14" s="7">
        <f t="shared" si="14"/>
        <v>623253480</v>
      </c>
      <c r="O14" s="7">
        <f t="shared" si="14"/>
        <v>329226718.22000003</v>
      </c>
      <c r="P14" s="7">
        <f t="shared" si="14"/>
        <v>-6714009.4300000006</v>
      </c>
      <c r="Q14" s="7">
        <f t="shared" si="14"/>
        <v>322512708.79000002</v>
      </c>
    </row>
    <row r="15" spans="1:17" ht="25.5" customHeight="1">
      <c r="A15" s="19" t="s">
        <v>24</v>
      </c>
      <c r="B15" s="19"/>
      <c r="C15" s="19"/>
      <c r="D15" s="19"/>
      <c r="E15" s="19"/>
      <c r="F15" s="19"/>
      <c r="G15" s="7"/>
      <c r="H15" s="7">
        <f>H17+H18+H19+H20+H21+H22+H23+H24+H25+H26+H27+H28+H29+H30+H31+H32+H33+H34+H35+H36+H39+H40+H41+H42+H43+H44+H45+H46+H47</f>
        <v>2128871976.0000002</v>
      </c>
      <c r="I15" s="7">
        <f t="shared" ref="I15:Q15" si="15">I17+I18+I19+I20+I21+I22+I23+I24+I25+I26+I27+I28+I29+I30+I31+I32+I33+I34+I35+I36+I39+I40+I41+I42+I43+I44+I45+I46+I47</f>
        <v>2128871976.0000002</v>
      </c>
      <c r="J15" s="7">
        <f t="shared" si="15"/>
        <v>-6714009.4300000006</v>
      </c>
      <c r="K15" s="7">
        <f t="shared" si="15"/>
        <v>2122157966.5700002</v>
      </c>
      <c r="L15" s="7">
        <f t="shared" si="15"/>
        <v>1682006080</v>
      </c>
      <c r="M15" s="7"/>
      <c r="N15" s="7">
        <f t="shared" si="15"/>
        <v>1682006080</v>
      </c>
      <c r="O15" s="7">
        <f t="shared" si="15"/>
        <v>446865896</v>
      </c>
      <c r="P15" s="7">
        <f t="shared" si="15"/>
        <v>-6714009.4300000006</v>
      </c>
      <c r="Q15" s="7">
        <f t="shared" si="15"/>
        <v>440151886.57000005</v>
      </c>
    </row>
    <row r="16" spans="1:17" ht="12.95" customHeight="1">
      <c r="A16" s="14" t="s">
        <v>25</v>
      </c>
      <c r="B16" s="14"/>
      <c r="C16" s="14"/>
      <c r="D16" s="14"/>
      <c r="E16" s="14"/>
      <c r="F16" s="14"/>
      <c r="G16" s="5">
        <f>G17+G18+G19+G20+G21+G22+G23+G24+G25+G26+G27+G28+G29+G30+G31+G32+G33+G34+G35+G36+G39+G40+G41+G42+G43+G44+G45+G46+G47</f>
        <v>7250628825.5799999</v>
      </c>
      <c r="H16" s="5">
        <f>H17+H18+H19+H20+H21+H22+H23+H24+H25+H26+H27+H28+H29+H30+H31+H32+H33+H34+H35+H36+H39+H40+H41+H42+H43+H44+H45+H46+H47</f>
        <v>2128871976.0000002</v>
      </c>
      <c r="I16" s="5">
        <f t="shared" ref="I16:J16" si="16">I17+I18+I19+I20+I21+I22+I23+I24+I25+I26+I27+I28+I29+I30+I31+I32+I33+I34+I35+I36+I39+I40+I41+I42+I43+I44+I45+I46+I47</f>
        <v>2128871976.0000002</v>
      </c>
      <c r="J16" s="5">
        <f t="shared" si="16"/>
        <v>-6714009.4300000006</v>
      </c>
      <c r="K16" s="5">
        <f>K17+K18+K19+K20+K21+K22+K23+K24+K25+K26+K27+K28+K29+K30+K31+K32+K33+K34+K35+K36+K39+K40+K41+K42+K43+K44+K45+K46+K47</f>
        <v>2122157966.5700002</v>
      </c>
      <c r="L16" s="5">
        <f t="shared" ref="L16:Q16" si="17">L17+L18+L19+L20+L21+L22+L23+L24+L25+L26+L27+L28+L29+L30+L31+L32+L33+L34+L35+L36+L39+L40+L41+L42+L43+L44+L45+L46+L47</f>
        <v>1682006080</v>
      </c>
      <c r="M16" s="7"/>
      <c r="N16" s="5">
        <f t="shared" si="17"/>
        <v>1682006080</v>
      </c>
      <c r="O16" s="5">
        <f>O17+O18+O19+O20+O21+O22+O23+O24+O25+O26+O27+O28+O29+O30+O31+O32+O33+O34+O35+O36+O39+O40+O41+O42+O43+O44+O45+O46+O47</f>
        <v>446865896</v>
      </c>
      <c r="P16" s="5">
        <f>P17+P18+P19+P20+P21+P22+P23+P24+P25+P26+P27+P28+P29+P30+P31+P32+P33+P34+P35+P36+P39+P40+P41+P42+P43+P44+P45+P46+P47</f>
        <v>-6714009.4300000006</v>
      </c>
      <c r="Q16" s="5">
        <f t="shared" si="17"/>
        <v>440151886.57000005</v>
      </c>
    </row>
    <row r="17" spans="1:17" ht="84">
      <c r="A17" s="6" t="s">
        <v>26</v>
      </c>
      <c r="B17" s="4" t="s">
        <v>27</v>
      </c>
      <c r="C17" s="4" t="s">
        <v>27</v>
      </c>
      <c r="D17" s="8" t="s">
        <v>28</v>
      </c>
      <c r="E17" s="8" t="s">
        <v>29</v>
      </c>
      <c r="F17" s="8" t="s">
        <v>30</v>
      </c>
      <c r="G17" s="7">
        <f>368474996.96+723888.94+14276111.06-5000000</f>
        <v>378474996.95999998</v>
      </c>
      <c r="H17" s="7">
        <v>63726929.450000003</v>
      </c>
      <c r="I17" s="7">
        <v>63726929.450000003</v>
      </c>
      <c r="J17" s="7">
        <v>-7288196.2300000004</v>
      </c>
      <c r="K17" s="7">
        <f>H17+J17</f>
        <v>56438733.219999999</v>
      </c>
      <c r="L17" s="7"/>
      <c r="M17" s="7"/>
      <c r="N17" s="7"/>
      <c r="O17" s="7">
        <v>63726929.450000003</v>
      </c>
      <c r="P17" s="7">
        <v>-7288196.2300000004</v>
      </c>
      <c r="Q17" s="7">
        <f>O17+P17</f>
        <v>56438733.219999999</v>
      </c>
    </row>
    <row r="18" spans="1:17" ht="84">
      <c r="A18" s="6" t="s">
        <v>31</v>
      </c>
      <c r="B18" s="4" t="s">
        <v>27</v>
      </c>
      <c r="C18" s="4" t="s">
        <v>27</v>
      </c>
      <c r="D18" s="8" t="s">
        <v>32</v>
      </c>
      <c r="E18" s="8" t="s">
        <v>29</v>
      </c>
      <c r="F18" s="8" t="s">
        <v>33</v>
      </c>
      <c r="G18" s="7">
        <v>955055228</v>
      </c>
      <c r="H18" s="7">
        <v>222751010.09999999</v>
      </c>
      <c r="I18" s="7">
        <f>215533950+7217060.1</f>
        <v>222751010.09999999</v>
      </c>
      <c r="J18" s="7"/>
      <c r="K18" s="7">
        <f>H18+J18</f>
        <v>222751010.09999999</v>
      </c>
      <c r="L18" s="7">
        <v>215533950</v>
      </c>
      <c r="M18" s="7"/>
      <c r="N18" s="7">
        <f t="shared" ref="N18:N36" si="18">L18+M18</f>
        <v>215533950</v>
      </c>
      <c r="O18" s="7">
        <v>7217060.0999999996</v>
      </c>
      <c r="P18" s="7"/>
      <c r="Q18" s="7">
        <f>O18+P18</f>
        <v>7217060.0999999996</v>
      </c>
    </row>
    <row r="19" spans="1:17" ht="84">
      <c r="A19" s="6" t="s">
        <v>34</v>
      </c>
      <c r="B19" s="4" t="s">
        <v>27</v>
      </c>
      <c r="C19" s="4" t="s">
        <v>27</v>
      </c>
      <c r="D19" s="8" t="s">
        <v>35</v>
      </c>
      <c r="E19" s="8" t="s">
        <v>29</v>
      </c>
      <c r="F19" s="8" t="s">
        <v>36</v>
      </c>
      <c r="G19" s="7">
        <f>J19</f>
        <v>574186.80000000005</v>
      </c>
      <c r="H19" s="7"/>
      <c r="I19" s="7"/>
      <c r="J19" s="7">
        <v>574186.80000000005</v>
      </c>
      <c r="K19" s="7">
        <f t="shared" ref="K19:K81" si="19">H19+J19</f>
        <v>574186.80000000005</v>
      </c>
      <c r="L19" s="7"/>
      <c r="M19" s="7"/>
      <c r="N19" s="7"/>
      <c r="O19" s="7"/>
      <c r="P19" s="7">
        <v>574186.80000000005</v>
      </c>
      <c r="Q19" s="7">
        <f t="shared" ref="Q19:Q47" si="20">O19+P19</f>
        <v>574186.80000000005</v>
      </c>
    </row>
    <row r="20" spans="1:17" ht="84">
      <c r="A20" s="6" t="s">
        <v>37</v>
      </c>
      <c r="B20" s="4" t="s">
        <v>27</v>
      </c>
      <c r="C20" s="4" t="s">
        <v>27</v>
      </c>
      <c r="D20" s="8" t="s">
        <v>35</v>
      </c>
      <c r="E20" s="8" t="s">
        <v>29</v>
      </c>
      <c r="F20" s="8" t="s">
        <v>38</v>
      </c>
      <c r="G20" s="7">
        <v>12800000</v>
      </c>
      <c r="H20" s="7">
        <v>12799995.689999999</v>
      </c>
      <c r="I20" s="7">
        <f>12385280+414715.69</f>
        <v>12799995.689999999</v>
      </c>
      <c r="J20" s="7"/>
      <c r="K20" s="7">
        <f t="shared" si="19"/>
        <v>12799995.689999999</v>
      </c>
      <c r="L20" s="7">
        <v>12385280</v>
      </c>
      <c r="M20" s="7"/>
      <c r="N20" s="7">
        <f t="shared" si="18"/>
        <v>12385280</v>
      </c>
      <c r="O20" s="7">
        <v>414715.69</v>
      </c>
      <c r="P20" s="7"/>
      <c r="Q20" s="7">
        <f>O20+P20</f>
        <v>414715.69</v>
      </c>
    </row>
    <row r="21" spans="1:17" ht="84">
      <c r="A21" s="6" t="s">
        <v>39</v>
      </c>
      <c r="B21" s="4" t="s">
        <v>27</v>
      </c>
      <c r="C21" s="4" t="s">
        <v>27</v>
      </c>
      <c r="D21" s="8" t="s">
        <v>35</v>
      </c>
      <c r="E21" s="8" t="s">
        <v>29</v>
      </c>
      <c r="F21" s="8" t="s">
        <v>40</v>
      </c>
      <c r="G21" s="7">
        <f>H21</f>
        <v>1100000</v>
      </c>
      <c r="H21" s="7">
        <v>1100000</v>
      </c>
      <c r="I21" s="7">
        <v>1100000</v>
      </c>
      <c r="J21" s="7"/>
      <c r="K21" s="7">
        <f t="shared" si="19"/>
        <v>1100000</v>
      </c>
      <c r="L21" s="7"/>
      <c r="M21" s="7"/>
      <c r="N21" s="7"/>
      <c r="O21" s="7">
        <v>1100000</v>
      </c>
      <c r="P21" s="7"/>
      <c r="Q21" s="7">
        <f t="shared" si="20"/>
        <v>1100000</v>
      </c>
    </row>
    <row r="22" spans="1:17" ht="84">
      <c r="A22" s="6" t="s">
        <v>41</v>
      </c>
      <c r="B22" s="4" t="s">
        <v>27</v>
      </c>
      <c r="C22" s="4" t="s">
        <v>27</v>
      </c>
      <c r="D22" s="8" t="s">
        <v>42</v>
      </c>
      <c r="E22" s="8" t="s">
        <v>29</v>
      </c>
      <c r="F22" s="8" t="s">
        <v>43</v>
      </c>
      <c r="G22" s="7">
        <f>H22</f>
        <v>108747685.83</v>
      </c>
      <c r="H22" s="7">
        <v>108747685.83</v>
      </c>
      <c r="I22" s="7">
        <v>108747685.83</v>
      </c>
      <c r="J22" s="7"/>
      <c r="K22" s="7">
        <f t="shared" si="19"/>
        <v>108747685.83</v>
      </c>
      <c r="L22" s="7"/>
      <c r="M22" s="7"/>
      <c r="N22" s="7"/>
      <c r="O22" s="7">
        <v>108747685.83</v>
      </c>
      <c r="P22" s="7"/>
      <c r="Q22" s="7">
        <f>O22+P22</f>
        <v>108747685.83</v>
      </c>
    </row>
    <row r="23" spans="1:17" ht="84">
      <c r="A23" s="6" t="s">
        <v>44</v>
      </c>
      <c r="B23" s="4" t="s">
        <v>27</v>
      </c>
      <c r="C23" s="4" t="s">
        <v>27</v>
      </c>
      <c r="D23" s="8" t="s">
        <v>45</v>
      </c>
      <c r="E23" s="8" t="s">
        <v>29</v>
      </c>
      <c r="F23" s="8" t="s">
        <v>46</v>
      </c>
      <c r="G23" s="7">
        <f>80000365.76+2522225.66</f>
        <v>82522591.420000002</v>
      </c>
      <c r="H23" s="7">
        <v>2522225.66</v>
      </c>
      <c r="I23" s="7">
        <v>2522225.66</v>
      </c>
      <c r="J23" s="7"/>
      <c r="K23" s="7">
        <f t="shared" si="19"/>
        <v>2522225.66</v>
      </c>
      <c r="L23" s="7"/>
      <c r="M23" s="7"/>
      <c r="N23" s="7"/>
      <c r="O23" s="7">
        <v>2522225.66</v>
      </c>
      <c r="P23" s="7"/>
      <c r="Q23" s="7">
        <f t="shared" si="20"/>
        <v>2522225.66</v>
      </c>
    </row>
    <row r="24" spans="1:17" ht="84">
      <c r="A24" s="6" t="s">
        <v>47</v>
      </c>
      <c r="B24" s="4" t="s">
        <v>27</v>
      </c>
      <c r="C24" s="4" t="s">
        <v>27</v>
      </c>
      <c r="D24" s="8" t="s">
        <v>48</v>
      </c>
      <c r="E24" s="8" t="s">
        <v>29</v>
      </c>
      <c r="F24" s="8" t="s">
        <v>49</v>
      </c>
      <c r="G24" s="7">
        <f>H24</f>
        <v>1500000</v>
      </c>
      <c r="H24" s="7">
        <v>1500000</v>
      </c>
      <c r="I24" s="7">
        <v>1500000</v>
      </c>
      <c r="J24" s="7"/>
      <c r="K24" s="7">
        <f t="shared" si="19"/>
        <v>1500000</v>
      </c>
      <c r="L24" s="7"/>
      <c r="M24" s="7"/>
      <c r="N24" s="7"/>
      <c r="O24" s="7">
        <v>1500000</v>
      </c>
      <c r="P24" s="7"/>
      <c r="Q24" s="7">
        <f t="shared" si="20"/>
        <v>1500000</v>
      </c>
    </row>
    <row r="25" spans="1:17" ht="84">
      <c r="A25" s="6" t="s">
        <v>50</v>
      </c>
      <c r="B25" s="4" t="s">
        <v>27</v>
      </c>
      <c r="C25" s="4" t="s">
        <v>27</v>
      </c>
      <c r="D25" s="8" t="s">
        <v>35</v>
      </c>
      <c r="E25" s="8" t="s">
        <v>29</v>
      </c>
      <c r="F25" s="8" t="s">
        <v>36</v>
      </c>
      <c r="G25" s="7">
        <v>40305769.810000002</v>
      </c>
      <c r="H25" s="7">
        <v>25378205.59</v>
      </c>
      <c r="I25" s="7">
        <f>24555960+822245.59</f>
        <v>25378205.59</v>
      </c>
      <c r="J25" s="7"/>
      <c r="K25" s="7">
        <f t="shared" si="19"/>
        <v>25378205.59</v>
      </c>
      <c r="L25" s="7">
        <v>24555960</v>
      </c>
      <c r="M25" s="7"/>
      <c r="N25" s="7">
        <f t="shared" si="18"/>
        <v>24555960</v>
      </c>
      <c r="O25" s="7">
        <v>822245.59</v>
      </c>
      <c r="P25" s="7"/>
      <c r="Q25" s="7">
        <f t="shared" si="20"/>
        <v>822245.59</v>
      </c>
    </row>
    <row r="26" spans="1:17" ht="84">
      <c r="A26" s="6" t="s">
        <v>51</v>
      </c>
      <c r="B26" s="4" t="s">
        <v>27</v>
      </c>
      <c r="C26" s="4" t="s">
        <v>27</v>
      </c>
      <c r="D26" s="8" t="s">
        <v>35</v>
      </c>
      <c r="E26" s="8" t="s">
        <v>29</v>
      </c>
      <c r="F26" s="8" t="s">
        <v>36</v>
      </c>
      <c r="G26" s="7">
        <v>15838588.23</v>
      </c>
      <c r="H26" s="7">
        <v>17999993.93</v>
      </c>
      <c r="I26" s="7">
        <f>17416800+583193.93</f>
        <v>17999993.93</v>
      </c>
      <c r="J26" s="7"/>
      <c r="K26" s="7">
        <f t="shared" si="19"/>
        <v>17999993.93</v>
      </c>
      <c r="L26" s="7">
        <v>17416800</v>
      </c>
      <c r="M26" s="7"/>
      <c r="N26" s="7">
        <f t="shared" si="18"/>
        <v>17416800</v>
      </c>
      <c r="O26" s="7">
        <v>583193.93000000005</v>
      </c>
      <c r="P26" s="7"/>
      <c r="Q26" s="7">
        <f t="shared" si="20"/>
        <v>583193.93000000005</v>
      </c>
    </row>
    <row r="27" spans="1:17" ht="84">
      <c r="A27" s="6" t="s">
        <v>52</v>
      </c>
      <c r="B27" s="4" t="s">
        <v>27</v>
      </c>
      <c r="C27" s="4" t="s">
        <v>27</v>
      </c>
      <c r="D27" s="8" t="s">
        <v>35</v>
      </c>
      <c r="E27" s="8" t="s">
        <v>29</v>
      </c>
      <c r="F27" s="8" t="s">
        <v>36</v>
      </c>
      <c r="G27" s="7">
        <v>24702771.260000002</v>
      </c>
      <c r="H27" s="7">
        <v>22488996.140000001</v>
      </c>
      <c r="I27" s="7">
        <f>21760360+728636.14</f>
        <v>22488996.140000001</v>
      </c>
      <c r="J27" s="7"/>
      <c r="K27" s="7">
        <f t="shared" si="19"/>
        <v>22488996.140000001</v>
      </c>
      <c r="L27" s="7">
        <v>21760360</v>
      </c>
      <c r="M27" s="7"/>
      <c r="N27" s="7">
        <f t="shared" si="18"/>
        <v>21760360</v>
      </c>
      <c r="O27" s="7">
        <v>728636.14</v>
      </c>
      <c r="P27" s="7"/>
      <c r="Q27" s="7">
        <f t="shared" si="20"/>
        <v>728636.14</v>
      </c>
    </row>
    <row r="28" spans="1:17" ht="84">
      <c r="A28" s="6" t="s">
        <v>53</v>
      </c>
      <c r="B28" s="4" t="s">
        <v>27</v>
      </c>
      <c r="C28" s="4" t="s">
        <v>27</v>
      </c>
      <c r="D28" s="8" t="s">
        <v>35</v>
      </c>
      <c r="E28" s="8" t="s">
        <v>29</v>
      </c>
      <c r="F28" s="8" t="s">
        <v>36</v>
      </c>
      <c r="G28" s="7">
        <f>34846295.97+1290000</f>
        <v>36136295.969999999</v>
      </c>
      <c r="H28" s="7">
        <v>35258421.780000001</v>
      </c>
      <c r="I28" s="7">
        <f>11258429.87+23222400+777591.91</f>
        <v>35258421.779999994</v>
      </c>
      <c r="J28" s="7"/>
      <c r="K28" s="7">
        <f t="shared" si="19"/>
        <v>35258421.780000001</v>
      </c>
      <c r="L28" s="7">
        <v>23222400</v>
      </c>
      <c r="M28" s="7"/>
      <c r="N28" s="7">
        <f t="shared" si="18"/>
        <v>23222400</v>
      </c>
      <c r="O28" s="7">
        <v>12036021.779999999</v>
      </c>
      <c r="P28" s="7"/>
      <c r="Q28" s="7">
        <f t="shared" si="20"/>
        <v>12036021.779999999</v>
      </c>
    </row>
    <row r="29" spans="1:17" ht="84">
      <c r="A29" s="6" t="s">
        <v>54</v>
      </c>
      <c r="B29" s="4" t="s">
        <v>27</v>
      </c>
      <c r="C29" s="4" t="s">
        <v>27</v>
      </c>
      <c r="D29" s="8" t="s">
        <v>35</v>
      </c>
      <c r="E29" s="8" t="s">
        <v>29</v>
      </c>
      <c r="F29" s="8" t="s">
        <v>36</v>
      </c>
      <c r="G29" s="7">
        <f>20219239.98</f>
        <v>20219239.98</v>
      </c>
      <c r="H29" s="7">
        <v>20127990.32</v>
      </c>
      <c r="I29" s="7">
        <f>19475850+652140.32</f>
        <v>20127990.32</v>
      </c>
      <c r="J29" s="7"/>
      <c r="K29" s="7">
        <f t="shared" si="19"/>
        <v>20127990.32</v>
      </c>
      <c r="L29" s="7">
        <v>19475850</v>
      </c>
      <c r="M29" s="7"/>
      <c r="N29" s="7">
        <f t="shared" si="18"/>
        <v>19475850</v>
      </c>
      <c r="O29" s="7">
        <v>652140.31999999995</v>
      </c>
      <c r="P29" s="7"/>
      <c r="Q29" s="7">
        <f t="shared" si="20"/>
        <v>652140.31999999995</v>
      </c>
    </row>
    <row r="30" spans="1:17" ht="84">
      <c r="A30" s="6" t="s">
        <v>55</v>
      </c>
      <c r="B30" s="4" t="s">
        <v>27</v>
      </c>
      <c r="C30" s="4" t="s">
        <v>27</v>
      </c>
      <c r="D30" s="8" t="s">
        <v>35</v>
      </c>
      <c r="E30" s="8" t="s">
        <v>29</v>
      </c>
      <c r="F30" s="8" t="s">
        <v>36</v>
      </c>
      <c r="G30" s="7">
        <v>20776770.850000001</v>
      </c>
      <c r="H30" s="7">
        <v>20531989.77</v>
      </c>
      <c r="I30" s="7">
        <f>19866760+665229.77</f>
        <v>20531989.77</v>
      </c>
      <c r="J30" s="7"/>
      <c r="K30" s="7">
        <f t="shared" si="19"/>
        <v>20531989.77</v>
      </c>
      <c r="L30" s="7">
        <v>19866760</v>
      </c>
      <c r="M30" s="7"/>
      <c r="N30" s="7">
        <f t="shared" si="18"/>
        <v>19866760</v>
      </c>
      <c r="O30" s="7">
        <v>665229.77</v>
      </c>
      <c r="P30" s="7"/>
      <c r="Q30" s="7">
        <f t="shared" si="20"/>
        <v>665229.77</v>
      </c>
    </row>
    <row r="31" spans="1:17" ht="84">
      <c r="A31" s="6" t="s">
        <v>56</v>
      </c>
      <c r="B31" s="4" t="s">
        <v>27</v>
      </c>
      <c r="C31" s="4" t="s">
        <v>27</v>
      </c>
      <c r="D31" s="8" t="s">
        <v>35</v>
      </c>
      <c r="E31" s="8" t="s">
        <v>29</v>
      </c>
      <c r="F31" s="8" t="s">
        <v>36</v>
      </c>
      <c r="G31" s="7">
        <f>1290000+27228066.14</f>
        <v>28518066.140000001</v>
      </c>
      <c r="H31" s="7">
        <v>29084317.949999999</v>
      </c>
      <c r="I31" s="7">
        <f>5084326.04+23222400+777591.91</f>
        <v>29084317.949999999</v>
      </c>
      <c r="J31" s="7"/>
      <c r="K31" s="7">
        <f t="shared" si="19"/>
        <v>29084317.949999999</v>
      </c>
      <c r="L31" s="7">
        <v>23222400</v>
      </c>
      <c r="M31" s="7"/>
      <c r="N31" s="7">
        <f t="shared" si="18"/>
        <v>23222400</v>
      </c>
      <c r="O31" s="7">
        <v>5861917.9500000002</v>
      </c>
      <c r="P31" s="7"/>
      <c r="Q31" s="7">
        <f t="shared" si="20"/>
        <v>5861917.9500000002</v>
      </c>
    </row>
    <row r="32" spans="1:17" ht="84">
      <c r="A32" s="6" t="s">
        <v>57</v>
      </c>
      <c r="B32" s="4" t="s">
        <v>27</v>
      </c>
      <c r="C32" s="4" t="s">
        <v>27</v>
      </c>
      <c r="D32" s="8" t="s">
        <v>35</v>
      </c>
      <c r="E32" s="8" t="s">
        <v>29</v>
      </c>
      <c r="F32" s="8" t="s">
        <v>36</v>
      </c>
      <c r="G32" s="7">
        <f>32506130.34+1290000</f>
        <v>33796130.340000004</v>
      </c>
      <c r="H32" s="7">
        <v>32444051.16</v>
      </c>
      <c r="I32" s="7">
        <f>8444059.25+23222400+777591.91</f>
        <v>32444051.16</v>
      </c>
      <c r="J32" s="7"/>
      <c r="K32" s="7">
        <f t="shared" si="19"/>
        <v>32444051.16</v>
      </c>
      <c r="L32" s="7">
        <v>23222400</v>
      </c>
      <c r="M32" s="7"/>
      <c r="N32" s="7">
        <f t="shared" si="18"/>
        <v>23222400</v>
      </c>
      <c r="O32" s="7">
        <v>9221651.1600000001</v>
      </c>
      <c r="P32" s="7"/>
      <c r="Q32" s="7">
        <f t="shared" si="20"/>
        <v>9221651.1600000001</v>
      </c>
    </row>
    <row r="33" spans="1:17" ht="84">
      <c r="A33" s="6" t="s">
        <v>58</v>
      </c>
      <c r="B33" s="4" t="s">
        <v>27</v>
      </c>
      <c r="C33" s="4" t="s">
        <v>27</v>
      </c>
      <c r="D33" s="8" t="s">
        <v>35</v>
      </c>
      <c r="E33" s="8" t="s">
        <v>29</v>
      </c>
      <c r="F33" s="8" t="s">
        <v>36</v>
      </c>
      <c r="G33" s="7">
        <f>46924869.08</f>
        <v>46924869.079999998</v>
      </c>
      <c r="H33" s="7">
        <v>24773989.170000002</v>
      </c>
      <c r="I33" s="7">
        <f>23971320+802669.17</f>
        <v>24773989.170000002</v>
      </c>
      <c r="J33" s="7"/>
      <c r="K33" s="7">
        <f t="shared" si="19"/>
        <v>24773989.170000002</v>
      </c>
      <c r="L33" s="7">
        <v>23971320</v>
      </c>
      <c r="M33" s="7"/>
      <c r="N33" s="7">
        <f t="shared" si="18"/>
        <v>23971320</v>
      </c>
      <c r="O33" s="7">
        <v>802669.17</v>
      </c>
      <c r="P33" s="7"/>
      <c r="Q33" s="7">
        <f t="shared" si="20"/>
        <v>802669.17</v>
      </c>
    </row>
    <row r="34" spans="1:17" ht="84">
      <c r="A34" s="6" t="s">
        <v>59</v>
      </c>
      <c r="B34" s="4" t="s">
        <v>27</v>
      </c>
      <c r="C34" s="4" t="s">
        <v>27</v>
      </c>
      <c r="D34" s="8" t="s">
        <v>60</v>
      </c>
      <c r="E34" s="8" t="s">
        <v>29</v>
      </c>
      <c r="F34" s="8" t="s">
        <v>61</v>
      </c>
      <c r="G34" s="7">
        <f>H34</f>
        <v>59138949.600000001</v>
      </c>
      <c r="H34" s="7">
        <v>59138949.600000001</v>
      </c>
      <c r="I34" s="7">
        <v>59138949.600000001</v>
      </c>
      <c r="J34" s="7"/>
      <c r="K34" s="7">
        <f t="shared" si="19"/>
        <v>59138949.600000001</v>
      </c>
      <c r="L34" s="7"/>
      <c r="M34" s="7"/>
      <c r="N34" s="7"/>
      <c r="O34" s="7">
        <v>59138949.600000001</v>
      </c>
      <c r="P34" s="7"/>
      <c r="Q34" s="7">
        <f t="shared" si="20"/>
        <v>59138949.600000001</v>
      </c>
    </row>
    <row r="35" spans="1:17" ht="84">
      <c r="A35" s="6" t="s">
        <v>62</v>
      </c>
      <c r="B35" s="4" t="s">
        <v>27</v>
      </c>
      <c r="C35" s="4" t="s">
        <v>27</v>
      </c>
      <c r="D35" s="8" t="s">
        <v>63</v>
      </c>
      <c r="E35" s="8" t="s">
        <v>29</v>
      </c>
      <c r="F35" s="8" t="s">
        <v>36</v>
      </c>
      <c r="G35" s="7">
        <v>534672570</v>
      </c>
      <c r="H35" s="7">
        <v>198620000</v>
      </c>
      <c r="I35" s="7">
        <v>198620000</v>
      </c>
      <c r="J35" s="7"/>
      <c r="K35" s="7">
        <f t="shared" si="19"/>
        <v>198620000</v>
      </c>
      <c r="L35" s="7">
        <v>198620000</v>
      </c>
      <c r="M35" s="7"/>
      <c r="N35" s="7">
        <f t="shared" si="18"/>
        <v>198620000</v>
      </c>
      <c r="O35" s="7"/>
      <c r="P35" s="7"/>
      <c r="Q35" s="7"/>
    </row>
    <row r="36" spans="1:17" ht="84">
      <c r="A36" s="6" t="s">
        <v>64</v>
      </c>
      <c r="B36" s="4" t="s">
        <v>27</v>
      </c>
      <c r="C36" s="4" t="s">
        <v>27</v>
      </c>
      <c r="D36" s="8" t="s">
        <v>65</v>
      </c>
      <c r="E36" s="8" t="s">
        <v>29</v>
      </c>
      <c r="F36" s="8" t="s">
        <v>66</v>
      </c>
      <c r="G36" s="7">
        <f>2612432630.61-250000000+2375629008.94+65637666.17+5224865.26</f>
        <v>4808924170.9800005</v>
      </c>
      <c r="H36" s="7">
        <f>H37+H38</f>
        <v>1189977279.53</v>
      </c>
      <c r="I36" s="7">
        <f>I37+I38</f>
        <v>1189977279.53</v>
      </c>
      <c r="J36" s="7"/>
      <c r="K36" s="7">
        <f t="shared" si="19"/>
        <v>1189977279.53</v>
      </c>
      <c r="L36" s="7">
        <f>L37+L38</f>
        <v>1058752600</v>
      </c>
      <c r="M36" s="7"/>
      <c r="N36" s="7">
        <f t="shared" si="18"/>
        <v>1058752600</v>
      </c>
      <c r="O36" s="7">
        <f t="shared" ref="O36" si="21">O37+O38</f>
        <v>131224679.53</v>
      </c>
      <c r="P36" s="7"/>
      <c r="Q36" s="7">
        <f t="shared" si="20"/>
        <v>131224679.53</v>
      </c>
    </row>
    <row r="37" spans="1:17" ht="52.5">
      <c r="A37" s="6" t="s">
        <v>67</v>
      </c>
      <c r="B37" s="6" t="s">
        <v>68</v>
      </c>
      <c r="C37" s="6" t="s">
        <v>0</v>
      </c>
      <c r="D37" s="6" t="s">
        <v>0</v>
      </c>
      <c r="E37" s="6" t="s">
        <v>0</v>
      </c>
      <c r="F37" s="6" t="s">
        <v>0</v>
      </c>
      <c r="G37" s="7"/>
      <c r="H37" s="7">
        <v>1176391777.78</v>
      </c>
      <c r="I37" s="7">
        <f>1058752600+117639177.78</f>
        <v>1176391777.78</v>
      </c>
      <c r="J37" s="7"/>
      <c r="K37" s="7">
        <f t="shared" si="19"/>
        <v>1176391777.78</v>
      </c>
      <c r="L37" s="7">
        <v>1058752600</v>
      </c>
      <c r="M37" s="7"/>
      <c r="N37" s="7"/>
      <c r="O37" s="7">
        <v>117639177.78</v>
      </c>
      <c r="P37" s="7"/>
      <c r="Q37" s="7">
        <f t="shared" si="20"/>
        <v>117639177.78</v>
      </c>
    </row>
    <row r="38" spans="1:17">
      <c r="A38" s="6" t="s">
        <v>69</v>
      </c>
      <c r="B38" s="6" t="s">
        <v>27</v>
      </c>
      <c r="C38" s="6" t="s">
        <v>0</v>
      </c>
      <c r="D38" s="6" t="s">
        <v>0</v>
      </c>
      <c r="E38" s="6" t="s">
        <v>0</v>
      </c>
      <c r="F38" s="6" t="s">
        <v>0</v>
      </c>
      <c r="G38" s="7"/>
      <c r="H38" s="7">
        <v>13585501.75</v>
      </c>
      <c r="I38" s="7">
        <v>13585501.75</v>
      </c>
      <c r="J38" s="7"/>
      <c r="K38" s="7">
        <f t="shared" si="19"/>
        <v>13585501.75</v>
      </c>
      <c r="L38" s="7"/>
      <c r="M38" s="7"/>
      <c r="N38" s="7"/>
      <c r="O38" s="7">
        <v>13585501.75</v>
      </c>
      <c r="P38" s="7"/>
      <c r="Q38" s="7">
        <f t="shared" si="20"/>
        <v>13585501.75</v>
      </c>
    </row>
    <row r="39" spans="1:17" ht="84">
      <c r="A39" s="6" t="s">
        <v>70</v>
      </c>
      <c r="B39" s="4" t="s">
        <v>27</v>
      </c>
      <c r="C39" s="4" t="s">
        <v>27</v>
      </c>
      <c r="D39" s="8" t="s">
        <v>35</v>
      </c>
      <c r="E39" s="8" t="s">
        <v>29</v>
      </c>
      <c r="F39" s="8" t="s">
        <v>71</v>
      </c>
      <c r="G39" s="7">
        <f>H39</f>
        <v>2956647.47</v>
      </c>
      <c r="H39" s="7">
        <v>2956647.47</v>
      </c>
      <c r="I39" s="7">
        <v>2956647.47</v>
      </c>
      <c r="J39" s="7"/>
      <c r="K39" s="7">
        <f t="shared" si="19"/>
        <v>2956647.47</v>
      </c>
      <c r="L39" s="7"/>
      <c r="M39" s="7"/>
      <c r="N39" s="7"/>
      <c r="O39" s="7">
        <v>2956647.47</v>
      </c>
      <c r="P39" s="7"/>
      <c r="Q39" s="7">
        <f t="shared" si="20"/>
        <v>2956647.47</v>
      </c>
    </row>
    <row r="40" spans="1:17" ht="84">
      <c r="A40" s="6" t="s">
        <v>72</v>
      </c>
      <c r="B40" s="4" t="s">
        <v>27</v>
      </c>
      <c r="C40" s="4" t="s">
        <v>27</v>
      </c>
      <c r="D40" s="8" t="s">
        <v>35</v>
      </c>
      <c r="E40" s="8" t="s">
        <v>29</v>
      </c>
      <c r="F40" s="8" t="s">
        <v>71</v>
      </c>
      <c r="G40" s="7">
        <f>H40</f>
        <v>9405094.1899999995</v>
      </c>
      <c r="H40" s="7">
        <v>9405094.1899999995</v>
      </c>
      <c r="I40" s="7">
        <v>9405094.1899999995</v>
      </c>
      <c r="J40" s="7"/>
      <c r="K40" s="7">
        <f t="shared" si="19"/>
        <v>9405094.1899999995</v>
      </c>
      <c r="L40" s="7"/>
      <c r="M40" s="7"/>
      <c r="N40" s="7"/>
      <c r="O40" s="7">
        <v>9405094.1899999995</v>
      </c>
      <c r="P40" s="7"/>
      <c r="Q40" s="7">
        <f t="shared" si="20"/>
        <v>9405094.1899999995</v>
      </c>
    </row>
    <row r="41" spans="1:17" ht="84">
      <c r="A41" s="6" t="s">
        <v>73</v>
      </c>
      <c r="B41" s="4" t="s">
        <v>27</v>
      </c>
      <c r="C41" s="4" t="s">
        <v>27</v>
      </c>
      <c r="D41" s="8" t="s">
        <v>35</v>
      </c>
      <c r="E41" s="8" t="s">
        <v>29</v>
      </c>
      <c r="F41" s="8" t="s">
        <v>71</v>
      </c>
      <c r="G41" s="7">
        <f t="shared" ref="G41:G47" si="22">H41</f>
        <v>141611.85</v>
      </c>
      <c r="H41" s="7">
        <v>141611.85</v>
      </c>
      <c r="I41" s="7">
        <v>141611.85</v>
      </c>
      <c r="J41" s="7"/>
      <c r="K41" s="7">
        <f t="shared" si="19"/>
        <v>141611.85</v>
      </c>
      <c r="L41" s="7"/>
      <c r="M41" s="7"/>
      <c r="N41" s="7"/>
      <c r="O41" s="7">
        <v>141611.85</v>
      </c>
      <c r="P41" s="7"/>
      <c r="Q41" s="7">
        <f t="shared" si="20"/>
        <v>141611.85</v>
      </c>
    </row>
    <row r="42" spans="1:17" ht="84">
      <c r="A42" s="6" t="s">
        <v>74</v>
      </c>
      <c r="B42" s="4" t="s">
        <v>27</v>
      </c>
      <c r="C42" s="4" t="s">
        <v>27</v>
      </c>
      <c r="D42" s="8" t="s">
        <v>35</v>
      </c>
      <c r="E42" s="8" t="s">
        <v>29</v>
      </c>
      <c r="F42" s="8" t="s">
        <v>71</v>
      </c>
      <c r="G42" s="7">
        <f t="shared" si="22"/>
        <v>796037.69</v>
      </c>
      <c r="H42" s="7">
        <v>796037.69</v>
      </c>
      <c r="I42" s="7">
        <v>796037.69</v>
      </c>
      <c r="J42" s="7"/>
      <c r="K42" s="7">
        <f t="shared" si="19"/>
        <v>796037.69</v>
      </c>
      <c r="L42" s="7"/>
      <c r="M42" s="7"/>
      <c r="N42" s="7"/>
      <c r="O42" s="7">
        <v>796037.69</v>
      </c>
      <c r="P42" s="7"/>
      <c r="Q42" s="7">
        <f t="shared" si="20"/>
        <v>796037.69</v>
      </c>
    </row>
    <row r="43" spans="1:17" ht="84">
      <c r="A43" s="6" t="s">
        <v>75</v>
      </c>
      <c r="B43" s="4" t="s">
        <v>27</v>
      </c>
      <c r="C43" s="4" t="s">
        <v>27</v>
      </c>
      <c r="D43" s="8" t="s">
        <v>35</v>
      </c>
      <c r="E43" s="8" t="s">
        <v>29</v>
      </c>
      <c r="F43" s="8" t="s">
        <v>71</v>
      </c>
      <c r="G43" s="7">
        <f t="shared" si="22"/>
        <v>2850429.02</v>
      </c>
      <c r="H43" s="7">
        <v>2850429.02</v>
      </c>
      <c r="I43" s="7">
        <v>2850429.02</v>
      </c>
      <c r="J43" s="7"/>
      <c r="K43" s="7">
        <f t="shared" si="19"/>
        <v>2850429.02</v>
      </c>
      <c r="L43" s="7"/>
      <c r="M43" s="7"/>
      <c r="N43" s="7"/>
      <c r="O43" s="7">
        <v>2850429.02</v>
      </c>
      <c r="P43" s="7"/>
      <c r="Q43" s="7">
        <f t="shared" si="20"/>
        <v>2850429.02</v>
      </c>
    </row>
    <row r="44" spans="1:17" ht="84">
      <c r="A44" s="6" t="s">
        <v>76</v>
      </c>
      <c r="B44" s="4" t="s">
        <v>27</v>
      </c>
      <c r="C44" s="4" t="s">
        <v>27</v>
      </c>
      <c r="D44" s="8" t="s">
        <v>35</v>
      </c>
      <c r="E44" s="8" t="s">
        <v>29</v>
      </c>
      <c r="F44" s="8" t="s">
        <v>71</v>
      </c>
      <c r="G44" s="7">
        <f t="shared" si="22"/>
        <v>166908.04</v>
      </c>
      <c r="H44" s="7">
        <v>166908.04</v>
      </c>
      <c r="I44" s="7">
        <v>166908.04</v>
      </c>
      <c r="J44" s="7"/>
      <c r="K44" s="7">
        <f t="shared" si="19"/>
        <v>166908.04</v>
      </c>
      <c r="L44" s="7"/>
      <c r="M44" s="7"/>
      <c r="N44" s="7"/>
      <c r="O44" s="7">
        <v>166908.04</v>
      </c>
      <c r="P44" s="7"/>
      <c r="Q44" s="7">
        <f t="shared" si="20"/>
        <v>166908.04</v>
      </c>
    </row>
    <row r="45" spans="1:17" ht="84">
      <c r="A45" s="6" t="s">
        <v>77</v>
      </c>
      <c r="B45" s="4" t="s">
        <v>27</v>
      </c>
      <c r="C45" s="4" t="s">
        <v>27</v>
      </c>
      <c r="D45" s="8" t="s">
        <v>35</v>
      </c>
      <c r="E45" s="8" t="s">
        <v>29</v>
      </c>
      <c r="F45" s="8" t="s">
        <v>71</v>
      </c>
      <c r="G45" s="7">
        <f t="shared" si="22"/>
        <v>206656.95</v>
      </c>
      <c r="H45" s="7">
        <v>206656.95</v>
      </c>
      <c r="I45" s="7">
        <v>206656.95</v>
      </c>
      <c r="J45" s="7"/>
      <c r="K45" s="7">
        <f t="shared" si="19"/>
        <v>206656.95</v>
      </c>
      <c r="L45" s="7"/>
      <c r="M45" s="7"/>
      <c r="N45" s="7"/>
      <c r="O45" s="7">
        <v>206656.95</v>
      </c>
      <c r="P45" s="7"/>
      <c r="Q45" s="7">
        <f t="shared" si="20"/>
        <v>206656.95</v>
      </c>
    </row>
    <row r="46" spans="1:17" ht="84">
      <c r="A46" s="6" t="s">
        <v>78</v>
      </c>
      <c r="B46" s="4" t="s">
        <v>27</v>
      </c>
      <c r="C46" s="4" t="s">
        <v>27</v>
      </c>
      <c r="D46" s="8" t="s">
        <v>35</v>
      </c>
      <c r="E46" s="8" t="s">
        <v>29</v>
      </c>
      <c r="F46" s="8" t="s">
        <v>71</v>
      </c>
      <c r="G46" s="7">
        <f>H46</f>
        <v>13790290.92</v>
      </c>
      <c r="H46" s="7">
        <v>13790290.92</v>
      </c>
      <c r="I46" s="7">
        <v>13790290.92</v>
      </c>
      <c r="J46" s="7"/>
      <c r="K46" s="7">
        <f t="shared" si="19"/>
        <v>13790290.92</v>
      </c>
      <c r="L46" s="7"/>
      <c r="M46" s="7"/>
      <c r="N46" s="7"/>
      <c r="O46" s="7">
        <v>13790290.92</v>
      </c>
      <c r="P46" s="7"/>
      <c r="Q46" s="7">
        <f t="shared" si="20"/>
        <v>13790290.92</v>
      </c>
    </row>
    <row r="47" spans="1:17" ht="84">
      <c r="A47" s="6" t="s">
        <v>79</v>
      </c>
      <c r="B47" s="4" t="s">
        <v>27</v>
      </c>
      <c r="C47" s="4" t="s">
        <v>27</v>
      </c>
      <c r="D47" s="8" t="s">
        <v>35</v>
      </c>
      <c r="E47" s="8" t="s">
        <v>29</v>
      </c>
      <c r="F47" s="8" t="s">
        <v>71</v>
      </c>
      <c r="G47" s="7">
        <f t="shared" si="22"/>
        <v>9586268.1999999993</v>
      </c>
      <c r="H47" s="7">
        <v>9586268.1999999993</v>
      </c>
      <c r="I47" s="7">
        <v>9586268.1999999993</v>
      </c>
      <c r="J47" s="7"/>
      <c r="K47" s="7">
        <f t="shared" si="19"/>
        <v>9586268.1999999993</v>
      </c>
      <c r="L47" s="7"/>
      <c r="M47" s="7"/>
      <c r="N47" s="7"/>
      <c r="O47" s="7">
        <v>9586268.1999999993</v>
      </c>
      <c r="P47" s="7"/>
      <c r="Q47" s="7">
        <f t="shared" si="20"/>
        <v>9586268.1999999993</v>
      </c>
    </row>
    <row r="48" spans="1:17" ht="18.75" customHeight="1">
      <c r="A48" s="19" t="s">
        <v>80</v>
      </c>
      <c r="B48" s="19"/>
      <c r="C48" s="19"/>
      <c r="D48" s="19"/>
      <c r="E48" s="19"/>
      <c r="F48" s="19"/>
      <c r="G48" s="7">
        <f>G52</f>
        <v>4165451203.02</v>
      </c>
      <c r="H48" s="7">
        <f>H49+H50</f>
        <v>2507191037.7300005</v>
      </c>
      <c r="I48" s="7">
        <f>I49+I50</f>
        <v>2507191037.73</v>
      </c>
      <c r="J48" s="7">
        <f t="shared" ref="J48:Q48" si="23">J49+J50</f>
        <v>-1.1699999999254942</v>
      </c>
      <c r="K48" s="7">
        <f t="shared" si="23"/>
        <v>2507191036.5599999</v>
      </c>
      <c r="L48" s="7">
        <f t="shared" si="23"/>
        <v>2132218527.9499998</v>
      </c>
      <c r="M48" s="7"/>
      <c r="N48" s="7">
        <f t="shared" si="23"/>
        <v>2132218527.9499998</v>
      </c>
      <c r="O48" s="7">
        <f t="shared" si="23"/>
        <v>374972509.77999997</v>
      </c>
      <c r="P48" s="7">
        <f t="shared" si="23"/>
        <v>-1.1699999999254942</v>
      </c>
      <c r="Q48" s="7">
        <f t="shared" si="23"/>
        <v>374972508.61000001</v>
      </c>
    </row>
    <row r="49" spans="1:17">
      <c r="A49" s="19" t="s">
        <v>21</v>
      </c>
      <c r="B49" s="19"/>
      <c r="C49" s="19"/>
      <c r="D49" s="19"/>
      <c r="E49" s="19"/>
      <c r="F49" s="19"/>
      <c r="G49" s="7"/>
      <c r="H49" s="7">
        <f>H54+H57+H59+H62+H64+H67+H69+H73+H76+H79+H82</f>
        <v>1897589692.6600003</v>
      </c>
      <c r="I49" s="7">
        <f>I54+I57+I59+I62+I64+I67+I69+I73+I76+I79+I82</f>
        <v>1889867415.3200002</v>
      </c>
      <c r="J49" s="7">
        <f t="shared" ref="J49:Q49" si="24">J54+J57+J59+J62+J64+J67+J69+J73+J76+J79+J82</f>
        <v>-7722278.5099999998</v>
      </c>
      <c r="K49" s="7">
        <f t="shared" si="24"/>
        <v>1889867414.1500001</v>
      </c>
      <c r="L49" s="7">
        <f t="shared" si="24"/>
        <v>1768324699.9999998</v>
      </c>
      <c r="M49" s="7"/>
      <c r="N49" s="7">
        <f t="shared" si="24"/>
        <v>1768324699.9999998</v>
      </c>
      <c r="O49" s="7">
        <f t="shared" si="24"/>
        <v>129264992.66</v>
      </c>
      <c r="P49" s="7">
        <f t="shared" si="24"/>
        <v>-7722278.5099999998</v>
      </c>
      <c r="Q49" s="7">
        <f t="shared" si="24"/>
        <v>121542714.15000001</v>
      </c>
    </row>
    <row r="50" spans="1:17">
      <c r="A50" s="19" t="s">
        <v>22</v>
      </c>
      <c r="B50" s="19"/>
      <c r="C50" s="19"/>
      <c r="D50" s="19"/>
      <c r="E50" s="19"/>
      <c r="F50" s="19"/>
      <c r="G50" s="7"/>
      <c r="H50" s="7">
        <f>H55+H60+H65+H70+H71+H74+H77+H80</f>
        <v>609601345.06999993</v>
      </c>
      <c r="I50" s="7">
        <f>I55+I60+I65+I70+I71+I74+I77+I80</f>
        <v>617323622.40999997</v>
      </c>
      <c r="J50" s="7">
        <f t="shared" ref="J50:Q50" si="25">J55+J60+J65+J70+J71+J74+J77+J80</f>
        <v>7722277.3399999999</v>
      </c>
      <c r="K50" s="7">
        <f t="shared" si="25"/>
        <v>617323622.40999997</v>
      </c>
      <c r="L50" s="7">
        <f t="shared" si="25"/>
        <v>363893827.94999999</v>
      </c>
      <c r="M50" s="7"/>
      <c r="N50" s="7">
        <f t="shared" si="25"/>
        <v>363893827.94999999</v>
      </c>
      <c r="O50" s="7">
        <f t="shared" si="25"/>
        <v>245707517.11999997</v>
      </c>
      <c r="P50" s="7">
        <f t="shared" si="25"/>
        <v>7722277.3399999999</v>
      </c>
      <c r="Q50" s="7">
        <f t="shared" si="25"/>
        <v>253429794.45999998</v>
      </c>
    </row>
    <row r="51" spans="1:17" ht="20.25" customHeight="1">
      <c r="A51" s="19" t="s">
        <v>81</v>
      </c>
      <c r="B51" s="19"/>
      <c r="C51" s="19"/>
      <c r="D51" s="19"/>
      <c r="E51" s="19"/>
      <c r="F51" s="19"/>
      <c r="G51" s="7"/>
      <c r="H51" s="7">
        <f>H53+H56+H58+H60+H61+H63+H66+H68+H70+H71+H72+H75+H78+H81</f>
        <v>2507191037.73</v>
      </c>
      <c r="I51" s="7">
        <f>I53+I56+I58+I60+I61+I63+I66+I68+I70+I71+I72+I75+I78+I81</f>
        <v>2507191037.7299995</v>
      </c>
      <c r="J51" s="7">
        <f t="shared" ref="J51:Q51" si="26">J53+J56+J58+J60+J61+J63+J66+J68+J70+J71+J72+J75+J78+J81</f>
        <v>-1.17</v>
      </c>
      <c r="K51" s="7">
        <f t="shared" si="26"/>
        <v>2507191036.5599999</v>
      </c>
      <c r="L51" s="7">
        <f t="shared" si="26"/>
        <v>2132218527.95</v>
      </c>
      <c r="M51" s="7"/>
      <c r="N51" s="7">
        <f t="shared" si="26"/>
        <v>2132218527.95</v>
      </c>
      <c r="O51" s="7">
        <f t="shared" si="26"/>
        <v>374972509.77999997</v>
      </c>
      <c r="P51" s="7">
        <f t="shared" si="26"/>
        <v>-1.17</v>
      </c>
      <c r="Q51" s="7">
        <f t="shared" si="26"/>
        <v>374972508.61000001</v>
      </c>
    </row>
    <row r="52" spans="1:17">
      <c r="A52" s="14" t="s">
        <v>25</v>
      </c>
      <c r="B52" s="14"/>
      <c r="C52" s="14"/>
      <c r="D52" s="14"/>
      <c r="E52" s="14"/>
      <c r="F52" s="14"/>
      <c r="G52" s="5">
        <f>G53+G56+G58+G60+G61+G63+G66+G68+G70+G71+G72+G75+G78+G81</f>
        <v>4165451203.02</v>
      </c>
      <c r="H52" s="5">
        <f>H53+H56+H58+H60+H61+H63+H66+H68+H70+H71+H72+H75+H78+H81</f>
        <v>2507191037.73</v>
      </c>
      <c r="I52" s="5">
        <f>I53+I56+I58+I60+I61+I63+I66+I68+I70+I71+I72+I75+I78+I81</f>
        <v>2507191037.7299995</v>
      </c>
      <c r="J52" s="5">
        <f t="shared" ref="J52:Q52" si="27">J53+J56+J58+J60+J61+J63+J66+J68+J70+J71+J72+J75+J78+J81</f>
        <v>-1.17</v>
      </c>
      <c r="K52" s="5">
        <f t="shared" si="27"/>
        <v>2507191036.5599999</v>
      </c>
      <c r="L52" s="5">
        <f t="shared" si="27"/>
        <v>2132218527.95</v>
      </c>
      <c r="M52" s="7"/>
      <c r="N52" s="5">
        <f t="shared" si="27"/>
        <v>2132218527.95</v>
      </c>
      <c r="O52" s="5">
        <f t="shared" si="27"/>
        <v>374972509.77999997</v>
      </c>
      <c r="P52" s="5">
        <f t="shared" si="27"/>
        <v>-1.17</v>
      </c>
      <c r="Q52" s="5">
        <f t="shared" si="27"/>
        <v>374972508.61000001</v>
      </c>
    </row>
    <row r="53" spans="1:17" ht="63">
      <c r="A53" s="6" t="s">
        <v>82</v>
      </c>
      <c r="B53" s="4" t="s">
        <v>27</v>
      </c>
      <c r="C53" s="4" t="s">
        <v>27</v>
      </c>
      <c r="D53" s="8" t="s">
        <v>83</v>
      </c>
      <c r="E53" s="8" t="s">
        <v>84</v>
      </c>
      <c r="F53" s="8" t="s">
        <v>85</v>
      </c>
      <c r="G53" s="7">
        <v>179075564.68000001</v>
      </c>
      <c r="H53" s="7">
        <v>141204334.90000001</v>
      </c>
      <c r="I53" s="7">
        <f>I54+I55</f>
        <v>141204334.90000001</v>
      </c>
      <c r="J53" s="7">
        <v>-1.17</v>
      </c>
      <c r="K53" s="7">
        <f t="shared" si="19"/>
        <v>141204333.73000002</v>
      </c>
      <c r="L53" s="7">
        <v>114631311.64</v>
      </c>
      <c r="M53" s="7"/>
      <c r="N53" s="7">
        <v>114631311.64</v>
      </c>
      <c r="O53" s="7">
        <v>26573023.260000002</v>
      </c>
      <c r="P53" s="7">
        <v>-1.17</v>
      </c>
      <c r="Q53" s="7">
        <f>O53+P53</f>
        <v>26573022.09</v>
      </c>
    </row>
    <row r="54" spans="1:17" ht="21">
      <c r="A54" s="6" t="s">
        <v>86</v>
      </c>
      <c r="B54" s="6" t="s">
        <v>87</v>
      </c>
      <c r="C54" s="6" t="s">
        <v>0</v>
      </c>
      <c r="D54" s="6" t="s">
        <v>0</v>
      </c>
      <c r="E54" s="6" t="s">
        <v>0</v>
      </c>
      <c r="F54" s="6" t="s">
        <v>0</v>
      </c>
      <c r="G54" s="7"/>
      <c r="H54" s="7">
        <v>116970727.34</v>
      </c>
      <c r="I54" s="7">
        <f>114631311.64+2339415.7</f>
        <v>116970727.34</v>
      </c>
      <c r="J54" s="7">
        <v>-1.17</v>
      </c>
      <c r="K54" s="7">
        <f t="shared" si="19"/>
        <v>116970726.17</v>
      </c>
      <c r="L54" s="7">
        <v>114631311.64</v>
      </c>
      <c r="M54" s="7"/>
      <c r="N54" s="7">
        <v>114631311.64</v>
      </c>
      <c r="O54" s="7">
        <v>2339415.7000000002</v>
      </c>
      <c r="P54" s="7">
        <v>-1.17</v>
      </c>
      <c r="Q54" s="7">
        <f t="shared" ref="Q54:Q81" si="28">O54+P54</f>
        <v>2339414.5300000003</v>
      </c>
    </row>
    <row r="55" spans="1:17">
      <c r="A55" s="6" t="s">
        <v>69</v>
      </c>
      <c r="B55" s="6" t="s">
        <v>27</v>
      </c>
      <c r="C55" s="6" t="s">
        <v>0</v>
      </c>
      <c r="D55" s="6" t="s">
        <v>0</v>
      </c>
      <c r="E55" s="6" t="s">
        <v>0</v>
      </c>
      <c r="F55" s="6" t="s">
        <v>0</v>
      </c>
      <c r="G55" s="7"/>
      <c r="H55" s="7">
        <v>24233607.559999999</v>
      </c>
      <c r="I55" s="7">
        <v>24233607.559999999</v>
      </c>
      <c r="J55" s="7"/>
      <c r="K55" s="7">
        <f t="shared" si="19"/>
        <v>24233607.559999999</v>
      </c>
      <c r="L55" s="7"/>
      <c r="M55" s="7"/>
      <c r="N55" s="7"/>
      <c r="O55" s="7">
        <v>24233607.559999999</v>
      </c>
      <c r="P55" s="7"/>
      <c r="Q55" s="7">
        <f t="shared" si="28"/>
        <v>24233607.559999999</v>
      </c>
    </row>
    <row r="56" spans="1:17" ht="63">
      <c r="A56" s="6" t="s">
        <v>88</v>
      </c>
      <c r="B56" s="4" t="s">
        <v>27</v>
      </c>
      <c r="C56" s="4" t="s">
        <v>27</v>
      </c>
      <c r="D56" s="8" t="s">
        <v>89</v>
      </c>
      <c r="E56" s="8" t="s">
        <v>90</v>
      </c>
      <c r="F56" s="8" t="s">
        <v>85</v>
      </c>
      <c r="G56" s="7">
        <v>194487036.36000001</v>
      </c>
      <c r="H56" s="7">
        <v>156737641.27000001</v>
      </c>
      <c r="I56" s="7">
        <f>I57</f>
        <v>156737641.26999998</v>
      </c>
      <c r="J56" s="7"/>
      <c r="K56" s="7">
        <f t="shared" si="19"/>
        <v>156737641.27000001</v>
      </c>
      <c r="L56" s="7">
        <v>153602888.44999999</v>
      </c>
      <c r="M56" s="7"/>
      <c r="N56" s="7">
        <v>153602888.44999999</v>
      </c>
      <c r="O56" s="7">
        <v>3134752.82</v>
      </c>
      <c r="P56" s="7"/>
      <c r="Q56" s="7">
        <f t="shared" si="28"/>
        <v>3134752.82</v>
      </c>
    </row>
    <row r="57" spans="1:17" ht="21">
      <c r="A57" s="6" t="s">
        <v>86</v>
      </c>
      <c r="B57" s="6" t="s">
        <v>87</v>
      </c>
      <c r="C57" s="6" t="s">
        <v>0</v>
      </c>
      <c r="D57" s="6" t="s">
        <v>0</v>
      </c>
      <c r="E57" s="6" t="s">
        <v>0</v>
      </c>
      <c r="F57" s="6" t="s">
        <v>0</v>
      </c>
      <c r="G57" s="7"/>
      <c r="H57" s="7">
        <v>156737641.27000001</v>
      </c>
      <c r="I57" s="7">
        <f>153602888.45+3134752.82</f>
        <v>156737641.26999998</v>
      </c>
      <c r="J57" s="7"/>
      <c r="K57" s="7">
        <f t="shared" si="19"/>
        <v>156737641.27000001</v>
      </c>
      <c r="L57" s="7">
        <v>153602888.44999999</v>
      </c>
      <c r="M57" s="7"/>
      <c r="N57" s="7">
        <v>153602888.44999999</v>
      </c>
      <c r="O57" s="7">
        <v>3134752.82</v>
      </c>
      <c r="P57" s="7"/>
      <c r="Q57" s="7">
        <f t="shared" si="28"/>
        <v>3134752.82</v>
      </c>
    </row>
    <row r="58" spans="1:17" ht="52.5">
      <c r="A58" s="6" t="s">
        <v>91</v>
      </c>
      <c r="B58" s="4" t="s">
        <v>27</v>
      </c>
      <c r="C58" s="4" t="s">
        <v>27</v>
      </c>
      <c r="D58" s="8" t="s">
        <v>89</v>
      </c>
      <c r="E58" s="8" t="s">
        <v>92</v>
      </c>
      <c r="F58" s="8" t="s">
        <v>85</v>
      </c>
      <c r="G58" s="7">
        <v>514000</v>
      </c>
      <c r="H58" s="7">
        <v>513486</v>
      </c>
      <c r="I58" s="7">
        <f>I59</f>
        <v>513486</v>
      </c>
      <c r="J58" s="7"/>
      <c r="K58" s="7">
        <f>H58+J58</f>
        <v>513486</v>
      </c>
      <c r="L58" s="7">
        <v>503216.28</v>
      </c>
      <c r="M58" s="7"/>
      <c r="N58" s="7">
        <v>503216.28</v>
      </c>
      <c r="O58" s="7">
        <v>10269.719999999999</v>
      </c>
      <c r="P58" s="7"/>
      <c r="Q58" s="7">
        <f t="shared" si="28"/>
        <v>10269.719999999999</v>
      </c>
    </row>
    <row r="59" spans="1:17" ht="21">
      <c r="A59" s="6" t="s">
        <v>86</v>
      </c>
      <c r="B59" s="6" t="s">
        <v>87</v>
      </c>
      <c r="C59" s="6" t="s">
        <v>0</v>
      </c>
      <c r="D59" s="6" t="s">
        <v>0</v>
      </c>
      <c r="E59" s="6" t="s">
        <v>0</v>
      </c>
      <c r="F59" s="6" t="s">
        <v>0</v>
      </c>
      <c r="G59" s="7"/>
      <c r="H59" s="7">
        <v>513486</v>
      </c>
      <c r="I59" s="7">
        <f>503216.28+10269.72</f>
        <v>513486</v>
      </c>
      <c r="J59" s="7"/>
      <c r="K59" s="7">
        <f t="shared" si="19"/>
        <v>513486</v>
      </c>
      <c r="L59" s="7">
        <v>503216.28</v>
      </c>
      <c r="M59" s="7"/>
      <c r="N59" s="7">
        <v>503216.28</v>
      </c>
      <c r="O59" s="7">
        <v>10269.719999999999</v>
      </c>
      <c r="P59" s="7"/>
      <c r="Q59" s="7">
        <f t="shared" si="28"/>
        <v>10269.719999999999</v>
      </c>
    </row>
    <row r="60" spans="1:17" ht="84">
      <c r="A60" s="6" t="s">
        <v>93</v>
      </c>
      <c r="B60" s="4" t="s">
        <v>27</v>
      </c>
      <c r="C60" s="4" t="s">
        <v>27</v>
      </c>
      <c r="D60" s="8" t="s">
        <v>89</v>
      </c>
      <c r="E60" s="8" t="s">
        <v>29</v>
      </c>
      <c r="F60" s="8" t="s">
        <v>36</v>
      </c>
      <c r="G60" s="7">
        <v>241969227.94999999</v>
      </c>
      <c r="H60" s="7">
        <v>241969227.94999999</v>
      </c>
      <c r="I60" s="7">
        <v>241969227.94999999</v>
      </c>
      <c r="J60" s="7"/>
      <c r="K60" s="7">
        <f>H60+J60</f>
        <v>241969227.94999999</v>
      </c>
      <c r="L60" s="7">
        <v>241969227.94999999</v>
      </c>
      <c r="M60" s="7"/>
      <c r="N60" s="7">
        <v>241969227.94999999</v>
      </c>
      <c r="O60" s="7"/>
      <c r="P60" s="7"/>
      <c r="Q60" s="7">
        <f t="shared" si="28"/>
        <v>0</v>
      </c>
    </row>
    <row r="61" spans="1:17" ht="63">
      <c r="A61" s="6" t="s">
        <v>94</v>
      </c>
      <c r="B61" s="4" t="s">
        <v>27</v>
      </c>
      <c r="C61" s="4" t="s">
        <v>27</v>
      </c>
      <c r="D61" s="8" t="s">
        <v>95</v>
      </c>
      <c r="E61" s="8" t="s">
        <v>96</v>
      </c>
      <c r="F61" s="8" t="s">
        <v>36</v>
      </c>
      <c r="G61" s="7">
        <v>296227028.83999997</v>
      </c>
      <c r="H61" s="7">
        <v>287632653.06999999</v>
      </c>
      <c r="I61" s="7">
        <f>I62</f>
        <v>287632653.06999999</v>
      </c>
      <c r="J61" s="7"/>
      <c r="K61" s="7">
        <f>H61+J61</f>
        <v>287632653.06999999</v>
      </c>
      <c r="L61" s="7">
        <v>281880000</v>
      </c>
      <c r="M61" s="7"/>
      <c r="N61" s="7">
        <v>281880000</v>
      </c>
      <c r="O61" s="7">
        <v>5752653.0700000003</v>
      </c>
      <c r="P61" s="7"/>
      <c r="Q61" s="7">
        <f t="shared" si="28"/>
        <v>5752653.0700000003</v>
      </c>
    </row>
    <row r="62" spans="1:17" ht="21">
      <c r="A62" s="6" t="s">
        <v>86</v>
      </c>
      <c r="B62" s="6" t="s">
        <v>87</v>
      </c>
      <c r="C62" s="6" t="s">
        <v>0</v>
      </c>
      <c r="D62" s="6" t="s">
        <v>0</v>
      </c>
      <c r="E62" s="6" t="s">
        <v>0</v>
      </c>
      <c r="F62" s="6" t="s">
        <v>0</v>
      </c>
      <c r="G62" s="7"/>
      <c r="H62" s="7">
        <v>287632653.06999999</v>
      </c>
      <c r="I62" s="7">
        <f>281880000+5752653.07</f>
        <v>287632653.06999999</v>
      </c>
      <c r="J62" s="7"/>
      <c r="K62" s="7">
        <f t="shared" si="19"/>
        <v>287632653.06999999</v>
      </c>
      <c r="L62" s="7">
        <v>281880000</v>
      </c>
      <c r="M62" s="7"/>
      <c r="N62" s="7">
        <v>281880000</v>
      </c>
      <c r="O62" s="7">
        <v>5752653.0700000003</v>
      </c>
      <c r="P62" s="7"/>
      <c r="Q62" s="7">
        <f t="shared" si="28"/>
        <v>5752653.0700000003</v>
      </c>
    </row>
    <row r="63" spans="1:17" ht="42">
      <c r="A63" s="6" t="s">
        <v>97</v>
      </c>
      <c r="B63" s="4" t="s">
        <v>27</v>
      </c>
      <c r="C63" s="4" t="s">
        <v>27</v>
      </c>
      <c r="D63" s="8" t="s">
        <v>95</v>
      </c>
      <c r="E63" s="8" t="s">
        <v>98</v>
      </c>
      <c r="F63" s="8" t="s">
        <v>99</v>
      </c>
      <c r="G63" s="7">
        <v>35867857.579999998</v>
      </c>
      <c r="H63" s="7">
        <v>35831989.700000003</v>
      </c>
      <c r="I63" s="7">
        <f>I64+I65</f>
        <v>35831989.699999996</v>
      </c>
      <c r="J63" s="7"/>
      <c r="K63" s="7">
        <f t="shared" si="19"/>
        <v>35831989.700000003</v>
      </c>
      <c r="L63" s="7">
        <v>32227200</v>
      </c>
      <c r="M63" s="7"/>
      <c r="N63" s="7">
        <v>32227200</v>
      </c>
      <c r="O63" s="7">
        <v>3604789.7</v>
      </c>
      <c r="P63" s="7"/>
      <c r="Q63" s="7">
        <f t="shared" si="28"/>
        <v>3604789.7</v>
      </c>
    </row>
    <row r="64" spans="1:17" ht="21">
      <c r="A64" s="6" t="s">
        <v>86</v>
      </c>
      <c r="B64" s="6" t="s">
        <v>87</v>
      </c>
      <c r="C64" s="6" t="s">
        <v>0</v>
      </c>
      <c r="D64" s="6" t="s">
        <v>0</v>
      </c>
      <c r="E64" s="6" t="s">
        <v>0</v>
      </c>
      <c r="F64" s="6" t="s">
        <v>0</v>
      </c>
      <c r="G64" s="7"/>
      <c r="H64" s="7">
        <v>9787352.4399999995</v>
      </c>
      <c r="I64" s="7">
        <f>8802600+984752.44</f>
        <v>9787352.4399999995</v>
      </c>
      <c r="J64" s="7"/>
      <c r="K64" s="7">
        <f t="shared" si="19"/>
        <v>9787352.4399999995</v>
      </c>
      <c r="L64" s="7">
        <v>8802600</v>
      </c>
      <c r="M64" s="7"/>
      <c r="N64" s="7">
        <v>8802600</v>
      </c>
      <c r="O64" s="7">
        <v>984752.44</v>
      </c>
      <c r="P64" s="7"/>
      <c r="Q64" s="7">
        <f t="shared" si="28"/>
        <v>984752.44</v>
      </c>
    </row>
    <row r="65" spans="1:17">
      <c r="A65" s="6" t="s">
        <v>69</v>
      </c>
      <c r="B65" s="6" t="s">
        <v>27</v>
      </c>
      <c r="C65" s="6" t="s">
        <v>0</v>
      </c>
      <c r="D65" s="6" t="s">
        <v>0</v>
      </c>
      <c r="E65" s="6" t="s">
        <v>0</v>
      </c>
      <c r="F65" s="6" t="s">
        <v>0</v>
      </c>
      <c r="G65" s="7"/>
      <c r="H65" s="7">
        <v>26044637.260000002</v>
      </c>
      <c r="I65" s="7">
        <f>23424600+2620037.26</f>
        <v>26044637.259999998</v>
      </c>
      <c r="J65" s="7"/>
      <c r="K65" s="7">
        <f t="shared" si="19"/>
        <v>26044637.260000002</v>
      </c>
      <c r="L65" s="7">
        <v>23424600</v>
      </c>
      <c r="M65" s="7"/>
      <c r="N65" s="7">
        <v>23424600</v>
      </c>
      <c r="O65" s="7">
        <v>2620037.2599999998</v>
      </c>
      <c r="P65" s="7"/>
      <c r="Q65" s="7">
        <f t="shared" si="28"/>
        <v>2620037.2599999998</v>
      </c>
    </row>
    <row r="66" spans="1:17" ht="42">
      <c r="A66" s="6" t="s">
        <v>100</v>
      </c>
      <c r="B66" s="4" t="s">
        <v>27</v>
      </c>
      <c r="C66" s="4" t="s">
        <v>27</v>
      </c>
      <c r="D66" s="8" t="s">
        <v>95</v>
      </c>
      <c r="E66" s="8" t="s">
        <v>98</v>
      </c>
      <c r="F66" s="8" t="s">
        <v>36</v>
      </c>
      <c r="G66" s="7">
        <v>293946926.04000002</v>
      </c>
      <c r="H66" s="7">
        <v>274945918.37</v>
      </c>
      <c r="I66" s="7">
        <f>I67</f>
        <v>274945918.37</v>
      </c>
      <c r="J66" s="7"/>
      <c r="K66" s="7">
        <f t="shared" si="19"/>
        <v>274945918.37</v>
      </c>
      <c r="L66" s="7">
        <v>269447000</v>
      </c>
      <c r="M66" s="7"/>
      <c r="N66" s="7">
        <v>269447000</v>
      </c>
      <c r="O66" s="7">
        <v>5498918.3700000001</v>
      </c>
      <c r="P66" s="7"/>
      <c r="Q66" s="7">
        <f t="shared" si="28"/>
        <v>5498918.3700000001</v>
      </c>
    </row>
    <row r="67" spans="1:17" ht="21">
      <c r="A67" s="6" t="s">
        <v>86</v>
      </c>
      <c r="B67" s="6" t="s">
        <v>87</v>
      </c>
      <c r="C67" s="6" t="s">
        <v>0</v>
      </c>
      <c r="D67" s="6" t="s">
        <v>0</v>
      </c>
      <c r="E67" s="6" t="s">
        <v>0</v>
      </c>
      <c r="F67" s="6" t="s">
        <v>0</v>
      </c>
      <c r="G67" s="7"/>
      <c r="H67" s="7">
        <v>274945918.37</v>
      </c>
      <c r="I67" s="7">
        <f>269447000+5498918.37</f>
        <v>274945918.37</v>
      </c>
      <c r="J67" s="7"/>
      <c r="K67" s="7">
        <f t="shared" si="19"/>
        <v>274945918.37</v>
      </c>
      <c r="L67" s="7">
        <v>269447000</v>
      </c>
      <c r="M67" s="7"/>
      <c r="N67" s="7">
        <v>269447000</v>
      </c>
      <c r="O67" s="7">
        <v>5498918.3700000001</v>
      </c>
      <c r="P67" s="7"/>
      <c r="Q67" s="7">
        <f t="shared" si="28"/>
        <v>5498918.3700000001</v>
      </c>
    </row>
    <row r="68" spans="1:17" ht="63">
      <c r="A68" s="6" t="s">
        <v>101</v>
      </c>
      <c r="B68" s="4" t="s">
        <v>27</v>
      </c>
      <c r="C68" s="4" t="s">
        <v>27</v>
      </c>
      <c r="D68" s="8" t="s">
        <v>102</v>
      </c>
      <c r="E68" s="8" t="s">
        <v>103</v>
      </c>
      <c r="F68" s="8" t="s">
        <v>85</v>
      </c>
      <c r="G68" s="7">
        <v>6331518.8999999994</v>
      </c>
      <c r="H68" s="7">
        <v>6325187.3799999999</v>
      </c>
      <c r="I68" s="7">
        <f>I69</f>
        <v>6325187.3799999999</v>
      </c>
      <c r="J68" s="7"/>
      <c r="K68" s="7">
        <f t="shared" si="19"/>
        <v>6325187.3799999999</v>
      </c>
      <c r="L68" s="7">
        <v>6198683.6299999999</v>
      </c>
      <c r="M68" s="7"/>
      <c r="N68" s="7">
        <v>6198683.6299999999</v>
      </c>
      <c r="O68" s="7">
        <v>126503.75</v>
      </c>
      <c r="P68" s="7"/>
      <c r="Q68" s="7">
        <f t="shared" si="28"/>
        <v>126503.75</v>
      </c>
    </row>
    <row r="69" spans="1:17" ht="21">
      <c r="A69" s="6" t="s">
        <v>86</v>
      </c>
      <c r="B69" s="6" t="s">
        <v>87</v>
      </c>
      <c r="C69" s="6" t="s">
        <v>0</v>
      </c>
      <c r="D69" s="6" t="s">
        <v>0</v>
      </c>
      <c r="E69" s="6" t="s">
        <v>0</v>
      </c>
      <c r="F69" s="6" t="s">
        <v>0</v>
      </c>
      <c r="G69" s="7"/>
      <c r="H69" s="7">
        <v>6325187.3799999999</v>
      </c>
      <c r="I69" s="7">
        <f>6198683.63+126503.75</f>
        <v>6325187.3799999999</v>
      </c>
      <c r="J69" s="7"/>
      <c r="K69" s="7">
        <f t="shared" si="19"/>
        <v>6325187.3799999999</v>
      </c>
      <c r="L69" s="7">
        <v>6198683.6299999999</v>
      </c>
      <c r="M69" s="7"/>
      <c r="N69" s="7">
        <v>6198683.6299999999</v>
      </c>
      <c r="O69" s="7">
        <v>126503.75</v>
      </c>
      <c r="P69" s="7"/>
      <c r="Q69" s="7">
        <f t="shared" si="28"/>
        <v>126503.75</v>
      </c>
    </row>
    <row r="70" spans="1:17" ht="63">
      <c r="A70" s="6" t="s">
        <v>104</v>
      </c>
      <c r="B70" s="4" t="s">
        <v>27</v>
      </c>
      <c r="C70" s="4" t="s">
        <v>27</v>
      </c>
      <c r="D70" s="8" t="s">
        <v>105</v>
      </c>
      <c r="E70" s="8" t="s">
        <v>106</v>
      </c>
      <c r="F70" s="8" t="s">
        <v>85</v>
      </c>
      <c r="G70" s="7">
        <v>342764401.62</v>
      </c>
      <c r="H70" s="7">
        <v>50000000</v>
      </c>
      <c r="I70" s="7">
        <v>50000000</v>
      </c>
      <c r="J70" s="7"/>
      <c r="K70" s="7">
        <f t="shared" si="19"/>
        <v>50000000</v>
      </c>
      <c r="L70" s="7"/>
      <c r="M70" s="7"/>
      <c r="N70" s="7"/>
      <c r="O70" s="7">
        <v>50000000</v>
      </c>
      <c r="P70" s="7"/>
      <c r="Q70" s="7">
        <f t="shared" si="28"/>
        <v>50000000</v>
      </c>
    </row>
    <row r="71" spans="1:17" ht="84">
      <c r="A71" s="6" t="s">
        <v>107</v>
      </c>
      <c r="B71" s="4" t="s">
        <v>27</v>
      </c>
      <c r="C71" s="4" t="s">
        <v>27</v>
      </c>
      <c r="D71" s="8" t="s">
        <v>108</v>
      </c>
      <c r="E71" s="8" t="s">
        <v>29</v>
      </c>
      <c r="F71" s="8" t="s">
        <v>36</v>
      </c>
      <c r="G71" s="7">
        <v>117524500</v>
      </c>
      <c r="H71" s="7">
        <v>98500000</v>
      </c>
      <c r="I71" s="7">
        <v>98500000</v>
      </c>
      <c r="J71" s="7"/>
      <c r="K71" s="7">
        <f t="shared" si="19"/>
        <v>98500000</v>
      </c>
      <c r="L71" s="7">
        <v>98500000</v>
      </c>
      <c r="M71" s="7"/>
      <c r="N71" s="7">
        <v>98500000</v>
      </c>
      <c r="O71" s="7"/>
      <c r="P71" s="7"/>
      <c r="Q71" s="7">
        <f t="shared" si="28"/>
        <v>0</v>
      </c>
    </row>
    <row r="72" spans="1:17" ht="63">
      <c r="A72" s="6" t="s">
        <v>109</v>
      </c>
      <c r="B72" s="4" t="s">
        <v>27</v>
      </c>
      <c r="C72" s="4" t="s">
        <v>27</v>
      </c>
      <c r="D72" s="8" t="s">
        <v>110</v>
      </c>
      <c r="E72" s="8" t="s">
        <v>111</v>
      </c>
      <c r="F72" s="8" t="s">
        <v>112</v>
      </c>
      <c r="G72" s="7">
        <v>289444655.57999998</v>
      </c>
      <c r="H72" s="7">
        <v>202013477.19999999</v>
      </c>
      <c r="I72" s="7">
        <f>I73+I74</f>
        <v>202013477.19999999</v>
      </c>
      <c r="J72" s="7"/>
      <c r="K72" s="7">
        <f t="shared" si="19"/>
        <v>202013477.19999999</v>
      </c>
      <c r="L72" s="7">
        <v>122163328.2</v>
      </c>
      <c r="M72" s="7"/>
      <c r="N72" s="7">
        <v>122163328.2</v>
      </c>
      <c r="O72" s="7">
        <v>79850149</v>
      </c>
      <c r="P72" s="7"/>
      <c r="Q72" s="7">
        <f t="shared" si="28"/>
        <v>79850149</v>
      </c>
    </row>
    <row r="73" spans="1:17" ht="21">
      <c r="A73" s="6" t="s">
        <v>113</v>
      </c>
      <c r="B73" s="6" t="s">
        <v>114</v>
      </c>
      <c r="C73" s="6" t="s">
        <v>0</v>
      </c>
      <c r="D73" s="6" t="s">
        <v>0</v>
      </c>
      <c r="E73" s="6" t="s">
        <v>0</v>
      </c>
      <c r="F73" s="6" t="s">
        <v>0</v>
      </c>
      <c r="G73" s="7"/>
      <c r="H73" s="7">
        <v>135736970.47</v>
      </c>
      <c r="I73" s="7">
        <f>122163328.2+13573642.27</f>
        <v>135736970.47</v>
      </c>
      <c r="J73" s="7"/>
      <c r="K73" s="7">
        <f t="shared" si="19"/>
        <v>135736970.47</v>
      </c>
      <c r="L73" s="7">
        <v>122163328.2</v>
      </c>
      <c r="M73" s="7"/>
      <c r="N73" s="7">
        <v>122163328.2</v>
      </c>
      <c r="O73" s="7">
        <v>13573642.27</v>
      </c>
      <c r="P73" s="7"/>
      <c r="Q73" s="7">
        <f t="shared" si="28"/>
        <v>13573642.27</v>
      </c>
    </row>
    <row r="74" spans="1:17">
      <c r="A74" s="6" t="s">
        <v>69</v>
      </c>
      <c r="B74" s="6" t="s">
        <v>27</v>
      </c>
      <c r="C74" s="6" t="s">
        <v>0</v>
      </c>
      <c r="D74" s="6" t="s">
        <v>0</v>
      </c>
      <c r="E74" s="6" t="s">
        <v>0</v>
      </c>
      <c r="F74" s="6" t="s">
        <v>0</v>
      </c>
      <c r="G74" s="7"/>
      <c r="H74" s="7">
        <v>66276506.729999997</v>
      </c>
      <c r="I74" s="7">
        <v>66276506.729999997</v>
      </c>
      <c r="J74" s="7"/>
      <c r="K74" s="7">
        <f t="shared" si="19"/>
        <v>66276506.729999997</v>
      </c>
      <c r="L74" s="7"/>
      <c r="M74" s="7"/>
      <c r="N74" s="7"/>
      <c r="O74" s="7">
        <v>66276506.729999997</v>
      </c>
      <c r="P74" s="7"/>
      <c r="Q74" s="7">
        <f t="shared" si="28"/>
        <v>66276506.729999997</v>
      </c>
    </row>
    <row r="75" spans="1:17" ht="84">
      <c r="A75" s="6" t="s">
        <v>115</v>
      </c>
      <c r="B75" s="4" t="s">
        <v>27</v>
      </c>
      <c r="C75" s="4" t="s">
        <v>27</v>
      </c>
      <c r="D75" s="8" t="s">
        <v>116</v>
      </c>
      <c r="E75" s="8" t="s">
        <v>29</v>
      </c>
      <c r="F75" s="8" t="s">
        <v>117</v>
      </c>
      <c r="G75" s="7">
        <v>1523160560.9100001</v>
      </c>
      <c r="H75" s="7">
        <v>693028833.34000003</v>
      </c>
      <c r="I75" s="7">
        <f>I76+I77</f>
        <v>693028833.34000003</v>
      </c>
      <c r="J75" s="7"/>
      <c r="K75" s="7">
        <f t="shared" si="19"/>
        <v>693028833.34000003</v>
      </c>
      <c r="L75" s="7">
        <v>616775900</v>
      </c>
      <c r="M75" s="7"/>
      <c r="N75" s="7">
        <v>616775900</v>
      </c>
      <c r="O75" s="7">
        <v>76252933.340000004</v>
      </c>
      <c r="P75" s="7"/>
      <c r="Q75" s="7">
        <f t="shared" si="28"/>
        <v>76252933.340000004</v>
      </c>
    </row>
    <row r="76" spans="1:17" ht="21">
      <c r="A76" s="6" t="s">
        <v>113</v>
      </c>
      <c r="B76" s="6" t="s">
        <v>114</v>
      </c>
      <c r="C76" s="6" t="s">
        <v>0</v>
      </c>
      <c r="D76" s="6" t="s">
        <v>0</v>
      </c>
      <c r="E76" s="6" t="s">
        <v>0</v>
      </c>
      <c r="F76" s="6" t="s">
        <v>0</v>
      </c>
      <c r="G76" s="7"/>
      <c r="H76" s="7">
        <v>693028833.34000003</v>
      </c>
      <c r="I76" s="7">
        <f>616775900+68530656</f>
        <v>685306556</v>
      </c>
      <c r="J76" s="7">
        <v>-7722277.3399999999</v>
      </c>
      <c r="K76" s="7">
        <f t="shared" si="19"/>
        <v>685306556</v>
      </c>
      <c r="L76" s="7">
        <v>616775900</v>
      </c>
      <c r="M76" s="7"/>
      <c r="N76" s="7">
        <v>616775900</v>
      </c>
      <c r="O76" s="7">
        <v>76252933.340000004</v>
      </c>
      <c r="P76" s="7">
        <v>-7722277.3399999999</v>
      </c>
      <c r="Q76" s="7">
        <f t="shared" si="28"/>
        <v>68530656</v>
      </c>
    </row>
    <row r="77" spans="1:17">
      <c r="A77" s="6" t="s">
        <v>69</v>
      </c>
      <c r="B77" s="6" t="s">
        <v>27</v>
      </c>
      <c r="C77" s="6" t="s">
        <v>0</v>
      </c>
      <c r="D77" s="6" t="s">
        <v>0</v>
      </c>
      <c r="E77" s="6" t="s">
        <v>0</v>
      </c>
      <c r="F77" s="6" t="s">
        <v>0</v>
      </c>
      <c r="G77" s="7"/>
      <c r="H77" s="7"/>
      <c r="I77" s="7">
        <v>7722277.3399999999</v>
      </c>
      <c r="J77" s="7">
        <v>7722277.3399999999</v>
      </c>
      <c r="K77" s="7">
        <f>H77+J77</f>
        <v>7722277.3399999999</v>
      </c>
      <c r="L77" s="7"/>
      <c r="M77" s="7"/>
      <c r="N77" s="7"/>
      <c r="O77" s="7"/>
      <c r="P77" s="7">
        <v>7722277.3399999999</v>
      </c>
      <c r="Q77" s="7">
        <f t="shared" si="28"/>
        <v>7722277.3399999999</v>
      </c>
    </row>
    <row r="78" spans="1:17" ht="42">
      <c r="A78" s="6" t="s">
        <v>118</v>
      </c>
      <c r="B78" s="4" t="s">
        <v>27</v>
      </c>
      <c r="C78" s="4" t="s">
        <v>27</v>
      </c>
      <c r="D78" s="8" t="s">
        <v>119</v>
      </c>
      <c r="E78" s="8" t="s">
        <v>98</v>
      </c>
      <c r="F78" s="8" t="s">
        <v>85</v>
      </c>
      <c r="G78" s="7">
        <v>468455585.36000001</v>
      </c>
      <c r="H78" s="7">
        <v>182003709.84999999</v>
      </c>
      <c r="I78" s="7">
        <f>I79+I80</f>
        <v>182003709.84999999</v>
      </c>
      <c r="J78" s="7"/>
      <c r="K78" s="7">
        <f t="shared" si="19"/>
        <v>182003709.84999999</v>
      </c>
      <c r="L78" s="7">
        <v>71483709.849999994</v>
      </c>
      <c r="M78" s="7"/>
      <c r="N78" s="7">
        <v>71483709.849999994</v>
      </c>
      <c r="O78" s="7">
        <v>110520000</v>
      </c>
      <c r="P78" s="7"/>
      <c r="Q78" s="7">
        <f t="shared" si="28"/>
        <v>110520000</v>
      </c>
    </row>
    <row r="79" spans="1:17" ht="21">
      <c r="A79" s="6" t="s">
        <v>113</v>
      </c>
      <c r="B79" s="6" t="s">
        <v>114</v>
      </c>
      <c r="C79" s="6" t="s">
        <v>0</v>
      </c>
      <c r="D79" s="6" t="s">
        <v>0</v>
      </c>
      <c r="E79" s="6" t="s">
        <v>0</v>
      </c>
      <c r="F79" s="6" t="s">
        <v>0</v>
      </c>
      <c r="G79" s="7"/>
      <c r="H79" s="7">
        <v>79426344.280000001</v>
      </c>
      <c r="I79" s="7">
        <f>71483709.85+7942634.43</f>
        <v>79426344.280000001</v>
      </c>
      <c r="J79" s="7"/>
      <c r="K79" s="7">
        <f t="shared" si="19"/>
        <v>79426344.280000001</v>
      </c>
      <c r="L79" s="7">
        <v>71483709.849999994</v>
      </c>
      <c r="M79" s="7"/>
      <c r="N79" s="7">
        <v>71483709.849999994</v>
      </c>
      <c r="O79" s="7">
        <v>7942634.4299999997</v>
      </c>
      <c r="P79" s="7"/>
      <c r="Q79" s="7">
        <f t="shared" si="28"/>
        <v>7942634.4299999997</v>
      </c>
    </row>
    <row r="80" spans="1:17">
      <c r="A80" s="6" t="s">
        <v>69</v>
      </c>
      <c r="B80" s="6" t="s">
        <v>27</v>
      </c>
      <c r="C80" s="6" t="s">
        <v>0</v>
      </c>
      <c r="D80" s="6" t="s">
        <v>0</v>
      </c>
      <c r="E80" s="6" t="s">
        <v>0</v>
      </c>
      <c r="F80" s="6" t="s">
        <v>0</v>
      </c>
      <c r="G80" s="7"/>
      <c r="H80" s="7">
        <v>102577365.56999999</v>
      </c>
      <c r="I80" s="7">
        <v>102577365.56999999</v>
      </c>
      <c r="J80" s="7"/>
      <c r="K80" s="7">
        <f t="shared" si="19"/>
        <v>102577365.56999999</v>
      </c>
      <c r="L80" s="7"/>
      <c r="M80" s="7"/>
      <c r="N80" s="7"/>
      <c r="O80" s="7">
        <v>102577365.56999999</v>
      </c>
      <c r="P80" s="7"/>
      <c r="Q80" s="7">
        <f t="shared" si="28"/>
        <v>102577365.56999999</v>
      </c>
    </row>
    <row r="81" spans="1:17" ht="63">
      <c r="A81" s="6" t="s">
        <v>120</v>
      </c>
      <c r="B81" s="4" t="s">
        <v>27</v>
      </c>
      <c r="C81" s="4" t="s">
        <v>27</v>
      </c>
      <c r="D81" s="8" t="s">
        <v>121</v>
      </c>
      <c r="E81" s="8" t="s">
        <v>90</v>
      </c>
      <c r="F81" s="8" t="s">
        <v>99</v>
      </c>
      <c r="G81" s="7">
        <v>175682339.19999999</v>
      </c>
      <c r="H81" s="7">
        <v>136484578.69999999</v>
      </c>
      <c r="I81" s="7">
        <f>I82</f>
        <v>136484578.69999999</v>
      </c>
      <c r="J81" s="7"/>
      <c r="K81" s="7">
        <f t="shared" si="19"/>
        <v>136484578.69999999</v>
      </c>
      <c r="L81" s="7">
        <v>122836061.95</v>
      </c>
      <c r="M81" s="7"/>
      <c r="N81" s="7">
        <v>122836061.95</v>
      </c>
      <c r="O81" s="7">
        <v>13648516.75</v>
      </c>
      <c r="P81" s="7"/>
      <c r="Q81" s="7">
        <f t="shared" si="28"/>
        <v>13648516.75</v>
      </c>
    </row>
    <row r="82" spans="1:17" ht="12.95" customHeight="1">
      <c r="A82" s="6" t="s">
        <v>113</v>
      </c>
      <c r="B82" s="6" t="s">
        <v>114</v>
      </c>
      <c r="C82" s="6" t="s">
        <v>0</v>
      </c>
      <c r="D82" s="6" t="s">
        <v>0</v>
      </c>
      <c r="E82" s="6" t="s">
        <v>0</v>
      </c>
      <c r="F82" s="6" t="s">
        <v>0</v>
      </c>
      <c r="G82" s="7"/>
      <c r="H82" s="7">
        <v>136484578.69999999</v>
      </c>
      <c r="I82" s="7">
        <f>122836061.95+13648516.75</f>
        <v>136484578.69999999</v>
      </c>
      <c r="J82" s="7"/>
      <c r="K82" s="7">
        <f t="shared" ref="K82:K145" si="29">H82+J82</f>
        <v>136484578.69999999</v>
      </c>
      <c r="L82" s="7">
        <v>122836061.95</v>
      </c>
      <c r="M82" s="7"/>
      <c r="N82" s="7">
        <v>122836061.95</v>
      </c>
      <c r="O82" s="7">
        <v>13648516.75</v>
      </c>
      <c r="P82" s="7"/>
      <c r="Q82" s="7">
        <f>O82+P82</f>
        <v>13648516.75</v>
      </c>
    </row>
    <row r="83" spans="1:17" ht="12.95" customHeight="1">
      <c r="A83" s="19" t="s">
        <v>122</v>
      </c>
      <c r="B83" s="19"/>
      <c r="C83" s="19"/>
      <c r="D83" s="19"/>
      <c r="E83" s="19"/>
      <c r="F83" s="19"/>
      <c r="G83" s="7">
        <f>G87</f>
        <v>67311000</v>
      </c>
      <c r="H83" s="7">
        <f>H84+H85</f>
        <v>67311000</v>
      </c>
      <c r="I83" s="7">
        <f t="shared" ref="I83:Q83" si="30">I84+I85</f>
        <v>67311000</v>
      </c>
      <c r="J83" s="7"/>
      <c r="K83" s="7">
        <f t="shared" si="30"/>
        <v>67311000</v>
      </c>
      <c r="L83" s="7">
        <f t="shared" si="30"/>
        <v>60580000</v>
      </c>
      <c r="M83" s="7"/>
      <c r="N83" s="7">
        <f t="shared" si="30"/>
        <v>60580000</v>
      </c>
      <c r="O83" s="7">
        <f t="shared" si="30"/>
        <v>6731000</v>
      </c>
      <c r="P83" s="7"/>
      <c r="Q83" s="7">
        <f t="shared" si="30"/>
        <v>6731000</v>
      </c>
    </row>
    <row r="84" spans="1:17" ht="12.95" customHeight="1">
      <c r="A84" s="19" t="s">
        <v>21</v>
      </c>
      <c r="B84" s="19"/>
      <c r="C84" s="19"/>
      <c r="D84" s="19"/>
      <c r="E84" s="19"/>
      <c r="F84" s="19"/>
      <c r="G84" s="9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ht="12.95" customHeight="1">
      <c r="A85" s="19" t="s">
        <v>22</v>
      </c>
      <c r="B85" s="19"/>
      <c r="C85" s="19"/>
      <c r="D85" s="19"/>
      <c r="E85" s="19"/>
      <c r="F85" s="19"/>
      <c r="G85" s="9"/>
      <c r="H85" s="7">
        <f>H88</f>
        <v>67311000</v>
      </c>
      <c r="I85" s="7">
        <f t="shared" ref="I85:Q85" si="31">I88</f>
        <v>67311000</v>
      </c>
      <c r="J85" s="7"/>
      <c r="K85" s="7">
        <f t="shared" si="31"/>
        <v>67311000</v>
      </c>
      <c r="L85" s="7">
        <f t="shared" si="31"/>
        <v>60580000</v>
      </c>
      <c r="M85" s="7"/>
      <c r="N85" s="7">
        <f t="shared" si="31"/>
        <v>60580000</v>
      </c>
      <c r="O85" s="7">
        <f t="shared" si="31"/>
        <v>6731000</v>
      </c>
      <c r="P85" s="7"/>
      <c r="Q85" s="7">
        <f t="shared" si="31"/>
        <v>6731000</v>
      </c>
    </row>
    <row r="86" spans="1:17" ht="12.95" hidden="1" customHeight="1">
      <c r="A86" s="19" t="s">
        <v>0</v>
      </c>
      <c r="B86" s="19"/>
      <c r="C86" s="19"/>
      <c r="D86" s="19"/>
      <c r="E86" s="19"/>
      <c r="F86" s="19"/>
      <c r="G86" s="9"/>
      <c r="H86" s="7">
        <f>H88</f>
        <v>67311000</v>
      </c>
      <c r="I86" s="7">
        <f t="shared" ref="I86:Q86" si="32">I88</f>
        <v>67311000</v>
      </c>
      <c r="J86" s="7"/>
      <c r="K86" s="7">
        <f t="shared" si="32"/>
        <v>67311000</v>
      </c>
      <c r="L86" s="7">
        <f t="shared" si="32"/>
        <v>60580000</v>
      </c>
      <c r="M86" s="7"/>
      <c r="N86" s="7">
        <f t="shared" si="32"/>
        <v>60580000</v>
      </c>
      <c r="O86" s="7">
        <f t="shared" si="32"/>
        <v>6731000</v>
      </c>
      <c r="P86" s="7"/>
      <c r="Q86" s="7">
        <f t="shared" si="32"/>
        <v>6731000</v>
      </c>
    </row>
    <row r="87" spans="1:17" ht="12.95" customHeight="1">
      <c r="A87" s="14" t="s">
        <v>123</v>
      </c>
      <c r="B87" s="14"/>
      <c r="C87" s="14"/>
      <c r="D87" s="14"/>
      <c r="E87" s="14"/>
      <c r="F87" s="14"/>
      <c r="G87" s="10">
        <f>G88</f>
        <v>67311000</v>
      </c>
      <c r="H87" s="5">
        <f>H88</f>
        <v>67311000</v>
      </c>
      <c r="I87" s="5">
        <f t="shared" ref="I87:Q87" si="33">I88</f>
        <v>67311000</v>
      </c>
      <c r="J87" s="7"/>
      <c r="K87" s="5">
        <f t="shared" si="33"/>
        <v>67311000</v>
      </c>
      <c r="L87" s="5">
        <f t="shared" si="33"/>
        <v>60580000</v>
      </c>
      <c r="M87" s="7"/>
      <c r="N87" s="5">
        <f t="shared" si="33"/>
        <v>60580000</v>
      </c>
      <c r="O87" s="5">
        <f t="shared" si="33"/>
        <v>6731000</v>
      </c>
      <c r="P87" s="7"/>
      <c r="Q87" s="5">
        <f t="shared" si="33"/>
        <v>6731000</v>
      </c>
    </row>
    <row r="88" spans="1:17" ht="97.5" customHeight="1">
      <c r="A88" s="6" t="s">
        <v>124</v>
      </c>
      <c r="B88" s="4" t="s">
        <v>27</v>
      </c>
      <c r="C88" s="4" t="s">
        <v>125</v>
      </c>
      <c r="D88" s="8" t="s">
        <v>126</v>
      </c>
      <c r="E88" s="8" t="s">
        <v>127</v>
      </c>
      <c r="F88" s="8" t="s">
        <v>85</v>
      </c>
      <c r="G88" s="7">
        <v>67311000</v>
      </c>
      <c r="H88" s="7">
        <v>67311000</v>
      </c>
      <c r="I88" s="7">
        <f>60580000+6731000</f>
        <v>67311000</v>
      </c>
      <c r="J88" s="7"/>
      <c r="K88" s="7">
        <f t="shared" si="29"/>
        <v>67311000</v>
      </c>
      <c r="L88" s="7">
        <v>60580000</v>
      </c>
      <c r="M88" s="7" t="s">
        <v>0</v>
      </c>
      <c r="N88" s="7">
        <v>60580000</v>
      </c>
      <c r="O88" s="7">
        <v>6731000</v>
      </c>
      <c r="P88" s="7" t="s">
        <v>0</v>
      </c>
      <c r="Q88" s="7">
        <v>6731000</v>
      </c>
    </row>
    <row r="89" spans="1:17" ht="24" customHeight="1">
      <c r="A89" s="19" t="s">
        <v>128</v>
      </c>
      <c r="B89" s="19"/>
      <c r="C89" s="19"/>
      <c r="D89" s="19"/>
      <c r="E89" s="19"/>
      <c r="F89" s="19"/>
      <c r="G89" s="7">
        <f>G93+G103</f>
        <v>3195425581.6000004</v>
      </c>
      <c r="H89" s="7">
        <f>H90+H91</f>
        <v>1436196158.5700002</v>
      </c>
      <c r="I89" s="7">
        <f>I90+I91</f>
        <v>1436196158.5700002</v>
      </c>
      <c r="J89" s="7">
        <f t="shared" ref="J89:K89" si="34">J90+J91</f>
        <v>-1535339.2299999893</v>
      </c>
      <c r="K89" s="7">
        <f t="shared" si="34"/>
        <v>1434660819.3400002</v>
      </c>
      <c r="L89" s="7">
        <f t="shared" ref="L89" si="35">L90+L91</f>
        <v>1231147018.5700002</v>
      </c>
      <c r="M89" s="7"/>
      <c r="N89" s="7">
        <f t="shared" ref="N89" si="36">N90+N91</f>
        <v>1231147018.5700002</v>
      </c>
      <c r="O89" s="7">
        <f t="shared" ref="O89" si="37">O90+O91</f>
        <v>205049140</v>
      </c>
      <c r="P89" s="7">
        <f>P90+P91</f>
        <v>-1535339.2300000042</v>
      </c>
      <c r="Q89" s="7">
        <f t="shared" ref="Q89" si="38">Q90+Q91</f>
        <v>203513800.77000001</v>
      </c>
    </row>
    <row r="90" spans="1:17" ht="12.95" customHeight="1">
      <c r="A90" s="19" t="s">
        <v>21</v>
      </c>
      <c r="B90" s="19"/>
      <c r="C90" s="19"/>
      <c r="D90" s="19"/>
      <c r="E90" s="19"/>
      <c r="F90" s="19"/>
      <c r="G90" s="9"/>
      <c r="H90" s="7">
        <f>H98+H101</f>
        <v>69006900</v>
      </c>
      <c r="I90" s="7">
        <f t="shared" ref="I90:K90" si="39">I98+I101</f>
        <v>148659363.40000001</v>
      </c>
      <c r="J90" s="7">
        <f>J98+J101</f>
        <v>79652463.400000006</v>
      </c>
      <c r="K90" s="7">
        <f t="shared" si="39"/>
        <v>148659363.40000001</v>
      </c>
      <c r="L90" s="7"/>
      <c r="M90" s="7">
        <f t="shared" ref="M90:Q90" si="40">M98+M101</f>
        <v>145683200</v>
      </c>
      <c r="N90" s="7">
        <f t="shared" si="40"/>
        <v>145683200</v>
      </c>
      <c r="O90" s="7">
        <f t="shared" si="40"/>
        <v>69006900</v>
      </c>
      <c r="P90" s="7">
        <f t="shared" si="40"/>
        <v>-66030736.600000001</v>
      </c>
      <c r="Q90" s="7">
        <f t="shared" si="40"/>
        <v>2976163.4</v>
      </c>
    </row>
    <row r="91" spans="1:17" ht="12.95" customHeight="1">
      <c r="A91" s="19" t="s">
        <v>22</v>
      </c>
      <c r="B91" s="19"/>
      <c r="C91" s="19"/>
      <c r="D91" s="19"/>
      <c r="E91" s="19"/>
      <c r="F91" s="19"/>
      <c r="G91" s="9"/>
      <c r="H91" s="7">
        <f>H94+H95+H96+H99+H102+H103</f>
        <v>1367189258.5700002</v>
      </c>
      <c r="I91" s="7">
        <f t="shared" ref="I91:K91" si="41">I94+I95+I96+I99+I102+I103</f>
        <v>1287536795.1700001</v>
      </c>
      <c r="J91" s="7">
        <f t="shared" si="41"/>
        <v>-81187802.629999995</v>
      </c>
      <c r="K91" s="7">
        <f t="shared" si="41"/>
        <v>1286001455.9400001</v>
      </c>
      <c r="L91" s="7">
        <f t="shared" ref="L91:Q91" si="42">L94+L95+L96+L99+L102+L103</f>
        <v>1231147018.5700002</v>
      </c>
      <c r="M91" s="7">
        <f t="shared" si="42"/>
        <v>-145683200</v>
      </c>
      <c r="N91" s="7">
        <f t="shared" si="42"/>
        <v>1085463818.5700002</v>
      </c>
      <c r="O91" s="7">
        <f t="shared" si="42"/>
        <v>136042240</v>
      </c>
      <c r="P91" s="7">
        <f t="shared" si="42"/>
        <v>64495397.369999997</v>
      </c>
      <c r="Q91" s="7">
        <f t="shared" si="42"/>
        <v>200537637.37</v>
      </c>
    </row>
    <row r="92" spans="1:17" ht="22.5" customHeight="1">
      <c r="A92" s="19" t="s">
        <v>129</v>
      </c>
      <c r="B92" s="19"/>
      <c r="C92" s="19"/>
      <c r="D92" s="19"/>
      <c r="E92" s="19"/>
      <c r="F92" s="19"/>
      <c r="G92" s="9"/>
      <c r="H92" s="7">
        <f>H93+H103</f>
        <v>1436196158.5700002</v>
      </c>
      <c r="I92" s="7">
        <f t="shared" ref="I92:K92" si="43">I93+I103</f>
        <v>1436196158.5700002</v>
      </c>
      <c r="J92" s="7">
        <f t="shared" si="43"/>
        <v>-1535339.23</v>
      </c>
      <c r="K92" s="7">
        <f t="shared" si="43"/>
        <v>1434660819.3400002</v>
      </c>
      <c r="L92" s="7">
        <f t="shared" ref="L92" si="44">L93+L103</f>
        <v>1231147018.5700002</v>
      </c>
      <c r="M92" s="7"/>
      <c r="N92" s="7">
        <f>N93+N103</f>
        <v>1231147018.5700002</v>
      </c>
      <c r="O92" s="7">
        <f t="shared" ref="O92" si="45">O93+O103</f>
        <v>205049140</v>
      </c>
      <c r="P92" s="7">
        <f t="shared" ref="P92:Q92" si="46">P93+P103</f>
        <v>-1535339.23</v>
      </c>
      <c r="Q92" s="7">
        <f t="shared" si="46"/>
        <v>203513800.76999998</v>
      </c>
    </row>
    <row r="93" spans="1:17" ht="12.95" customHeight="1">
      <c r="A93" s="14" t="s">
        <v>25</v>
      </c>
      <c r="B93" s="14"/>
      <c r="C93" s="14"/>
      <c r="D93" s="14"/>
      <c r="E93" s="14"/>
      <c r="F93" s="14"/>
      <c r="G93" s="5">
        <f>G94+G95+G96+G97+G100</f>
        <v>3129059581.6000004</v>
      </c>
      <c r="H93" s="5">
        <f>H94+H95+H96+H97+H100</f>
        <v>1402710658.5700002</v>
      </c>
      <c r="I93" s="5">
        <f t="shared" ref="I93:K93" si="47">I94+I95+I96+I97+I100</f>
        <v>1402710658.5700002</v>
      </c>
      <c r="J93" s="5">
        <f>J94+J95+J96+J97+J100</f>
        <v>-1535339.23</v>
      </c>
      <c r="K93" s="5">
        <f t="shared" si="47"/>
        <v>1401175319.3400002</v>
      </c>
      <c r="L93" s="5">
        <f t="shared" ref="L93" si="48">L94+L95+L96+L97+L100</f>
        <v>1231147018.5700002</v>
      </c>
      <c r="M93" s="7"/>
      <c r="N93" s="5">
        <f t="shared" ref="N93" si="49">N94+N95+N96+N97+N100</f>
        <v>1231147018.5700002</v>
      </c>
      <c r="O93" s="5">
        <f t="shared" ref="O93" si="50">O94+O95+O96+O97+O100</f>
        <v>171563640</v>
      </c>
      <c r="P93" s="5">
        <f t="shared" ref="P93:Q93" si="51">P94+P95+P96+P97+P100</f>
        <v>-1535339.23</v>
      </c>
      <c r="Q93" s="5">
        <f t="shared" si="51"/>
        <v>170028300.76999998</v>
      </c>
    </row>
    <row r="94" spans="1:17" ht="63">
      <c r="A94" s="6" t="s">
        <v>130</v>
      </c>
      <c r="B94" s="4" t="s">
        <v>27</v>
      </c>
      <c r="C94" s="4" t="s">
        <v>27</v>
      </c>
      <c r="D94" s="8" t="s">
        <v>131</v>
      </c>
      <c r="E94" s="8" t="s">
        <v>132</v>
      </c>
      <c r="F94" s="8" t="s">
        <v>133</v>
      </c>
      <c r="G94" s="7">
        <v>1515478995.22</v>
      </c>
      <c r="H94" s="7">
        <v>559211000</v>
      </c>
      <c r="I94" s="7">
        <f>503233300+55977700</f>
        <v>559211000</v>
      </c>
      <c r="J94" s="7"/>
      <c r="K94" s="7">
        <f>H94+J94</f>
        <v>559211000</v>
      </c>
      <c r="L94" s="7">
        <v>503233300</v>
      </c>
      <c r="M94" s="7"/>
      <c r="N94" s="7">
        <f>L94+M94</f>
        <v>503233300</v>
      </c>
      <c r="O94" s="7">
        <v>55977700</v>
      </c>
      <c r="P94" s="7"/>
      <c r="Q94" s="7">
        <f>O94+P94</f>
        <v>55977700</v>
      </c>
    </row>
    <row r="95" spans="1:17" ht="94.5">
      <c r="A95" s="6" t="s">
        <v>134</v>
      </c>
      <c r="B95" s="4" t="s">
        <v>27</v>
      </c>
      <c r="C95" s="4" t="s">
        <v>27</v>
      </c>
      <c r="D95" s="8" t="s">
        <v>135</v>
      </c>
      <c r="E95" s="8" t="s">
        <v>136</v>
      </c>
      <c r="F95" s="8" t="s">
        <v>38</v>
      </c>
      <c r="G95" s="7">
        <v>29327630</v>
      </c>
      <c r="H95" s="7">
        <v>29766900</v>
      </c>
      <c r="I95" s="7">
        <v>29766900</v>
      </c>
      <c r="J95" s="7">
        <v>-1535339.23</v>
      </c>
      <c r="K95" s="7">
        <f>H95+J95</f>
        <v>28231560.77</v>
      </c>
      <c r="L95" s="7"/>
      <c r="M95" s="7"/>
      <c r="N95" s="7"/>
      <c r="O95" s="7">
        <v>29766900</v>
      </c>
      <c r="P95" s="7">
        <v>-1535339.23</v>
      </c>
      <c r="Q95" s="7">
        <f t="shared" ref="Q95:Q102" si="52">O95+P95</f>
        <v>28231560.77</v>
      </c>
    </row>
    <row r="96" spans="1:17" ht="84">
      <c r="A96" s="6" t="s">
        <v>137</v>
      </c>
      <c r="B96" s="4" t="s">
        <v>27</v>
      </c>
      <c r="C96" s="4" t="s">
        <v>27</v>
      </c>
      <c r="D96" s="8" t="s">
        <v>138</v>
      </c>
      <c r="E96" s="8" t="s">
        <v>29</v>
      </c>
      <c r="F96" s="8" t="s">
        <v>85</v>
      </c>
      <c r="G96" s="7">
        <v>582674750</v>
      </c>
      <c r="H96" s="7">
        <v>582230518.57000005</v>
      </c>
      <c r="I96" s="7">
        <v>582230518.57000005</v>
      </c>
      <c r="J96" s="7"/>
      <c r="K96" s="7">
        <f t="shared" si="29"/>
        <v>582230518.57000005</v>
      </c>
      <c r="L96" s="7">
        <v>582230518.57000005</v>
      </c>
      <c r="M96" s="7"/>
      <c r="N96" s="7">
        <f t="shared" ref="N96:N98" si="53">L96+M96</f>
        <v>582230518.57000005</v>
      </c>
      <c r="O96" s="7"/>
      <c r="P96" s="7"/>
      <c r="Q96" s="7"/>
    </row>
    <row r="97" spans="1:17" ht="63">
      <c r="A97" s="6" t="s">
        <v>139</v>
      </c>
      <c r="B97" s="4" t="s">
        <v>27</v>
      </c>
      <c r="C97" s="4" t="s">
        <v>27</v>
      </c>
      <c r="D97" s="8" t="s">
        <v>140</v>
      </c>
      <c r="E97" s="8" t="s">
        <v>96</v>
      </c>
      <c r="F97" s="8" t="s">
        <v>46</v>
      </c>
      <c r="G97" s="7">
        <v>267134750</v>
      </c>
      <c r="H97" s="7">
        <v>162495340</v>
      </c>
      <c r="I97" s="7">
        <f>I98+I99</f>
        <v>162495340</v>
      </c>
      <c r="J97" s="7"/>
      <c r="K97" s="7">
        <f t="shared" si="29"/>
        <v>162495340</v>
      </c>
      <c r="L97" s="7">
        <v>145683200</v>
      </c>
      <c r="M97" s="7"/>
      <c r="N97" s="7">
        <f t="shared" si="53"/>
        <v>145683200</v>
      </c>
      <c r="O97" s="7">
        <v>16812140</v>
      </c>
      <c r="P97" s="7"/>
      <c r="Q97" s="7">
        <f t="shared" si="52"/>
        <v>16812140</v>
      </c>
    </row>
    <row r="98" spans="1:17">
      <c r="A98" s="6" t="s">
        <v>141</v>
      </c>
      <c r="B98" s="6" t="s">
        <v>142</v>
      </c>
      <c r="C98" s="6" t="s">
        <v>0</v>
      </c>
      <c r="D98" s="6" t="s">
        <v>0</v>
      </c>
      <c r="E98" s="6" t="s">
        <v>0</v>
      </c>
      <c r="F98" s="6" t="s">
        <v>0</v>
      </c>
      <c r="G98" s="6"/>
      <c r="H98" s="7"/>
      <c r="I98" s="7">
        <f>145683200+2976163.4</f>
        <v>148659363.40000001</v>
      </c>
      <c r="J98" s="7">
        <v>148659363.40000001</v>
      </c>
      <c r="K98" s="7">
        <f>H98+J98</f>
        <v>148659363.40000001</v>
      </c>
      <c r="L98" s="7"/>
      <c r="M98" s="7">
        <v>145683200</v>
      </c>
      <c r="N98" s="7">
        <f t="shared" si="53"/>
        <v>145683200</v>
      </c>
      <c r="O98" s="7"/>
      <c r="P98" s="7">
        <v>2976163.4</v>
      </c>
      <c r="Q98" s="7">
        <f t="shared" si="52"/>
        <v>2976163.4</v>
      </c>
    </row>
    <row r="99" spans="1:17">
      <c r="A99" s="6" t="s">
        <v>69</v>
      </c>
      <c r="B99" s="6" t="s">
        <v>27</v>
      </c>
      <c r="C99" s="6" t="s">
        <v>0</v>
      </c>
      <c r="D99" s="6" t="s">
        <v>0</v>
      </c>
      <c r="E99" s="6" t="s">
        <v>0</v>
      </c>
      <c r="F99" s="6" t="s">
        <v>0</v>
      </c>
      <c r="G99" s="6"/>
      <c r="H99" s="7">
        <v>162495340</v>
      </c>
      <c r="I99" s="7">
        <v>13835976.6</v>
      </c>
      <c r="J99" s="7">
        <v>-148659363.40000001</v>
      </c>
      <c r="K99" s="7">
        <f t="shared" si="29"/>
        <v>13835976.599999994</v>
      </c>
      <c r="L99" s="7">
        <v>145683200</v>
      </c>
      <c r="M99" s="7">
        <v>-145683200</v>
      </c>
      <c r="N99" s="7"/>
      <c r="O99" s="7">
        <v>16812140</v>
      </c>
      <c r="P99" s="7">
        <v>-2976163.4</v>
      </c>
      <c r="Q99" s="7">
        <f t="shared" si="52"/>
        <v>13835976.6</v>
      </c>
    </row>
    <row r="100" spans="1:17" ht="52.5">
      <c r="A100" s="6" t="s">
        <v>143</v>
      </c>
      <c r="B100" s="4" t="s">
        <v>27</v>
      </c>
      <c r="C100" s="4" t="s">
        <v>27</v>
      </c>
      <c r="D100" s="8" t="s">
        <v>119</v>
      </c>
      <c r="E100" s="8" t="s">
        <v>92</v>
      </c>
      <c r="F100" s="8" t="s">
        <v>85</v>
      </c>
      <c r="G100" s="7">
        <v>734443456.38</v>
      </c>
      <c r="H100" s="7">
        <v>69006900</v>
      </c>
      <c r="I100" s="7">
        <f>I102</f>
        <v>69006900</v>
      </c>
      <c r="J100" s="7"/>
      <c r="K100" s="7">
        <f t="shared" si="29"/>
        <v>69006900</v>
      </c>
      <c r="L100" s="7"/>
      <c r="M100" s="7"/>
      <c r="N100" s="7"/>
      <c r="O100" s="7">
        <v>69006900</v>
      </c>
      <c r="P100" s="7"/>
      <c r="Q100" s="7">
        <f t="shared" si="52"/>
        <v>69006900</v>
      </c>
    </row>
    <row r="101" spans="1:17">
      <c r="A101" s="6" t="s">
        <v>141</v>
      </c>
      <c r="B101" s="6" t="s">
        <v>142</v>
      </c>
      <c r="C101" s="6" t="s">
        <v>0</v>
      </c>
      <c r="D101" s="6" t="s">
        <v>0</v>
      </c>
      <c r="E101" s="6" t="s">
        <v>0</v>
      </c>
      <c r="F101" s="6" t="s">
        <v>0</v>
      </c>
      <c r="G101" s="6"/>
      <c r="H101" s="7">
        <v>69006900</v>
      </c>
      <c r="I101" s="7"/>
      <c r="J101" s="7">
        <v>-69006900</v>
      </c>
      <c r="K101" s="7"/>
      <c r="L101" s="7"/>
      <c r="M101" s="7"/>
      <c r="N101" s="7"/>
      <c r="O101" s="7">
        <v>69006900</v>
      </c>
      <c r="P101" s="7">
        <v>-69006900</v>
      </c>
      <c r="Q101" s="7">
        <f t="shared" si="52"/>
        <v>0</v>
      </c>
    </row>
    <row r="102" spans="1:17">
      <c r="A102" s="6" t="s">
        <v>69</v>
      </c>
      <c r="B102" s="6" t="s">
        <v>27</v>
      </c>
      <c r="C102" s="6" t="s">
        <v>0</v>
      </c>
      <c r="D102" s="6" t="s">
        <v>0</v>
      </c>
      <c r="E102" s="6" t="s">
        <v>0</v>
      </c>
      <c r="F102" s="6" t="s">
        <v>0</v>
      </c>
      <c r="G102" s="6"/>
      <c r="H102" s="7"/>
      <c r="I102" s="7">
        <v>69006900</v>
      </c>
      <c r="J102" s="7">
        <v>69006900</v>
      </c>
      <c r="K102" s="7">
        <f t="shared" si="29"/>
        <v>69006900</v>
      </c>
      <c r="L102" s="7"/>
      <c r="M102" s="7"/>
      <c r="N102" s="7"/>
      <c r="O102" s="7"/>
      <c r="P102" s="7">
        <v>69006900</v>
      </c>
      <c r="Q102" s="7">
        <f t="shared" si="52"/>
        <v>69006900</v>
      </c>
    </row>
    <row r="103" spans="1:17">
      <c r="A103" s="14" t="s">
        <v>144</v>
      </c>
      <c r="B103" s="14"/>
      <c r="C103" s="14"/>
      <c r="D103" s="14"/>
      <c r="E103" s="14"/>
      <c r="F103" s="14"/>
      <c r="G103" s="5">
        <f>SUM(G104:G117)</f>
        <v>66366000</v>
      </c>
      <c r="H103" s="5">
        <f>SUM(H104:H117)</f>
        <v>33485500</v>
      </c>
      <c r="I103" s="5">
        <f>SUM(I104:I117)</f>
        <v>33485500</v>
      </c>
      <c r="J103" s="5"/>
      <c r="K103" s="5">
        <f t="shared" si="29"/>
        <v>33485500</v>
      </c>
      <c r="L103" s="5"/>
      <c r="M103" s="5"/>
      <c r="N103" s="5"/>
      <c r="O103" s="5">
        <v>33485500</v>
      </c>
      <c r="P103" s="5"/>
      <c r="Q103" s="5">
        <v>33485500</v>
      </c>
    </row>
    <row r="104" spans="1:17" ht="94.5">
      <c r="A104" s="6" t="s">
        <v>145</v>
      </c>
      <c r="B104" s="4" t="s">
        <v>27</v>
      </c>
      <c r="C104" s="4" t="s">
        <v>27</v>
      </c>
      <c r="D104" s="8" t="s">
        <v>27</v>
      </c>
      <c r="E104" s="8" t="s">
        <v>146</v>
      </c>
      <c r="F104" s="8" t="s">
        <v>49</v>
      </c>
      <c r="G104" s="7">
        <v>1700000</v>
      </c>
      <c r="H104" s="7">
        <v>1700000</v>
      </c>
      <c r="I104" s="7">
        <v>1700000</v>
      </c>
      <c r="J104" s="7"/>
      <c r="K104" s="7">
        <f t="shared" si="29"/>
        <v>1700000</v>
      </c>
      <c r="L104" s="7" t="s">
        <v>0</v>
      </c>
      <c r="M104" s="7" t="s">
        <v>0</v>
      </c>
      <c r="N104" s="7" t="s">
        <v>0</v>
      </c>
      <c r="O104" s="7">
        <v>1700000</v>
      </c>
      <c r="P104" s="7" t="s">
        <v>0</v>
      </c>
      <c r="Q104" s="7">
        <v>1700000</v>
      </c>
    </row>
    <row r="105" spans="1:17" ht="84">
      <c r="A105" s="6" t="s">
        <v>145</v>
      </c>
      <c r="B105" s="4" t="s">
        <v>27</v>
      </c>
      <c r="C105" s="4" t="s">
        <v>27</v>
      </c>
      <c r="D105" s="8" t="s">
        <v>27</v>
      </c>
      <c r="E105" s="8" t="s">
        <v>147</v>
      </c>
      <c r="F105" s="8" t="s">
        <v>49</v>
      </c>
      <c r="G105" s="7">
        <v>1000000</v>
      </c>
      <c r="H105" s="7">
        <v>1000000</v>
      </c>
      <c r="I105" s="7">
        <v>1000000</v>
      </c>
      <c r="J105" s="7"/>
      <c r="K105" s="7">
        <f t="shared" si="29"/>
        <v>1000000</v>
      </c>
      <c r="L105" s="7" t="s">
        <v>0</v>
      </c>
      <c r="M105" s="7" t="s">
        <v>0</v>
      </c>
      <c r="N105" s="7" t="s">
        <v>0</v>
      </c>
      <c r="O105" s="7">
        <v>1000000</v>
      </c>
      <c r="P105" s="7" t="s">
        <v>0</v>
      </c>
      <c r="Q105" s="7">
        <v>1000000</v>
      </c>
    </row>
    <row r="106" spans="1:17" ht="126">
      <c r="A106" s="6" t="s">
        <v>145</v>
      </c>
      <c r="B106" s="4" t="s">
        <v>27</v>
      </c>
      <c r="C106" s="4" t="s">
        <v>27</v>
      </c>
      <c r="D106" s="8" t="s">
        <v>27</v>
      </c>
      <c r="E106" s="8" t="s">
        <v>148</v>
      </c>
      <c r="F106" s="8" t="s">
        <v>49</v>
      </c>
      <c r="G106" s="7">
        <v>3849000</v>
      </c>
      <c r="H106" s="7">
        <v>1924500</v>
      </c>
      <c r="I106" s="7">
        <v>1924500</v>
      </c>
      <c r="J106" s="7"/>
      <c r="K106" s="7">
        <f t="shared" si="29"/>
        <v>1924500</v>
      </c>
      <c r="L106" s="7" t="s">
        <v>0</v>
      </c>
      <c r="M106" s="7" t="s">
        <v>0</v>
      </c>
      <c r="N106" s="7" t="s">
        <v>0</v>
      </c>
      <c r="O106" s="7">
        <v>1924500</v>
      </c>
      <c r="P106" s="7" t="s">
        <v>0</v>
      </c>
      <c r="Q106" s="7">
        <v>1924500</v>
      </c>
    </row>
    <row r="107" spans="1:17" ht="105">
      <c r="A107" s="6" t="s">
        <v>145</v>
      </c>
      <c r="B107" s="4" t="s">
        <v>27</v>
      </c>
      <c r="C107" s="4" t="s">
        <v>27</v>
      </c>
      <c r="D107" s="8" t="s">
        <v>27</v>
      </c>
      <c r="E107" s="8" t="s">
        <v>149</v>
      </c>
      <c r="F107" s="8" t="s">
        <v>49</v>
      </c>
      <c r="G107" s="7">
        <v>13050000</v>
      </c>
      <c r="H107" s="7">
        <v>3400000</v>
      </c>
      <c r="I107" s="7">
        <v>3400000</v>
      </c>
      <c r="J107" s="7"/>
      <c r="K107" s="7">
        <f t="shared" si="29"/>
        <v>3400000</v>
      </c>
      <c r="L107" s="7" t="s">
        <v>0</v>
      </c>
      <c r="M107" s="7" t="s">
        <v>0</v>
      </c>
      <c r="N107" s="7" t="s">
        <v>0</v>
      </c>
      <c r="O107" s="7">
        <v>3400000</v>
      </c>
      <c r="P107" s="7" t="s">
        <v>0</v>
      </c>
      <c r="Q107" s="7">
        <v>3400000</v>
      </c>
    </row>
    <row r="108" spans="1:17" ht="105">
      <c r="A108" s="6" t="s">
        <v>145</v>
      </c>
      <c r="B108" s="4" t="s">
        <v>27</v>
      </c>
      <c r="C108" s="4" t="s">
        <v>27</v>
      </c>
      <c r="D108" s="8" t="s">
        <v>27</v>
      </c>
      <c r="E108" s="8" t="s">
        <v>150</v>
      </c>
      <c r="F108" s="8" t="s">
        <v>49</v>
      </c>
      <c r="G108" s="7">
        <v>2450000</v>
      </c>
      <c r="H108" s="7">
        <v>1225000</v>
      </c>
      <c r="I108" s="7">
        <v>1225000</v>
      </c>
      <c r="J108" s="7"/>
      <c r="K108" s="7">
        <f t="shared" si="29"/>
        <v>1225000</v>
      </c>
      <c r="L108" s="7" t="s">
        <v>0</v>
      </c>
      <c r="M108" s="7" t="s">
        <v>0</v>
      </c>
      <c r="N108" s="7" t="s">
        <v>0</v>
      </c>
      <c r="O108" s="7">
        <v>1225000</v>
      </c>
      <c r="P108" s="7" t="s">
        <v>0</v>
      </c>
      <c r="Q108" s="7">
        <v>1225000</v>
      </c>
    </row>
    <row r="109" spans="1:17" ht="115.5">
      <c r="A109" s="6" t="s">
        <v>145</v>
      </c>
      <c r="B109" s="4" t="s">
        <v>27</v>
      </c>
      <c r="C109" s="4" t="s">
        <v>27</v>
      </c>
      <c r="D109" s="8" t="s">
        <v>27</v>
      </c>
      <c r="E109" s="8" t="s">
        <v>151</v>
      </c>
      <c r="F109" s="8" t="s">
        <v>49</v>
      </c>
      <c r="G109" s="7">
        <v>3360000</v>
      </c>
      <c r="H109" s="7">
        <v>700000</v>
      </c>
      <c r="I109" s="7">
        <v>700000</v>
      </c>
      <c r="J109" s="7"/>
      <c r="K109" s="7">
        <f t="shared" si="29"/>
        <v>700000</v>
      </c>
      <c r="L109" s="7" t="s">
        <v>0</v>
      </c>
      <c r="M109" s="7" t="s">
        <v>0</v>
      </c>
      <c r="N109" s="7" t="s">
        <v>0</v>
      </c>
      <c r="O109" s="7">
        <v>700000</v>
      </c>
      <c r="P109" s="7" t="s">
        <v>0</v>
      </c>
      <c r="Q109" s="7">
        <v>700000</v>
      </c>
    </row>
    <row r="110" spans="1:17" ht="105">
      <c r="A110" s="6" t="s">
        <v>145</v>
      </c>
      <c r="B110" s="4" t="s">
        <v>27</v>
      </c>
      <c r="C110" s="4" t="s">
        <v>27</v>
      </c>
      <c r="D110" s="8" t="s">
        <v>27</v>
      </c>
      <c r="E110" s="8" t="s">
        <v>152</v>
      </c>
      <c r="F110" s="8" t="s">
        <v>49</v>
      </c>
      <c r="G110" s="7">
        <v>2700000</v>
      </c>
      <c r="H110" s="7">
        <v>2700000</v>
      </c>
      <c r="I110" s="7">
        <v>2700000</v>
      </c>
      <c r="J110" s="7"/>
      <c r="K110" s="7">
        <f t="shared" si="29"/>
        <v>2700000</v>
      </c>
      <c r="L110" s="7" t="s">
        <v>0</v>
      </c>
      <c r="M110" s="7" t="s">
        <v>0</v>
      </c>
      <c r="N110" s="7" t="s">
        <v>0</v>
      </c>
      <c r="O110" s="7">
        <v>2700000</v>
      </c>
      <c r="P110" s="7" t="s">
        <v>0</v>
      </c>
      <c r="Q110" s="7">
        <v>2700000</v>
      </c>
    </row>
    <row r="111" spans="1:17" ht="105">
      <c r="A111" s="6" t="s">
        <v>145</v>
      </c>
      <c r="B111" s="4" t="s">
        <v>27</v>
      </c>
      <c r="C111" s="4" t="s">
        <v>27</v>
      </c>
      <c r="D111" s="8" t="s">
        <v>27</v>
      </c>
      <c r="E111" s="8" t="s">
        <v>153</v>
      </c>
      <c r="F111" s="8" t="s">
        <v>49</v>
      </c>
      <c r="G111" s="7">
        <v>4224000</v>
      </c>
      <c r="H111" s="7">
        <v>2912000</v>
      </c>
      <c r="I111" s="7">
        <v>2912000</v>
      </c>
      <c r="J111" s="7"/>
      <c r="K111" s="7">
        <f t="shared" si="29"/>
        <v>2912000</v>
      </c>
      <c r="L111" s="7" t="s">
        <v>0</v>
      </c>
      <c r="M111" s="7" t="s">
        <v>0</v>
      </c>
      <c r="N111" s="7" t="s">
        <v>0</v>
      </c>
      <c r="O111" s="7">
        <v>2912000</v>
      </c>
      <c r="P111" s="7" t="s">
        <v>0</v>
      </c>
      <c r="Q111" s="7">
        <v>2912000</v>
      </c>
    </row>
    <row r="112" spans="1:17" ht="105">
      <c r="A112" s="6" t="s">
        <v>145</v>
      </c>
      <c r="B112" s="4" t="s">
        <v>27</v>
      </c>
      <c r="C112" s="4" t="s">
        <v>27</v>
      </c>
      <c r="D112" s="8" t="s">
        <v>27</v>
      </c>
      <c r="E112" s="8" t="s">
        <v>154</v>
      </c>
      <c r="F112" s="8" t="s">
        <v>49</v>
      </c>
      <c r="G112" s="7">
        <v>7553000</v>
      </c>
      <c r="H112" s="7">
        <v>2854000</v>
      </c>
      <c r="I112" s="7">
        <v>2854000</v>
      </c>
      <c r="J112" s="7"/>
      <c r="K112" s="7">
        <f t="shared" si="29"/>
        <v>2854000</v>
      </c>
      <c r="L112" s="7" t="s">
        <v>0</v>
      </c>
      <c r="M112" s="7" t="s">
        <v>0</v>
      </c>
      <c r="N112" s="7" t="s">
        <v>0</v>
      </c>
      <c r="O112" s="7">
        <v>2854000</v>
      </c>
      <c r="P112" s="7" t="s">
        <v>0</v>
      </c>
      <c r="Q112" s="7">
        <v>2854000</v>
      </c>
    </row>
    <row r="113" spans="1:17" ht="105">
      <c r="A113" s="6" t="s">
        <v>145</v>
      </c>
      <c r="B113" s="4" t="s">
        <v>27</v>
      </c>
      <c r="C113" s="4" t="s">
        <v>27</v>
      </c>
      <c r="D113" s="8" t="s">
        <v>27</v>
      </c>
      <c r="E113" s="8" t="s">
        <v>155</v>
      </c>
      <c r="F113" s="8" t="s">
        <v>49</v>
      </c>
      <c r="G113" s="7">
        <v>6800000</v>
      </c>
      <c r="H113" s="7">
        <v>3400000</v>
      </c>
      <c r="I113" s="7">
        <v>3400000</v>
      </c>
      <c r="J113" s="7"/>
      <c r="K113" s="7">
        <f>H113+J113</f>
        <v>3400000</v>
      </c>
      <c r="L113" s="7" t="s">
        <v>0</v>
      </c>
      <c r="M113" s="7" t="s">
        <v>0</v>
      </c>
      <c r="N113" s="7" t="s">
        <v>0</v>
      </c>
      <c r="O113" s="7">
        <v>3400000</v>
      </c>
      <c r="P113" s="7" t="s">
        <v>0</v>
      </c>
      <c r="Q113" s="7">
        <v>3400000</v>
      </c>
    </row>
    <row r="114" spans="1:17" ht="105">
      <c r="A114" s="6" t="s">
        <v>145</v>
      </c>
      <c r="B114" s="4" t="s">
        <v>27</v>
      </c>
      <c r="C114" s="4" t="s">
        <v>27</v>
      </c>
      <c r="D114" s="8" t="s">
        <v>27</v>
      </c>
      <c r="E114" s="8" t="s">
        <v>156</v>
      </c>
      <c r="F114" s="8" t="s">
        <v>49</v>
      </c>
      <c r="G114" s="7">
        <v>3840000</v>
      </c>
      <c r="H114" s="7">
        <v>1680000</v>
      </c>
      <c r="I114" s="7">
        <v>1680000</v>
      </c>
      <c r="J114" s="7"/>
      <c r="K114" s="7">
        <f t="shared" si="29"/>
        <v>1680000</v>
      </c>
      <c r="L114" s="7" t="s">
        <v>0</v>
      </c>
      <c r="M114" s="7" t="s">
        <v>0</v>
      </c>
      <c r="N114" s="7" t="s">
        <v>0</v>
      </c>
      <c r="O114" s="7">
        <v>1680000</v>
      </c>
      <c r="P114" s="7" t="s">
        <v>0</v>
      </c>
      <c r="Q114" s="7">
        <v>1680000</v>
      </c>
    </row>
    <row r="115" spans="1:17" ht="105">
      <c r="A115" s="6" t="s">
        <v>145</v>
      </c>
      <c r="B115" s="4" t="s">
        <v>27</v>
      </c>
      <c r="C115" s="4" t="s">
        <v>27</v>
      </c>
      <c r="D115" s="8" t="s">
        <v>27</v>
      </c>
      <c r="E115" s="8" t="s">
        <v>157</v>
      </c>
      <c r="F115" s="8" t="s">
        <v>49</v>
      </c>
      <c r="G115" s="7">
        <v>4900000</v>
      </c>
      <c r="H115" s="7">
        <v>2450000</v>
      </c>
      <c r="I115" s="7">
        <v>2450000</v>
      </c>
      <c r="J115" s="7"/>
      <c r="K115" s="7">
        <f t="shared" si="29"/>
        <v>2450000</v>
      </c>
      <c r="L115" s="7" t="s">
        <v>0</v>
      </c>
      <c r="M115" s="7" t="s">
        <v>0</v>
      </c>
      <c r="N115" s="7" t="s">
        <v>0</v>
      </c>
      <c r="O115" s="7">
        <v>2450000</v>
      </c>
      <c r="P115" s="7" t="s">
        <v>0</v>
      </c>
      <c r="Q115" s="7">
        <v>2450000</v>
      </c>
    </row>
    <row r="116" spans="1:17" ht="105">
      <c r="A116" s="6" t="s">
        <v>145</v>
      </c>
      <c r="B116" s="4" t="s">
        <v>27</v>
      </c>
      <c r="C116" s="4" t="s">
        <v>27</v>
      </c>
      <c r="D116" s="8" t="s">
        <v>27</v>
      </c>
      <c r="E116" s="8" t="s">
        <v>158</v>
      </c>
      <c r="F116" s="8" t="s">
        <v>49</v>
      </c>
      <c r="G116" s="7">
        <v>6800000</v>
      </c>
      <c r="H116" s="7">
        <v>3400000</v>
      </c>
      <c r="I116" s="7">
        <v>3400000</v>
      </c>
      <c r="J116" s="7"/>
      <c r="K116" s="7">
        <f t="shared" si="29"/>
        <v>3400000</v>
      </c>
      <c r="L116" s="7" t="s">
        <v>0</v>
      </c>
      <c r="M116" s="7" t="s">
        <v>0</v>
      </c>
      <c r="N116" s="7" t="s">
        <v>0</v>
      </c>
      <c r="O116" s="7">
        <v>3400000</v>
      </c>
      <c r="P116" s="7" t="s">
        <v>0</v>
      </c>
      <c r="Q116" s="7">
        <v>3400000</v>
      </c>
    </row>
    <row r="117" spans="1:17" ht="115.5">
      <c r="A117" s="6" t="s">
        <v>145</v>
      </c>
      <c r="B117" s="4" t="s">
        <v>27</v>
      </c>
      <c r="C117" s="4" t="s">
        <v>27</v>
      </c>
      <c r="D117" s="8" t="s">
        <v>27</v>
      </c>
      <c r="E117" s="8" t="s">
        <v>159</v>
      </c>
      <c r="F117" s="8" t="s">
        <v>49</v>
      </c>
      <c r="G117" s="7">
        <v>4140000</v>
      </c>
      <c r="H117" s="7">
        <v>4140000</v>
      </c>
      <c r="I117" s="7">
        <v>4140000</v>
      </c>
      <c r="J117" s="7"/>
      <c r="K117" s="7">
        <f t="shared" si="29"/>
        <v>4140000</v>
      </c>
      <c r="L117" s="7" t="s">
        <v>0</v>
      </c>
      <c r="M117" s="7" t="s">
        <v>0</v>
      </c>
      <c r="N117" s="7" t="s">
        <v>0</v>
      </c>
      <c r="O117" s="7">
        <v>4140000</v>
      </c>
      <c r="P117" s="7" t="s">
        <v>0</v>
      </c>
      <c r="Q117" s="7">
        <v>4140000</v>
      </c>
    </row>
    <row r="118" spans="1:17" ht="36.75" customHeight="1">
      <c r="A118" s="19" t="s">
        <v>160</v>
      </c>
      <c r="B118" s="19"/>
      <c r="C118" s="19"/>
      <c r="D118" s="19"/>
      <c r="E118" s="19"/>
      <c r="F118" s="19"/>
      <c r="G118" s="7">
        <f>G122</f>
        <v>168425186.40000001</v>
      </c>
      <c r="H118" s="7">
        <f>H123</f>
        <v>99000000</v>
      </c>
      <c r="I118" s="7">
        <f>I123</f>
        <v>99000000</v>
      </c>
      <c r="J118" s="7"/>
      <c r="K118" s="7">
        <f t="shared" si="29"/>
        <v>99000000</v>
      </c>
      <c r="L118" s="7"/>
      <c r="M118" s="7"/>
      <c r="N118" s="7"/>
      <c r="O118" s="7">
        <v>99000000</v>
      </c>
      <c r="P118" s="7"/>
      <c r="Q118" s="7">
        <v>99000000</v>
      </c>
    </row>
    <row r="119" spans="1:17">
      <c r="A119" s="19" t="s">
        <v>21</v>
      </c>
      <c r="B119" s="19"/>
      <c r="C119" s="19"/>
      <c r="D119" s="19"/>
      <c r="E119" s="19"/>
      <c r="F119" s="19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>
      <c r="A120" s="19" t="s">
        <v>22</v>
      </c>
      <c r="B120" s="19"/>
      <c r="C120" s="19"/>
      <c r="D120" s="19"/>
      <c r="E120" s="19"/>
      <c r="F120" s="19"/>
      <c r="G120" s="7"/>
      <c r="H120" s="7">
        <f>H123</f>
        <v>99000000</v>
      </c>
      <c r="I120" s="7">
        <f>I123</f>
        <v>99000000</v>
      </c>
      <c r="J120" s="7"/>
      <c r="K120" s="7">
        <f t="shared" si="29"/>
        <v>99000000</v>
      </c>
      <c r="L120" s="7"/>
      <c r="M120" s="7"/>
      <c r="N120" s="7"/>
      <c r="O120" s="7">
        <v>99000000</v>
      </c>
      <c r="P120" s="7"/>
      <c r="Q120" s="7">
        <v>99000000</v>
      </c>
    </row>
    <row r="121" spans="1:17" ht="19.5" customHeight="1">
      <c r="A121" s="19" t="s">
        <v>161</v>
      </c>
      <c r="B121" s="19"/>
      <c r="C121" s="19"/>
      <c r="D121" s="19"/>
      <c r="E121" s="19"/>
      <c r="F121" s="19"/>
      <c r="G121" s="7"/>
      <c r="H121" s="7">
        <f>H123</f>
        <v>99000000</v>
      </c>
      <c r="I121" s="7">
        <f>I123</f>
        <v>99000000</v>
      </c>
      <c r="J121" s="7"/>
      <c r="K121" s="7">
        <f t="shared" si="29"/>
        <v>99000000</v>
      </c>
      <c r="L121" s="7"/>
      <c r="M121" s="7"/>
      <c r="N121" s="7"/>
      <c r="O121" s="7">
        <v>99000000</v>
      </c>
      <c r="P121" s="7"/>
      <c r="Q121" s="7">
        <v>99000000</v>
      </c>
    </row>
    <row r="122" spans="1:17">
      <c r="A122" s="14" t="s">
        <v>25</v>
      </c>
      <c r="B122" s="14"/>
      <c r="C122" s="14"/>
      <c r="D122" s="14"/>
      <c r="E122" s="14"/>
      <c r="F122" s="14"/>
      <c r="G122" s="5">
        <f>G123</f>
        <v>168425186.40000001</v>
      </c>
      <c r="H122" s="5">
        <f>H123</f>
        <v>99000000</v>
      </c>
      <c r="I122" s="5">
        <f>I123</f>
        <v>99000000</v>
      </c>
      <c r="J122" s="7"/>
      <c r="K122" s="5">
        <f>H122+J122</f>
        <v>99000000</v>
      </c>
      <c r="L122" s="7"/>
      <c r="M122" s="7"/>
      <c r="N122" s="7"/>
      <c r="O122" s="5">
        <v>99000000</v>
      </c>
      <c r="P122" s="7"/>
      <c r="Q122" s="5">
        <v>99000000</v>
      </c>
    </row>
    <row r="123" spans="1:17" ht="84">
      <c r="A123" s="6" t="s">
        <v>162</v>
      </c>
      <c r="B123" s="4" t="s">
        <v>27</v>
      </c>
      <c r="C123" s="4" t="s">
        <v>27</v>
      </c>
      <c r="D123" s="8" t="s">
        <v>163</v>
      </c>
      <c r="E123" s="8" t="s">
        <v>29</v>
      </c>
      <c r="F123" s="8" t="s">
        <v>164</v>
      </c>
      <c r="G123" s="7">
        <f>307621800-7923089-131273524.6</f>
        <v>168425186.40000001</v>
      </c>
      <c r="H123" s="7">
        <v>99000000</v>
      </c>
      <c r="I123" s="7">
        <v>99000000</v>
      </c>
      <c r="J123" s="7"/>
      <c r="K123" s="7">
        <f>H123+J123</f>
        <v>99000000</v>
      </c>
      <c r="L123" s="7" t="s">
        <v>0</v>
      </c>
      <c r="M123" s="7" t="s">
        <v>0</v>
      </c>
      <c r="N123" s="7" t="s">
        <v>0</v>
      </c>
      <c r="O123" s="7">
        <v>99000000</v>
      </c>
      <c r="P123" s="7" t="s">
        <v>0</v>
      </c>
      <c r="Q123" s="7">
        <v>99000000</v>
      </c>
    </row>
    <row r="124" spans="1:17" ht="31.5" customHeight="1">
      <c r="A124" s="19" t="s">
        <v>165</v>
      </c>
      <c r="B124" s="19"/>
      <c r="C124" s="19"/>
      <c r="D124" s="19"/>
      <c r="E124" s="19"/>
      <c r="F124" s="19"/>
      <c r="G124" s="7">
        <f>G128</f>
        <v>3100000</v>
      </c>
      <c r="H124" s="7"/>
      <c r="I124" s="7"/>
      <c r="J124" s="7">
        <v>3100000</v>
      </c>
      <c r="K124" s="7">
        <f t="shared" si="29"/>
        <v>3100000</v>
      </c>
      <c r="L124" s="7"/>
      <c r="M124" s="7"/>
      <c r="N124" s="7"/>
      <c r="O124" s="7"/>
      <c r="P124" s="7">
        <v>3100000</v>
      </c>
      <c r="Q124" s="7">
        <v>3100000</v>
      </c>
    </row>
    <row r="125" spans="1:17">
      <c r="A125" s="19" t="s">
        <v>21</v>
      </c>
      <c r="B125" s="19"/>
      <c r="C125" s="19"/>
      <c r="D125" s="19"/>
      <c r="E125" s="19"/>
      <c r="F125" s="19"/>
      <c r="G125" s="9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>
      <c r="A126" s="19" t="s">
        <v>22</v>
      </c>
      <c r="B126" s="19"/>
      <c r="C126" s="19"/>
      <c r="D126" s="19"/>
      <c r="E126" s="19"/>
      <c r="F126" s="19"/>
      <c r="G126" s="9"/>
      <c r="H126" s="7"/>
      <c r="I126" s="7"/>
      <c r="J126" s="7">
        <v>3100000</v>
      </c>
      <c r="K126" s="7">
        <f t="shared" si="29"/>
        <v>3100000</v>
      </c>
      <c r="L126" s="7"/>
      <c r="M126" s="7"/>
      <c r="N126" s="7"/>
      <c r="O126" s="7"/>
      <c r="P126" s="7">
        <v>3100000</v>
      </c>
      <c r="Q126" s="7">
        <v>3100000</v>
      </c>
    </row>
    <row r="127" spans="1:17">
      <c r="A127" s="19" t="s">
        <v>166</v>
      </c>
      <c r="B127" s="19"/>
      <c r="C127" s="19"/>
      <c r="D127" s="19"/>
      <c r="E127" s="19"/>
      <c r="F127" s="19"/>
      <c r="G127" s="9"/>
      <c r="H127" s="7"/>
      <c r="I127" s="7"/>
      <c r="J127" s="7">
        <v>3100000</v>
      </c>
      <c r="K127" s="7">
        <f t="shared" si="29"/>
        <v>3100000</v>
      </c>
      <c r="L127" s="7"/>
      <c r="M127" s="7"/>
      <c r="N127" s="7"/>
      <c r="O127" s="7"/>
      <c r="P127" s="7">
        <v>3100000</v>
      </c>
      <c r="Q127" s="7">
        <v>3100000</v>
      </c>
    </row>
    <row r="128" spans="1:17">
      <c r="A128" s="14" t="s">
        <v>25</v>
      </c>
      <c r="B128" s="14"/>
      <c r="C128" s="14"/>
      <c r="D128" s="14"/>
      <c r="E128" s="14"/>
      <c r="F128" s="14"/>
      <c r="G128" s="10">
        <f>G129</f>
        <v>3100000</v>
      </c>
      <c r="H128" s="7"/>
      <c r="I128" s="7"/>
      <c r="J128" s="5">
        <v>3100000</v>
      </c>
      <c r="K128" s="5">
        <f t="shared" si="29"/>
        <v>3100000</v>
      </c>
      <c r="L128" s="7"/>
      <c r="M128" s="7"/>
      <c r="N128" s="7"/>
      <c r="O128" s="7"/>
      <c r="P128" s="5">
        <v>3100000</v>
      </c>
      <c r="Q128" s="5">
        <v>3100000</v>
      </c>
    </row>
    <row r="129" spans="1:17" ht="84">
      <c r="A129" s="6" t="s">
        <v>167</v>
      </c>
      <c r="B129" s="4" t="s">
        <v>27</v>
      </c>
      <c r="C129" s="4" t="s">
        <v>27</v>
      </c>
      <c r="D129" s="8" t="s">
        <v>168</v>
      </c>
      <c r="E129" s="8" t="s">
        <v>29</v>
      </c>
      <c r="F129" s="8" t="s">
        <v>169</v>
      </c>
      <c r="G129" s="7">
        <v>3100000</v>
      </c>
      <c r="H129" s="7"/>
      <c r="I129" s="7"/>
      <c r="J129" s="7">
        <v>3100000</v>
      </c>
      <c r="K129" s="7">
        <f t="shared" si="29"/>
        <v>3100000</v>
      </c>
      <c r="L129" s="7" t="s">
        <v>0</v>
      </c>
      <c r="M129" s="7" t="s">
        <v>0</v>
      </c>
      <c r="N129" s="7" t="s">
        <v>0</v>
      </c>
      <c r="O129" s="7" t="s">
        <v>0</v>
      </c>
      <c r="P129" s="7">
        <v>3100000</v>
      </c>
      <c r="Q129" s="7">
        <v>3100000</v>
      </c>
    </row>
    <row r="130" spans="1:17" ht="18.75" customHeight="1">
      <c r="A130" s="19" t="s">
        <v>170</v>
      </c>
      <c r="B130" s="19"/>
      <c r="C130" s="19"/>
      <c r="D130" s="19"/>
      <c r="E130" s="19"/>
      <c r="F130" s="19"/>
      <c r="G130" s="7">
        <f>G134</f>
        <v>598931017.79999995</v>
      </c>
      <c r="H130" s="7">
        <f>H131+H132</f>
        <v>11016370.01</v>
      </c>
      <c r="I130" s="7">
        <f t="shared" ref="I130:Q130" si="54">I131+I132</f>
        <v>11016370.01</v>
      </c>
      <c r="J130" s="7">
        <f t="shared" si="54"/>
        <v>-1640927.5499999998</v>
      </c>
      <c r="K130" s="7">
        <f t="shared" si="54"/>
        <v>9375442.4600000009</v>
      </c>
      <c r="L130" s="7"/>
      <c r="M130" s="7"/>
      <c r="N130" s="7"/>
      <c r="O130" s="7">
        <f t="shared" si="54"/>
        <v>11016370.01</v>
      </c>
      <c r="P130" s="7">
        <f t="shared" si="54"/>
        <v>-1640927.5499999998</v>
      </c>
      <c r="Q130" s="7">
        <f t="shared" si="54"/>
        <v>9375442.4600000009</v>
      </c>
    </row>
    <row r="131" spans="1:17">
      <c r="A131" s="19" t="s">
        <v>21</v>
      </c>
      <c r="B131" s="19"/>
      <c r="C131" s="19"/>
      <c r="D131" s="19"/>
      <c r="E131" s="19"/>
      <c r="F131" s="19"/>
      <c r="G131" s="9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>
      <c r="A132" s="19" t="s">
        <v>22</v>
      </c>
      <c r="B132" s="19"/>
      <c r="C132" s="19"/>
      <c r="D132" s="19"/>
      <c r="E132" s="19"/>
      <c r="F132" s="19"/>
      <c r="G132" s="9"/>
      <c r="H132" s="7">
        <f>H135+H136+H137</f>
        <v>11016370.01</v>
      </c>
      <c r="I132" s="7">
        <f t="shared" ref="I132:Q132" si="55">I135+I136+I137</f>
        <v>11016370.01</v>
      </c>
      <c r="J132" s="7">
        <f t="shared" si="55"/>
        <v>-1640927.5499999998</v>
      </c>
      <c r="K132" s="7">
        <f t="shared" si="55"/>
        <v>9375442.4600000009</v>
      </c>
      <c r="L132" s="7"/>
      <c r="M132" s="7"/>
      <c r="N132" s="7"/>
      <c r="O132" s="7">
        <f t="shared" si="55"/>
        <v>11016370.01</v>
      </c>
      <c r="P132" s="7">
        <f t="shared" si="55"/>
        <v>-1640927.5499999998</v>
      </c>
      <c r="Q132" s="7">
        <f t="shared" si="55"/>
        <v>9375442.4600000009</v>
      </c>
    </row>
    <row r="133" spans="1:17">
      <c r="A133" s="19" t="s">
        <v>171</v>
      </c>
      <c r="B133" s="19"/>
      <c r="C133" s="19"/>
      <c r="D133" s="19"/>
      <c r="E133" s="19"/>
      <c r="F133" s="19"/>
      <c r="G133" s="9"/>
      <c r="H133" s="7">
        <f>H135+H136+H137</f>
        <v>11016370.01</v>
      </c>
      <c r="I133" s="7">
        <f t="shared" ref="I133:Q133" si="56">I135+I136+I137</f>
        <v>11016370.01</v>
      </c>
      <c r="J133" s="7">
        <f t="shared" si="56"/>
        <v>-1640927.5499999998</v>
      </c>
      <c r="K133" s="7">
        <f t="shared" si="56"/>
        <v>9375442.4600000009</v>
      </c>
      <c r="L133" s="7"/>
      <c r="M133" s="7"/>
      <c r="N133" s="7"/>
      <c r="O133" s="7">
        <f t="shared" si="56"/>
        <v>11016370.01</v>
      </c>
      <c r="P133" s="7">
        <f t="shared" si="56"/>
        <v>-1640927.5499999998</v>
      </c>
      <c r="Q133" s="7">
        <f t="shared" si="56"/>
        <v>9375442.4600000009</v>
      </c>
    </row>
    <row r="134" spans="1:17">
      <c r="A134" s="14" t="s">
        <v>25</v>
      </c>
      <c r="B134" s="14"/>
      <c r="C134" s="14"/>
      <c r="D134" s="14"/>
      <c r="E134" s="14"/>
      <c r="F134" s="14"/>
      <c r="G134" s="5">
        <f>G135+G136+G137</f>
        <v>598931017.79999995</v>
      </c>
      <c r="H134" s="5">
        <f>H135+H136+H137</f>
        <v>11016370.01</v>
      </c>
      <c r="I134" s="5">
        <f t="shared" ref="I134:Q134" si="57">I135+I136+I137</f>
        <v>11016370.01</v>
      </c>
      <c r="J134" s="5">
        <f t="shared" si="57"/>
        <v>-1640927.5499999998</v>
      </c>
      <c r="K134" s="5">
        <f t="shared" si="57"/>
        <v>9375442.4600000009</v>
      </c>
      <c r="L134" s="7"/>
      <c r="M134" s="7"/>
      <c r="N134" s="7"/>
      <c r="O134" s="5">
        <f>O135+O136+O137</f>
        <v>11016370.01</v>
      </c>
      <c r="P134" s="5">
        <f t="shared" si="57"/>
        <v>-1640927.5499999998</v>
      </c>
      <c r="Q134" s="5">
        <f t="shared" si="57"/>
        <v>9375442.4600000009</v>
      </c>
    </row>
    <row r="135" spans="1:17" ht="168">
      <c r="A135" s="6" t="s">
        <v>172</v>
      </c>
      <c r="B135" s="4" t="s">
        <v>27</v>
      </c>
      <c r="C135" s="4" t="s">
        <v>27</v>
      </c>
      <c r="D135" s="8" t="s">
        <v>0</v>
      </c>
      <c r="E135" s="8" t="s">
        <v>29</v>
      </c>
      <c r="F135" s="8" t="s">
        <v>173</v>
      </c>
      <c r="G135" s="7">
        <v>2500000</v>
      </c>
      <c r="H135" s="7">
        <v>2500000</v>
      </c>
      <c r="I135" s="7">
        <v>2500000</v>
      </c>
      <c r="J135" s="7">
        <v>6875442.46</v>
      </c>
      <c r="K135" s="7">
        <f t="shared" si="29"/>
        <v>9375442.4600000009</v>
      </c>
      <c r="L135" s="7"/>
      <c r="M135" s="7"/>
      <c r="N135" s="7"/>
      <c r="O135" s="7">
        <v>2500000</v>
      </c>
      <c r="P135" s="7">
        <v>6875442.46</v>
      </c>
      <c r="Q135" s="7">
        <v>9375442.4600000009</v>
      </c>
    </row>
    <row r="136" spans="1:17" ht="84">
      <c r="A136" s="6" t="s">
        <v>174</v>
      </c>
      <c r="B136" s="4" t="s">
        <v>27</v>
      </c>
      <c r="C136" s="4" t="s">
        <v>27</v>
      </c>
      <c r="D136" s="8" t="s">
        <v>175</v>
      </c>
      <c r="E136" s="8" t="s">
        <v>29</v>
      </c>
      <c r="F136" s="8" t="s">
        <v>176</v>
      </c>
      <c r="G136" s="16">
        <f>837668900-6213755.45-40591295.72-69056998.5-125375832.53</f>
        <v>596431017.79999995</v>
      </c>
      <c r="H136" s="7">
        <v>6516370.0099999998</v>
      </c>
      <c r="I136" s="7">
        <v>6516370.0099999998</v>
      </c>
      <c r="J136" s="7">
        <v>-6516370.0099999998</v>
      </c>
      <c r="K136" s="7"/>
      <c r="L136" s="7"/>
      <c r="M136" s="7"/>
      <c r="N136" s="7"/>
      <c r="O136" s="7">
        <v>6516370.0099999998</v>
      </c>
      <c r="P136" s="7">
        <v>-6516370.0099999998</v>
      </c>
      <c r="Q136" s="7"/>
    </row>
    <row r="137" spans="1:17" ht="84">
      <c r="A137" s="6" t="s">
        <v>177</v>
      </c>
      <c r="B137" s="4" t="s">
        <v>27</v>
      </c>
      <c r="C137" s="4" t="s">
        <v>27</v>
      </c>
      <c r="D137" s="8" t="s">
        <v>175</v>
      </c>
      <c r="E137" s="8" t="s">
        <v>29</v>
      </c>
      <c r="F137" s="8" t="s">
        <v>176</v>
      </c>
      <c r="G137" s="17"/>
      <c r="H137" s="7">
        <v>2000000</v>
      </c>
      <c r="I137" s="7">
        <v>2000000</v>
      </c>
      <c r="J137" s="7">
        <v>-2000000</v>
      </c>
      <c r="K137" s="7"/>
      <c r="L137" s="7"/>
      <c r="M137" s="7"/>
      <c r="N137" s="7"/>
      <c r="O137" s="7">
        <v>2000000</v>
      </c>
      <c r="P137" s="7">
        <v>-2000000</v>
      </c>
      <c r="Q137" s="7"/>
    </row>
    <row r="138" spans="1:17" ht="30.75" customHeight="1">
      <c r="A138" s="19" t="s">
        <v>178</v>
      </c>
      <c r="B138" s="19"/>
      <c r="C138" s="19"/>
      <c r="D138" s="19"/>
      <c r="E138" s="19"/>
      <c r="F138" s="19"/>
      <c r="G138" s="7">
        <f>G142</f>
        <v>667143510</v>
      </c>
      <c r="H138" s="7">
        <f>H139+H140</f>
        <v>10000000</v>
      </c>
      <c r="I138" s="7">
        <f t="shared" ref="I138:J138" si="58">I139+I140</f>
        <v>10000000</v>
      </c>
      <c r="J138" s="7">
        <f t="shared" si="58"/>
        <v>-10000000</v>
      </c>
      <c r="K138" s="7"/>
      <c r="L138" s="7"/>
      <c r="M138" s="7"/>
      <c r="N138" s="7"/>
      <c r="O138" s="7">
        <f t="shared" ref="O138:P138" si="59">O139+O140</f>
        <v>10000000</v>
      </c>
      <c r="P138" s="7">
        <f t="shared" si="59"/>
        <v>-10000000</v>
      </c>
      <c r="Q138" s="7"/>
    </row>
    <row r="139" spans="1:17">
      <c r="A139" s="19" t="s">
        <v>21</v>
      </c>
      <c r="B139" s="19"/>
      <c r="C139" s="19"/>
      <c r="D139" s="19"/>
      <c r="E139" s="19"/>
      <c r="F139" s="19"/>
      <c r="G139" s="9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>
      <c r="A140" s="19" t="s">
        <v>22</v>
      </c>
      <c r="B140" s="19"/>
      <c r="C140" s="19"/>
      <c r="D140" s="19"/>
      <c r="E140" s="19"/>
      <c r="F140" s="19"/>
      <c r="G140" s="9"/>
      <c r="H140" s="7">
        <f>H143</f>
        <v>10000000</v>
      </c>
      <c r="I140" s="7">
        <f t="shared" ref="I140:J140" si="60">I143</f>
        <v>10000000</v>
      </c>
      <c r="J140" s="7">
        <f t="shared" si="60"/>
        <v>-10000000</v>
      </c>
      <c r="K140" s="7"/>
      <c r="L140" s="7"/>
      <c r="M140" s="7"/>
      <c r="N140" s="7"/>
      <c r="O140" s="7">
        <f t="shared" ref="O140:P140" si="61">O143</f>
        <v>10000000</v>
      </c>
      <c r="P140" s="7">
        <f t="shared" si="61"/>
        <v>-10000000</v>
      </c>
      <c r="Q140" s="7"/>
    </row>
    <row r="141" spans="1:17" ht="20.25" customHeight="1">
      <c r="A141" s="19" t="s">
        <v>179</v>
      </c>
      <c r="B141" s="19"/>
      <c r="C141" s="19"/>
      <c r="D141" s="19"/>
      <c r="E141" s="19"/>
      <c r="F141" s="19"/>
      <c r="G141" s="9"/>
      <c r="H141" s="7">
        <f>H143</f>
        <v>10000000</v>
      </c>
      <c r="I141" s="7">
        <f t="shared" ref="I141:J141" si="62">I143</f>
        <v>10000000</v>
      </c>
      <c r="J141" s="7">
        <f t="shared" si="62"/>
        <v>-10000000</v>
      </c>
      <c r="K141" s="7"/>
      <c r="L141" s="7"/>
      <c r="M141" s="7"/>
      <c r="N141" s="7"/>
      <c r="O141" s="7">
        <f t="shared" ref="O141:P141" si="63">O143</f>
        <v>10000000</v>
      </c>
      <c r="P141" s="7">
        <f t="shared" si="63"/>
        <v>-10000000</v>
      </c>
      <c r="Q141" s="7"/>
    </row>
    <row r="142" spans="1:17">
      <c r="A142" s="14" t="s">
        <v>25</v>
      </c>
      <c r="B142" s="14"/>
      <c r="C142" s="14"/>
      <c r="D142" s="14"/>
      <c r="E142" s="14"/>
      <c r="F142" s="14"/>
      <c r="G142" s="10">
        <f>G143</f>
        <v>667143510</v>
      </c>
      <c r="H142" s="5">
        <f>H143</f>
        <v>10000000</v>
      </c>
      <c r="I142" s="5">
        <f t="shared" ref="I142:J142" si="64">I143</f>
        <v>10000000</v>
      </c>
      <c r="J142" s="5">
        <f t="shared" si="64"/>
        <v>-10000000</v>
      </c>
      <c r="K142" s="7"/>
      <c r="L142" s="7"/>
      <c r="M142" s="7"/>
      <c r="N142" s="7"/>
      <c r="O142" s="5">
        <f t="shared" ref="O142:P142" si="65">O143</f>
        <v>10000000</v>
      </c>
      <c r="P142" s="5">
        <f t="shared" si="65"/>
        <v>-10000000</v>
      </c>
      <c r="Q142" s="7"/>
    </row>
    <row r="143" spans="1:17" ht="84">
      <c r="A143" s="6" t="s">
        <v>180</v>
      </c>
      <c r="B143" s="4" t="s">
        <v>27</v>
      </c>
      <c r="C143" s="4" t="s">
        <v>27</v>
      </c>
      <c r="D143" s="8" t="s">
        <v>105</v>
      </c>
      <c r="E143" s="8" t="s">
        <v>29</v>
      </c>
      <c r="F143" s="8" t="s">
        <v>46</v>
      </c>
      <c r="G143" s="7">
        <v>667143510</v>
      </c>
      <c r="H143" s="7">
        <v>10000000</v>
      </c>
      <c r="I143" s="7">
        <v>10000000</v>
      </c>
      <c r="J143" s="7">
        <v>-10000000</v>
      </c>
      <c r="K143" s="7"/>
      <c r="L143" s="7"/>
      <c r="M143" s="7"/>
      <c r="N143" s="7"/>
      <c r="O143" s="7">
        <v>10000000</v>
      </c>
      <c r="P143" s="7">
        <v>-10000000</v>
      </c>
      <c r="Q143" s="7" t="s">
        <v>0</v>
      </c>
    </row>
    <row r="144" spans="1:17" ht="21.75" customHeight="1">
      <c r="A144" s="19" t="s">
        <v>181</v>
      </c>
      <c r="B144" s="19"/>
      <c r="C144" s="19"/>
      <c r="D144" s="19"/>
      <c r="E144" s="19"/>
      <c r="F144" s="19"/>
      <c r="G144" s="7">
        <f>G148</f>
        <v>816600112.88999999</v>
      </c>
      <c r="H144" s="7">
        <f>H145+H146</f>
        <v>378605612.28000003</v>
      </c>
      <c r="I144" s="7">
        <f>I145+I146</f>
        <v>378605612.28000003</v>
      </c>
      <c r="J144" s="7"/>
      <c r="K144" s="7">
        <f>H144+J144</f>
        <v>378605612.28000003</v>
      </c>
      <c r="L144" s="7">
        <f>L145+L146</f>
        <v>371033500</v>
      </c>
      <c r="M144" s="7"/>
      <c r="N144" s="7">
        <v>371033500</v>
      </c>
      <c r="O144" s="7">
        <f>O145+O146</f>
        <v>7572112.2800000003</v>
      </c>
      <c r="P144" s="7"/>
      <c r="Q144" s="7">
        <v>7572112.2800000003</v>
      </c>
    </row>
    <row r="145" spans="1:17">
      <c r="A145" s="19" t="s">
        <v>21</v>
      </c>
      <c r="B145" s="19"/>
      <c r="C145" s="19"/>
      <c r="D145" s="19"/>
      <c r="E145" s="19"/>
      <c r="F145" s="19"/>
      <c r="G145" s="9"/>
      <c r="H145" s="7">
        <f>H150+H152+H154+H156+H158+H160+H162+H164</f>
        <v>378605612.28000003</v>
      </c>
      <c r="I145" s="7">
        <f>I150+I152+I154+I156+I158+I160+I162+I164</f>
        <v>378605612.28000003</v>
      </c>
      <c r="J145" s="7"/>
      <c r="K145" s="7">
        <f t="shared" si="29"/>
        <v>378605612.28000003</v>
      </c>
      <c r="L145" s="7">
        <f>L150+L152+L154+L156+L158+L160+L162+L164</f>
        <v>371033500</v>
      </c>
      <c r="M145" s="7"/>
      <c r="N145" s="7">
        <v>371033500</v>
      </c>
      <c r="O145" s="7">
        <f>O150+O152+O154+O156+O158+O160+O162+O164</f>
        <v>7572112.2800000003</v>
      </c>
      <c r="P145" s="7"/>
      <c r="Q145" s="7">
        <v>7572112.2800000003</v>
      </c>
    </row>
    <row r="146" spans="1:17">
      <c r="A146" s="19" t="s">
        <v>22</v>
      </c>
      <c r="B146" s="19"/>
      <c r="C146" s="19"/>
      <c r="D146" s="19"/>
      <c r="E146" s="19"/>
      <c r="F146" s="19"/>
      <c r="G146" s="9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21" customHeight="1">
      <c r="A147" s="19" t="s">
        <v>182</v>
      </c>
      <c r="B147" s="19"/>
      <c r="C147" s="19"/>
      <c r="D147" s="19"/>
      <c r="E147" s="19"/>
      <c r="F147" s="19"/>
      <c r="G147" s="9"/>
      <c r="H147" s="7">
        <f>H149+H151+H153+H155+H157+H159+H161+H163</f>
        <v>378605612.28000003</v>
      </c>
      <c r="I147" s="7">
        <f>I149+I151+I153+I155+I157+I159+I161+I163</f>
        <v>378605612.28000003</v>
      </c>
      <c r="J147" s="7"/>
      <c r="K147" s="7">
        <f>H147+J147</f>
        <v>378605612.28000003</v>
      </c>
      <c r="L147" s="7">
        <f>L149+L151+L153+L155+L157+L159+L161+L163</f>
        <v>371033500</v>
      </c>
      <c r="M147" s="7"/>
      <c r="N147" s="7">
        <v>371033500</v>
      </c>
      <c r="O147" s="7">
        <f>O149+O151+O153+O155+O157+O159+O161+O163</f>
        <v>7572112.2800000003</v>
      </c>
      <c r="P147" s="7"/>
      <c r="Q147" s="7">
        <v>7572112.2800000003</v>
      </c>
    </row>
    <row r="148" spans="1:17" ht="26.25" customHeight="1">
      <c r="A148" s="14" t="s">
        <v>183</v>
      </c>
      <c r="B148" s="14"/>
      <c r="C148" s="14"/>
      <c r="D148" s="14"/>
      <c r="E148" s="14"/>
      <c r="F148" s="14"/>
      <c r="G148" s="5">
        <f>G149+G151+G153+G155+G157+G159+G161+G163</f>
        <v>816600112.88999999</v>
      </c>
      <c r="H148" s="5">
        <f>H149+H151+H153+H155+H157+H159+H161+H163</f>
        <v>378605612.28000003</v>
      </c>
      <c r="I148" s="5">
        <f>I149+I151+I153+I155+I157+I159+I161+I163</f>
        <v>378605612.28000003</v>
      </c>
      <c r="J148" s="7"/>
      <c r="K148" s="5">
        <f t="shared" ref="K148:K209" si="66">H148+J148</f>
        <v>378605612.28000003</v>
      </c>
      <c r="L148" s="5">
        <f>L149+L151+L153+L155+L157+L159+L161+L163</f>
        <v>371033500</v>
      </c>
      <c r="M148" s="7"/>
      <c r="N148" s="5">
        <v>371033500</v>
      </c>
      <c r="O148" s="5">
        <f>O149+O151+O153+O155+O157+O159+O161+O163</f>
        <v>7572112.2800000003</v>
      </c>
      <c r="P148" s="7"/>
      <c r="Q148" s="5">
        <v>7572112.2800000003</v>
      </c>
    </row>
    <row r="149" spans="1:17" ht="63">
      <c r="A149" s="6" t="s">
        <v>184</v>
      </c>
      <c r="B149" s="4" t="s">
        <v>27</v>
      </c>
      <c r="C149" s="4" t="s">
        <v>27</v>
      </c>
      <c r="D149" s="8" t="s">
        <v>185</v>
      </c>
      <c r="E149" s="8" t="s">
        <v>136</v>
      </c>
      <c r="F149" s="8" t="s">
        <v>46</v>
      </c>
      <c r="G149" s="7">
        <v>70429550</v>
      </c>
      <c r="H149" s="7">
        <v>34919387.759999998</v>
      </c>
      <c r="I149" s="7">
        <f>I150</f>
        <v>34919387.759999998</v>
      </c>
      <c r="J149" s="7"/>
      <c r="K149" s="7">
        <f t="shared" si="66"/>
        <v>34919387.759999998</v>
      </c>
      <c r="L149" s="7">
        <v>34221000</v>
      </c>
      <c r="M149" s="7" t="s">
        <v>0</v>
      </c>
      <c r="N149" s="7">
        <v>34221000</v>
      </c>
      <c r="O149" s="7">
        <v>698387.76</v>
      </c>
      <c r="P149" s="7" t="s">
        <v>0</v>
      </c>
      <c r="Q149" s="7">
        <v>698387.76</v>
      </c>
    </row>
    <row r="150" spans="1:17">
      <c r="A150" s="6" t="s">
        <v>186</v>
      </c>
      <c r="B150" s="6" t="s">
        <v>187</v>
      </c>
      <c r="C150" s="6" t="s">
        <v>0</v>
      </c>
      <c r="D150" s="6" t="s">
        <v>0</v>
      </c>
      <c r="E150" s="6" t="s">
        <v>0</v>
      </c>
      <c r="F150" s="6" t="s">
        <v>0</v>
      </c>
      <c r="G150" s="6"/>
      <c r="H150" s="7">
        <v>34919387.759999998</v>
      </c>
      <c r="I150" s="7">
        <v>34919387.759999998</v>
      </c>
      <c r="J150" s="7"/>
      <c r="K150" s="7">
        <f t="shared" si="66"/>
        <v>34919387.759999998</v>
      </c>
      <c r="L150" s="7">
        <v>34221000</v>
      </c>
      <c r="M150" s="7" t="s">
        <v>0</v>
      </c>
      <c r="N150" s="7">
        <v>34221000</v>
      </c>
      <c r="O150" s="7">
        <v>698387.76</v>
      </c>
      <c r="P150" s="7" t="s">
        <v>0</v>
      </c>
      <c r="Q150" s="7">
        <v>698387.76</v>
      </c>
    </row>
    <row r="151" spans="1:17" ht="63">
      <c r="A151" s="6" t="s">
        <v>188</v>
      </c>
      <c r="B151" s="4" t="s">
        <v>27</v>
      </c>
      <c r="C151" s="4" t="s">
        <v>27</v>
      </c>
      <c r="D151" s="8" t="s">
        <v>189</v>
      </c>
      <c r="E151" s="8" t="s">
        <v>190</v>
      </c>
      <c r="F151" s="8" t="s">
        <v>46</v>
      </c>
      <c r="G151" s="7">
        <v>38199620</v>
      </c>
      <c r="H151" s="7">
        <v>15872448.98</v>
      </c>
      <c r="I151" s="7">
        <f>I152</f>
        <v>15872448.98</v>
      </c>
      <c r="J151" s="7"/>
      <c r="K151" s="7">
        <f t="shared" si="66"/>
        <v>15872448.98</v>
      </c>
      <c r="L151" s="7">
        <v>15555000</v>
      </c>
      <c r="M151" s="7" t="s">
        <v>0</v>
      </c>
      <c r="N151" s="7">
        <v>15555000</v>
      </c>
      <c r="O151" s="7">
        <v>317448.98</v>
      </c>
      <c r="P151" s="7" t="s">
        <v>0</v>
      </c>
      <c r="Q151" s="7">
        <v>317448.98</v>
      </c>
    </row>
    <row r="152" spans="1:17">
      <c r="A152" s="6" t="s">
        <v>186</v>
      </c>
      <c r="B152" s="6" t="s">
        <v>187</v>
      </c>
      <c r="C152" s="6" t="s">
        <v>0</v>
      </c>
      <c r="D152" s="6" t="s">
        <v>0</v>
      </c>
      <c r="E152" s="6" t="s">
        <v>0</v>
      </c>
      <c r="F152" s="6" t="s">
        <v>0</v>
      </c>
      <c r="G152" s="6"/>
      <c r="H152" s="7">
        <v>15872448.98</v>
      </c>
      <c r="I152" s="7">
        <v>15872448.98</v>
      </c>
      <c r="J152" s="7"/>
      <c r="K152" s="7">
        <f t="shared" si="66"/>
        <v>15872448.98</v>
      </c>
      <c r="L152" s="7">
        <v>15555000</v>
      </c>
      <c r="M152" s="7" t="s">
        <v>0</v>
      </c>
      <c r="N152" s="7">
        <v>15555000</v>
      </c>
      <c r="O152" s="7">
        <v>317448.98</v>
      </c>
      <c r="P152" s="7" t="s">
        <v>0</v>
      </c>
      <c r="Q152" s="7">
        <v>317448.98</v>
      </c>
    </row>
    <row r="153" spans="1:17" ht="84">
      <c r="A153" s="6" t="s">
        <v>191</v>
      </c>
      <c r="B153" s="4" t="s">
        <v>27</v>
      </c>
      <c r="C153" s="4" t="s">
        <v>27</v>
      </c>
      <c r="D153" s="8" t="s">
        <v>192</v>
      </c>
      <c r="E153" s="8" t="s">
        <v>190</v>
      </c>
      <c r="F153" s="8" t="s">
        <v>46</v>
      </c>
      <c r="G153" s="7">
        <v>52378790</v>
      </c>
      <c r="H153" s="7">
        <v>19046938.780000001</v>
      </c>
      <c r="I153" s="7">
        <f>I154</f>
        <v>19046938.780000001</v>
      </c>
      <c r="J153" s="7"/>
      <c r="K153" s="7">
        <f t="shared" si="66"/>
        <v>19046938.780000001</v>
      </c>
      <c r="L153" s="7">
        <v>18666000</v>
      </c>
      <c r="M153" s="7" t="s">
        <v>0</v>
      </c>
      <c r="N153" s="7">
        <v>18666000</v>
      </c>
      <c r="O153" s="7">
        <v>380938.78</v>
      </c>
      <c r="P153" s="7" t="s">
        <v>0</v>
      </c>
      <c r="Q153" s="7">
        <v>380938.78</v>
      </c>
    </row>
    <row r="154" spans="1:17">
      <c r="A154" s="6" t="s">
        <v>186</v>
      </c>
      <c r="B154" s="6" t="s">
        <v>187</v>
      </c>
      <c r="C154" s="6" t="s">
        <v>0</v>
      </c>
      <c r="D154" s="6" t="s">
        <v>0</v>
      </c>
      <c r="E154" s="6" t="s">
        <v>0</v>
      </c>
      <c r="F154" s="6" t="s">
        <v>0</v>
      </c>
      <c r="G154" s="6"/>
      <c r="H154" s="7">
        <v>19046938.780000001</v>
      </c>
      <c r="I154" s="7">
        <v>19046938.780000001</v>
      </c>
      <c r="J154" s="7"/>
      <c r="K154" s="7">
        <f t="shared" si="66"/>
        <v>19046938.780000001</v>
      </c>
      <c r="L154" s="7">
        <v>18666000</v>
      </c>
      <c r="M154" s="7" t="s">
        <v>0</v>
      </c>
      <c r="N154" s="7">
        <v>18666000</v>
      </c>
      <c r="O154" s="7">
        <v>380938.78</v>
      </c>
      <c r="P154" s="7" t="s">
        <v>0</v>
      </c>
      <c r="Q154" s="7">
        <v>380938.78</v>
      </c>
    </row>
    <row r="155" spans="1:17" ht="42">
      <c r="A155" s="6" t="s">
        <v>193</v>
      </c>
      <c r="B155" s="4" t="s">
        <v>27</v>
      </c>
      <c r="C155" s="4" t="s">
        <v>27</v>
      </c>
      <c r="D155" s="8" t="s">
        <v>194</v>
      </c>
      <c r="E155" s="8" t="s">
        <v>98</v>
      </c>
      <c r="F155" s="8" t="s">
        <v>36</v>
      </c>
      <c r="G155" s="7">
        <v>112902567.14</v>
      </c>
      <c r="H155" s="7">
        <v>108810816.34</v>
      </c>
      <c r="I155" s="7">
        <f>I156</f>
        <v>108810816.34</v>
      </c>
      <c r="J155" s="7"/>
      <c r="K155" s="7">
        <f t="shared" si="66"/>
        <v>108810816.34</v>
      </c>
      <c r="L155" s="7">
        <v>106634600</v>
      </c>
      <c r="M155" s="7" t="s">
        <v>0</v>
      </c>
      <c r="N155" s="7">
        <v>106634600</v>
      </c>
      <c r="O155" s="7">
        <v>2176216.34</v>
      </c>
      <c r="P155" s="7" t="s">
        <v>0</v>
      </c>
      <c r="Q155" s="7">
        <v>2176216.34</v>
      </c>
    </row>
    <row r="156" spans="1:17">
      <c r="A156" s="6" t="s">
        <v>186</v>
      </c>
      <c r="B156" s="6" t="s">
        <v>187</v>
      </c>
      <c r="C156" s="6" t="s">
        <v>0</v>
      </c>
      <c r="D156" s="6" t="s">
        <v>0</v>
      </c>
      <c r="E156" s="6" t="s">
        <v>0</v>
      </c>
      <c r="F156" s="6" t="s">
        <v>0</v>
      </c>
      <c r="G156" s="6"/>
      <c r="H156" s="7">
        <v>108810816.34</v>
      </c>
      <c r="I156" s="7">
        <v>108810816.34</v>
      </c>
      <c r="J156" s="7"/>
      <c r="K156" s="7">
        <f t="shared" si="66"/>
        <v>108810816.34</v>
      </c>
      <c r="L156" s="7">
        <v>106634600</v>
      </c>
      <c r="M156" s="7" t="s">
        <v>0</v>
      </c>
      <c r="N156" s="7">
        <v>106634600</v>
      </c>
      <c r="O156" s="7">
        <v>2176216.34</v>
      </c>
      <c r="P156" s="7" t="s">
        <v>0</v>
      </c>
      <c r="Q156" s="7">
        <v>2176216.34</v>
      </c>
    </row>
    <row r="157" spans="1:17" ht="52.5">
      <c r="A157" s="6" t="s">
        <v>195</v>
      </c>
      <c r="B157" s="4" t="s">
        <v>27</v>
      </c>
      <c r="C157" s="4" t="s">
        <v>27</v>
      </c>
      <c r="D157" s="8" t="s">
        <v>196</v>
      </c>
      <c r="E157" s="8" t="s">
        <v>92</v>
      </c>
      <c r="F157" s="8" t="s">
        <v>46</v>
      </c>
      <c r="G157" s="7">
        <v>196883420</v>
      </c>
      <c r="H157" s="7">
        <v>64085306.119999997</v>
      </c>
      <c r="I157" s="7">
        <f>I158</f>
        <v>64085306.119999997</v>
      </c>
      <c r="J157" s="7"/>
      <c r="K157" s="7">
        <f t="shared" si="66"/>
        <v>64085306.119999997</v>
      </c>
      <c r="L157" s="7">
        <v>62803600</v>
      </c>
      <c r="M157" s="7" t="s">
        <v>0</v>
      </c>
      <c r="N157" s="7">
        <v>62803600</v>
      </c>
      <c r="O157" s="7">
        <v>1281706.1200000001</v>
      </c>
      <c r="P157" s="7" t="s">
        <v>0</v>
      </c>
      <c r="Q157" s="7">
        <v>1281706.1200000001</v>
      </c>
    </row>
    <row r="158" spans="1:17">
      <c r="A158" s="6" t="s">
        <v>186</v>
      </c>
      <c r="B158" s="6" t="s">
        <v>187</v>
      </c>
      <c r="C158" s="6" t="s">
        <v>0</v>
      </c>
      <c r="D158" s="6" t="s">
        <v>0</v>
      </c>
      <c r="E158" s="6" t="s">
        <v>0</v>
      </c>
      <c r="F158" s="6" t="s">
        <v>0</v>
      </c>
      <c r="G158" s="6"/>
      <c r="H158" s="7">
        <v>64085306.119999997</v>
      </c>
      <c r="I158" s="7">
        <v>64085306.119999997</v>
      </c>
      <c r="J158" s="7"/>
      <c r="K158" s="7">
        <f t="shared" si="66"/>
        <v>64085306.119999997</v>
      </c>
      <c r="L158" s="7">
        <v>62803600</v>
      </c>
      <c r="M158" s="7" t="s">
        <v>0</v>
      </c>
      <c r="N158" s="7">
        <v>62803600</v>
      </c>
      <c r="O158" s="7">
        <v>1281706.1200000001</v>
      </c>
      <c r="P158" s="7" t="s">
        <v>0</v>
      </c>
      <c r="Q158" s="7">
        <v>1281706.1200000001</v>
      </c>
    </row>
    <row r="159" spans="1:17" ht="73.5">
      <c r="A159" s="6" t="s">
        <v>197</v>
      </c>
      <c r="B159" s="4" t="s">
        <v>27</v>
      </c>
      <c r="C159" s="4" t="s">
        <v>27</v>
      </c>
      <c r="D159" s="8" t="s">
        <v>198</v>
      </c>
      <c r="E159" s="8" t="s">
        <v>199</v>
      </c>
      <c r="F159" s="8" t="s">
        <v>46</v>
      </c>
      <c r="G159" s="7">
        <v>226678080</v>
      </c>
      <c r="H159" s="7">
        <v>21163265.309999999</v>
      </c>
      <c r="I159" s="7">
        <f>I160</f>
        <v>21163265.309999999</v>
      </c>
      <c r="J159" s="7"/>
      <c r="K159" s="7">
        <f t="shared" si="66"/>
        <v>21163265.309999999</v>
      </c>
      <c r="L159" s="7">
        <v>20740000</v>
      </c>
      <c r="M159" s="7" t="s">
        <v>0</v>
      </c>
      <c r="N159" s="7">
        <v>20740000</v>
      </c>
      <c r="O159" s="7">
        <v>423265.31</v>
      </c>
      <c r="P159" s="7" t="s">
        <v>0</v>
      </c>
      <c r="Q159" s="7">
        <v>423265.31</v>
      </c>
    </row>
    <row r="160" spans="1:17">
      <c r="A160" s="6" t="s">
        <v>186</v>
      </c>
      <c r="B160" s="6" t="s">
        <v>187</v>
      </c>
      <c r="C160" s="6" t="s">
        <v>0</v>
      </c>
      <c r="D160" s="6" t="s">
        <v>0</v>
      </c>
      <c r="E160" s="6" t="s">
        <v>0</v>
      </c>
      <c r="F160" s="6" t="s">
        <v>0</v>
      </c>
      <c r="G160" s="6"/>
      <c r="H160" s="7">
        <v>21163265.309999999</v>
      </c>
      <c r="I160" s="7">
        <v>21163265.309999999</v>
      </c>
      <c r="J160" s="7"/>
      <c r="K160" s="7">
        <f t="shared" si="66"/>
        <v>21163265.309999999</v>
      </c>
      <c r="L160" s="7">
        <v>20740000</v>
      </c>
      <c r="M160" s="7" t="s">
        <v>0</v>
      </c>
      <c r="N160" s="7">
        <v>20740000</v>
      </c>
      <c r="O160" s="7">
        <v>423265.31</v>
      </c>
      <c r="P160" s="7" t="s">
        <v>0</v>
      </c>
      <c r="Q160" s="7">
        <v>423265.31</v>
      </c>
    </row>
    <row r="161" spans="1:17" ht="63">
      <c r="A161" s="6" t="s">
        <v>200</v>
      </c>
      <c r="B161" s="4" t="s">
        <v>27</v>
      </c>
      <c r="C161" s="4" t="s">
        <v>27</v>
      </c>
      <c r="D161" s="8" t="s">
        <v>201</v>
      </c>
      <c r="E161" s="8" t="s">
        <v>106</v>
      </c>
      <c r="F161" s="8" t="s">
        <v>36</v>
      </c>
      <c r="G161" s="7">
        <v>79210807.75</v>
      </c>
      <c r="H161" s="7">
        <v>77086938.780000001</v>
      </c>
      <c r="I161" s="7">
        <f>I162</f>
        <v>77086938.780000001</v>
      </c>
      <c r="J161" s="7"/>
      <c r="K161" s="7">
        <f t="shared" si="66"/>
        <v>77086938.780000001</v>
      </c>
      <c r="L161" s="7">
        <v>75545200</v>
      </c>
      <c r="M161" s="7" t="s">
        <v>0</v>
      </c>
      <c r="N161" s="7">
        <v>75545200</v>
      </c>
      <c r="O161" s="7">
        <v>1541738.78</v>
      </c>
      <c r="P161" s="7" t="s">
        <v>0</v>
      </c>
      <c r="Q161" s="7">
        <v>1541738.78</v>
      </c>
    </row>
    <row r="162" spans="1:17">
      <c r="A162" s="6" t="s">
        <v>186</v>
      </c>
      <c r="B162" s="6" t="s">
        <v>187</v>
      </c>
      <c r="C162" s="6" t="s">
        <v>0</v>
      </c>
      <c r="D162" s="6" t="s">
        <v>0</v>
      </c>
      <c r="E162" s="6" t="s">
        <v>0</v>
      </c>
      <c r="F162" s="6" t="s">
        <v>0</v>
      </c>
      <c r="G162" s="6"/>
      <c r="H162" s="7">
        <v>77086938.780000001</v>
      </c>
      <c r="I162" s="7">
        <v>77086938.780000001</v>
      </c>
      <c r="J162" s="7"/>
      <c r="K162" s="7">
        <f t="shared" si="66"/>
        <v>77086938.780000001</v>
      </c>
      <c r="L162" s="7">
        <v>75545200</v>
      </c>
      <c r="M162" s="7" t="s">
        <v>0</v>
      </c>
      <c r="N162" s="7">
        <v>75545200</v>
      </c>
      <c r="O162" s="7">
        <v>1541738.78</v>
      </c>
      <c r="P162" s="7" t="s">
        <v>0</v>
      </c>
      <c r="Q162" s="7">
        <v>1541738.78</v>
      </c>
    </row>
    <row r="163" spans="1:17" ht="63">
      <c r="A163" s="6" t="s">
        <v>202</v>
      </c>
      <c r="B163" s="4" t="s">
        <v>27</v>
      </c>
      <c r="C163" s="4" t="s">
        <v>27</v>
      </c>
      <c r="D163" s="8" t="s">
        <v>203</v>
      </c>
      <c r="E163" s="8" t="s">
        <v>204</v>
      </c>
      <c r="F163" s="8" t="s">
        <v>36</v>
      </c>
      <c r="G163" s="7">
        <v>39917278</v>
      </c>
      <c r="H163" s="7">
        <v>37620510.210000001</v>
      </c>
      <c r="I163" s="7">
        <f>I164</f>
        <v>37620510.210000001</v>
      </c>
      <c r="J163" s="7"/>
      <c r="K163" s="7">
        <f t="shared" si="66"/>
        <v>37620510.210000001</v>
      </c>
      <c r="L163" s="7">
        <v>36868100</v>
      </c>
      <c r="M163" s="7" t="s">
        <v>0</v>
      </c>
      <c r="N163" s="7">
        <v>36868100</v>
      </c>
      <c r="O163" s="7">
        <v>752410.21</v>
      </c>
      <c r="P163" s="7" t="s">
        <v>0</v>
      </c>
      <c r="Q163" s="7">
        <v>752410.21</v>
      </c>
    </row>
    <row r="164" spans="1:17">
      <c r="A164" s="6" t="s">
        <v>186</v>
      </c>
      <c r="B164" s="6" t="s">
        <v>187</v>
      </c>
      <c r="C164" s="6" t="s">
        <v>0</v>
      </c>
      <c r="D164" s="6" t="s">
        <v>0</v>
      </c>
      <c r="E164" s="6" t="s">
        <v>0</v>
      </c>
      <c r="F164" s="6" t="s">
        <v>0</v>
      </c>
      <c r="G164" s="6"/>
      <c r="H164" s="7">
        <v>37620510.210000001</v>
      </c>
      <c r="I164" s="7">
        <v>37620510.210000001</v>
      </c>
      <c r="J164" s="7"/>
      <c r="K164" s="7">
        <f t="shared" si="66"/>
        <v>37620510.210000001</v>
      </c>
      <c r="L164" s="7">
        <v>36868100</v>
      </c>
      <c r="M164" s="7" t="s">
        <v>0</v>
      </c>
      <c r="N164" s="7">
        <v>36868100</v>
      </c>
      <c r="O164" s="7">
        <v>752410.21</v>
      </c>
      <c r="P164" s="7" t="s">
        <v>0</v>
      </c>
      <c r="Q164" s="7">
        <v>752410.21</v>
      </c>
    </row>
    <row r="165" spans="1:17" ht="19.5" customHeight="1">
      <c r="A165" s="19" t="s">
        <v>205</v>
      </c>
      <c r="B165" s="19"/>
      <c r="C165" s="19"/>
      <c r="D165" s="19"/>
      <c r="E165" s="19"/>
      <c r="F165" s="19"/>
      <c r="G165" s="7">
        <f>G169+G178</f>
        <v>2714974667.7200003</v>
      </c>
      <c r="H165" s="7">
        <f>H166+H167</f>
        <v>908325060</v>
      </c>
      <c r="I165" s="7">
        <f t="shared" ref="I165:Q165" si="67">I166+I167</f>
        <v>908325060</v>
      </c>
      <c r="J165" s="7">
        <f t="shared" si="67"/>
        <v>-33497470</v>
      </c>
      <c r="K165" s="7">
        <f>K166+K167</f>
        <v>874827590</v>
      </c>
      <c r="L165" s="7">
        <f>L166+L167</f>
        <v>700000000</v>
      </c>
      <c r="M165" s="7"/>
      <c r="N165" s="7">
        <f>N166+N167</f>
        <v>700000000</v>
      </c>
      <c r="O165" s="7">
        <f t="shared" si="67"/>
        <v>208325060</v>
      </c>
      <c r="P165" s="7">
        <f t="shared" si="67"/>
        <v>-33497470</v>
      </c>
      <c r="Q165" s="7">
        <f t="shared" si="67"/>
        <v>174827590</v>
      </c>
    </row>
    <row r="166" spans="1:17">
      <c r="A166" s="19" t="s">
        <v>21</v>
      </c>
      <c r="B166" s="19"/>
      <c r="C166" s="19"/>
      <c r="D166" s="19"/>
      <c r="E166" s="19"/>
      <c r="F166" s="19"/>
      <c r="G166" s="9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>
      <c r="A167" s="19" t="s">
        <v>22</v>
      </c>
      <c r="B167" s="19"/>
      <c r="C167" s="19"/>
      <c r="D167" s="19"/>
      <c r="E167" s="19"/>
      <c r="F167" s="19"/>
      <c r="G167" s="9"/>
      <c r="H167" s="7">
        <f>H168+H177</f>
        <v>908325060</v>
      </c>
      <c r="I167" s="7">
        <f t="shared" ref="I167:Q167" si="68">I168+I177</f>
        <v>908325060</v>
      </c>
      <c r="J167" s="7">
        <f t="shared" si="68"/>
        <v>-33497470</v>
      </c>
      <c r="K167" s="7">
        <f>K168+K177</f>
        <v>874827590</v>
      </c>
      <c r="L167" s="7">
        <f>L168+L177</f>
        <v>700000000</v>
      </c>
      <c r="M167" s="7"/>
      <c r="N167" s="7">
        <f t="shared" si="68"/>
        <v>700000000</v>
      </c>
      <c r="O167" s="7">
        <f t="shared" si="68"/>
        <v>208325060</v>
      </c>
      <c r="P167" s="7">
        <f t="shared" si="68"/>
        <v>-33497470</v>
      </c>
      <c r="Q167" s="7">
        <f t="shared" si="68"/>
        <v>174827590</v>
      </c>
    </row>
    <row r="168" spans="1:17" ht="23.25" customHeight="1">
      <c r="A168" s="19" t="s">
        <v>206</v>
      </c>
      <c r="B168" s="19"/>
      <c r="C168" s="19"/>
      <c r="D168" s="19"/>
      <c r="E168" s="19"/>
      <c r="F168" s="19"/>
      <c r="G168" s="9"/>
      <c r="H168" s="7">
        <f>H169</f>
        <v>793227160</v>
      </c>
      <c r="I168" s="7">
        <f t="shared" ref="I168:Q168" si="69">I169</f>
        <v>793227160</v>
      </c>
      <c r="J168" s="7">
        <f t="shared" si="69"/>
        <v>-33497470</v>
      </c>
      <c r="K168" s="7">
        <f t="shared" si="69"/>
        <v>759729690</v>
      </c>
      <c r="L168" s="7">
        <f t="shared" si="69"/>
        <v>700000000</v>
      </c>
      <c r="M168" s="7"/>
      <c r="N168" s="7">
        <f t="shared" si="69"/>
        <v>700000000</v>
      </c>
      <c r="O168" s="7">
        <f t="shared" si="69"/>
        <v>93227160</v>
      </c>
      <c r="P168" s="7">
        <f t="shared" si="69"/>
        <v>-33497470</v>
      </c>
      <c r="Q168" s="7">
        <f t="shared" si="69"/>
        <v>59729690</v>
      </c>
    </row>
    <row r="169" spans="1:17">
      <c r="A169" s="14" t="s">
        <v>123</v>
      </c>
      <c r="B169" s="14"/>
      <c r="C169" s="14"/>
      <c r="D169" s="14"/>
      <c r="E169" s="14"/>
      <c r="F169" s="14"/>
      <c r="G169" s="5">
        <f>G170+G171+G172+G173+G174+G175+G176</f>
        <v>2249972967.7200003</v>
      </c>
      <c r="H169" s="5">
        <f>H170+H171+H172+H173+H174+H175+H176</f>
        <v>793227160</v>
      </c>
      <c r="I169" s="5">
        <f t="shared" ref="I169:Q169" si="70">I170+I171+I172+I173+I174+I175+I176</f>
        <v>793227160</v>
      </c>
      <c r="J169" s="5">
        <f t="shared" si="70"/>
        <v>-33497470</v>
      </c>
      <c r="K169" s="5">
        <f t="shared" si="70"/>
        <v>759729690</v>
      </c>
      <c r="L169" s="5">
        <f t="shared" si="70"/>
        <v>700000000</v>
      </c>
      <c r="M169" s="7"/>
      <c r="N169" s="5">
        <f t="shared" si="70"/>
        <v>700000000</v>
      </c>
      <c r="O169" s="5">
        <f t="shared" si="70"/>
        <v>93227160</v>
      </c>
      <c r="P169" s="5">
        <f t="shared" si="70"/>
        <v>-33497470</v>
      </c>
      <c r="Q169" s="5">
        <f t="shared" si="70"/>
        <v>59729690</v>
      </c>
    </row>
    <row r="170" spans="1:17" ht="63">
      <c r="A170" s="6" t="s">
        <v>207</v>
      </c>
      <c r="B170" s="4" t="s">
        <v>27</v>
      </c>
      <c r="C170" s="4" t="s">
        <v>27</v>
      </c>
      <c r="D170" s="8" t="s">
        <v>208</v>
      </c>
      <c r="E170" s="8" t="s">
        <v>98</v>
      </c>
      <c r="F170" s="8" t="s">
        <v>30</v>
      </c>
      <c r="G170" s="7"/>
      <c r="H170" s="7">
        <v>22756230</v>
      </c>
      <c r="I170" s="7">
        <v>22756230</v>
      </c>
      <c r="J170" s="7">
        <v>-22756230</v>
      </c>
      <c r="K170" s="7"/>
      <c r="L170" s="7"/>
      <c r="M170" s="7"/>
      <c r="N170" s="7"/>
      <c r="O170" s="7">
        <v>22756230</v>
      </c>
      <c r="P170" s="7">
        <v>-22756230</v>
      </c>
      <c r="Q170" s="7"/>
    </row>
    <row r="171" spans="1:17" ht="63">
      <c r="A171" s="6" t="s">
        <v>209</v>
      </c>
      <c r="B171" s="4" t="s">
        <v>27</v>
      </c>
      <c r="C171" s="4" t="s">
        <v>27</v>
      </c>
      <c r="D171" s="8" t="s">
        <v>210</v>
      </c>
      <c r="E171" s="8" t="s">
        <v>204</v>
      </c>
      <c r="F171" s="8" t="s">
        <v>38</v>
      </c>
      <c r="G171" s="7">
        <v>20000000</v>
      </c>
      <c r="H171" s="7">
        <v>20000000</v>
      </c>
      <c r="I171" s="7">
        <v>20000000</v>
      </c>
      <c r="J171" s="7"/>
      <c r="K171" s="7">
        <f t="shared" si="66"/>
        <v>20000000</v>
      </c>
      <c r="L171" s="7"/>
      <c r="M171" s="7"/>
      <c r="N171" s="7"/>
      <c r="O171" s="7">
        <v>20000000</v>
      </c>
      <c r="P171" s="7"/>
      <c r="Q171" s="7">
        <v>20000000</v>
      </c>
    </row>
    <row r="172" spans="1:17" ht="73.5">
      <c r="A172" s="6" t="s">
        <v>211</v>
      </c>
      <c r="B172" s="4" t="s">
        <v>27</v>
      </c>
      <c r="C172" s="4" t="s">
        <v>27</v>
      </c>
      <c r="D172" s="8" t="s">
        <v>212</v>
      </c>
      <c r="E172" s="8" t="s">
        <v>213</v>
      </c>
      <c r="F172" s="8" t="s">
        <v>38</v>
      </c>
      <c r="G172" s="7">
        <v>23715000</v>
      </c>
      <c r="H172" s="7">
        <v>23715000</v>
      </c>
      <c r="I172" s="7">
        <v>23715000</v>
      </c>
      <c r="J172" s="7"/>
      <c r="K172" s="7">
        <f t="shared" si="66"/>
        <v>23715000</v>
      </c>
      <c r="L172" s="7"/>
      <c r="M172" s="7"/>
      <c r="N172" s="7"/>
      <c r="O172" s="7">
        <v>23715000</v>
      </c>
      <c r="P172" s="7"/>
      <c r="Q172" s="7">
        <v>23715000</v>
      </c>
    </row>
    <row r="173" spans="1:17" ht="94.5">
      <c r="A173" s="6" t="s">
        <v>214</v>
      </c>
      <c r="B173" s="4" t="s">
        <v>27</v>
      </c>
      <c r="C173" s="4" t="s">
        <v>125</v>
      </c>
      <c r="D173" s="8" t="s">
        <v>215</v>
      </c>
      <c r="E173" s="8" t="s">
        <v>96</v>
      </c>
      <c r="F173" s="8" t="s">
        <v>216</v>
      </c>
      <c r="G173" s="7">
        <v>2097250987.72</v>
      </c>
      <c r="H173" s="7">
        <v>700000000</v>
      </c>
      <c r="I173" s="7">
        <v>700000000</v>
      </c>
      <c r="J173" s="7"/>
      <c r="K173" s="7">
        <f t="shared" si="66"/>
        <v>700000000</v>
      </c>
      <c r="L173" s="7">
        <v>700000000</v>
      </c>
      <c r="M173" s="7"/>
      <c r="N173" s="7">
        <v>700000000</v>
      </c>
      <c r="O173" s="7"/>
      <c r="P173" s="7"/>
      <c r="Q173" s="7"/>
    </row>
    <row r="174" spans="1:17" ht="52.5">
      <c r="A174" s="6" t="s">
        <v>217</v>
      </c>
      <c r="B174" s="4" t="s">
        <v>27</v>
      </c>
      <c r="C174" s="4" t="s">
        <v>27</v>
      </c>
      <c r="D174" s="8" t="s">
        <v>218</v>
      </c>
      <c r="E174" s="8" t="s">
        <v>92</v>
      </c>
      <c r="F174" s="8" t="s">
        <v>46</v>
      </c>
      <c r="G174" s="7"/>
      <c r="H174" s="7">
        <v>10741240</v>
      </c>
      <c r="I174" s="7">
        <v>10741240</v>
      </c>
      <c r="J174" s="7">
        <v>-10741240</v>
      </c>
      <c r="K174" s="7"/>
      <c r="L174" s="7"/>
      <c r="M174" s="7"/>
      <c r="N174" s="7"/>
      <c r="O174" s="7">
        <v>10741240</v>
      </c>
      <c r="P174" s="7">
        <v>-10741240</v>
      </c>
      <c r="Q174" s="7"/>
    </row>
    <row r="175" spans="1:17" ht="52.5">
      <c r="A175" s="6" t="s">
        <v>219</v>
      </c>
      <c r="B175" s="4" t="s">
        <v>27</v>
      </c>
      <c r="C175" s="4" t="s">
        <v>27</v>
      </c>
      <c r="D175" s="8" t="s">
        <v>220</v>
      </c>
      <c r="E175" s="8" t="s">
        <v>92</v>
      </c>
      <c r="F175" s="8" t="s">
        <v>85</v>
      </c>
      <c r="G175" s="7">
        <v>65852020</v>
      </c>
      <c r="H175" s="7">
        <v>5433240</v>
      </c>
      <c r="I175" s="7">
        <v>5433240</v>
      </c>
      <c r="J175" s="7"/>
      <c r="K175" s="7">
        <f t="shared" si="66"/>
        <v>5433240</v>
      </c>
      <c r="L175" s="7"/>
      <c r="M175" s="7"/>
      <c r="N175" s="7"/>
      <c r="O175" s="7">
        <v>5433240</v>
      </c>
      <c r="P175" s="7"/>
      <c r="Q175" s="7">
        <v>5433240</v>
      </c>
    </row>
    <row r="176" spans="1:17" ht="42">
      <c r="A176" s="6" t="s">
        <v>221</v>
      </c>
      <c r="B176" s="4" t="s">
        <v>27</v>
      </c>
      <c r="C176" s="4" t="s">
        <v>27</v>
      </c>
      <c r="D176" s="8" t="s">
        <v>222</v>
      </c>
      <c r="E176" s="8" t="s">
        <v>98</v>
      </c>
      <c r="F176" s="8" t="s">
        <v>36</v>
      </c>
      <c r="G176" s="7">
        <v>43154960</v>
      </c>
      <c r="H176" s="7">
        <v>10581450</v>
      </c>
      <c r="I176" s="7">
        <v>10581450</v>
      </c>
      <c r="J176" s="7"/>
      <c r="K176" s="7">
        <f t="shared" si="66"/>
        <v>10581450</v>
      </c>
      <c r="L176" s="7"/>
      <c r="M176" s="7"/>
      <c r="N176" s="7"/>
      <c r="O176" s="7">
        <v>10581450</v>
      </c>
      <c r="P176" s="7"/>
      <c r="Q176" s="7">
        <v>10581450</v>
      </c>
    </row>
    <row r="177" spans="1:17" ht="21.75" customHeight="1">
      <c r="A177" s="19" t="s">
        <v>223</v>
      </c>
      <c r="B177" s="19"/>
      <c r="C177" s="19"/>
      <c r="D177" s="19"/>
      <c r="E177" s="19"/>
      <c r="F177" s="19"/>
      <c r="G177" s="9"/>
      <c r="H177" s="7">
        <f>H178</f>
        <v>115097900</v>
      </c>
      <c r="I177" s="7">
        <f>I178</f>
        <v>115097900</v>
      </c>
      <c r="J177" s="7">
        <f t="shared" ref="J177" si="71">J178</f>
        <v>0</v>
      </c>
      <c r="K177" s="7">
        <f t="shared" si="66"/>
        <v>115097900</v>
      </c>
      <c r="L177" s="7"/>
      <c r="M177" s="7"/>
      <c r="N177" s="7"/>
      <c r="O177" s="7">
        <f t="shared" ref="O177" si="72">O178</f>
        <v>115097900</v>
      </c>
      <c r="P177" s="7"/>
      <c r="Q177" s="7">
        <v>115097900</v>
      </c>
    </row>
    <row r="178" spans="1:17">
      <c r="A178" s="14" t="s">
        <v>123</v>
      </c>
      <c r="B178" s="14"/>
      <c r="C178" s="14"/>
      <c r="D178" s="14"/>
      <c r="E178" s="14"/>
      <c r="F178" s="14"/>
      <c r="G178" s="5">
        <f>G179+G180+G181+G182</f>
        <v>465001700</v>
      </c>
      <c r="H178" s="5">
        <f>H179+H180+H181+H182</f>
        <v>115097900</v>
      </c>
      <c r="I178" s="5">
        <f>SUM(I179:I182)</f>
        <v>115097900</v>
      </c>
      <c r="J178" s="5">
        <f t="shared" ref="J178" si="73">J179+J180+J181+J182</f>
        <v>0</v>
      </c>
      <c r="K178" s="5">
        <f t="shared" si="66"/>
        <v>115097900</v>
      </c>
      <c r="L178" s="5"/>
      <c r="M178" s="5"/>
      <c r="N178" s="5"/>
      <c r="O178" s="5">
        <f t="shared" ref="O178" si="74">O179+O180+O181+O182</f>
        <v>115097900</v>
      </c>
      <c r="P178" s="5"/>
      <c r="Q178" s="5">
        <v>115097900</v>
      </c>
    </row>
    <row r="179" spans="1:17" ht="94.5">
      <c r="A179" s="6" t="s">
        <v>224</v>
      </c>
      <c r="B179" s="4" t="s">
        <v>27</v>
      </c>
      <c r="C179" s="4" t="s">
        <v>125</v>
      </c>
      <c r="D179" s="8" t="s">
        <v>212</v>
      </c>
      <c r="E179" s="8" t="s">
        <v>127</v>
      </c>
      <c r="F179" s="8" t="s">
        <v>46</v>
      </c>
      <c r="G179" s="7">
        <v>15000000</v>
      </c>
      <c r="H179" s="7">
        <v>4500000</v>
      </c>
      <c r="I179" s="7">
        <v>4500000</v>
      </c>
      <c r="J179" s="7"/>
      <c r="K179" s="7">
        <f t="shared" si="66"/>
        <v>4500000</v>
      </c>
      <c r="L179" s="7" t="s">
        <v>0</v>
      </c>
      <c r="M179" s="7"/>
      <c r="N179" s="7" t="s">
        <v>0</v>
      </c>
      <c r="O179" s="7">
        <v>4500000</v>
      </c>
      <c r="P179" s="7"/>
      <c r="Q179" s="7">
        <v>4500000</v>
      </c>
    </row>
    <row r="180" spans="1:17" ht="94.5">
      <c r="A180" s="6" t="s">
        <v>225</v>
      </c>
      <c r="B180" s="4" t="s">
        <v>27</v>
      </c>
      <c r="C180" s="4" t="s">
        <v>125</v>
      </c>
      <c r="D180" s="8" t="s">
        <v>212</v>
      </c>
      <c r="E180" s="8" t="s">
        <v>127</v>
      </c>
      <c r="F180" s="8" t="s">
        <v>36</v>
      </c>
      <c r="G180" s="7">
        <v>2560000</v>
      </c>
      <c r="H180" s="7">
        <v>2560000</v>
      </c>
      <c r="I180" s="7">
        <v>2560000</v>
      </c>
      <c r="J180" s="7"/>
      <c r="K180" s="7">
        <f t="shared" si="66"/>
        <v>2560000</v>
      </c>
      <c r="L180" s="7" t="s">
        <v>0</v>
      </c>
      <c r="M180" s="7" t="s">
        <v>0</v>
      </c>
      <c r="N180" s="7" t="s">
        <v>0</v>
      </c>
      <c r="O180" s="7">
        <v>2560000</v>
      </c>
      <c r="P180" s="7"/>
      <c r="Q180" s="7">
        <v>2560000</v>
      </c>
    </row>
    <row r="181" spans="1:17" ht="178.5">
      <c r="A181" s="6" t="s">
        <v>226</v>
      </c>
      <c r="B181" s="4" t="s">
        <v>27</v>
      </c>
      <c r="C181" s="4" t="s">
        <v>125</v>
      </c>
      <c r="D181" s="8" t="s">
        <v>227</v>
      </c>
      <c r="E181" s="8" t="s">
        <v>127</v>
      </c>
      <c r="F181" s="8" t="s">
        <v>228</v>
      </c>
      <c r="G181" s="7"/>
      <c r="H181" s="7">
        <v>7800000</v>
      </c>
      <c r="I181" s="7">
        <v>7800000</v>
      </c>
      <c r="J181" s="7">
        <v>-7800000</v>
      </c>
      <c r="K181" s="7"/>
      <c r="L181" s="7" t="s">
        <v>0</v>
      </c>
      <c r="M181" s="7" t="s">
        <v>0</v>
      </c>
      <c r="N181" s="7" t="s">
        <v>0</v>
      </c>
      <c r="O181" s="7">
        <v>7800000</v>
      </c>
      <c r="P181" s="7">
        <v>-7800000</v>
      </c>
      <c r="Q181" s="7"/>
    </row>
    <row r="182" spans="1:17" ht="94.5">
      <c r="A182" s="6" t="s">
        <v>229</v>
      </c>
      <c r="B182" s="4" t="s">
        <v>27</v>
      </c>
      <c r="C182" s="4" t="s">
        <v>125</v>
      </c>
      <c r="D182" s="8" t="s">
        <v>230</v>
      </c>
      <c r="E182" s="8" t="s">
        <v>127</v>
      </c>
      <c r="F182" s="8" t="s">
        <v>231</v>
      </c>
      <c r="G182" s="7">
        <v>447441700</v>
      </c>
      <c r="H182" s="7">
        <v>100237900</v>
      </c>
      <c r="I182" s="7">
        <v>100237900</v>
      </c>
      <c r="J182" s="7">
        <v>7800000</v>
      </c>
      <c r="K182" s="7">
        <f t="shared" si="66"/>
        <v>108037900</v>
      </c>
      <c r="L182" s="7" t="s">
        <v>0</v>
      </c>
      <c r="M182" s="7" t="s">
        <v>0</v>
      </c>
      <c r="N182" s="7" t="s">
        <v>0</v>
      </c>
      <c r="O182" s="7">
        <v>100237900</v>
      </c>
      <c r="P182" s="7">
        <v>7800000</v>
      </c>
      <c r="Q182" s="7">
        <v>108037900</v>
      </c>
    </row>
    <row r="183" spans="1:17" ht="22.5" customHeight="1">
      <c r="A183" s="19" t="s">
        <v>232</v>
      </c>
      <c r="B183" s="19"/>
      <c r="C183" s="19"/>
      <c r="D183" s="19"/>
      <c r="E183" s="19"/>
      <c r="F183" s="19"/>
      <c r="G183" s="7">
        <f>G187</f>
        <v>3573253202.0599999</v>
      </c>
      <c r="H183" s="7">
        <f>H184+H185</f>
        <v>248372132.59999999</v>
      </c>
      <c r="I183" s="7">
        <f t="shared" ref="I183:J183" si="75">I184+I185</f>
        <v>248372132.59999999</v>
      </c>
      <c r="J183" s="7">
        <f t="shared" si="75"/>
        <v>776266.78</v>
      </c>
      <c r="K183" s="7">
        <f t="shared" si="66"/>
        <v>249148399.38</v>
      </c>
      <c r="L183" s="7">
        <f t="shared" ref="L183" si="76">L184+L185</f>
        <v>193520000</v>
      </c>
      <c r="M183" s="7"/>
      <c r="N183" s="7">
        <v>193520000</v>
      </c>
      <c r="O183" s="7">
        <f t="shared" ref="O183:P183" si="77">O184+O185</f>
        <v>54852132.600000001</v>
      </c>
      <c r="P183" s="7">
        <f t="shared" si="77"/>
        <v>776266.78</v>
      </c>
      <c r="Q183" s="7">
        <v>55628399.380000003</v>
      </c>
    </row>
    <row r="184" spans="1:17">
      <c r="A184" s="19" t="s">
        <v>21</v>
      </c>
      <c r="B184" s="19"/>
      <c r="C184" s="19"/>
      <c r="D184" s="19"/>
      <c r="E184" s="19"/>
      <c r="F184" s="19"/>
      <c r="G184" s="9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>
      <c r="A185" s="19" t="s">
        <v>22</v>
      </c>
      <c r="B185" s="19"/>
      <c r="C185" s="19"/>
      <c r="D185" s="19"/>
      <c r="E185" s="19"/>
      <c r="F185" s="19"/>
      <c r="G185" s="9"/>
      <c r="H185" s="7">
        <f>H186</f>
        <v>248372132.59999999</v>
      </c>
      <c r="I185" s="7">
        <f t="shared" ref="I185:J186" si="78">I186</f>
        <v>248372132.59999999</v>
      </c>
      <c r="J185" s="7">
        <f t="shared" si="78"/>
        <v>776266.78</v>
      </c>
      <c r="K185" s="7">
        <f t="shared" si="66"/>
        <v>249148399.38</v>
      </c>
      <c r="L185" s="7">
        <f t="shared" ref="L185:L186" si="79">L186</f>
        <v>193520000</v>
      </c>
      <c r="M185" s="7"/>
      <c r="N185" s="7">
        <v>193520000</v>
      </c>
      <c r="O185" s="7">
        <f t="shared" ref="O185:P186" si="80">O186</f>
        <v>54852132.600000001</v>
      </c>
      <c r="P185" s="7">
        <f t="shared" si="80"/>
        <v>776266.78</v>
      </c>
      <c r="Q185" s="7">
        <v>55628399.380000003</v>
      </c>
    </row>
    <row r="186" spans="1:17" hidden="1">
      <c r="A186" s="19" t="s">
        <v>0</v>
      </c>
      <c r="B186" s="19"/>
      <c r="C186" s="19"/>
      <c r="D186" s="19"/>
      <c r="E186" s="19"/>
      <c r="F186" s="19"/>
      <c r="G186" s="9"/>
      <c r="H186" s="7">
        <f>H187</f>
        <v>248372132.59999999</v>
      </c>
      <c r="I186" s="7">
        <f t="shared" si="78"/>
        <v>248372132.59999999</v>
      </c>
      <c r="J186" s="7">
        <f t="shared" si="78"/>
        <v>776266.78</v>
      </c>
      <c r="K186" s="7">
        <f t="shared" si="66"/>
        <v>249148399.38</v>
      </c>
      <c r="L186" s="7">
        <f t="shared" si="79"/>
        <v>193520000</v>
      </c>
      <c r="M186" s="7"/>
      <c r="N186" s="7">
        <v>193520000</v>
      </c>
      <c r="O186" s="7">
        <f t="shared" si="80"/>
        <v>54852132.600000001</v>
      </c>
      <c r="P186" s="7">
        <f t="shared" si="80"/>
        <v>776266.78</v>
      </c>
      <c r="Q186" s="7">
        <v>55628399.380000003</v>
      </c>
    </row>
    <row r="187" spans="1:17">
      <c r="A187" s="14" t="s">
        <v>25</v>
      </c>
      <c r="B187" s="14"/>
      <c r="C187" s="14"/>
      <c r="D187" s="14"/>
      <c r="E187" s="14"/>
      <c r="F187" s="14"/>
      <c r="G187" s="5">
        <f>G188+G189+G190+G191</f>
        <v>3573253202.0599999</v>
      </c>
      <c r="H187" s="5">
        <f>H188+H189+H190+H191</f>
        <v>248372132.59999999</v>
      </c>
      <c r="I187" s="5">
        <f>I188+I189+I190+I191</f>
        <v>248372132.59999999</v>
      </c>
      <c r="J187" s="5">
        <f t="shared" ref="J187" si="81">J188+J189+J190+J191</f>
        <v>776266.78</v>
      </c>
      <c r="K187" s="5">
        <f t="shared" si="66"/>
        <v>249148399.38</v>
      </c>
      <c r="L187" s="5">
        <f t="shared" ref="L187" si="82">L188+L189+L190+L191</f>
        <v>193520000</v>
      </c>
      <c r="M187" s="7"/>
      <c r="N187" s="5">
        <v>193520000</v>
      </c>
      <c r="O187" s="5">
        <f>O188+O189+O190+O191</f>
        <v>54852132.600000001</v>
      </c>
      <c r="P187" s="5">
        <f t="shared" ref="P187" si="83">P188+P189+P190+P191</f>
        <v>776266.78</v>
      </c>
      <c r="Q187" s="5">
        <v>55628399.380000003</v>
      </c>
    </row>
    <row r="188" spans="1:17" ht="84">
      <c r="A188" s="6" t="s">
        <v>233</v>
      </c>
      <c r="B188" s="4" t="s">
        <v>27</v>
      </c>
      <c r="C188" s="4" t="s">
        <v>27</v>
      </c>
      <c r="D188" s="8" t="s">
        <v>234</v>
      </c>
      <c r="E188" s="8" t="s">
        <v>29</v>
      </c>
      <c r="F188" s="8" t="s">
        <v>99</v>
      </c>
      <c r="G188" s="7">
        <v>1152263540</v>
      </c>
      <c r="H188" s="7">
        <v>5952200</v>
      </c>
      <c r="I188" s="7">
        <v>5952200</v>
      </c>
      <c r="J188" s="7"/>
      <c r="K188" s="7">
        <f t="shared" si="66"/>
        <v>5952200</v>
      </c>
      <c r="L188" s="7"/>
      <c r="M188" s="7"/>
      <c r="N188" s="7" t="s">
        <v>0</v>
      </c>
      <c r="O188" s="7">
        <v>5952200</v>
      </c>
      <c r="P188" s="7"/>
      <c r="Q188" s="7">
        <v>5952200</v>
      </c>
    </row>
    <row r="189" spans="1:17" ht="84">
      <c r="A189" s="6" t="s">
        <v>235</v>
      </c>
      <c r="B189" s="4" t="s">
        <v>27</v>
      </c>
      <c r="C189" s="4" t="s">
        <v>27</v>
      </c>
      <c r="D189" s="8" t="s">
        <v>236</v>
      </c>
      <c r="E189" s="8" t="s">
        <v>29</v>
      </c>
      <c r="F189" s="8" t="s">
        <v>216</v>
      </c>
      <c r="G189" s="7">
        <f>600337407.39-225753333+70066520+14267100+18955580+35275887.67+2310670</f>
        <v>515459832.06</v>
      </c>
      <c r="H189" s="7">
        <v>208519932.59999999</v>
      </c>
      <c r="I189" s="7">
        <f>193520000+8520000+6479932.6</f>
        <v>208519932.59999999</v>
      </c>
      <c r="J189" s="7"/>
      <c r="K189" s="7">
        <f t="shared" si="66"/>
        <v>208519932.59999999</v>
      </c>
      <c r="L189" s="7">
        <v>193520000</v>
      </c>
      <c r="M189" s="7"/>
      <c r="N189" s="7">
        <v>193520000</v>
      </c>
      <c r="O189" s="7">
        <v>14999932.6</v>
      </c>
      <c r="P189" s="7"/>
      <c r="Q189" s="7">
        <v>14999932.6</v>
      </c>
    </row>
    <row r="190" spans="1:17" ht="84">
      <c r="A190" s="6" t="s">
        <v>237</v>
      </c>
      <c r="B190" s="4" t="s">
        <v>27</v>
      </c>
      <c r="C190" s="4" t="s">
        <v>27</v>
      </c>
      <c r="D190" s="8" t="s">
        <v>238</v>
      </c>
      <c r="E190" s="8" t="s">
        <v>29</v>
      </c>
      <c r="F190" s="8" t="s">
        <v>43</v>
      </c>
      <c r="G190" s="7">
        <v>885843460</v>
      </c>
      <c r="H190" s="7">
        <v>19150000</v>
      </c>
      <c r="I190" s="7">
        <v>19150000</v>
      </c>
      <c r="J190" s="7"/>
      <c r="K190" s="7">
        <f t="shared" si="66"/>
        <v>19150000</v>
      </c>
      <c r="L190" s="7"/>
      <c r="M190" s="7"/>
      <c r="N190" s="7" t="s">
        <v>0</v>
      </c>
      <c r="O190" s="7">
        <v>19150000</v>
      </c>
      <c r="P190" s="7"/>
      <c r="Q190" s="7">
        <v>19150000</v>
      </c>
    </row>
    <row r="191" spans="1:17" ht="84">
      <c r="A191" s="6" t="s">
        <v>239</v>
      </c>
      <c r="B191" s="4" t="s">
        <v>27</v>
      </c>
      <c r="C191" s="4" t="s">
        <v>27</v>
      </c>
      <c r="D191" s="8" t="s">
        <v>240</v>
      </c>
      <c r="E191" s="8" t="s">
        <v>29</v>
      </c>
      <c r="F191" s="8" t="s">
        <v>43</v>
      </c>
      <c r="G191" s="7">
        <v>1019686370</v>
      </c>
      <c r="H191" s="7">
        <v>14750000</v>
      </c>
      <c r="I191" s="7">
        <v>14750000</v>
      </c>
      <c r="J191" s="7">
        <v>776266.78</v>
      </c>
      <c r="K191" s="7">
        <f t="shared" si="66"/>
        <v>15526266.779999999</v>
      </c>
      <c r="L191" s="7"/>
      <c r="M191" s="7"/>
      <c r="N191" s="7" t="s">
        <v>0</v>
      </c>
      <c r="O191" s="7">
        <v>14750000</v>
      </c>
      <c r="P191" s="7">
        <v>776266.78</v>
      </c>
      <c r="Q191" s="7">
        <v>15526266.779999999</v>
      </c>
    </row>
    <row r="192" spans="1:17" ht="24" customHeight="1">
      <c r="A192" s="19" t="s">
        <v>241</v>
      </c>
      <c r="B192" s="19"/>
      <c r="C192" s="19"/>
      <c r="D192" s="19"/>
      <c r="E192" s="19"/>
      <c r="F192" s="19"/>
      <c r="G192" s="7">
        <f>G196+G199+G202+G209+G212</f>
        <v>1904190725.1300001</v>
      </c>
      <c r="H192" s="7">
        <f>H193+H194</f>
        <v>993111532.37</v>
      </c>
      <c r="I192" s="7">
        <f t="shared" ref="I192:J192" si="84">I193+I194</f>
        <v>993111532.3900001</v>
      </c>
      <c r="J192" s="7">
        <f t="shared" si="84"/>
        <v>0.13</v>
      </c>
      <c r="K192" s="7">
        <f>H192+J192</f>
        <v>993111532.5</v>
      </c>
      <c r="L192" s="7">
        <f t="shared" ref="L192:M192" si="85">L193+L194</f>
        <v>907521564</v>
      </c>
      <c r="M192" s="7">
        <f t="shared" si="85"/>
        <v>0.11</v>
      </c>
      <c r="N192" s="7">
        <v>907521564.11000001</v>
      </c>
      <c r="O192" s="7">
        <f t="shared" ref="O192:P192" si="86">O193+O194</f>
        <v>85589968.370000005</v>
      </c>
      <c r="P192" s="7">
        <f t="shared" si="86"/>
        <v>0.02</v>
      </c>
      <c r="Q192" s="7">
        <v>85589968.390000001</v>
      </c>
    </row>
    <row r="193" spans="1:19">
      <c r="A193" s="19" t="s">
        <v>21</v>
      </c>
      <c r="B193" s="19"/>
      <c r="C193" s="19"/>
      <c r="D193" s="19"/>
      <c r="E193" s="19"/>
      <c r="F193" s="19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9">
      <c r="A194" s="19" t="s">
        <v>22</v>
      </c>
      <c r="B194" s="19"/>
      <c r="C194" s="19"/>
      <c r="D194" s="19"/>
      <c r="E194" s="19"/>
      <c r="F194" s="19"/>
      <c r="G194" s="7"/>
      <c r="H194" s="7">
        <f>H195+H201</f>
        <v>993111532.37</v>
      </c>
      <c r="I194" s="7">
        <f>I195+I201</f>
        <v>993111532.3900001</v>
      </c>
      <c r="J194" s="7">
        <f t="shared" ref="J194" si="87">J195+J201</f>
        <v>0.13</v>
      </c>
      <c r="K194" s="7">
        <f t="shared" si="66"/>
        <v>993111532.5</v>
      </c>
      <c r="L194" s="7">
        <f t="shared" ref="L194:M194" si="88">L195+L201</f>
        <v>907521564</v>
      </c>
      <c r="M194" s="7">
        <f t="shared" si="88"/>
        <v>0.11</v>
      </c>
      <c r="N194" s="7">
        <v>907521564.11000001</v>
      </c>
      <c r="O194" s="7">
        <f t="shared" ref="O194:P194" si="89">O195+O201</f>
        <v>85589968.370000005</v>
      </c>
      <c r="P194" s="7">
        <f t="shared" si="89"/>
        <v>0.02</v>
      </c>
      <c r="Q194" s="7">
        <v>85589968.390000001</v>
      </c>
    </row>
    <row r="195" spans="1:19" ht="22.5" customHeight="1">
      <c r="A195" s="19" t="s">
        <v>242</v>
      </c>
      <c r="B195" s="19"/>
      <c r="C195" s="19"/>
      <c r="D195" s="19"/>
      <c r="E195" s="19"/>
      <c r="F195" s="19"/>
      <c r="G195" s="7"/>
      <c r="H195" s="7">
        <f>H196+H199</f>
        <v>48604353.480000004</v>
      </c>
      <c r="I195" s="7">
        <f t="shared" ref="I195" si="90">I196+I199</f>
        <v>48604353.480000004</v>
      </c>
      <c r="J195" s="7"/>
      <c r="K195" s="7">
        <f t="shared" si="66"/>
        <v>48604353.480000004</v>
      </c>
      <c r="L195" s="7">
        <f t="shared" ref="L195" si="91">L196+L199</f>
        <v>47010800</v>
      </c>
      <c r="M195" s="7"/>
      <c r="N195" s="7">
        <v>47010800</v>
      </c>
      <c r="O195" s="7">
        <f t="shared" ref="O195" si="92">O196+O199</f>
        <v>1593553.48</v>
      </c>
      <c r="P195" s="7"/>
      <c r="Q195" s="7">
        <v>1593553.48</v>
      </c>
    </row>
    <row r="196" spans="1:19">
      <c r="A196" s="14" t="s">
        <v>25</v>
      </c>
      <c r="B196" s="14"/>
      <c r="C196" s="14"/>
      <c r="D196" s="14"/>
      <c r="E196" s="14"/>
      <c r="F196" s="14"/>
      <c r="G196" s="5">
        <f>G197+G198</f>
        <v>84671718.439999998</v>
      </c>
      <c r="H196" s="5">
        <f>H197+H198</f>
        <v>19999353.48</v>
      </c>
      <c r="I196" s="5">
        <f t="shared" ref="I196" si="93">I197+I198</f>
        <v>19999353.48</v>
      </c>
      <c r="J196" s="7"/>
      <c r="K196" s="5">
        <f>K1970+K198</f>
        <v>2358676.09</v>
      </c>
      <c r="L196" s="5">
        <f t="shared" ref="L196" si="94">L197+L198</f>
        <v>18977900</v>
      </c>
      <c r="M196" s="7"/>
      <c r="N196" s="5">
        <f t="shared" ref="N196:Q196" si="95">N197+N198</f>
        <v>18977900</v>
      </c>
      <c r="O196" s="5">
        <f t="shared" si="95"/>
        <v>1021453.48</v>
      </c>
      <c r="P196" s="7"/>
      <c r="Q196" s="5">
        <f t="shared" si="95"/>
        <v>1021453.48</v>
      </c>
    </row>
    <row r="197" spans="1:19" ht="63">
      <c r="A197" s="6" t="s">
        <v>243</v>
      </c>
      <c r="B197" s="4" t="s">
        <v>27</v>
      </c>
      <c r="C197" s="4" t="s">
        <v>27</v>
      </c>
      <c r="D197" s="8" t="s">
        <v>244</v>
      </c>
      <c r="E197" s="8" t="s">
        <v>103</v>
      </c>
      <c r="F197" s="8" t="s">
        <v>46</v>
      </c>
      <c r="G197" s="7">
        <v>35054780</v>
      </c>
      <c r="H197" s="7">
        <v>17640677.390000001</v>
      </c>
      <c r="I197" s="7">
        <v>17640677.390000001</v>
      </c>
      <c r="J197" s="7"/>
      <c r="K197" s="7">
        <f t="shared" si="66"/>
        <v>17640677.390000001</v>
      </c>
      <c r="L197" s="7">
        <v>16739691</v>
      </c>
      <c r="M197" s="7"/>
      <c r="N197" s="7">
        <v>16739691</v>
      </c>
      <c r="O197" s="7">
        <v>900986.39</v>
      </c>
      <c r="P197" s="7"/>
      <c r="Q197" s="7">
        <v>900986.39</v>
      </c>
    </row>
    <row r="198" spans="1:19" ht="52.5">
      <c r="A198" s="6" t="s">
        <v>245</v>
      </c>
      <c r="B198" s="4" t="s">
        <v>27</v>
      </c>
      <c r="C198" s="4" t="s">
        <v>27</v>
      </c>
      <c r="D198" s="8" t="s">
        <v>244</v>
      </c>
      <c r="E198" s="8" t="s">
        <v>246</v>
      </c>
      <c r="F198" s="8" t="s">
        <v>46</v>
      </c>
      <c r="G198" s="7">
        <v>49616938.439999998</v>
      </c>
      <c r="H198" s="7">
        <v>2358676.09</v>
      </c>
      <c r="I198" s="7">
        <v>2358676.09</v>
      </c>
      <c r="J198" s="7"/>
      <c r="K198" s="7">
        <f t="shared" si="66"/>
        <v>2358676.09</v>
      </c>
      <c r="L198" s="7">
        <v>2238209</v>
      </c>
      <c r="M198" s="7"/>
      <c r="N198" s="7">
        <v>2238209</v>
      </c>
      <c r="O198" s="7">
        <v>120467.09</v>
      </c>
      <c r="P198" s="7"/>
      <c r="Q198" s="7">
        <v>120467.09</v>
      </c>
    </row>
    <row r="199" spans="1:19">
      <c r="A199" s="14" t="s">
        <v>247</v>
      </c>
      <c r="B199" s="14"/>
      <c r="C199" s="14"/>
      <c r="D199" s="14"/>
      <c r="E199" s="14"/>
      <c r="F199" s="14"/>
      <c r="G199" s="5">
        <f>G200</f>
        <v>55700000</v>
      </c>
      <c r="H199" s="5">
        <f>H200</f>
        <v>28605000</v>
      </c>
      <c r="I199" s="5">
        <f>I200</f>
        <v>28605000</v>
      </c>
      <c r="J199" s="5"/>
      <c r="K199" s="5"/>
      <c r="L199" s="5">
        <f>L200</f>
        <v>28032900</v>
      </c>
      <c r="M199" s="5"/>
      <c r="N199" s="5">
        <f t="shared" ref="N199:Q199" si="96">N200</f>
        <v>28032900</v>
      </c>
      <c r="O199" s="5">
        <f>O200</f>
        <v>572100</v>
      </c>
      <c r="P199" s="5"/>
      <c r="Q199" s="5">
        <f t="shared" si="96"/>
        <v>572100</v>
      </c>
    </row>
    <row r="200" spans="1:19" ht="63">
      <c r="A200" s="6" t="s">
        <v>248</v>
      </c>
      <c r="B200" s="4" t="s">
        <v>27</v>
      </c>
      <c r="C200" s="4" t="s">
        <v>27</v>
      </c>
      <c r="D200" s="8" t="s">
        <v>249</v>
      </c>
      <c r="E200" s="8" t="s">
        <v>106</v>
      </c>
      <c r="F200" s="8" t="s">
        <v>38</v>
      </c>
      <c r="G200" s="7">
        <v>55700000</v>
      </c>
      <c r="H200" s="7">
        <v>28605000</v>
      </c>
      <c r="I200" s="7">
        <v>28605000</v>
      </c>
      <c r="J200" s="7" t="s">
        <v>0</v>
      </c>
      <c r="K200" s="7"/>
      <c r="L200" s="7">
        <v>28032900</v>
      </c>
      <c r="M200" s="7" t="s">
        <v>0</v>
      </c>
      <c r="N200" s="7">
        <v>28032900</v>
      </c>
      <c r="O200" s="7">
        <v>572100</v>
      </c>
      <c r="P200" s="7" t="s">
        <v>0</v>
      </c>
      <c r="Q200" s="7">
        <v>572100</v>
      </c>
    </row>
    <row r="201" spans="1:19">
      <c r="A201" s="19" t="s">
        <v>250</v>
      </c>
      <c r="B201" s="19"/>
      <c r="C201" s="19"/>
      <c r="D201" s="19"/>
      <c r="E201" s="19"/>
      <c r="F201" s="19"/>
      <c r="G201" s="9"/>
      <c r="H201" s="7">
        <f>H202+H209+H212</f>
        <v>944507178.88999999</v>
      </c>
      <c r="I201" s="7">
        <f>I202+I209+I212</f>
        <v>944507178.91000009</v>
      </c>
      <c r="J201" s="7">
        <f t="shared" ref="J201" si="97">J202+J209+J212</f>
        <v>0.13</v>
      </c>
      <c r="K201" s="7">
        <f>H201+J201</f>
        <v>944507179.01999998</v>
      </c>
      <c r="L201" s="7">
        <f t="shared" ref="L201" si="98">L202+L209+L212</f>
        <v>860510764</v>
      </c>
      <c r="M201" s="7">
        <f>M202+M209+M212</f>
        <v>0.11</v>
      </c>
      <c r="N201" s="7">
        <f>L201+M201</f>
        <v>860510764.11000001</v>
      </c>
      <c r="O201" s="7">
        <f>O202+O209+O212</f>
        <v>83996414.890000001</v>
      </c>
      <c r="P201" s="7">
        <f t="shared" ref="P201" si="99">P202+P209+P212</f>
        <v>0.02</v>
      </c>
      <c r="Q201" s="7">
        <f>O201+P201</f>
        <v>83996414.909999996</v>
      </c>
    </row>
    <row r="202" spans="1:19">
      <c r="A202" s="14" t="s">
        <v>25</v>
      </c>
      <c r="B202" s="14"/>
      <c r="C202" s="14"/>
      <c r="D202" s="14"/>
      <c r="E202" s="14"/>
      <c r="F202" s="14"/>
      <c r="G202" s="5">
        <f>G203+G204+G205+G206+G207+G208</f>
        <v>1470269956.6900001</v>
      </c>
      <c r="H202" s="5">
        <f>H203+H204+H205+H206+H207+H208</f>
        <v>651021118.88999999</v>
      </c>
      <c r="I202" s="5">
        <f t="shared" ref="I202:J202" si="100">I203+I204+I205+I206+I207+I208</f>
        <v>651021118.91000009</v>
      </c>
      <c r="J202" s="5">
        <f t="shared" si="100"/>
        <v>0.13</v>
      </c>
      <c r="K202" s="5">
        <f t="shared" si="66"/>
        <v>651021119.01999998</v>
      </c>
      <c r="L202" s="5">
        <f t="shared" ref="L202:M202" si="101">L203+L204+L205+L206+L207+L208</f>
        <v>596466244</v>
      </c>
      <c r="M202" s="5">
        <f t="shared" si="101"/>
        <v>0.11</v>
      </c>
      <c r="N202" s="7">
        <f>L202+M202</f>
        <v>596466244.11000001</v>
      </c>
      <c r="O202" s="5">
        <f t="shared" ref="O202:P202" si="102">O203+O204+O205+O206+O207+O208</f>
        <v>54554874.890000001</v>
      </c>
      <c r="P202" s="5">
        <f t="shared" si="102"/>
        <v>0.02</v>
      </c>
      <c r="Q202" s="7">
        <f>O202+P202</f>
        <v>54554874.910000004</v>
      </c>
    </row>
    <row r="203" spans="1:19" ht="94.5">
      <c r="A203" s="6" t="s">
        <v>251</v>
      </c>
      <c r="B203" s="4" t="s">
        <v>27</v>
      </c>
      <c r="C203" s="4" t="s">
        <v>27</v>
      </c>
      <c r="D203" s="8" t="s">
        <v>252</v>
      </c>
      <c r="E203" s="8" t="s">
        <v>253</v>
      </c>
      <c r="F203" s="8" t="s">
        <v>36</v>
      </c>
      <c r="G203" s="7">
        <v>285403718.88999999</v>
      </c>
      <c r="H203" s="7">
        <v>285403718.88999999</v>
      </c>
      <c r="I203" s="7">
        <f>256863344+28540374.91</f>
        <v>285403718.91000003</v>
      </c>
      <c r="J203" s="7">
        <v>0.13</v>
      </c>
      <c r="K203" s="7">
        <f t="shared" si="66"/>
        <v>285403719.01999998</v>
      </c>
      <c r="L203" s="7">
        <v>256863344</v>
      </c>
      <c r="M203" s="7">
        <v>0.11</v>
      </c>
      <c r="N203" s="7">
        <v>256863344.11000001</v>
      </c>
      <c r="O203" s="7">
        <v>28540374.890000001</v>
      </c>
      <c r="P203" s="7">
        <v>0.02</v>
      </c>
      <c r="Q203" s="7">
        <v>28540374.91</v>
      </c>
      <c r="S203" s="2"/>
    </row>
    <row r="204" spans="1:19" ht="63">
      <c r="A204" s="6" t="s">
        <v>254</v>
      </c>
      <c r="B204" s="4" t="s">
        <v>27</v>
      </c>
      <c r="C204" s="4" t="s">
        <v>27</v>
      </c>
      <c r="D204" s="8" t="s">
        <v>121</v>
      </c>
      <c r="E204" s="8" t="s">
        <v>255</v>
      </c>
      <c r="F204" s="8" t="s">
        <v>46</v>
      </c>
      <c r="G204" s="7">
        <v>158856900</v>
      </c>
      <c r="H204" s="7">
        <v>44121000</v>
      </c>
      <c r="I204" s="7">
        <f>43238000+883000</f>
        <v>44121000</v>
      </c>
      <c r="J204" s="7"/>
      <c r="K204" s="7">
        <f t="shared" si="66"/>
        <v>44121000</v>
      </c>
      <c r="L204" s="7">
        <v>43238000</v>
      </c>
      <c r="M204" s="7"/>
      <c r="N204" s="7">
        <v>43238000</v>
      </c>
      <c r="O204" s="7">
        <v>883000</v>
      </c>
      <c r="P204" s="7"/>
      <c r="Q204" s="7">
        <v>883000</v>
      </c>
    </row>
    <row r="205" spans="1:19" ht="63">
      <c r="A205" s="6" t="s">
        <v>256</v>
      </c>
      <c r="B205" s="4" t="s">
        <v>27</v>
      </c>
      <c r="C205" s="4" t="s">
        <v>27</v>
      </c>
      <c r="D205" s="8" t="s">
        <v>102</v>
      </c>
      <c r="E205" s="8" t="s">
        <v>190</v>
      </c>
      <c r="F205" s="8" t="s">
        <v>46</v>
      </c>
      <c r="G205" s="7">
        <v>111085700</v>
      </c>
      <c r="H205" s="7">
        <v>50387600</v>
      </c>
      <c r="I205" s="7">
        <f>49379800+1007800</f>
        <v>50387600</v>
      </c>
      <c r="J205" s="7"/>
      <c r="K205" s="7">
        <f t="shared" si="66"/>
        <v>50387600</v>
      </c>
      <c r="L205" s="7">
        <v>49379800</v>
      </c>
      <c r="M205" s="7"/>
      <c r="N205" s="7">
        <v>49379800</v>
      </c>
      <c r="O205" s="7">
        <v>1007800</v>
      </c>
      <c r="P205" s="7"/>
      <c r="Q205" s="7">
        <v>1007800</v>
      </c>
    </row>
    <row r="206" spans="1:19" ht="63">
      <c r="A206" s="6" t="s">
        <v>257</v>
      </c>
      <c r="B206" s="4" t="s">
        <v>27</v>
      </c>
      <c r="C206" s="4" t="s">
        <v>27</v>
      </c>
      <c r="D206" s="8" t="s">
        <v>121</v>
      </c>
      <c r="E206" s="8" t="s">
        <v>255</v>
      </c>
      <c r="F206" s="8" t="s">
        <v>46</v>
      </c>
      <c r="G206" s="7">
        <v>4348600</v>
      </c>
      <c r="H206" s="7">
        <v>4172000</v>
      </c>
      <c r="I206" s="7">
        <f>4088000+84000</f>
        <v>4172000</v>
      </c>
      <c r="J206" s="7"/>
      <c r="K206" s="7">
        <f t="shared" si="66"/>
        <v>4172000</v>
      </c>
      <c r="L206" s="7">
        <v>4088000</v>
      </c>
      <c r="M206" s="7"/>
      <c r="N206" s="7">
        <v>4088000</v>
      </c>
      <c r="O206" s="7">
        <v>84000</v>
      </c>
      <c r="P206" s="7"/>
      <c r="Q206" s="7">
        <v>84000</v>
      </c>
    </row>
    <row r="207" spans="1:19" ht="63">
      <c r="A207" s="6" t="s">
        <v>258</v>
      </c>
      <c r="B207" s="4" t="s">
        <v>27</v>
      </c>
      <c r="C207" s="4" t="s">
        <v>27</v>
      </c>
      <c r="D207" s="8" t="s">
        <v>259</v>
      </c>
      <c r="E207" s="8" t="s">
        <v>103</v>
      </c>
      <c r="F207" s="8" t="s">
        <v>36</v>
      </c>
      <c r="G207" s="7">
        <v>234757807.80000001</v>
      </c>
      <c r="H207" s="7">
        <v>233761850</v>
      </c>
      <c r="I207" s="7">
        <f>210385650+23376200</f>
        <v>233761850</v>
      </c>
      <c r="J207" s="7"/>
      <c r="K207" s="7">
        <f t="shared" si="66"/>
        <v>233761850</v>
      </c>
      <c r="L207" s="7">
        <v>210385650</v>
      </c>
      <c r="M207" s="7"/>
      <c r="N207" s="7">
        <v>210385650</v>
      </c>
      <c r="O207" s="7">
        <v>23376200</v>
      </c>
      <c r="P207" s="7"/>
      <c r="Q207" s="7">
        <v>23376200</v>
      </c>
    </row>
    <row r="208" spans="1:19" ht="63">
      <c r="A208" s="6" t="s">
        <v>260</v>
      </c>
      <c r="B208" s="4" t="s">
        <v>27</v>
      </c>
      <c r="C208" s="4" t="s">
        <v>27</v>
      </c>
      <c r="D208" s="8" t="s">
        <v>261</v>
      </c>
      <c r="E208" s="8" t="s">
        <v>190</v>
      </c>
      <c r="F208" s="8" t="s">
        <v>46</v>
      </c>
      <c r="G208" s="7">
        <v>675817230</v>
      </c>
      <c r="H208" s="7">
        <v>33174950</v>
      </c>
      <c r="I208" s="7">
        <f>32511450+663500</f>
        <v>33174950</v>
      </c>
      <c r="J208" s="7"/>
      <c r="K208" s="7">
        <f t="shared" si="66"/>
        <v>33174950</v>
      </c>
      <c r="L208" s="7">
        <v>32511450</v>
      </c>
      <c r="M208" s="7"/>
      <c r="N208" s="7">
        <v>32511450</v>
      </c>
      <c r="O208" s="7">
        <v>663500</v>
      </c>
      <c r="P208" s="7"/>
      <c r="Q208" s="7">
        <v>663500</v>
      </c>
    </row>
    <row r="209" spans="1:17" ht="24" customHeight="1">
      <c r="A209" s="14" t="s">
        <v>183</v>
      </c>
      <c r="B209" s="14"/>
      <c r="C209" s="14"/>
      <c r="D209" s="14"/>
      <c r="E209" s="14"/>
      <c r="F209" s="14"/>
      <c r="G209" s="5">
        <f>G210+G211</f>
        <v>5238790</v>
      </c>
      <c r="H209" s="5">
        <f>H210+H211</f>
        <v>5175800</v>
      </c>
      <c r="I209" s="5">
        <f>I210+I211</f>
        <v>5175800</v>
      </c>
      <c r="J209" s="5"/>
      <c r="K209" s="5">
        <f t="shared" si="66"/>
        <v>5175800</v>
      </c>
      <c r="L209" s="5">
        <f t="shared" ref="L209" si="103">L210+L211</f>
        <v>5072020</v>
      </c>
      <c r="M209" s="5"/>
      <c r="N209" s="5">
        <v>5072020</v>
      </c>
      <c r="O209" s="5">
        <f t="shared" ref="O209" si="104">O210+O211</f>
        <v>103780</v>
      </c>
      <c r="P209" s="5"/>
      <c r="Q209" s="5">
        <v>103780</v>
      </c>
    </row>
    <row r="210" spans="1:17" ht="126">
      <c r="A210" s="6" t="s">
        <v>262</v>
      </c>
      <c r="B210" s="4" t="s">
        <v>27</v>
      </c>
      <c r="C210" s="4" t="s">
        <v>27</v>
      </c>
      <c r="D210" s="8" t="s">
        <v>263</v>
      </c>
      <c r="E210" s="8" t="s">
        <v>103</v>
      </c>
      <c r="F210" s="8" t="s">
        <v>46</v>
      </c>
      <c r="G210" s="7">
        <v>1917600</v>
      </c>
      <c r="H210" s="7">
        <v>1888800</v>
      </c>
      <c r="I210" s="7">
        <v>1888800</v>
      </c>
      <c r="J210" s="7"/>
      <c r="K210" s="7">
        <f t="shared" ref="K210:K230" si="105">H210+J210</f>
        <v>1888800</v>
      </c>
      <c r="L210" s="7">
        <v>1851020</v>
      </c>
      <c r="M210" s="7" t="s">
        <v>0</v>
      </c>
      <c r="N210" s="7">
        <v>1851020</v>
      </c>
      <c r="O210" s="7">
        <v>37780</v>
      </c>
      <c r="P210" s="7" t="s">
        <v>0</v>
      </c>
      <c r="Q210" s="7">
        <v>37780</v>
      </c>
    </row>
    <row r="211" spans="1:17" ht="63">
      <c r="A211" s="6" t="s">
        <v>264</v>
      </c>
      <c r="B211" s="4" t="s">
        <v>27</v>
      </c>
      <c r="C211" s="4" t="s">
        <v>27</v>
      </c>
      <c r="D211" s="8" t="s">
        <v>265</v>
      </c>
      <c r="E211" s="8" t="s">
        <v>255</v>
      </c>
      <c r="F211" s="8" t="s">
        <v>46</v>
      </c>
      <c r="G211" s="7">
        <v>3321190</v>
      </c>
      <c r="H211" s="7">
        <v>3287000</v>
      </c>
      <c r="I211" s="7">
        <v>3287000</v>
      </c>
      <c r="J211" s="7"/>
      <c r="K211" s="7">
        <f t="shared" si="105"/>
        <v>3287000</v>
      </c>
      <c r="L211" s="7">
        <v>3221000</v>
      </c>
      <c r="M211" s="7" t="s">
        <v>0</v>
      </c>
      <c r="N211" s="7">
        <v>3221000</v>
      </c>
      <c r="O211" s="7">
        <v>66000</v>
      </c>
      <c r="P211" s="7" t="s">
        <v>0</v>
      </c>
      <c r="Q211" s="7">
        <v>66000</v>
      </c>
    </row>
    <row r="212" spans="1:17">
      <c r="A212" s="14" t="s">
        <v>123</v>
      </c>
      <c r="B212" s="14"/>
      <c r="C212" s="14"/>
      <c r="D212" s="14"/>
      <c r="E212" s="14"/>
      <c r="F212" s="14"/>
      <c r="G212" s="5">
        <f>G213</f>
        <v>288310260</v>
      </c>
      <c r="H212" s="5">
        <f>H213</f>
        <v>288310260</v>
      </c>
      <c r="I212" s="5">
        <f>I213</f>
        <v>288310260</v>
      </c>
      <c r="J212" s="5"/>
      <c r="K212" s="5">
        <f t="shared" si="105"/>
        <v>288310260</v>
      </c>
      <c r="L212" s="5">
        <f t="shared" ref="L212" si="106">L213</f>
        <v>258972500</v>
      </c>
      <c r="M212" s="5"/>
      <c r="N212" s="5">
        <v>258972500</v>
      </c>
      <c r="O212" s="5">
        <f t="shared" ref="O212" si="107">O213</f>
        <v>29337760</v>
      </c>
      <c r="P212" s="5"/>
      <c r="Q212" s="5">
        <v>29337760</v>
      </c>
    </row>
    <row r="213" spans="1:17" ht="174" customHeight="1">
      <c r="A213" s="6" t="s">
        <v>266</v>
      </c>
      <c r="B213" s="4" t="s">
        <v>27</v>
      </c>
      <c r="C213" s="4" t="s">
        <v>125</v>
      </c>
      <c r="D213" s="8" t="s">
        <v>267</v>
      </c>
      <c r="E213" s="8" t="s">
        <v>127</v>
      </c>
      <c r="F213" s="8" t="s">
        <v>36</v>
      </c>
      <c r="G213" s="7">
        <v>288310260</v>
      </c>
      <c r="H213" s="7">
        <v>288310260</v>
      </c>
      <c r="I213" s="7">
        <f>24052620+258972500+5285140</f>
        <v>288310260</v>
      </c>
      <c r="J213" s="7"/>
      <c r="K213" s="7">
        <f t="shared" si="105"/>
        <v>288310260</v>
      </c>
      <c r="L213" s="7">
        <v>258972500</v>
      </c>
      <c r="M213" s="7" t="s">
        <v>0</v>
      </c>
      <c r="N213" s="7">
        <v>258972500</v>
      </c>
      <c r="O213" s="7">
        <v>29337760</v>
      </c>
      <c r="P213" s="7" t="s">
        <v>0</v>
      </c>
      <c r="Q213" s="7">
        <v>29337760</v>
      </c>
    </row>
    <row r="214" spans="1:17" ht="28.5" customHeight="1">
      <c r="A214" s="19" t="s">
        <v>268</v>
      </c>
      <c r="B214" s="19"/>
      <c r="C214" s="19"/>
      <c r="D214" s="19"/>
      <c r="E214" s="19"/>
      <c r="F214" s="19"/>
      <c r="G214" s="7">
        <f>G218</f>
        <v>453481598.59999996</v>
      </c>
      <c r="H214" s="7">
        <f>H215+H216</f>
        <v>357056066.31999999</v>
      </c>
      <c r="I214" s="7">
        <f>I215+I216</f>
        <v>357056066.31999999</v>
      </c>
      <c r="J214" s="7"/>
      <c r="K214" s="7">
        <f>H214+J214</f>
        <v>357056066.31999999</v>
      </c>
      <c r="L214" s="7">
        <f t="shared" ref="L214" si="108">L215+L216</f>
        <v>319396600</v>
      </c>
      <c r="M214" s="7"/>
      <c r="N214" s="7">
        <f>L214+M214</f>
        <v>319396600</v>
      </c>
      <c r="O214" s="7">
        <f t="shared" ref="O214" si="109">O215+O216</f>
        <v>37659466.32</v>
      </c>
      <c r="P214" s="7"/>
      <c r="Q214" s="7">
        <f>O214+P214</f>
        <v>37659466.32</v>
      </c>
    </row>
    <row r="215" spans="1:17" ht="18" customHeight="1">
      <c r="A215" s="19" t="s">
        <v>21</v>
      </c>
      <c r="B215" s="19"/>
      <c r="C215" s="19"/>
      <c r="D215" s="19"/>
      <c r="E215" s="19"/>
      <c r="F215" s="19"/>
      <c r="G215" s="9"/>
      <c r="H215" s="7">
        <f>H220+H224+H226+H229</f>
        <v>330536305.33999997</v>
      </c>
      <c r="I215" s="7">
        <f>I220+I224+I226+I229</f>
        <v>330536318.69999999</v>
      </c>
      <c r="J215" s="7">
        <f>J220+J224+J226+J229</f>
        <v>13.36</v>
      </c>
      <c r="K215" s="7">
        <f t="shared" si="105"/>
        <v>330536318.69999999</v>
      </c>
      <c r="L215" s="7">
        <f t="shared" ref="L215" si="110">L220+L224+L226+L229</f>
        <v>319396600</v>
      </c>
      <c r="M215" s="7"/>
      <c r="N215" s="7">
        <f t="shared" ref="N215:N229" si="111">L215+M215</f>
        <v>319396600</v>
      </c>
      <c r="O215" s="7">
        <f t="shared" ref="O215:P215" si="112">O220+O224+O226+O229</f>
        <v>11139705.34</v>
      </c>
      <c r="P215" s="7">
        <f t="shared" si="112"/>
        <v>13.36</v>
      </c>
      <c r="Q215" s="7">
        <f t="shared" ref="Q215:Q230" si="113">O215+P215</f>
        <v>11139718.699999999</v>
      </c>
    </row>
    <row r="216" spans="1:17" ht="17.25" customHeight="1">
      <c r="A216" s="19" t="s">
        <v>22</v>
      </c>
      <c r="B216" s="19"/>
      <c r="C216" s="19"/>
      <c r="D216" s="19"/>
      <c r="E216" s="19"/>
      <c r="F216" s="19"/>
      <c r="G216" s="9"/>
      <c r="H216" s="7">
        <f>H221+H222+H227+H230</f>
        <v>26519760.98</v>
      </c>
      <c r="I216" s="7">
        <f>I221+I222+I227+I230</f>
        <v>26519747.620000001</v>
      </c>
      <c r="J216" s="7">
        <f>J221+J222+J227+J230</f>
        <v>-13.36</v>
      </c>
      <c r="K216" s="7">
        <f t="shared" si="105"/>
        <v>26519747.620000001</v>
      </c>
      <c r="L216" s="7"/>
      <c r="M216" s="7"/>
      <c r="N216" s="7"/>
      <c r="O216" s="7">
        <f t="shared" ref="O216:P216" si="114">O221+O222+O227+O230</f>
        <v>26519760.98</v>
      </c>
      <c r="P216" s="7">
        <f t="shared" si="114"/>
        <v>-13.36</v>
      </c>
      <c r="Q216" s="7">
        <f t="shared" si="113"/>
        <v>26519747.620000001</v>
      </c>
    </row>
    <row r="217" spans="1:17" hidden="1">
      <c r="A217" s="19" t="s">
        <v>0</v>
      </c>
      <c r="B217" s="19"/>
      <c r="C217" s="19"/>
      <c r="D217" s="19"/>
      <c r="E217" s="19"/>
      <c r="F217" s="19"/>
      <c r="G217" s="9"/>
      <c r="H217" s="7">
        <f>H218</f>
        <v>357056066.31999999</v>
      </c>
      <c r="I217" s="7">
        <f>I218</f>
        <v>357056066.32000005</v>
      </c>
      <c r="J217" s="7"/>
      <c r="K217" s="7">
        <f t="shared" si="105"/>
        <v>357056066.31999999</v>
      </c>
      <c r="L217" s="7">
        <f t="shared" ref="L217" si="115">L218</f>
        <v>319396600</v>
      </c>
      <c r="M217" s="7"/>
      <c r="N217" s="7">
        <f t="shared" si="111"/>
        <v>319396600</v>
      </c>
      <c r="O217" s="7">
        <f t="shared" ref="O217" si="116">O218</f>
        <v>37659466.320000008</v>
      </c>
      <c r="P217" s="7"/>
      <c r="Q217" s="7">
        <f t="shared" si="113"/>
        <v>37659466.320000008</v>
      </c>
    </row>
    <row r="218" spans="1:17" ht="20.25" customHeight="1">
      <c r="A218" s="14" t="s">
        <v>25</v>
      </c>
      <c r="B218" s="14"/>
      <c r="C218" s="14"/>
      <c r="D218" s="14"/>
      <c r="E218" s="14"/>
      <c r="F218" s="14"/>
      <c r="G218" s="5">
        <f>G219+G222+G223+G225+G228</f>
        <v>453481598.59999996</v>
      </c>
      <c r="H218" s="5">
        <f>H219+H222+H223+H225+H228</f>
        <v>357056066.31999999</v>
      </c>
      <c r="I218" s="5">
        <f>I219+I222+I223+I225+I228</f>
        <v>357056066.32000005</v>
      </c>
      <c r="J218" s="7"/>
      <c r="K218" s="5">
        <f t="shared" si="105"/>
        <v>357056066.31999999</v>
      </c>
      <c r="L218" s="5">
        <f t="shared" ref="L218" si="117">L219+L222+L223+L225+L228</f>
        <v>319396600</v>
      </c>
      <c r="M218" s="7"/>
      <c r="N218" s="5">
        <f t="shared" si="111"/>
        <v>319396600</v>
      </c>
      <c r="O218" s="5">
        <f t="shared" ref="O218" si="118">O219+O222+O223+O225+O228</f>
        <v>37659466.320000008</v>
      </c>
      <c r="P218" s="7"/>
      <c r="Q218" s="5">
        <f t="shared" si="113"/>
        <v>37659466.320000008</v>
      </c>
    </row>
    <row r="219" spans="1:17" ht="100.5" customHeight="1">
      <c r="A219" s="6" t="s">
        <v>269</v>
      </c>
      <c r="B219" s="4" t="s">
        <v>27</v>
      </c>
      <c r="C219" s="4" t="s">
        <v>27</v>
      </c>
      <c r="D219" s="8" t="s">
        <v>270</v>
      </c>
      <c r="E219" s="8" t="s">
        <v>29</v>
      </c>
      <c r="F219" s="8" t="s">
        <v>271</v>
      </c>
      <c r="G219" s="7">
        <f>303125311.27-33733166.38</f>
        <v>269392144.88999999</v>
      </c>
      <c r="H219" s="7">
        <v>205217802.61000001</v>
      </c>
      <c r="I219" s="7">
        <f>I220+I221</f>
        <v>205217802.61000001</v>
      </c>
      <c r="J219" s="7"/>
      <c r="K219" s="7">
        <f t="shared" si="105"/>
        <v>205217802.61000001</v>
      </c>
      <c r="L219" s="7">
        <v>195468586.80000001</v>
      </c>
      <c r="M219" s="7"/>
      <c r="N219" s="7">
        <f t="shared" si="111"/>
        <v>195468586.80000001</v>
      </c>
      <c r="O219" s="7">
        <v>9749215.8100000005</v>
      </c>
      <c r="P219" s="7"/>
      <c r="Q219" s="7">
        <f t="shared" si="113"/>
        <v>9749215.8100000005</v>
      </c>
    </row>
    <row r="220" spans="1:17" ht="24.75" customHeight="1">
      <c r="A220" s="6" t="s">
        <v>272</v>
      </c>
      <c r="B220" s="6" t="s">
        <v>273</v>
      </c>
      <c r="C220" s="6" t="s">
        <v>0</v>
      </c>
      <c r="D220" s="6" t="s">
        <v>0</v>
      </c>
      <c r="E220" s="6" t="s">
        <v>0</v>
      </c>
      <c r="F220" s="6" t="s">
        <v>0</v>
      </c>
      <c r="G220" s="6"/>
      <c r="H220" s="7">
        <v>199457741.63</v>
      </c>
      <c r="I220" s="7">
        <f>195468586.8+3989154.83</f>
        <v>199457741.63000003</v>
      </c>
      <c r="J220" s="7"/>
      <c r="K220" s="7">
        <f t="shared" si="105"/>
        <v>199457741.63</v>
      </c>
      <c r="L220" s="7">
        <v>195468586.80000001</v>
      </c>
      <c r="M220" s="7"/>
      <c r="N220" s="7">
        <f t="shared" si="111"/>
        <v>195468586.80000001</v>
      </c>
      <c r="O220" s="7">
        <v>3989154.83</v>
      </c>
      <c r="P220" s="7"/>
      <c r="Q220" s="7">
        <f t="shared" si="113"/>
        <v>3989154.83</v>
      </c>
    </row>
    <row r="221" spans="1:17" ht="21.75" customHeight="1">
      <c r="A221" s="6" t="s">
        <v>69</v>
      </c>
      <c r="B221" s="6" t="s">
        <v>27</v>
      </c>
      <c r="C221" s="6" t="s">
        <v>0</v>
      </c>
      <c r="D221" s="6" t="s">
        <v>0</v>
      </c>
      <c r="E221" s="6" t="s">
        <v>0</v>
      </c>
      <c r="F221" s="6" t="s">
        <v>0</v>
      </c>
      <c r="G221" s="6"/>
      <c r="H221" s="7">
        <v>5760060.9800000004</v>
      </c>
      <c r="I221" s="7">
        <v>5760060.9800000004</v>
      </c>
      <c r="J221" s="7"/>
      <c r="K221" s="7">
        <f t="shared" si="105"/>
        <v>5760060.9800000004</v>
      </c>
      <c r="L221" s="7"/>
      <c r="M221" s="7"/>
      <c r="N221" s="7"/>
      <c r="O221" s="7">
        <v>5760060.9800000004</v>
      </c>
      <c r="P221" s="7"/>
      <c r="Q221" s="7">
        <f t="shared" si="113"/>
        <v>5760060.9800000004</v>
      </c>
    </row>
    <row r="222" spans="1:17" ht="97.5" customHeight="1">
      <c r="A222" s="6" t="s">
        <v>274</v>
      </c>
      <c r="B222" s="4" t="s">
        <v>27</v>
      </c>
      <c r="C222" s="4" t="s">
        <v>27</v>
      </c>
      <c r="D222" s="8" t="s">
        <v>110</v>
      </c>
      <c r="E222" s="8" t="s">
        <v>29</v>
      </c>
      <c r="F222" s="8" t="s">
        <v>49</v>
      </c>
      <c r="G222" s="7">
        <v>8316500</v>
      </c>
      <c r="H222" s="7">
        <v>8316500</v>
      </c>
      <c r="I222" s="7">
        <v>8316500</v>
      </c>
      <c r="J222" s="7"/>
      <c r="K222" s="7">
        <f t="shared" si="105"/>
        <v>8316500</v>
      </c>
      <c r="L222" s="7"/>
      <c r="M222" s="7"/>
      <c r="N222" s="7"/>
      <c r="O222" s="7">
        <v>8316500</v>
      </c>
      <c r="P222" s="7"/>
      <c r="Q222" s="7">
        <f t="shared" si="113"/>
        <v>8316500</v>
      </c>
    </row>
    <row r="223" spans="1:17" ht="72" customHeight="1">
      <c r="A223" s="6" t="s">
        <v>275</v>
      </c>
      <c r="B223" s="4" t="s">
        <v>27</v>
      </c>
      <c r="C223" s="4" t="s">
        <v>27</v>
      </c>
      <c r="D223" s="8" t="s">
        <v>276</v>
      </c>
      <c r="E223" s="8" t="s">
        <v>277</v>
      </c>
      <c r="F223" s="8" t="s">
        <v>173</v>
      </c>
      <c r="G223" s="7">
        <v>20299630</v>
      </c>
      <c r="H223" s="7">
        <v>20299630</v>
      </c>
      <c r="I223" s="7">
        <f>I224</f>
        <v>20299630</v>
      </c>
      <c r="J223" s="7"/>
      <c r="K223" s="7">
        <f t="shared" si="105"/>
        <v>20299630</v>
      </c>
      <c r="L223" s="7">
        <v>19893637.399999999</v>
      </c>
      <c r="M223" s="7"/>
      <c r="N223" s="7">
        <f t="shared" si="111"/>
        <v>19893637.399999999</v>
      </c>
      <c r="O223" s="7">
        <v>405992.6</v>
      </c>
      <c r="P223" s="7"/>
      <c r="Q223" s="7">
        <f t="shared" si="113"/>
        <v>405992.6</v>
      </c>
    </row>
    <row r="224" spans="1:17" ht="27.75" customHeight="1">
      <c r="A224" s="6" t="s">
        <v>272</v>
      </c>
      <c r="B224" s="6" t="s">
        <v>273</v>
      </c>
      <c r="C224" s="6" t="s">
        <v>0</v>
      </c>
      <c r="D224" s="6" t="s">
        <v>0</v>
      </c>
      <c r="E224" s="6" t="s">
        <v>0</v>
      </c>
      <c r="F224" s="6" t="s">
        <v>0</v>
      </c>
      <c r="G224" s="6"/>
      <c r="H224" s="7">
        <v>20299630</v>
      </c>
      <c r="I224" s="7">
        <f>19893637.4+405992.6</f>
        <v>20299630</v>
      </c>
      <c r="J224" s="7"/>
      <c r="K224" s="7">
        <f t="shared" si="105"/>
        <v>20299630</v>
      </c>
      <c r="L224" s="7">
        <v>19893637.399999999</v>
      </c>
      <c r="M224" s="7"/>
      <c r="N224" s="7">
        <f t="shared" si="111"/>
        <v>19893637.399999999</v>
      </c>
      <c r="O224" s="7">
        <v>405992.6</v>
      </c>
      <c r="P224" s="7"/>
      <c r="Q224" s="7">
        <f t="shared" si="113"/>
        <v>405992.6</v>
      </c>
    </row>
    <row r="225" spans="1:17" ht="84">
      <c r="A225" s="6" t="s">
        <v>278</v>
      </c>
      <c r="B225" s="4" t="s">
        <v>27</v>
      </c>
      <c r="C225" s="4" t="s">
        <v>27</v>
      </c>
      <c r="D225" s="8" t="s">
        <v>279</v>
      </c>
      <c r="E225" s="8" t="s">
        <v>29</v>
      </c>
      <c r="F225" s="8" t="s">
        <v>173</v>
      </c>
      <c r="G225" s="7">
        <v>87617900</v>
      </c>
      <c r="H225" s="7">
        <v>55366710</v>
      </c>
      <c r="I225" s="7">
        <f>I226+I227</f>
        <v>55366710</v>
      </c>
      <c r="J225" s="7"/>
      <c r="K225" s="7">
        <f t="shared" si="105"/>
        <v>55366710</v>
      </c>
      <c r="L225" s="7">
        <v>53083375.799999997</v>
      </c>
      <c r="M225" s="7"/>
      <c r="N225" s="7">
        <f t="shared" si="111"/>
        <v>53083375.799999997</v>
      </c>
      <c r="O225" s="7">
        <v>2283334.2000000002</v>
      </c>
      <c r="P225" s="7"/>
      <c r="Q225" s="7">
        <f t="shared" si="113"/>
        <v>2283334.2000000002</v>
      </c>
    </row>
    <row r="226" spans="1:17" ht="30" customHeight="1">
      <c r="A226" s="6" t="s">
        <v>272</v>
      </c>
      <c r="B226" s="6" t="s">
        <v>273</v>
      </c>
      <c r="C226" s="6" t="s">
        <v>0</v>
      </c>
      <c r="D226" s="6" t="s">
        <v>0</v>
      </c>
      <c r="E226" s="6" t="s">
        <v>0</v>
      </c>
      <c r="F226" s="6" t="s">
        <v>0</v>
      </c>
      <c r="G226" s="7"/>
      <c r="H226" s="7">
        <v>54166710</v>
      </c>
      <c r="I226" s="7">
        <f>53083375.8+1083334.2</f>
        <v>54166710</v>
      </c>
      <c r="J226" s="7"/>
      <c r="K226" s="7">
        <f t="shared" si="105"/>
        <v>54166710</v>
      </c>
      <c r="L226" s="7">
        <v>53083375.799999997</v>
      </c>
      <c r="M226" s="7"/>
      <c r="N226" s="7">
        <f t="shared" si="111"/>
        <v>53083375.799999997</v>
      </c>
      <c r="O226" s="7">
        <v>1083334.2</v>
      </c>
      <c r="P226" s="7"/>
      <c r="Q226" s="7">
        <f t="shared" si="113"/>
        <v>1083334.2</v>
      </c>
    </row>
    <row r="227" spans="1:17" ht="22.5" customHeight="1">
      <c r="A227" s="6" t="s">
        <v>69</v>
      </c>
      <c r="B227" s="6" t="s">
        <v>27</v>
      </c>
      <c r="C227" s="6" t="s">
        <v>0</v>
      </c>
      <c r="D227" s="6" t="s">
        <v>0</v>
      </c>
      <c r="E227" s="6" t="s">
        <v>0</v>
      </c>
      <c r="F227" s="6" t="s">
        <v>0</v>
      </c>
      <c r="G227" s="7"/>
      <c r="H227" s="7">
        <v>1200000</v>
      </c>
      <c r="I227" s="7">
        <v>1200000</v>
      </c>
      <c r="J227" s="7"/>
      <c r="K227" s="7">
        <f t="shared" si="105"/>
        <v>1200000</v>
      </c>
      <c r="L227" s="7"/>
      <c r="M227" s="7"/>
      <c r="N227" s="7"/>
      <c r="O227" s="7">
        <v>1200000</v>
      </c>
      <c r="P227" s="7"/>
      <c r="Q227" s="7">
        <f t="shared" si="113"/>
        <v>1200000</v>
      </c>
    </row>
    <row r="228" spans="1:17" ht="90" customHeight="1">
      <c r="A228" s="6" t="s">
        <v>280</v>
      </c>
      <c r="B228" s="4" t="s">
        <v>27</v>
      </c>
      <c r="C228" s="4" t="s">
        <v>27</v>
      </c>
      <c r="D228" s="8" t="s">
        <v>281</v>
      </c>
      <c r="E228" s="8" t="s">
        <v>29</v>
      </c>
      <c r="F228" s="8" t="s">
        <v>85</v>
      </c>
      <c r="G228" s="7">
        <v>67855423.709999993</v>
      </c>
      <c r="H228" s="7">
        <v>67855423.709999993</v>
      </c>
      <c r="I228" s="7">
        <f>I229+I230</f>
        <v>67855423.710000008</v>
      </c>
      <c r="J228" s="7"/>
      <c r="K228" s="7">
        <f t="shared" si="105"/>
        <v>67855423.709999993</v>
      </c>
      <c r="L228" s="7">
        <v>50951000</v>
      </c>
      <c r="M228" s="7"/>
      <c r="N228" s="7">
        <f t="shared" si="111"/>
        <v>50951000</v>
      </c>
      <c r="O228" s="7">
        <v>16904423.710000001</v>
      </c>
      <c r="P228" s="7"/>
      <c r="Q228" s="7">
        <f t="shared" si="113"/>
        <v>16904423.710000001</v>
      </c>
    </row>
    <row r="229" spans="1:17" ht="27" customHeight="1">
      <c r="A229" s="6" t="s">
        <v>272</v>
      </c>
      <c r="B229" s="6" t="s">
        <v>273</v>
      </c>
      <c r="C229" s="6" t="s">
        <v>0</v>
      </c>
      <c r="D229" s="6" t="s">
        <v>0</v>
      </c>
      <c r="E229" s="6" t="s">
        <v>0</v>
      </c>
      <c r="F229" s="6" t="s">
        <v>0</v>
      </c>
      <c r="G229" s="7"/>
      <c r="H229" s="7">
        <v>56612223.710000001</v>
      </c>
      <c r="I229" s="7">
        <v>56612237.07</v>
      </c>
      <c r="J229" s="7">
        <v>13.36</v>
      </c>
      <c r="K229" s="7">
        <f t="shared" si="105"/>
        <v>56612237.07</v>
      </c>
      <c r="L229" s="7">
        <v>50951000</v>
      </c>
      <c r="M229" s="7"/>
      <c r="N229" s="7">
        <f t="shared" si="111"/>
        <v>50951000</v>
      </c>
      <c r="O229" s="7">
        <v>5661223.71</v>
      </c>
      <c r="P229" s="7">
        <v>13.36</v>
      </c>
      <c r="Q229" s="7">
        <f t="shared" si="113"/>
        <v>5661237.0700000003</v>
      </c>
    </row>
    <row r="230" spans="1:17" ht="21" customHeight="1">
      <c r="A230" s="6" t="s">
        <v>69</v>
      </c>
      <c r="B230" s="6" t="s">
        <v>27</v>
      </c>
      <c r="C230" s="6" t="s">
        <v>0</v>
      </c>
      <c r="D230" s="6" t="s">
        <v>0</v>
      </c>
      <c r="E230" s="6" t="s">
        <v>0</v>
      </c>
      <c r="F230" s="6" t="s">
        <v>0</v>
      </c>
      <c r="G230" s="7" t="s">
        <v>0</v>
      </c>
      <c r="H230" s="7">
        <v>11243200</v>
      </c>
      <c r="I230" s="7">
        <v>11243186.640000001</v>
      </c>
      <c r="J230" s="7">
        <v>-13.36</v>
      </c>
      <c r="K230" s="7">
        <f t="shared" si="105"/>
        <v>11243186.640000001</v>
      </c>
      <c r="L230" s="7"/>
      <c r="M230" s="7"/>
      <c r="N230" s="7"/>
      <c r="O230" s="7">
        <v>11243200</v>
      </c>
      <c r="P230" s="7">
        <v>-13.36</v>
      </c>
      <c r="Q230" s="7">
        <f t="shared" si="113"/>
        <v>11243186.640000001</v>
      </c>
    </row>
    <row r="231" spans="1:17">
      <c r="A231" s="18" t="s">
        <v>2</v>
      </c>
      <c r="B231" s="18" t="s">
        <v>3</v>
      </c>
      <c r="C231" s="18" t="s">
        <v>4</v>
      </c>
      <c r="D231" s="18" t="s">
        <v>5</v>
      </c>
      <c r="E231" s="18" t="s">
        <v>6</v>
      </c>
      <c r="F231" s="18" t="s">
        <v>7</v>
      </c>
      <c r="G231" s="18" t="s">
        <v>306</v>
      </c>
      <c r="H231" s="20" t="s">
        <v>282</v>
      </c>
      <c r="I231" s="20"/>
      <c r="J231" s="20"/>
      <c r="K231" s="20"/>
      <c r="L231" s="20"/>
      <c r="M231" s="20"/>
      <c r="N231" s="20"/>
      <c r="O231" s="20"/>
      <c r="P231" s="20"/>
      <c r="Q231" s="20"/>
    </row>
    <row r="232" spans="1:17" ht="33" customHeight="1">
      <c r="A232" s="14" t="s">
        <v>0</v>
      </c>
      <c r="B232" s="14" t="s">
        <v>0</v>
      </c>
      <c r="C232" s="14" t="s">
        <v>0</v>
      </c>
      <c r="D232" s="14" t="s">
        <v>0</v>
      </c>
      <c r="E232" s="14" t="s">
        <v>0</v>
      </c>
      <c r="F232" s="14" t="s">
        <v>0</v>
      </c>
      <c r="G232" s="14" t="s">
        <v>0</v>
      </c>
      <c r="H232" s="18" t="s">
        <v>313</v>
      </c>
      <c r="I232" s="18" t="s">
        <v>310</v>
      </c>
      <c r="J232" s="18" t="s">
        <v>311</v>
      </c>
      <c r="K232" s="18" t="s">
        <v>10</v>
      </c>
      <c r="L232" s="18" t="s">
        <v>11</v>
      </c>
      <c r="M232" s="18"/>
      <c r="N232" s="18"/>
      <c r="O232" s="18"/>
      <c r="P232" s="18"/>
      <c r="Q232" s="18"/>
    </row>
    <row r="233" spans="1:17" ht="21" customHeight="1">
      <c r="A233" s="14" t="s">
        <v>0</v>
      </c>
      <c r="B233" s="14" t="s">
        <v>0</v>
      </c>
      <c r="C233" s="14" t="s">
        <v>0</v>
      </c>
      <c r="D233" s="14" t="s">
        <v>0</v>
      </c>
      <c r="E233" s="14" t="s">
        <v>0</v>
      </c>
      <c r="F233" s="14" t="s">
        <v>0</v>
      </c>
      <c r="G233" s="14" t="s">
        <v>0</v>
      </c>
      <c r="H233" s="21" t="s">
        <v>0</v>
      </c>
      <c r="I233" s="21" t="s">
        <v>0</v>
      </c>
      <c r="J233" s="21" t="s">
        <v>0</v>
      </c>
      <c r="K233" s="21" t="s">
        <v>0</v>
      </c>
      <c r="L233" s="18" t="s">
        <v>12</v>
      </c>
      <c r="M233" s="18" t="s">
        <v>9</v>
      </c>
      <c r="N233" s="18" t="s">
        <v>10</v>
      </c>
      <c r="O233" s="18" t="s">
        <v>13</v>
      </c>
      <c r="P233" s="18" t="s">
        <v>9</v>
      </c>
      <c r="Q233" s="18" t="s">
        <v>10</v>
      </c>
    </row>
    <row r="234" spans="1:17" ht="21.75" customHeight="1">
      <c r="A234" s="14" t="s">
        <v>0</v>
      </c>
      <c r="B234" s="14" t="s">
        <v>0</v>
      </c>
      <c r="C234" s="14" t="s">
        <v>0</v>
      </c>
      <c r="D234" s="14" t="s">
        <v>0</v>
      </c>
      <c r="E234" s="14" t="s">
        <v>0</v>
      </c>
      <c r="F234" s="14" t="s">
        <v>0</v>
      </c>
      <c r="G234" s="14" t="s">
        <v>0</v>
      </c>
      <c r="H234" s="21" t="s">
        <v>0</v>
      </c>
      <c r="I234" s="21" t="s">
        <v>0</v>
      </c>
      <c r="J234" s="21" t="s">
        <v>0</v>
      </c>
      <c r="K234" s="21" t="s">
        <v>0</v>
      </c>
      <c r="L234" s="21" t="s">
        <v>0</v>
      </c>
      <c r="M234" s="21" t="s">
        <v>0</v>
      </c>
      <c r="N234" s="21" t="s">
        <v>0</v>
      </c>
      <c r="O234" s="21" t="s">
        <v>0</v>
      </c>
      <c r="P234" s="21" t="s">
        <v>0</v>
      </c>
      <c r="Q234" s="21" t="s">
        <v>0</v>
      </c>
    </row>
    <row r="235" spans="1:17">
      <c r="A235" s="4" t="s">
        <v>14</v>
      </c>
      <c r="B235" s="4" t="s">
        <v>15</v>
      </c>
      <c r="C235" s="4" t="s">
        <v>16</v>
      </c>
      <c r="D235" s="4" t="s">
        <v>17</v>
      </c>
      <c r="E235" s="4" t="s">
        <v>18</v>
      </c>
      <c r="F235" s="4" t="s">
        <v>19</v>
      </c>
      <c r="G235" s="4">
        <v>7</v>
      </c>
      <c r="H235" s="4">
        <v>8</v>
      </c>
      <c r="I235" s="4">
        <v>9</v>
      </c>
      <c r="J235" s="4">
        <v>10</v>
      </c>
      <c r="K235" s="4">
        <v>11</v>
      </c>
      <c r="L235" s="4">
        <v>12</v>
      </c>
      <c r="M235" s="4">
        <v>13</v>
      </c>
      <c r="N235" s="4">
        <v>14</v>
      </c>
      <c r="O235" s="4">
        <v>15</v>
      </c>
      <c r="P235" s="4">
        <v>16</v>
      </c>
      <c r="Q235" s="4">
        <v>17</v>
      </c>
    </row>
    <row r="236" spans="1:17">
      <c r="A236" s="14" t="s">
        <v>20</v>
      </c>
      <c r="B236" s="14"/>
      <c r="C236" s="14"/>
      <c r="D236" s="14"/>
      <c r="E236" s="14"/>
      <c r="F236" s="14"/>
      <c r="G236" s="11"/>
      <c r="H236" s="5">
        <f>H237+H238</f>
        <v>6061249409.6499996</v>
      </c>
      <c r="I236" s="5">
        <f t="shared" ref="I236:J236" si="119">I237+I238</f>
        <v>5964752049.6499996</v>
      </c>
      <c r="J236" s="5">
        <f t="shared" si="119"/>
        <v>299999980</v>
      </c>
      <c r="K236" s="5">
        <f t="shared" ref="K236:K242" si="120">H236+J236</f>
        <v>6361249389.6499996</v>
      </c>
      <c r="L236" s="5">
        <f t="shared" ref="L236:M236" si="121">L237+L238</f>
        <v>4939665340</v>
      </c>
      <c r="M236" s="5">
        <f t="shared" si="121"/>
        <v>300000000</v>
      </c>
      <c r="N236" s="5">
        <f>L236+M236</f>
        <v>5239665340</v>
      </c>
      <c r="O236" s="5">
        <f t="shared" ref="O236:P236" si="122">O237+O238</f>
        <v>1121584069.6500001</v>
      </c>
      <c r="P236" s="5">
        <f t="shared" si="122"/>
        <v>-20</v>
      </c>
      <c r="Q236" s="5">
        <f>O236+P236</f>
        <v>1121584049.6500001</v>
      </c>
    </row>
    <row r="237" spans="1:17">
      <c r="A237" s="15" t="s">
        <v>21</v>
      </c>
      <c r="B237" s="15"/>
      <c r="C237" s="15"/>
      <c r="D237" s="15"/>
      <c r="E237" s="15"/>
      <c r="F237" s="15"/>
      <c r="G237" s="6"/>
      <c r="H237" s="7">
        <f>H240+H251+H260+H266+H291+H297+H312+H326+H337+H349</f>
        <v>3259375449.9099998</v>
      </c>
      <c r="I237" s="7">
        <f t="shared" ref="I237:J237" si="123">I240+I251+I260+I266+I291+I297+I312+I326+I337+I349</f>
        <v>3301932897.3400002</v>
      </c>
      <c r="J237" s="7">
        <f t="shared" si="123"/>
        <v>42557447.43</v>
      </c>
      <c r="K237" s="7">
        <f t="shared" si="120"/>
        <v>3301932897.3399997</v>
      </c>
      <c r="L237" s="7">
        <f t="shared" ref="L237:M237" si="124">L240+L251+L260+L266+L291+L297+L312+L326+L337+L349</f>
        <v>2981698900</v>
      </c>
      <c r="M237" s="7">
        <f t="shared" si="124"/>
        <v>49632700</v>
      </c>
      <c r="N237" s="7">
        <f t="shared" ref="N237:N238" si="125">L237+M237</f>
        <v>3031331600</v>
      </c>
      <c r="O237" s="7">
        <f t="shared" ref="O237:P237" si="126">O240+O251+O260+O266+O291+O297+O312+O326+O337+O349</f>
        <v>277676549.90999997</v>
      </c>
      <c r="P237" s="7">
        <f t="shared" si="126"/>
        <v>-7075252.5700000003</v>
      </c>
      <c r="Q237" s="7">
        <f t="shared" ref="Q237:Q238" si="127">O237+P237</f>
        <v>270601297.33999997</v>
      </c>
    </row>
    <row r="238" spans="1:17">
      <c r="A238" s="15" t="s">
        <v>22</v>
      </c>
      <c r="B238" s="15"/>
      <c r="C238" s="15"/>
      <c r="D238" s="15"/>
      <c r="E238" s="15"/>
      <c r="F238" s="15"/>
      <c r="G238" s="6"/>
      <c r="H238" s="7">
        <f>H241+H252+H261+H267+H292+H298+H313+H327+H338+H350</f>
        <v>2801873959.7399998</v>
      </c>
      <c r="I238" s="7">
        <f t="shared" ref="I238:J238" si="128">I241+I252+I261+I267+I292+I298+I313+I327+I338+I350</f>
        <v>2662819152.3099999</v>
      </c>
      <c r="J238" s="7">
        <f t="shared" si="128"/>
        <v>257442532.56999999</v>
      </c>
      <c r="K238" s="7">
        <f t="shared" si="120"/>
        <v>3059316492.3099999</v>
      </c>
      <c r="L238" s="7">
        <f t="shared" ref="L238:M238" si="129">L241+L252+L261+L267+L292+L298+L313+L327+L338+L350</f>
        <v>1957966440</v>
      </c>
      <c r="M238" s="7">
        <f t="shared" si="129"/>
        <v>250367300</v>
      </c>
      <c r="N238" s="7">
        <f t="shared" si="125"/>
        <v>2208333740</v>
      </c>
      <c r="O238" s="7">
        <f t="shared" ref="O238:P238" si="130">O241+O252+O261+O267+O292+O298+O313+O327+O338+O350</f>
        <v>843907519.74000001</v>
      </c>
      <c r="P238" s="7">
        <f t="shared" si="130"/>
        <v>7075232.5700000003</v>
      </c>
      <c r="Q238" s="7">
        <f t="shared" si="127"/>
        <v>850982752.31000006</v>
      </c>
    </row>
    <row r="239" spans="1:17" ht="19.5" customHeight="1">
      <c r="A239" s="19" t="s">
        <v>23</v>
      </c>
      <c r="B239" s="19"/>
      <c r="C239" s="19"/>
      <c r="D239" s="19"/>
      <c r="E239" s="19"/>
      <c r="F239" s="19"/>
      <c r="G239" s="9"/>
      <c r="H239" s="7">
        <f>H240+H241</f>
        <v>2337710990.96</v>
      </c>
      <c r="I239" s="7">
        <f t="shared" ref="I239" si="131">I240+I241</f>
        <v>2337710990.96</v>
      </c>
      <c r="J239" s="7"/>
      <c r="K239" s="7">
        <f>H239+J239</f>
        <v>2337710990.96</v>
      </c>
      <c r="L239" s="7">
        <f t="shared" ref="L239" si="132">L240+L241</f>
        <v>2038268340</v>
      </c>
      <c r="M239" s="7"/>
      <c r="N239" s="7">
        <f>L239+M239</f>
        <v>2038268340</v>
      </c>
      <c r="O239" s="7">
        <f t="shared" ref="O239" si="133">O240+O241</f>
        <v>299442650.95999998</v>
      </c>
      <c r="P239" s="7"/>
      <c r="Q239" s="7">
        <f>O239+P239</f>
        <v>299442650.95999998</v>
      </c>
    </row>
    <row r="240" spans="1:17">
      <c r="A240" s="19" t="s">
        <v>21</v>
      </c>
      <c r="B240" s="19"/>
      <c r="C240" s="19"/>
      <c r="D240" s="19"/>
      <c r="E240" s="19"/>
      <c r="F240" s="19"/>
      <c r="G240" s="9"/>
      <c r="H240" s="7">
        <f>H249</f>
        <v>1903309666.6700001</v>
      </c>
      <c r="I240" s="7">
        <f t="shared" ref="I240" si="134">I249</f>
        <v>1903309666.6700001</v>
      </c>
      <c r="J240" s="7"/>
      <c r="K240" s="7">
        <f>H240+J240</f>
        <v>1903309666.6700001</v>
      </c>
      <c r="L240" s="7">
        <f t="shared" ref="L240" si="135">L249</f>
        <v>1712978700</v>
      </c>
      <c r="M240" s="7"/>
      <c r="N240" s="7">
        <f t="shared" ref="N240:N303" si="136">L240+M240</f>
        <v>1712978700</v>
      </c>
      <c r="O240" s="7">
        <f t="shared" ref="O240" si="137">O249</f>
        <v>190330966.66999999</v>
      </c>
      <c r="P240" s="7"/>
      <c r="Q240" s="7">
        <f t="shared" ref="Q240:Q303" si="138">O240+P240</f>
        <v>190330966.66999999</v>
      </c>
    </row>
    <row r="241" spans="1:17">
      <c r="A241" s="19" t="s">
        <v>22</v>
      </c>
      <c r="B241" s="19"/>
      <c r="C241" s="19"/>
      <c r="D241" s="19"/>
      <c r="E241" s="19"/>
      <c r="F241" s="19"/>
      <c r="G241" s="9"/>
      <c r="H241" s="7">
        <f>H244+H245+H246+H247</f>
        <v>434401324.29000002</v>
      </c>
      <c r="I241" s="7">
        <f t="shared" ref="I241" si="139">I244+I245+I246+I247</f>
        <v>434401324.29000002</v>
      </c>
      <c r="J241" s="7"/>
      <c r="K241" s="7">
        <f t="shared" si="120"/>
        <v>434401324.29000002</v>
      </c>
      <c r="L241" s="7">
        <f t="shared" ref="L241" si="140">L244+L245+L246+L247</f>
        <v>325289640</v>
      </c>
      <c r="M241" s="7"/>
      <c r="N241" s="7">
        <f t="shared" si="136"/>
        <v>325289640</v>
      </c>
      <c r="O241" s="7">
        <f t="shared" ref="O241" si="141">O244+O245+O246+O247</f>
        <v>109111684.29000001</v>
      </c>
      <c r="P241" s="7"/>
      <c r="Q241" s="7">
        <f t="shared" si="138"/>
        <v>109111684.29000001</v>
      </c>
    </row>
    <row r="242" spans="1:17" ht="21" customHeight="1">
      <c r="A242" s="19" t="s">
        <v>24</v>
      </c>
      <c r="B242" s="19"/>
      <c r="C242" s="19"/>
      <c r="D242" s="19"/>
      <c r="E242" s="19"/>
      <c r="F242" s="19"/>
      <c r="G242" s="9"/>
      <c r="H242" s="7">
        <f>H243</f>
        <v>2337710990.96</v>
      </c>
      <c r="I242" s="7">
        <f t="shared" ref="I242" si="142">I243</f>
        <v>2337710990.96</v>
      </c>
      <c r="J242" s="7"/>
      <c r="K242" s="7">
        <f t="shared" si="120"/>
        <v>2337710990.96</v>
      </c>
      <c r="L242" s="7">
        <f t="shared" ref="L242" si="143">L243</f>
        <v>2038268340</v>
      </c>
      <c r="M242" s="7"/>
      <c r="N242" s="7">
        <f t="shared" si="136"/>
        <v>2038268340</v>
      </c>
      <c r="O242" s="7">
        <f t="shared" ref="O242" si="144">O243</f>
        <v>299442650.95999998</v>
      </c>
      <c r="P242" s="7"/>
      <c r="Q242" s="7">
        <f t="shared" si="138"/>
        <v>299442650.95999998</v>
      </c>
    </row>
    <row r="243" spans="1:17">
      <c r="A243" s="14" t="s">
        <v>25</v>
      </c>
      <c r="B243" s="14"/>
      <c r="C243" s="14"/>
      <c r="D243" s="14"/>
      <c r="E243" s="14"/>
      <c r="F243" s="14"/>
      <c r="G243" s="11"/>
      <c r="H243" s="5">
        <f>H244+H245+H246+H247+H248</f>
        <v>2337710990.96</v>
      </c>
      <c r="I243" s="5">
        <f t="shared" ref="I243" si="145">I244+I245+I246+I247+I248</f>
        <v>2337710990.96</v>
      </c>
      <c r="J243" s="5"/>
      <c r="K243" s="5">
        <f>H243+J243</f>
        <v>2337710990.96</v>
      </c>
      <c r="L243" s="5">
        <f t="shared" ref="L243" si="146">L244+L245+L246+L247+L248</f>
        <v>2038268340</v>
      </c>
      <c r="M243" s="5"/>
      <c r="N243" s="5">
        <f t="shared" si="136"/>
        <v>2038268340</v>
      </c>
      <c r="O243" s="5">
        <f t="shared" ref="O243" si="147">O244+O245+O246+O247+O248</f>
        <v>299442650.95999998</v>
      </c>
      <c r="P243" s="5"/>
      <c r="Q243" s="5">
        <f t="shared" si="138"/>
        <v>299442650.95999998</v>
      </c>
    </row>
    <row r="244" spans="1:17" ht="84">
      <c r="A244" s="6" t="s">
        <v>26</v>
      </c>
      <c r="B244" s="4" t="s">
        <v>27</v>
      </c>
      <c r="C244" s="4" t="s">
        <v>27</v>
      </c>
      <c r="D244" s="8" t="s">
        <v>28</v>
      </c>
      <c r="E244" s="8" t="s">
        <v>29</v>
      </c>
      <c r="F244" s="8" t="s">
        <v>30</v>
      </c>
      <c r="G244" s="8"/>
      <c r="H244" s="7">
        <v>98219502.890000001</v>
      </c>
      <c r="I244" s="7">
        <v>98219502.890000001</v>
      </c>
      <c r="J244" s="7"/>
      <c r="K244" s="7">
        <f>H244+J244</f>
        <v>98219502.890000001</v>
      </c>
      <c r="L244" s="7"/>
      <c r="M244" s="7"/>
      <c r="N244" s="7"/>
      <c r="O244" s="7">
        <v>98219502.890000001</v>
      </c>
      <c r="P244" s="7"/>
      <c r="Q244" s="7">
        <f t="shared" si="138"/>
        <v>98219502.890000001</v>
      </c>
    </row>
    <row r="245" spans="1:17" ht="84">
      <c r="A245" s="6" t="s">
        <v>31</v>
      </c>
      <c r="B245" s="4" t="s">
        <v>27</v>
      </c>
      <c r="C245" s="4" t="s">
        <v>27</v>
      </c>
      <c r="D245" s="8" t="s">
        <v>32</v>
      </c>
      <c r="E245" s="8" t="s">
        <v>29</v>
      </c>
      <c r="F245" s="8" t="s">
        <v>33</v>
      </c>
      <c r="G245" s="8"/>
      <c r="H245" s="7">
        <v>290381619.80000001</v>
      </c>
      <c r="I245" s="7">
        <f>280973350+9408269.8</f>
        <v>290381619.80000001</v>
      </c>
      <c r="J245" s="7"/>
      <c r="K245" s="7">
        <f t="shared" ref="K245:K248" si="148">H245+J245</f>
        <v>290381619.80000001</v>
      </c>
      <c r="L245" s="7">
        <v>280973350</v>
      </c>
      <c r="M245" s="7"/>
      <c r="N245" s="7">
        <f t="shared" si="136"/>
        <v>280973350</v>
      </c>
      <c r="O245" s="7">
        <v>9408269.8000000007</v>
      </c>
      <c r="P245" s="7"/>
      <c r="Q245" s="7">
        <f t="shared" si="138"/>
        <v>9408269.8000000007</v>
      </c>
    </row>
    <row r="246" spans="1:17" ht="84">
      <c r="A246" s="6" t="s">
        <v>39</v>
      </c>
      <c r="B246" s="4" t="s">
        <v>27</v>
      </c>
      <c r="C246" s="4" t="s">
        <v>27</v>
      </c>
      <c r="D246" s="8" t="s">
        <v>35</v>
      </c>
      <c r="E246" s="8" t="s">
        <v>29</v>
      </c>
      <c r="F246" s="8" t="s">
        <v>40</v>
      </c>
      <c r="G246" s="8"/>
      <c r="H246" s="7">
        <v>25799991.309999999</v>
      </c>
      <c r="I246" s="7">
        <v>25799991.309999999</v>
      </c>
      <c r="J246" s="7"/>
      <c r="K246" s="7">
        <f t="shared" si="148"/>
        <v>25799991.309999999</v>
      </c>
      <c r="L246" s="7">
        <v>24964080</v>
      </c>
      <c r="M246" s="7"/>
      <c r="N246" s="7">
        <f t="shared" si="136"/>
        <v>24964080</v>
      </c>
      <c r="O246" s="7">
        <v>835911.31</v>
      </c>
      <c r="P246" s="7"/>
      <c r="Q246" s="7">
        <f t="shared" si="138"/>
        <v>835911.31</v>
      </c>
    </row>
    <row r="247" spans="1:17" ht="84">
      <c r="A247" s="6" t="s">
        <v>44</v>
      </c>
      <c r="B247" s="4" t="s">
        <v>27</v>
      </c>
      <c r="C247" s="4" t="s">
        <v>27</v>
      </c>
      <c r="D247" s="8" t="s">
        <v>45</v>
      </c>
      <c r="E247" s="8" t="s">
        <v>29</v>
      </c>
      <c r="F247" s="8" t="s">
        <v>46</v>
      </c>
      <c r="G247" s="8"/>
      <c r="H247" s="7">
        <v>20000210.289999999</v>
      </c>
      <c r="I247" s="7">
        <v>20000210.289999999</v>
      </c>
      <c r="J247" s="7"/>
      <c r="K247" s="7">
        <f t="shared" si="148"/>
        <v>20000210.289999999</v>
      </c>
      <c r="L247" s="7">
        <v>19352210</v>
      </c>
      <c r="M247" s="7"/>
      <c r="N247" s="7">
        <f t="shared" si="136"/>
        <v>19352210</v>
      </c>
      <c r="O247" s="7">
        <v>648000.29</v>
      </c>
      <c r="P247" s="7"/>
      <c r="Q247" s="7">
        <f t="shared" si="138"/>
        <v>648000.29</v>
      </c>
    </row>
    <row r="248" spans="1:17" ht="84">
      <c r="A248" s="6" t="s">
        <v>64</v>
      </c>
      <c r="B248" s="4" t="s">
        <v>27</v>
      </c>
      <c r="C248" s="4" t="s">
        <v>27</v>
      </c>
      <c r="D248" s="8" t="s">
        <v>65</v>
      </c>
      <c r="E248" s="8" t="s">
        <v>29</v>
      </c>
      <c r="F248" s="8" t="s">
        <v>66</v>
      </c>
      <c r="G248" s="8"/>
      <c r="H248" s="7">
        <v>1903309666.6700001</v>
      </c>
      <c r="I248" s="7">
        <f>1712978700+190330966.67</f>
        <v>1903309666.6700001</v>
      </c>
      <c r="J248" s="7"/>
      <c r="K248" s="7">
        <f t="shared" si="148"/>
        <v>1903309666.6700001</v>
      </c>
      <c r="L248" s="7">
        <v>1712978700</v>
      </c>
      <c r="M248" s="7"/>
      <c r="N248" s="7">
        <f t="shared" si="136"/>
        <v>1712978700</v>
      </c>
      <c r="O248" s="7">
        <v>190330966.66999999</v>
      </c>
      <c r="P248" s="7"/>
      <c r="Q248" s="7">
        <f t="shared" si="138"/>
        <v>190330966.66999999</v>
      </c>
    </row>
    <row r="249" spans="1:17" ht="52.5">
      <c r="A249" s="6" t="s">
        <v>67</v>
      </c>
      <c r="B249" s="6" t="s">
        <v>68</v>
      </c>
      <c r="C249" s="6" t="s">
        <v>0</v>
      </c>
      <c r="D249" s="6" t="s">
        <v>0</v>
      </c>
      <c r="E249" s="6" t="s">
        <v>0</v>
      </c>
      <c r="F249" s="6" t="s">
        <v>0</v>
      </c>
      <c r="G249" s="6"/>
      <c r="H249" s="7">
        <v>1903309666.6700001</v>
      </c>
      <c r="I249" s="7">
        <v>1903309666.6700001</v>
      </c>
      <c r="J249" s="7"/>
      <c r="K249" s="7">
        <f>H249+J249</f>
        <v>1903309666.6700001</v>
      </c>
      <c r="L249" s="7">
        <v>1712978700</v>
      </c>
      <c r="M249" s="7"/>
      <c r="N249" s="7">
        <f t="shared" si="136"/>
        <v>1712978700</v>
      </c>
      <c r="O249" s="7">
        <v>190330966.66999999</v>
      </c>
      <c r="P249" s="7"/>
      <c r="Q249" s="7">
        <f t="shared" si="138"/>
        <v>190330966.66999999</v>
      </c>
    </row>
    <row r="250" spans="1:17" ht="21.75" customHeight="1">
      <c r="A250" s="19" t="s">
        <v>80</v>
      </c>
      <c r="B250" s="19"/>
      <c r="C250" s="19"/>
      <c r="D250" s="19"/>
      <c r="E250" s="19"/>
      <c r="F250" s="19"/>
      <c r="G250" s="9"/>
      <c r="H250" s="7">
        <f>H251+H252</f>
        <v>712199760.36000001</v>
      </c>
      <c r="I250" s="7">
        <f t="shared" ref="I250:J250" si="149">I251+I252</f>
        <v>712199760.36000001</v>
      </c>
      <c r="J250" s="7">
        <f t="shared" si="149"/>
        <v>-20</v>
      </c>
      <c r="K250" s="7">
        <f t="shared" ref="K250:K313" si="150">H250+J250</f>
        <v>712199740.36000001</v>
      </c>
      <c r="L250" s="7">
        <f>L251+L252</f>
        <v>613473700</v>
      </c>
      <c r="M250" s="7"/>
      <c r="N250" s="7">
        <f t="shared" si="136"/>
        <v>613473700</v>
      </c>
      <c r="O250" s="7">
        <f t="shared" ref="O250:P250" si="151">O251+O252</f>
        <v>98726060.359999999</v>
      </c>
      <c r="P250" s="7">
        <f t="shared" si="151"/>
        <v>-20</v>
      </c>
      <c r="Q250" s="7">
        <f t="shared" si="138"/>
        <v>98726040.359999999</v>
      </c>
    </row>
    <row r="251" spans="1:17">
      <c r="A251" s="19" t="s">
        <v>21</v>
      </c>
      <c r="B251" s="19"/>
      <c r="C251" s="19"/>
      <c r="D251" s="19"/>
      <c r="E251" s="19"/>
      <c r="F251" s="19"/>
      <c r="G251" s="9"/>
      <c r="H251" s="7">
        <f>H257</f>
        <v>689726644.45000005</v>
      </c>
      <c r="I251" s="7">
        <f t="shared" ref="I251:J251" si="152">I257</f>
        <v>681637445</v>
      </c>
      <c r="J251" s="7">
        <f t="shared" si="152"/>
        <v>-8089199.4500000002</v>
      </c>
      <c r="K251" s="7">
        <f t="shared" si="150"/>
        <v>681637445</v>
      </c>
      <c r="L251" s="7">
        <f>L257</f>
        <v>613473700</v>
      </c>
      <c r="M251" s="7"/>
      <c r="N251" s="7">
        <f t="shared" si="136"/>
        <v>613473700</v>
      </c>
      <c r="O251" s="7">
        <f t="shared" ref="O251:P251" si="153">O257</f>
        <v>76252944.450000003</v>
      </c>
      <c r="P251" s="7">
        <f t="shared" si="153"/>
        <v>-8089199.4500000002</v>
      </c>
      <c r="Q251" s="7">
        <f t="shared" si="138"/>
        <v>68163745</v>
      </c>
    </row>
    <row r="252" spans="1:17">
      <c r="A252" s="19" t="s">
        <v>22</v>
      </c>
      <c r="B252" s="19"/>
      <c r="C252" s="19"/>
      <c r="D252" s="19"/>
      <c r="E252" s="19"/>
      <c r="F252" s="19"/>
      <c r="G252" s="9"/>
      <c r="H252" s="7">
        <f>H255+H258</f>
        <v>22473115.91</v>
      </c>
      <c r="I252" s="7">
        <f t="shared" ref="I252:J252" si="154">I255+I258</f>
        <v>30562315.359999999</v>
      </c>
      <c r="J252" s="7">
        <f t="shared" si="154"/>
        <v>8089179.4500000002</v>
      </c>
      <c r="K252" s="7">
        <f t="shared" si="150"/>
        <v>30562295.359999999</v>
      </c>
      <c r="L252" s="7">
        <f>L255+L258</f>
        <v>0</v>
      </c>
      <c r="M252" s="7"/>
      <c r="N252" s="7">
        <f t="shared" si="136"/>
        <v>0</v>
      </c>
      <c r="O252" s="7">
        <f t="shared" ref="O252:P252" si="155">O255+O258</f>
        <v>22473115.91</v>
      </c>
      <c r="P252" s="7">
        <f t="shared" si="155"/>
        <v>8089179.4500000002</v>
      </c>
      <c r="Q252" s="7">
        <f t="shared" si="138"/>
        <v>30562295.359999999</v>
      </c>
    </row>
    <row r="253" spans="1:17" ht="22.5" customHeight="1">
      <c r="A253" s="19" t="s">
        <v>81</v>
      </c>
      <c r="B253" s="19"/>
      <c r="C253" s="19"/>
      <c r="D253" s="19"/>
      <c r="E253" s="19"/>
      <c r="F253" s="19"/>
      <c r="G253" s="9"/>
      <c r="H253" s="7">
        <f>H254</f>
        <v>712199760.36000001</v>
      </c>
      <c r="I253" s="7">
        <f t="shared" ref="I253:J253" si="156">I254</f>
        <v>712199760.36000001</v>
      </c>
      <c r="J253" s="7">
        <f t="shared" si="156"/>
        <v>-20</v>
      </c>
      <c r="K253" s="7">
        <f t="shared" si="150"/>
        <v>712199740.36000001</v>
      </c>
      <c r="L253" s="7">
        <f>L254</f>
        <v>613473700</v>
      </c>
      <c r="M253" s="7"/>
      <c r="N253" s="7">
        <f t="shared" si="136"/>
        <v>613473700</v>
      </c>
      <c r="O253" s="7">
        <f t="shared" ref="O253:P253" si="157">O254</f>
        <v>98726060.359999999</v>
      </c>
      <c r="P253" s="7">
        <f t="shared" si="157"/>
        <v>-20</v>
      </c>
      <c r="Q253" s="7">
        <f t="shared" si="138"/>
        <v>98726040.359999999</v>
      </c>
    </row>
    <row r="254" spans="1:17">
      <c r="A254" s="14" t="s">
        <v>25</v>
      </c>
      <c r="B254" s="14"/>
      <c r="C254" s="14"/>
      <c r="D254" s="14"/>
      <c r="E254" s="14"/>
      <c r="F254" s="14"/>
      <c r="G254" s="11"/>
      <c r="H254" s="5">
        <f>H255+H256</f>
        <v>712199760.36000001</v>
      </c>
      <c r="I254" s="5">
        <f t="shared" ref="I254:J254" si="158">I255+I256</f>
        <v>712199760.36000001</v>
      </c>
      <c r="J254" s="5">
        <f t="shared" si="158"/>
        <v>-20</v>
      </c>
      <c r="K254" s="5">
        <f t="shared" si="150"/>
        <v>712199740.36000001</v>
      </c>
      <c r="L254" s="5">
        <f>L255+L256</f>
        <v>613473700</v>
      </c>
      <c r="M254" s="7"/>
      <c r="N254" s="5">
        <f>L254+M24</f>
        <v>613473700</v>
      </c>
      <c r="O254" s="5">
        <f t="shared" ref="O254:P254" si="159">O255+O256</f>
        <v>98726060.359999999</v>
      </c>
      <c r="P254" s="5">
        <f t="shared" si="159"/>
        <v>-20</v>
      </c>
      <c r="Q254" s="5">
        <f t="shared" si="138"/>
        <v>98726040.359999999</v>
      </c>
    </row>
    <row r="255" spans="1:17" ht="63">
      <c r="A255" s="6" t="s">
        <v>104</v>
      </c>
      <c r="B255" s="4" t="s">
        <v>27</v>
      </c>
      <c r="C255" s="4" t="s">
        <v>27</v>
      </c>
      <c r="D255" s="8" t="s">
        <v>105</v>
      </c>
      <c r="E255" s="8" t="s">
        <v>106</v>
      </c>
      <c r="F255" s="8" t="s">
        <v>85</v>
      </c>
      <c r="G255" s="8"/>
      <c r="H255" s="7">
        <v>22472900</v>
      </c>
      <c r="I255" s="7">
        <v>22472900</v>
      </c>
      <c r="J255" s="7"/>
      <c r="K255" s="7">
        <f>H255+J255</f>
        <v>22472900</v>
      </c>
      <c r="L255" s="7"/>
      <c r="M255" s="7"/>
      <c r="N255" s="7"/>
      <c r="O255" s="7">
        <v>22472900</v>
      </c>
      <c r="P255" s="7"/>
      <c r="Q255" s="7">
        <f t="shared" si="138"/>
        <v>22472900</v>
      </c>
    </row>
    <row r="256" spans="1:17" ht="84">
      <c r="A256" s="6" t="s">
        <v>115</v>
      </c>
      <c r="B256" s="4" t="s">
        <v>27</v>
      </c>
      <c r="C256" s="4" t="s">
        <v>27</v>
      </c>
      <c r="D256" s="8" t="s">
        <v>116</v>
      </c>
      <c r="E256" s="8" t="s">
        <v>29</v>
      </c>
      <c r="F256" s="8" t="s">
        <v>117</v>
      </c>
      <c r="G256" s="8"/>
      <c r="H256" s="7">
        <v>689726860.36000001</v>
      </c>
      <c r="I256" s="7">
        <f>I257+I258</f>
        <v>689726860.36000001</v>
      </c>
      <c r="J256" s="7">
        <v>-20</v>
      </c>
      <c r="K256" s="7">
        <f>H256+J256</f>
        <v>689726840.36000001</v>
      </c>
      <c r="L256" s="7">
        <v>613473700</v>
      </c>
      <c r="M256" s="7"/>
      <c r="N256" s="7">
        <f t="shared" si="136"/>
        <v>613473700</v>
      </c>
      <c r="O256" s="7">
        <v>76253160.359999999</v>
      </c>
      <c r="P256" s="7">
        <v>-20</v>
      </c>
      <c r="Q256" s="7">
        <f t="shared" si="138"/>
        <v>76253140.359999999</v>
      </c>
    </row>
    <row r="257" spans="1:17" ht="21">
      <c r="A257" s="6" t="s">
        <v>113</v>
      </c>
      <c r="B257" s="6" t="s">
        <v>114</v>
      </c>
      <c r="C257" s="6" t="s">
        <v>0</v>
      </c>
      <c r="D257" s="6" t="s">
        <v>0</v>
      </c>
      <c r="E257" s="6" t="s">
        <v>0</v>
      </c>
      <c r="F257" s="6" t="s">
        <v>0</v>
      </c>
      <c r="G257" s="6" t="s">
        <v>0</v>
      </c>
      <c r="H257" s="7">
        <v>689726644.45000005</v>
      </c>
      <c r="I257" s="7">
        <f>613473700+68163745</f>
        <v>681637445</v>
      </c>
      <c r="J257" s="7">
        <v>-8089199.4500000002</v>
      </c>
      <c r="K257" s="7">
        <f t="shared" si="150"/>
        <v>681637445</v>
      </c>
      <c r="L257" s="7">
        <v>613473700</v>
      </c>
      <c r="M257" s="7"/>
      <c r="N257" s="7">
        <f t="shared" si="136"/>
        <v>613473700</v>
      </c>
      <c r="O257" s="7">
        <v>76252944.450000003</v>
      </c>
      <c r="P257" s="7">
        <v>-8089199.4500000002</v>
      </c>
      <c r="Q257" s="7">
        <f t="shared" si="138"/>
        <v>68163745</v>
      </c>
    </row>
    <row r="258" spans="1:17">
      <c r="A258" s="6" t="s">
        <v>69</v>
      </c>
      <c r="B258" s="6" t="s">
        <v>27</v>
      </c>
      <c r="C258" s="6" t="s">
        <v>0</v>
      </c>
      <c r="D258" s="6" t="s">
        <v>0</v>
      </c>
      <c r="E258" s="6" t="s">
        <v>0</v>
      </c>
      <c r="F258" s="6" t="s">
        <v>0</v>
      </c>
      <c r="G258" s="6" t="s">
        <v>0</v>
      </c>
      <c r="H258" s="7">
        <v>215.91</v>
      </c>
      <c r="I258" s="7">
        <v>8089415.3600000003</v>
      </c>
      <c r="J258" s="7">
        <v>8089179.4500000002</v>
      </c>
      <c r="K258" s="7">
        <f t="shared" si="150"/>
        <v>8089395.3600000003</v>
      </c>
      <c r="L258" s="7"/>
      <c r="M258" s="7"/>
      <c r="N258" s="7">
        <f t="shared" si="136"/>
        <v>0</v>
      </c>
      <c r="O258" s="7">
        <v>215.91</v>
      </c>
      <c r="P258" s="7">
        <v>8089179.4500000002</v>
      </c>
      <c r="Q258" s="7">
        <f t="shared" si="138"/>
        <v>8089395.3600000003</v>
      </c>
    </row>
    <row r="259" spans="1:17">
      <c r="A259" s="19" t="s">
        <v>122</v>
      </c>
      <c r="B259" s="19"/>
      <c r="C259" s="19"/>
      <c r="D259" s="19"/>
      <c r="E259" s="19"/>
      <c r="F259" s="19"/>
      <c r="G259" s="9"/>
      <c r="H259" s="7">
        <f>H260+H261</f>
        <v>222222222</v>
      </c>
      <c r="I259" s="7">
        <f t="shared" ref="I259" si="160">I260+I261</f>
        <v>222222222</v>
      </c>
      <c r="J259" s="7"/>
      <c r="K259" s="7">
        <f t="shared" si="150"/>
        <v>222222222</v>
      </c>
      <c r="L259" s="7">
        <f t="shared" ref="L259" si="161">L260+L261</f>
        <v>200000000</v>
      </c>
      <c r="M259" s="7"/>
      <c r="N259" s="7">
        <f t="shared" si="136"/>
        <v>200000000</v>
      </c>
      <c r="O259" s="7">
        <f t="shared" ref="O259" si="162">O260+O261</f>
        <v>22222222</v>
      </c>
      <c r="P259" s="7"/>
      <c r="Q259" s="7">
        <f t="shared" si="138"/>
        <v>22222222</v>
      </c>
    </row>
    <row r="260" spans="1:17">
      <c r="A260" s="19" t="s">
        <v>21</v>
      </c>
      <c r="B260" s="19"/>
      <c r="C260" s="19"/>
      <c r="D260" s="19"/>
      <c r="E260" s="19"/>
      <c r="F260" s="19"/>
      <c r="G260" s="9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1:17">
      <c r="A261" s="19" t="s">
        <v>22</v>
      </c>
      <c r="B261" s="19"/>
      <c r="C261" s="19"/>
      <c r="D261" s="19"/>
      <c r="E261" s="19"/>
      <c r="F261" s="19"/>
      <c r="G261" s="9"/>
      <c r="H261" s="7">
        <f>H264</f>
        <v>222222222</v>
      </c>
      <c r="I261" s="7">
        <f t="shared" ref="I261" si="163">I264</f>
        <v>222222222</v>
      </c>
      <c r="J261" s="7"/>
      <c r="K261" s="7">
        <f t="shared" si="150"/>
        <v>222222222</v>
      </c>
      <c r="L261" s="7">
        <f t="shared" ref="L261" si="164">L264</f>
        <v>200000000</v>
      </c>
      <c r="M261" s="7"/>
      <c r="N261" s="7">
        <f t="shared" si="136"/>
        <v>200000000</v>
      </c>
      <c r="O261" s="7">
        <f t="shared" ref="O261" si="165">O264</f>
        <v>22222222</v>
      </c>
      <c r="P261" s="7"/>
      <c r="Q261" s="7">
        <f t="shared" si="138"/>
        <v>22222222</v>
      </c>
    </row>
    <row r="262" spans="1:17">
      <c r="A262" s="19" t="s">
        <v>0</v>
      </c>
      <c r="B262" s="19"/>
      <c r="C262" s="19"/>
      <c r="D262" s="19"/>
      <c r="E262" s="19"/>
      <c r="F262" s="19"/>
      <c r="G262" s="9"/>
      <c r="H262" s="7">
        <f>H263</f>
        <v>222222222</v>
      </c>
      <c r="I262" s="7">
        <f t="shared" ref="I262:I263" si="166">I263</f>
        <v>222222222</v>
      </c>
      <c r="J262" s="7"/>
      <c r="K262" s="7">
        <f t="shared" si="150"/>
        <v>222222222</v>
      </c>
      <c r="L262" s="7">
        <f t="shared" ref="L262:L263" si="167">L263</f>
        <v>200000000</v>
      </c>
      <c r="M262" s="7"/>
      <c r="N262" s="7">
        <f t="shared" si="136"/>
        <v>200000000</v>
      </c>
      <c r="O262" s="7">
        <f t="shared" ref="O262:O263" si="168">O263</f>
        <v>22222222</v>
      </c>
      <c r="P262" s="7"/>
      <c r="Q262" s="7">
        <f t="shared" si="138"/>
        <v>22222222</v>
      </c>
    </row>
    <row r="263" spans="1:17">
      <c r="A263" s="14" t="s">
        <v>123</v>
      </c>
      <c r="B263" s="14"/>
      <c r="C263" s="14"/>
      <c r="D263" s="14"/>
      <c r="E263" s="14"/>
      <c r="F263" s="14"/>
      <c r="G263" s="11"/>
      <c r="H263" s="5">
        <f>H264</f>
        <v>222222222</v>
      </c>
      <c r="I263" s="5">
        <f t="shared" si="166"/>
        <v>222222222</v>
      </c>
      <c r="J263" s="7"/>
      <c r="K263" s="5">
        <f t="shared" si="150"/>
        <v>222222222</v>
      </c>
      <c r="L263" s="5">
        <f t="shared" si="167"/>
        <v>200000000</v>
      </c>
      <c r="M263" s="7"/>
      <c r="N263" s="5">
        <f t="shared" si="136"/>
        <v>200000000</v>
      </c>
      <c r="O263" s="5">
        <f t="shared" si="168"/>
        <v>22222222</v>
      </c>
      <c r="P263" s="7"/>
      <c r="Q263" s="5">
        <f t="shared" si="138"/>
        <v>22222222</v>
      </c>
    </row>
    <row r="264" spans="1:17" ht="63">
      <c r="A264" s="6" t="s">
        <v>283</v>
      </c>
      <c r="B264" s="4" t="s">
        <v>27</v>
      </c>
      <c r="C264" s="4" t="s">
        <v>125</v>
      </c>
      <c r="D264" s="8" t="s">
        <v>284</v>
      </c>
      <c r="E264" s="8" t="s">
        <v>277</v>
      </c>
      <c r="F264" s="8" t="s">
        <v>285</v>
      </c>
      <c r="G264" s="8"/>
      <c r="H264" s="7">
        <v>222222222</v>
      </c>
      <c r="I264" s="7">
        <v>222222222</v>
      </c>
      <c r="J264" s="7"/>
      <c r="K264" s="7">
        <f t="shared" si="150"/>
        <v>222222222</v>
      </c>
      <c r="L264" s="7">
        <v>200000000</v>
      </c>
      <c r="M264" s="7"/>
      <c r="N264" s="7">
        <f t="shared" si="136"/>
        <v>200000000</v>
      </c>
      <c r="O264" s="7">
        <v>22222222</v>
      </c>
      <c r="P264" s="7"/>
      <c r="Q264" s="7">
        <f t="shared" si="138"/>
        <v>22222222</v>
      </c>
    </row>
    <row r="265" spans="1:17" ht="20.25" customHeight="1">
      <c r="A265" s="19" t="s">
        <v>128</v>
      </c>
      <c r="B265" s="19"/>
      <c r="C265" s="19"/>
      <c r="D265" s="19"/>
      <c r="E265" s="19"/>
      <c r="F265" s="19"/>
      <c r="G265" s="9"/>
      <c r="H265" s="7">
        <f>H266+H267</f>
        <v>549549160</v>
      </c>
      <c r="I265" s="7">
        <f t="shared" ref="I265" si="169">I266+I267</f>
        <v>153051760</v>
      </c>
      <c r="J265" s="7"/>
      <c r="K265" s="7">
        <f t="shared" si="150"/>
        <v>549549160</v>
      </c>
      <c r="L265" s="7">
        <f t="shared" ref="L265" si="170">L266+L267</f>
        <v>446130100</v>
      </c>
      <c r="M265" s="7"/>
      <c r="N265" s="7">
        <f t="shared" si="136"/>
        <v>446130100</v>
      </c>
      <c r="O265" s="7">
        <f t="shared" ref="O265" si="171">O266+O267</f>
        <v>103419060</v>
      </c>
      <c r="P265" s="7"/>
      <c r="Q265" s="7">
        <f t="shared" si="138"/>
        <v>103419060</v>
      </c>
    </row>
    <row r="266" spans="1:17">
      <c r="A266" s="19" t="s">
        <v>21</v>
      </c>
      <c r="B266" s="19"/>
      <c r="C266" s="19"/>
      <c r="D266" s="19"/>
      <c r="E266" s="19"/>
      <c r="F266" s="19"/>
      <c r="G266" s="9"/>
      <c r="H266" s="7"/>
      <c r="I266" s="7">
        <f t="shared" ref="I266:J266" si="172">I272</f>
        <v>50646646.880000003</v>
      </c>
      <c r="J266" s="7">
        <f t="shared" si="172"/>
        <v>50646646.880000003</v>
      </c>
      <c r="K266" s="7">
        <f t="shared" si="150"/>
        <v>50646646.880000003</v>
      </c>
      <c r="L266" s="7"/>
      <c r="M266" s="7">
        <f t="shared" ref="M266" si="173">M272</f>
        <v>49632700</v>
      </c>
      <c r="N266" s="7">
        <f t="shared" si="136"/>
        <v>49632700</v>
      </c>
      <c r="O266" s="7"/>
      <c r="P266" s="7">
        <f t="shared" ref="P266" si="174">P272</f>
        <v>1013946.88</v>
      </c>
      <c r="Q266" s="7">
        <f t="shared" si="138"/>
        <v>1013946.88</v>
      </c>
    </row>
    <row r="267" spans="1:17">
      <c r="A267" s="19" t="s">
        <v>22</v>
      </c>
      <c r="B267" s="19"/>
      <c r="C267" s="19"/>
      <c r="D267" s="19"/>
      <c r="E267" s="19"/>
      <c r="F267" s="19"/>
      <c r="G267" s="9"/>
      <c r="H267" s="7">
        <f>H270+H273+H274+H275</f>
        <v>549549160</v>
      </c>
      <c r="I267" s="7">
        <f t="shared" ref="I267:J267" si="175">I270+I273+I274+I275</f>
        <v>102405113.12</v>
      </c>
      <c r="J267" s="7">
        <f t="shared" si="175"/>
        <v>-50646646.880000003</v>
      </c>
      <c r="K267" s="7">
        <f>H267+J267</f>
        <v>498902513.12</v>
      </c>
      <c r="L267" s="7">
        <f t="shared" ref="L267:M267" si="176">L270+L273+L274+L275</f>
        <v>446130100</v>
      </c>
      <c r="M267" s="7">
        <f t="shared" si="176"/>
        <v>-49632700</v>
      </c>
      <c r="N267" s="7">
        <f t="shared" si="136"/>
        <v>396497400</v>
      </c>
      <c r="O267" s="7">
        <f t="shared" ref="O267:P267" si="177">O270+O273+O274+O275</f>
        <v>103419060</v>
      </c>
      <c r="P267" s="7">
        <f t="shared" si="177"/>
        <v>-1013946.88</v>
      </c>
      <c r="Q267" s="7">
        <f t="shared" si="138"/>
        <v>102405113.12</v>
      </c>
    </row>
    <row r="268" spans="1:17" ht="21.75" customHeight="1">
      <c r="A268" s="19" t="s">
        <v>129</v>
      </c>
      <c r="B268" s="19"/>
      <c r="C268" s="19"/>
      <c r="D268" s="19"/>
      <c r="E268" s="19"/>
      <c r="F268" s="19"/>
      <c r="G268" s="9"/>
      <c r="H268" s="7">
        <f>H269+H275</f>
        <v>549549160</v>
      </c>
      <c r="I268" s="7">
        <f t="shared" ref="I268" si="178">I269+I275</f>
        <v>153051760</v>
      </c>
      <c r="J268" s="7"/>
      <c r="K268" s="7">
        <f t="shared" si="150"/>
        <v>549549160</v>
      </c>
      <c r="L268" s="7">
        <f t="shared" ref="L268" si="179">L269+L275</f>
        <v>446130100</v>
      </c>
      <c r="M268" s="7"/>
      <c r="N268" s="7">
        <f t="shared" si="136"/>
        <v>446130100</v>
      </c>
      <c r="O268" s="7">
        <f t="shared" ref="O268" si="180">O269+O275</f>
        <v>103419060</v>
      </c>
      <c r="P268" s="7"/>
      <c r="Q268" s="7">
        <f t="shared" si="138"/>
        <v>103419060</v>
      </c>
    </row>
    <row r="269" spans="1:17">
      <c r="A269" s="14" t="s">
        <v>25</v>
      </c>
      <c r="B269" s="14"/>
      <c r="C269" s="14"/>
      <c r="D269" s="14"/>
      <c r="E269" s="14"/>
      <c r="F269" s="14"/>
      <c r="G269" s="11"/>
      <c r="H269" s="5">
        <f>H270+H271+H274</f>
        <v>519284660</v>
      </c>
      <c r="I269" s="5">
        <f t="shared" ref="I269" si="181">I270+I271+I274</f>
        <v>122787260</v>
      </c>
      <c r="J269" s="5"/>
      <c r="K269" s="5">
        <f t="shared" si="150"/>
        <v>519284660</v>
      </c>
      <c r="L269" s="5">
        <f t="shared" ref="L269" si="182">L270+L271+L274</f>
        <v>446130100</v>
      </c>
      <c r="M269" s="5"/>
      <c r="N269" s="5">
        <f t="shared" si="136"/>
        <v>446130100</v>
      </c>
      <c r="O269" s="5">
        <f t="shared" ref="O269" si="183">O270+O271+O274</f>
        <v>73154560</v>
      </c>
      <c r="P269" s="5"/>
      <c r="Q269" s="5">
        <f t="shared" si="138"/>
        <v>73154560</v>
      </c>
    </row>
    <row r="270" spans="1:17" ht="147">
      <c r="A270" s="6" t="s">
        <v>286</v>
      </c>
      <c r="B270" s="4" t="s">
        <v>27</v>
      </c>
      <c r="C270" s="4" t="s">
        <v>27</v>
      </c>
      <c r="D270" s="8" t="s">
        <v>287</v>
      </c>
      <c r="E270" s="8" t="s">
        <v>96</v>
      </c>
      <c r="F270" s="8" t="s">
        <v>46</v>
      </c>
      <c r="G270" s="8"/>
      <c r="H270" s="7">
        <v>11429710</v>
      </c>
      <c r="I270" s="7">
        <v>11429710</v>
      </c>
      <c r="J270" s="7"/>
      <c r="K270" s="7">
        <f>H270+J270</f>
        <v>11429710</v>
      </c>
      <c r="L270" s="7"/>
      <c r="M270" s="7"/>
      <c r="N270" s="7">
        <f t="shared" si="136"/>
        <v>0</v>
      </c>
      <c r="O270" s="7">
        <v>11429710</v>
      </c>
      <c r="P270" s="7"/>
      <c r="Q270" s="7">
        <f t="shared" si="138"/>
        <v>11429710</v>
      </c>
    </row>
    <row r="271" spans="1:17" ht="63">
      <c r="A271" s="6" t="s">
        <v>139</v>
      </c>
      <c r="B271" s="4" t="s">
        <v>27</v>
      </c>
      <c r="C271" s="4" t="s">
        <v>27</v>
      </c>
      <c r="D271" s="8" t="s">
        <v>140</v>
      </c>
      <c r="E271" s="8" t="s">
        <v>96</v>
      </c>
      <c r="F271" s="8" t="s">
        <v>46</v>
      </c>
      <c r="G271" s="8"/>
      <c r="H271" s="7">
        <v>67302250</v>
      </c>
      <c r="I271" s="7">
        <f>I272+I273</f>
        <v>67302250</v>
      </c>
      <c r="J271" s="7"/>
      <c r="K271" s="7">
        <f t="shared" si="150"/>
        <v>67302250</v>
      </c>
      <c r="L271" s="7">
        <v>49632700</v>
      </c>
      <c r="M271" s="7"/>
      <c r="N271" s="7">
        <f t="shared" si="136"/>
        <v>49632700</v>
      </c>
      <c r="O271" s="7">
        <v>17669550</v>
      </c>
      <c r="P271" s="7"/>
      <c r="Q271" s="7">
        <f t="shared" si="138"/>
        <v>17669550</v>
      </c>
    </row>
    <row r="272" spans="1:17">
      <c r="A272" s="6" t="s">
        <v>141</v>
      </c>
      <c r="B272" s="6" t="s">
        <v>142</v>
      </c>
      <c r="C272" s="6" t="s">
        <v>0</v>
      </c>
      <c r="D272" s="6" t="s">
        <v>0</v>
      </c>
      <c r="E272" s="6" t="s">
        <v>0</v>
      </c>
      <c r="F272" s="6" t="s">
        <v>0</v>
      </c>
      <c r="G272" s="6" t="s">
        <v>0</v>
      </c>
      <c r="H272" s="7"/>
      <c r="I272" s="7">
        <f>49632700+1013946.88</f>
        <v>50646646.880000003</v>
      </c>
      <c r="J272" s="7">
        <v>50646646.880000003</v>
      </c>
      <c r="K272" s="7">
        <f t="shared" si="150"/>
        <v>50646646.880000003</v>
      </c>
      <c r="L272" s="7"/>
      <c r="M272" s="7">
        <v>49632700</v>
      </c>
      <c r="N272" s="7">
        <f t="shared" si="136"/>
        <v>49632700</v>
      </c>
      <c r="O272" s="7"/>
      <c r="P272" s="7">
        <v>1013946.88</v>
      </c>
      <c r="Q272" s="7">
        <f t="shared" si="138"/>
        <v>1013946.88</v>
      </c>
    </row>
    <row r="273" spans="1:17">
      <c r="A273" s="6" t="s">
        <v>69</v>
      </c>
      <c r="B273" s="6" t="s">
        <v>27</v>
      </c>
      <c r="C273" s="6" t="s">
        <v>0</v>
      </c>
      <c r="D273" s="6" t="s">
        <v>0</v>
      </c>
      <c r="E273" s="6" t="s">
        <v>0</v>
      </c>
      <c r="F273" s="6" t="s">
        <v>0</v>
      </c>
      <c r="G273" s="6" t="s">
        <v>0</v>
      </c>
      <c r="H273" s="7">
        <v>67302250</v>
      </c>
      <c r="I273" s="7">
        <v>16655603.119999999</v>
      </c>
      <c r="J273" s="7">
        <v>-50646646.880000003</v>
      </c>
      <c r="K273" s="7">
        <f t="shared" si="150"/>
        <v>16655603.119999997</v>
      </c>
      <c r="L273" s="7">
        <v>49632700</v>
      </c>
      <c r="M273" s="7">
        <v>-49632700</v>
      </c>
      <c r="N273" s="7"/>
      <c r="O273" s="7">
        <v>17669550</v>
      </c>
      <c r="P273" s="7">
        <v>-1013946.88</v>
      </c>
      <c r="Q273" s="7">
        <f t="shared" si="138"/>
        <v>16655603.119999999</v>
      </c>
    </row>
    <row r="274" spans="1:17" ht="63">
      <c r="A274" s="6" t="s">
        <v>288</v>
      </c>
      <c r="B274" s="4" t="s">
        <v>27</v>
      </c>
      <c r="C274" s="4" t="s">
        <v>27</v>
      </c>
      <c r="D274" s="8" t="s">
        <v>289</v>
      </c>
      <c r="E274" s="8" t="s">
        <v>96</v>
      </c>
      <c r="F274" s="8" t="s">
        <v>49</v>
      </c>
      <c r="G274" s="8"/>
      <c r="H274" s="7">
        <v>440552700</v>
      </c>
      <c r="I274" s="7">
        <v>44055300</v>
      </c>
      <c r="J274" s="7"/>
      <c r="K274" s="7">
        <f>H274+J274</f>
        <v>440552700</v>
      </c>
      <c r="L274" s="7">
        <v>396497400</v>
      </c>
      <c r="M274" s="7"/>
      <c r="N274" s="7">
        <f t="shared" si="136"/>
        <v>396497400</v>
      </c>
      <c r="O274" s="7">
        <v>44055300</v>
      </c>
      <c r="P274" s="7"/>
      <c r="Q274" s="7">
        <f>O274+P274</f>
        <v>44055300</v>
      </c>
    </row>
    <row r="275" spans="1:17">
      <c r="A275" s="14" t="s">
        <v>144</v>
      </c>
      <c r="B275" s="14"/>
      <c r="C275" s="14"/>
      <c r="D275" s="14"/>
      <c r="E275" s="14"/>
      <c r="F275" s="14"/>
      <c r="G275" s="11"/>
      <c r="H275" s="5">
        <f>SUM(H276:H289)</f>
        <v>30264500</v>
      </c>
      <c r="I275" s="5">
        <f>SUM(I276:I289)</f>
        <v>30264500</v>
      </c>
      <c r="J275" s="5"/>
      <c r="K275" s="5">
        <f>H275+J275</f>
        <v>30264500</v>
      </c>
      <c r="L275" s="5"/>
      <c r="M275" s="5"/>
      <c r="N275" s="5"/>
      <c r="O275" s="5">
        <v>30264500</v>
      </c>
      <c r="P275" s="5"/>
      <c r="Q275" s="5">
        <f t="shared" si="138"/>
        <v>30264500</v>
      </c>
    </row>
    <row r="276" spans="1:17" ht="105">
      <c r="A276" s="6" t="s">
        <v>145</v>
      </c>
      <c r="B276" s="4" t="s">
        <v>27</v>
      </c>
      <c r="C276" s="4" t="s">
        <v>27</v>
      </c>
      <c r="D276" s="8" t="s">
        <v>27</v>
      </c>
      <c r="E276" s="8" t="s">
        <v>290</v>
      </c>
      <c r="F276" s="8" t="s">
        <v>49</v>
      </c>
      <c r="G276" s="8"/>
      <c r="H276" s="7">
        <v>1517250</v>
      </c>
      <c r="I276" s="7">
        <v>1517250</v>
      </c>
      <c r="J276" s="7"/>
      <c r="K276" s="7">
        <f>H276+J276</f>
        <v>1517250</v>
      </c>
      <c r="L276" s="7"/>
      <c r="M276" s="7"/>
      <c r="N276" s="7"/>
      <c r="O276" s="7">
        <v>1517250</v>
      </c>
      <c r="P276" s="7"/>
      <c r="Q276" s="7">
        <f t="shared" si="138"/>
        <v>1517250</v>
      </c>
    </row>
    <row r="277" spans="1:17" ht="105">
      <c r="A277" s="6" t="s">
        <v>145</v>
      </c>
      <c r="B277" s="4" t="s">
        <v>27</v>
      </c>
      <c r="C277" s="4" t="s">
        <v>27</v>
      </c>
      <c r="D277" s="8" t="s">
        <v>27</v>
      </c>
      <c r="E277" s="8" t="s">
        <v>291</v>
      </c>
      <c r="F277" s="8" t="s">
        <v>49</v>
      </c>
      <c r="G277" s="8"/>
      <c r="H277" s="7">
        <v>1924500</v>
      </c>
      <c r="I277" s="7">
        <v>1924500</v>
      </c>
      <c r="J277" s="7"/>
      <c r="K277" s="7">
        <f t="shared" si="150"/>
        <v>1924500</v>
      </c>
      <c r="L277" s="7"/>
      <c r="M277" s="7"/>
      <c r="N277" s="7"/>
      <c r="O277" s="7">
        <v>1924500</v>
      </c>
      <c r="P277" s="7"/>
      <c r="Q277" s="7">
        <f t="shared" si="138"/>
        <v>1924500</v>
      </c>
    </row>
    <row r="278" spans="1:17" ht="115.5">
      <c r="A278" s="6" t="s">
        <v>145</v>
      </c>
      <c r="B278" s="4" t="s">
        <v>27</v>
      </c>
      <c r="C278" s="4" t="s">
        <v>27</v>
      </c>
      <c r="D278" s="8" t="s">
        <v>27</v>
      </c>
      <c r="E278" s="8" t="s">
        <v>292</v>
      </c>
      <c r="F278" s="8" t="s">
        <v>49</v>
      </c>
      <c r="G278" s="8"/>
      <c r="H278" s="7">
        <v>1924500</v>
      </c>
      <c r="I278" s="7">
        <v>1924500</v>
      </c>
      <c r="J278" s="7"/>
      <c r="K278" s="7">
        <f t="shared" si="150"/>
        <v>1924500</v>
      </c>
      <c r="L278" s="7"/>
      <c r="M278" s="7"/>
      <c r="N278" s="7"/>
      <c r="O278" s="7">
        <v>1924500</v>
      </c>
      <c r="P278" s="7"/>
      <c r="Q278" s="7">
        <f t="shared" si="138"/>
        <v>1924500</v>
      </c>
    </row>
    <row r="279" spans="1:17" ht="105">
      <c r="A279" s="6" t="s">
        <v>145</v>
      </c>
      <c r="B279" s="4" t="s">
        <v>27</v>
      </c>
      <c r="C279" s="4" t="s">
        <v>27</v>
      </c>
      <c r="D279" s="8" t="s">
        <v>27</v>
      </c>
      <c r="E279" s="8" t="s">
        <v>149</v>
      </c>
      <c r="F279" s="8" t="s">
        <v>49</v>
      </c>
      <c r="G279" s="8"/>
      <c r="H279" s="7">
        <v>4770000</v>
      </c>
      <c r="I279" s="7">
        <v>4770000</v>
      </c>
      <c r="J279" s="7"/>
      <c r="K279" s="7">
        <f t="shared" si="150"/>
        <v>4770000</v>
      </c>
      <c r="L279" s="7"/>
      <c r="M279" s="7"/>
      <c r="N279" s="7"/>
      <c r="O279" s="7">
        <v>4770000</v>
      </c>
      <c r="P279" s="7"/>
      <c r="Q279" s="7">
        <f t="shared" si="138"/>
        <v>4770000</v>
      </c>
    </row>
    <row r="280" spans="1:17" ht="115.5">
      <c r="A280" s="6" t="s">
        <v>145</v>
      </c>
      <c r="B280" s="4" t="s">
        <v>27</v>
      </c>
      <c r="C280" s="4" t="s">
        <v>27</v>
      </c>
      <c r="D280" s="8" t="s">
        <v>27</v>
      </c>
      <c r="E280" s="8" t="s">
        <v>151</v>
      </c>
      <c r="F280" s="8" t="s">
        <v>49</v>
      </c>
      <c r="G280" s="8"/>
      <c r="H280" s="7">
        <v>1330000</v>
      </c>
      <c r="I280" s="7">
        <v>1330000</v>
      </c>
      <c r="J280" s="7"/>
      <c r="K280" s="7">
        <f t="shared" si="150"/>
        <v>1330000</v>
      </c>
      <c r="L280" s="7"/>
      <c r="M280" s="7"/>
      <c r="N280" s="7"/>
      <c r="O280" s="7">
        <v>1330000</v>
      </c>
      <c r="P280" s="7"/>
      <c r="Q280" s="7">
        <f t="shared" si="138"/>
        <v>1330000</v>
      </c>
    </row>
    <row r="281" spans="1:17" ht="94.5">
      <c r="A281" s="6" t="s">
        <v>145</v>
      </c>
      <c r="B281" s="4" t="s">
        <v>27</v>
      </c>
      <c r="C281" s="4" t="s">
        <v>27</v>
      </c>
      <c r="D281" s="8" t="s">
        <v>27</v>
      </c>
      <c r="E281" s="8" t="s">
        <v>293</v>
      </c>
      <c r="F281" s="8" t="s">
        <v>49</v>
      </c>
      <c r="G281" s="8"/>
      <c r="H281" s="7">
        <v>1517250</v>
      </c>
      <c r="I281" s="7">
        <v>1517250</v>
      </c>
      <c r="J281" s="7"/>
      <c r="K281" s="7">
        <f t="shared" si="150"/>
        <v>1517250</v>
      </c>
      <c r="L281" s="7"/>
      <c r="M281" s="7"/>
      <c r="N281" s="7"/>
      <c r="O281" s="7">
        <v>1517250</v>
      </c>
      <c r="P281" s="7"/>
      <c r="Q281" s="7">
        <f t="shared" si="138"/>
        <v>1517250</v>
      </c>
    </row>
    <row r="282" spans="1:17" ht="105">
      <c r="A282" s="6" t="s">
        <v>145</v>
      </c>
      <c r="B282" s="4" t="s">
        <v>27</v>
      </c>
      <c r="C282" s="4" t="s">
        <v>27</v>
      </c>
      <c r="D282" s="8" t="s">
        <v>27</v>
      </c>
      <c r="E282" s="8" t="s">
        <v>294</v>
      </c>
      <c r="F282" s="8" t="s">
        <v>49</v>
      </c>
      <c r="G282" s="8"/>
      <c r="H282" s="7">
        <v>2700000</v>
      </c>
      <c r="I282" s="7">
        <v>2700000</v>
      </c>
      <c r="J282" s="7"/>
      <c r="K282" s="7">
        <f t="shared" si="150"/>
        <v>2700000</v>
      </c>
      <c r="L282" s="7"/>
      <c r="M282" s="7"/>
      <c r="N282" s="7"/>
      <c r="O282" s="7">
        <v>2700000</v>
      </c>
      <c r="P282" s="7"/>
      <c r="Q282" s="7">
        <f t="shared" si="138"/>
        <v>2700000</v>
      </c>
    </row>
    <row r="283" spans="1:17" ht="105">
      <c r="A283" s="6" t="s">
        <v>145</v>
      </c>
      <c r="B283" s="4" t="s">
        <v>27</v>
      </c>
      <c r="C283" s="4" t="s">
        <v>27</v>
      </c>
      <c r="D283" s="8" t="s">
        <v>27</v>
      </c>
      <c r="E283" s="8" t="s">
        <v>153</v>
      </c>
      <c r="F283" s="8" t="s">
        <v>49</v>
      </c>
      <c r="G283" s="8"/>
      <c r="H283" s="7">
        <v>1312000</v>
      </c>
      <c r="I283" s="7">
        <v>1312000</v>
      </c>
      <c r="J283" s="7"/>
      <c r="K283" s="7">
        <f t="shared" si="150"/>
        <v>1312000</v>
      </c>
      <c r="L283" s="7"/>
      <c r="M283" s="7"/>
      <c r="N283" s="7"/>
      <c r="O283" s="7">
        <v>1312000</v>
      </c>
      <c r="P283" s="7"/>
      <c r="Q283" s="7">
        <f t="shared" si="138"/>
        <v>1312000</v>
      </c>
    </row>
    <row r="284" spans="1:17" ht="105">
      <c r="A284" s="6" t="s">
        <v>145</v>
      </c>
      <c r="B284" s="4" t="s">
        <v>27</v>
      </c>
      <c r="C284" s="4" t="s">
        <v>27</v>
      </c>
      <c r="D284" s="8" t="s">
        <v>27</v>
      </c>
      <c r="E284" s="8" t="s">
        <v>154</v>
      </c>
      <c r="F284" s="8" t="s">
        <v>49</v>
      </c>
      <c r="G284" s="8"/>
      <c r="H284" s="7">
        <v>2854000</v>
      </c>
      <c r="I284" s="7">
        <v>2854000</v>
      </c>
      <c r="J284" s="7"/>
      <c r="K284" s="7">
        <f t="shared" si="150"/>
        <v>2854000</v>
      </c>
      <c r="L284" s="7"/>
      <c r="M284" s="7"/>
      <c r="N284" s="7"/>
      <c r="O284" s="7">
        <v>2854000</v>
      </c>
      <c r="P284" s="7"/>
      <c r="Q284" s="7">
        <f t="shared" si="138"/>
        <v>2854000</v>
      </c>
    </row>
    <row r="285" spans="1:17" ht="105">
      <c r="A285" s="6" t="s">
        <v>145</v>
      </c>
      <c r="B285" s="4" t="s">
        <v>27</v>
      </c>
      <c r="C285" s="4" t="s">
        <v>27</v>
      </c>
      <c r="D285" s="8" t="s">
        <v>27</v>
      </c>
      <c r="E285" s="8" t="s">
        <v>155</v>
      </c>
      <c r="F285" s="8" t="s">
        <v>49</v>
      </c>
      <c r="G285" s="8"/>
      <c r="H285" s="7">
        <v>1700000</v>
      </c>
      <c r="I285" s="7">
        <v>1700000</v>
      </c>
      <c r="J285" s="7"/>
      <c r="K285" s="7">
        <f t="shared" si="150"/>
        <v>1700000</v>
      </c>
      <c r="L285" s="7"/>
      <c r="M285" s="7"/>
      <c r="N285" s="7"/>
      <c r="O285" s="7">
        <v>1700000</v>
      </c>
      <c r="P285" s="7"/>
      <c r="Q285" s="7">
        <f t="shared" si="138"/>
        <v>1700000</v>
      </c>
    </row>
    <row r="286" spans="1:17" ht="126">
      <c r="A286" s="6" t="s">
        <v>145</v>
      </c>
      <c r="B286" s="4" t="s">
        <v>27</v>
      </c>
      <c r="C286" s="4" t="s">
        <v>27</v>
      </c>
      <c r="D286" s="8" t="s">
        <v>27</v>
      </c>
      <c r="E286" s="8" t="s">
        <v>295</v>
      </c>
      <c r="F286" s="8" t="s">
        <v>49</v>
      </c>
      <c r="G286" s="8"/>
      <c r="H286" s="7">
        <v>2450000</v>
      </c>
      <c r="I286" s="7">
        <v>2450000</v>
      </c>
      <c r="J286" s="7"/>
      <c r="K286" s="7">
        <f t="shared" si="150"/>
        <v>2450000</v>
      </c>
      <c r="L286" s="7"/>
      <c r="M286" s="7"/>
      <c r="N286" s="7"/>
      <c r="O286" s="7">
        <v>2450000</v>
      </c>
      <c r="P286" s="7"/>
      <c r="Q286" s="7">
        <f t="shared" si="138"/>
        <v>2450000</v>
      </c>
    </row>
    <row r="287" spans="1:17" ht="105">
      <c r="A287" s="6" t="s">
        <v>145</v>
      </c>
      <c r="B287" s="4" t="s">
        <v>27</v>
      </c>
      <c r="C287" s="4" t="s">
        <v>27</v>
      </c>
      <c r="D287" s="8" t="s">
        <v>27</v>
      </c>
      <c r="E287" s="8" t="s">
        <v>296</v>
      </c>
      <c r="F287" s="8" t="s">
        <v>49</v>
      </c>
      <c r="G287" s="8"/>
      <c r="H287" s="7">
        <v>2450000</v>
      </c>
      <c r="I287" s="7">
        <v>2450000</v>
      </c>
      <c r="J287" s="7"/>
      <c r="K287" s="7">
        <f t="shared" si="150"/>
        <v>2450000</v>
      </c>
      <c r="L287" s="7"/>
      <c r="M287" s="7"/>
      <c r="N287" s="7"/>
      <c r="O287" s="7">
        <v>2450000</v>
      </c>
      <c r="P287" s="7"/>
      <c r="Q287" s="7">
        <f t="shared" si="138"/>
        <v>2450000</v>
      </c>
    </row>
    <row r="288" spans="1:17" ht="105">
      <c r="A288" s="6" t="s">
        <v>145</v>
      </c>
      <c r="B288" s="4" t="s">
        <v>27</v>
      </c>
      <c r="C288" s="4" t="s">
        <v>27</v>
      </c>
      <c r="D288" s="8" t="s">
        <v>27</v>
      </c>
      <c r="E288" s="8" t="s">
        <v>158</v>
      </c>
      <c r="F288" s="8" t="s">
        <v>49</v>
      </c>
      <c r="G288" s="8"/>
      <c r="H288" s="7">
        <v>1700000</v>
      </c>
      <c r="I288" s="7">
        <v>1700000</v>
      </c>
      <c r="J288" s="7"/>
      <c r="K288" s="7">
        <f t="shared" si="150"/>
        <v>1700000</v>
      </c>
      <c r="L288" s="7"/>
      <c r="M288" s="7"/>
      <c r="N288" s="7"/>
      <c r="O288" s="7">
        <v>1700000</v>
      </c>
      <c r="P288" s="7"/>
      <c r="Q288" s="7">
        <f t="shared" si="138"/>
        <v>1700000</v>
      </c>
    </row>
    <row r="289" spans="1:17" ht="105">
      <c r="A289" s="6" t="s">
        <v>145</v>
      </c>
      <c r="B289" s="4" t="s">
        <v>27</v>
      </c>
      <c r="C289" s="4" t="s">
        <v>27</v>
      </c>
      <c r="D289" s="8" t="s">
        <v>27</v>
      </c>
      <c r="E289" s="8" t="s">
        <v>297</v>
      </c>
      <c r="F289" s="8" t="s">
        <v>49</v>
      </c>
      <c r="G289" s="8"/>
      <c r="H289" s="7">
        <v>2115000</v>
      </c>
      <c r="I289" s="7">
        <v>2115000</v>
      </c>
      <c r="J289" s="7"/>
      <c r="K289" s="7">
        <f t="shared" si="150"/>
        <v>2115000</v>
      </c>
      <c r="L289" s="7"/>
      <c r="M289" s="7"/>
      <c r="N289" s="7"/>
      <c r="O289" s="7">
        <v>2115000</v>
      </c>
      <c r="P289" s="7"/>
      <c r="Q289" s="7">
        <f t="shared" si="138"/>
        <v>2115000</v>
      </c>
    </row>
    <row r="290" spans="1:17" ht="34.5" customHeight="1">
      <c r="A290" s="19" t="s">
        <v>178</v>
      </c>
      <c r="B290" s="19"/>
      <c r="C290" s="19"/>
      <c r="D290" s="19"/>
      <c r="E290" s="19"/>
      <c r="F290" s="19"/>
      <c r="G290" s="9"/>
      <c r="H290" s="7">
        <f>H292</f>
        <v>10000000</v>
      </c>
      <c r="I290" s="7">
        <f t="shared" ref="I290" si="184">I292</f>
        <v>10000000</v>
      </c>
      <c r="J290" s="7"/>
      <c r="K290" s="7">
        <f t="shared" si="150"/>
        <v>10000000</v>
      </c>
      <c r="L290" s="7"/>
      <c r="M290" s="7"/>
      <c r="N290" s="7"/>
      <c r="O290" s="7">
        <f t="shared" ref="O290" si="185">O292</f>
        <v>10000000</v>
      </c>
      <c r="P290" s="7"/>
      <c r="Q290" s="7">
        <f t="shared" si="138"/>
        <v>10000000</v>
      </c>
    </row>
    <row r="291" spans="1:17">
      <c r="A291" s="19" t="s">
        <v>21</v>
      </c>
      <c r="B291" s="19"/>
      <c r="C291" s="19"/>
      <c r="D291" s="19"/>
      <c r="E291" s="19"/>
      <c r="F291" s="19"/>
      <c r="G291" s="9"/>
      <c r="H291" s="7"/>
      <c r="I291" s="7"/>
      <c r="J291" s="7"/>
      <c r="K291" s="7"/>
      <c r="L291" s="7"/>
      <c r="M291" s="7"/>
      <c r="N291" s="7"/>
      <c r="O291" s="7"/>
      <c r="P291" s="7"/>
      <c r="Q291" s="7"/>
    </row>
    <row r="292" spans="1:17">
      <c r="A292" s="19" t="s">
        <v>22</v>
      </c>
      <c r="B292" s="19"/>
      <c r="C292" s="19"/>
      <c r="D292" s="19"/>
      <c r="E292" s="19"/>
      <c r="F292" s="19"/>
      <c r="G292" s="9"/>
      <c r="H292" s="7">
        <f>H294</f>
        <v>10000000</v>
      </c>
      <c r="I292" s="7">
        <f t="shared" ref="I292" si="186">I294</f>
        <v>10000000</v>
      </c>
      <c r="J292" s="7"/>
      <c r="K292" s="7">
        <f t="shared" si="150"/>
        <v>10000000</v>
      </c>
      <c r="L292" s="7"/>
      <c r="M292" s="7"/>
      <c r="N292" s="7"/>
      <c r="O292" s="7">
        <f t="shared" ref="O292" si="187">O294</f>
        <v>10000000</v>
      </c>
      <c r="P292" s="7"/>
      <c r="Q292" s="7">
        <f t="shared" si="138"/>
        <v>10000000</v>
      </c>
    </row>
    <row r="293" spans="1:17" ht="21" customHeight="1">
      <c r="A293" s="19" t="s">
        <v>179</v>
      </c>
      <c r="B293" s="19"/>
      <c r="C293" s="19"/>
      <c r="D293" s="19"/>
      <c r="E293" s="19"/>
      <c r="F293" s="19"/>
      <c r="G293" s="9"/>
      <c r="H293" s="7">
        <f>H294</f>
        <v>10000000</v>
      </c>
      <c r="I293" s="7">
        <f t="shared" ref="I293:I294" si="188">I294</f>
        <v>10000000</v>
      </c>
      <c r="J293" s="7"/>
      <c r="K293" s="7">
        <f t="shared" si="150"/>
        <v>10000000</v>
      </c>
      <c r="L293" s="7"/>
      <c r="M293" s="7"/>
      <c r="N293" s="7"/>
      <c r="O293" s="7">
        <f t="shared" ref="O293:O294" si="189">O294</f>
        <v>10000000</v>
      </c>
      <c r="P293" s="7"/>
      <c r="Q293" s="7">
        <f t="shared" si="138"/>
        <v>10000000</v>
      </c>
    </row>
    <row r="294" spans="1:17">
      <c r="A294" s="14" t="s">
        <v>25</v>
      </c>
      <c r="B294" s="14"/>
      <c r="C294" s="14"/>
      <c r="D294" s="14"/>
      <c r="E294" s="14"/>
      <c r="F294" s="14"/>
      <c r="G294" s="11"/>
      <c r="H294" s="5">
        <f>H295</f>
        <v>10000000</v>
      </c>
      <c r="I294" s="5">
        <f t="shared" si="188"/>
        <v>10000000</v>
      </c>
      <c r="J294" s="7"/>
      <c r="K294" s="5">
        <f t="shared" si="150"/>
        <v>10000000</v>
      </c>
      <c r="L294" s="7"/>
      <c r="M294" s="7"/>
      <c r="N294" s="7"/>
      <c r="O294" s="5">
        <f t="shared" si="189"/>
        <v>10000000</v>
      </c>
      <c r="P294" s="7"/>
      <c r="Q294" s="5">
        <f t="shared" si="138"/>
        <v>10000000</v>
      </c>
    </row>
    <row r="295" spans="1:17" ht="84">
      <c r="A295" s="6" t="s">
        <v>180</v>
      </c>
      <c r="B295" s="4" t="s">
        <v>27</v>
      </c>
      <c r="C295" s="4" t="s">
        <v>27</v>
      </c>
      <c r="D295" s="8" t="s">
        <v>105</v>
      </c>
      <c r="E295" s="8" t="s">
        <v>29</v>
      </c>
      <c r="F295" s="8" t="s">
        <v>46</v>
      </c>
      <c r="G295" s="8"/>
      <c r="H295" s="7">
        <v>10000000</v>
      </c>
      <c r="I295" s="7">
        <v>10000000</v>
      </c>
      <c r="J295" s="7"/>
      <c r="K295" s="7">
        <f t="shared" si="150"/>
        <v>10000000</v>
      </c>
      <c r="L295" s="7"/>
      <c r="M295" s="7"/>
      <c r="N295" s="7"/>
      <c r="O295" s="7">
        <v>10000000</v>
      </c>
      <c r="P295" s="7"/>
      <c r="Q295" s="7">
        <f t="shared" si="138"/>
        <v>10000000</v>
      </c>
    </row>
    <row r="296" spans="1:17" ht="26.25" customHeight="1">
      <c r="A296" s="19" t="s">
        <v>181</v>
      </c>
      <c r="B296" s="19"/>
      <c r="C296" s="19"/>
      <c r="D296" s="19"/>
      <c r="E296" s="19"/>
      <c r="F296" s="19"/>
      <c r="G296" s="9"/>
      <c r="H296" s="7">
        <f>H297</f>
        <v>445902959.19999999</v>
      </c>
      <c r="I296" s="7">
        <f t="shared" ref="I296" si="190">I297</f>
        <v>445902959.19999999</v>
      </c>
      <c r="J296" s="7"/>
      <c r="K296" s="7">
        <f t="shared" si="150"/>
        <v>445902959.19999999</v>
      </c>
      <c r="L296" s="7">
        <f t="shared" ref="L296" si="191">L297</f>
        <v>436984900</v>
      </c>
      <c r="M296" s="7"/>
      <c r="N296" s="7">
        <f t="shared" si="136"/>
        <v>436984900</v>
      </c>
      <c r="O296" s="7">
        <f t="shared" ref="O296" si="192">O297</f>
        <v>8918059.1999999993</v>
      </c>
      <c r="P296" s="7"/>
      <c r="Q296" s="7">
        <f t="shared" si="138"/>
        <v>8918059.1999999993</v>
      </c>
    </row>
    <row r="297" spans="1:17">
      <c r="A297" s="19" t="s">
        <v>21</v>
      </c>
      <c r="B297" s="19"/>
      <c r="C297" s="19"/>
      <c r="D297" s="19"/>
      <c r="E297" s="19"/>
      <c r="F297" s="19"/>
      <c r="G297" s="9"/>
      <c r="H297" s="7">
        <f>H302+H304+H306+H308+H310</f>
        <v>445902959.19999999</v>
      </c>
      <c r="I297" s="7">
        <f t="shared" ref="I297" si="193">I302+I304+I306+I308+I310</f>
        <v>445902959.19999999</v>
      </c>
      <c r="J297" s="7"/>
      <c r="K297" s="7">
        <f t="shared" si="150"/>
        <v>445902959.19999999</v>
      </c>
      <c r="L297" s="7">
        <f t="shared" ref="L297" si="194">L302+L304+L306+L308+L310</f>
        <v>436984900</v>
      </c>
      <c r="M297" s="7"/>
      <c r="N297" s="7">
        <f t="shared" si="136"/>
        <v>436984900</v>
      </c>
      <c r="O297" s="7">
        <f t="shared" ref="O297" si="195">O302+O304+O306+O308+O310</f>
        <v>8918059.1999999993</v>
      </c>
      <c r="P297" s="7"/>
      <c r="Q297" s="7">
        <f t="shared" si="138"/>
        <v>8918059.1999999993</v>
      </c>
    </row>
    <row r="298" spans="1:17">
      <c r="A298" s="19" t="s">
        <v>22</v>
      </c>
      <c r="B298" s="19"/>
      <c r="C298" s="19"/>
      <c r="D298" s="19"/>
      <c r="E298" s="19"/>
      <c r="F298" s="19"/>
      <c r="G298" s="9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23.25" customHeight="1">
      <c r="A299" s="19" t="s">
        <v>182</v>
      </c>
      <c r="B299" s="19"/>
      <c r="C299" s="19"/>
      <c r="D299" s="19"/>
      <c r="E299" s="19"/>
      <c r="F299" s="19"/>
      <c r="G299" s="9"/>
      <c r="H299" s="7">
        <f>H300</f>
        <v>445902959.19999999</v>
      </c>
      <c r="I299" s="7">
        <f t="shared" ref="I299" si="196">I300</f>
        <v>445902959.19999999</v>
      </c>
      <c r="J299" s="7"/>
      <c r="K299" s="7">
        <f t="shared" si="150"/>
        <v>445902959.19999999</v>
      </c>
      <c r="L299" s="7">
        <f t="shared" ref="L299" si="197">L300</f>
        <v>436984900</v>
      </c>
      <c r="M299" s="7"/>
      <c r="N299" s="7">
        <f t="shared" si="136"/>
        <v>436984900</v>
      </c>
      <c r="O299" s="7">
        <f t="shared" ref="O299" si="198">O300</f>
        <v>8918059.1999999993</v>
      </c>
      <c r="P299" s="7"/>
      <c r="Q299" s="7">
        <f t="shared" si="138"/>
        <v>8918059.1999999993</v>
      </c>
    </row>
    <row r="300" spans="1:17">
      <c r="A300" s="14" t="s">
        <v>183</v>
      </c>
      <c r="B300" s="14"/>
      <c r="C300" s="14"/>
      <c r="D300" s="14"/>
      <c r="E300" s="14"/>
      <c r="F300" s="14"/>
      <c r="G300" s="11"/>
      <c r="H300" s="5">
        <f>H301+H303+H305+H307+H309</f>
        <v>445902959.19999999</v>
      </c>
      <c r="I300" s="7">
        <f t="shared" ref="I300" si="199">I301+I303+I305+I307+I309</f>
        <v>445902959.19999999</v>
      </c>
      <c r="J300" s="7"/>
      <c r="K300" s="5">
        <f t="shared" si="150"/>
        <v>445902959.19999999</v>
      </c>
      <c r="L300" s="5">
        <f t="shared" ref="L300" si="200">L301+L303+L305+L307+L309</f>
        <v>436984900</v>
      </c>
      <c r="M300" s="7"/>
      <c r="N300" s="5">
        <f t="shared" si="136"/>
        <v>436984900</v>
      </c>
      <c r="O300" s="5">
        <f t="shared" ref="O300" si="201">O301+O303+O305+O307+O309</f>
        <v>8918059.1999999993</v>
      </c>
      <c r="P300" s="7"/>
      <c r="Q300" s="5">
        <f t="shared" si="138"/>
        <v>8918059.1999999993</v>
      </c>
    </row>
    <row r="301" spans="1:17" ht="63">
      <c r="A301" s="6" t="s">
        <v>184</v>
      </c>
      <c r="B301" s="4" t="s">
        <v>27</v>
      </c>
      <c r="C301" s="4" t="s">
        <v>27</v>
      </c>
      <c r="D301" s="8" t="s">
        <v>185</v>
      </c>
      <c r="E301" s="8" t="s">
        <v>136</v>
      </c>
      <c r="F301" s="8" t="s">
        <v>46</v>
      </c>
      <c r="G301" s="8"/>
      <c r="H301" s="7">
        <v>36554387.759999998</v>
      </c>
      <c r="I301" s="7">
        <f>I302</f>
        <v>36554387.759999998</v>
      </c>
      <c r="J301" s="7"/>
      <c r="K301" s="7">
        <f t="shared" si="150"/>
        <v>36554387.759999998</v>
      </c>
      <c r="L301" s="7">
        <v>35823300</v>
      </c>
      <c r="M301" s="7"/>
      <c r="N301" s="7">
        <f t="shared" si="136"/>
        <v>35823300</v>
      </c>
      <c r="O301" s="7">
        <v>731087.76</v>
      </c>
      <c r="P301" s="7"/>
      <c r="Q301" s="7">
        <f t="shared" si="138"/>
        <v>731087.76</v>
      </c>
    </row>
    <row r="302" spans="1:17">
      <c r="A302" s="6" t="s">
        <v>186</v>
      </c>
      <c r="B302" s="6" t="s">
        <v>187</v>
      </c>
      <c r="C302" s="6" t="s">
        <v>0</v>
      </c>
      <c r="D302" s="6" t="s">
        <v>0</v>
      </c>
      <c r="E302" s="6" t="s">
        <v>0</v>
      </c>
      <c r="F302" s="6" t="s">
        <v>0</v>
      </c>
      <c r="G302" s="6" t="s">
        <v>0</v>
      </c>
      <c r="H302" s="7">
        <v>36554387.759999998</v>
      </c>
      <c r="I302" s="7">
        <v>36554387.759999998</v>
      </c>
      <c r="J302" s="7"/>
      <c r="K302" s="7">
        <f t="shared" si="150"/>
        <v>36554387.759999998</v>
      </c>
      <c r="L302" s="7">
        <v>35823300</v>
      </c>
      <c r="M302" s="7"/>
      <c r="N302" s="7">
        <f t="shared" si="136"/>
        <v>35823300</v>
      </c>
      <c r="O302" s="7">
        <v>731087.76</v>
      </c>
      <c r="P302" s="7"/>
      <c r="Q302" s="7">
        <f t="shared" si="138"/>
        <v>731087.76</v>
      </c>
    </row>
    <row r="303" spans="1:17" ht="63">
      <c r="A303" s="6" t="s">
        <v>188</v>
      </c>
      <c r="B303" s="4" t="s">
        <v>27</v>
      </c>
      <c r="C303" s="4" t="s">
        <v>27</v>
      </c>
      <c r="D303" s="8" t="s">
        <v>189</v>
      </c>
      <c r="E303" s="8" t="s">
        <v>190</v>
      </c>
      <c r="F303" s="8" t="s">
        <v>46</v>
      </c>
      <c r="G303" s="8"/>
      <c r="H303" s="7">
        <v>21972142.859999999</v>
      </c>
      <c r="I303" s="7">
        <f>I304</f>
        <v>21972142.859999999</v>
      </c>
      <c r="J303" s="7"/>
      <c r="K303" s="7">
        <f t="shared" si="150"/>
        <v>21972142.859999999</v>
      </c>
      <c r="L303" s="7">
        <v>21532700</v>
      </c>
      <c r="M303" s="7"/>
      <c r="N303" s="7">
        <f t="shared" si="136"/>
        <v>21532700</v>
      </c>
      <c r="O303" s="7">
        <v>439442.86</v>
      </c>
      <c r="P303" s="7"/>
      <c r="Q303" s="7">
        <f t="shared" si="138"/>
        <v>439442.86</v>
      </c>
    </row>
    <row r="304" spans="1:17">
      <c r="A304" s="6" t="s">
        <v>186</v>
      </c>
      <c r="B304" s="6" t="s">
        <v>187</v>
      </c>
      <c r="C304" s="6" t="s">
        <v>0</v>
      </c>
      <c r="D304" s="6" t="s">
        <v>0</v>
      </c>
      <c r="E304" s="6" t="s">
        <v>0</v>
      </c>
      <c r="F304" s="6" t="s">
        <v>0</v>
      </c>
      <c r="G304" s="6" t="s">
        <v>0</v>
      </c>
      <c r="H304" s="7">
        <v>21972142.859999999</v>
      </c>
      <c r="I304" s="7">
        <v>21972142.859999999</v>
      </c>
      <c r="J304" s="7"/>
      <c r="K304" s="7">
        <f t="shared" si="150"/>
        <v>21972142.859999999</v>
      </c>
      <c r="L304" s="7">
        <v>21532700</v>
      </c>
      <c r="M304" s="7"/>
      <c r="N304" s="7">
        <f t="shared" ref="N304:N356" si="202">L304+M304</f>
        <v>21532700</v>
      </c>
      <c r="O304" s="7">
        <v>439442.86</v>
      </c>
      <c r="P304" s="7"/>
      <c r="Q304" s="7">
        <f t="shared" ref="Q304:Q356" si="203">O304+P304</f>
        <v>439442.86</v>
      </c>
    </row>
    <row r="305" spans="1:17" ht="84">
      <c r="A305" s="6" t="s">
        <v>191</v>
      </c>
      <c r="B305" s="4" t="s">
        <v>27</v>
      </c>
      <c r="C305" s="4" t="s">
        <v>27</v>
      </c>
      <c r="D305" s="8" t="s">
        <v>192</v>
      </c>
      <c r="E305" s="8" t="s">
        <v>190</v>
      </c>
      <c r="F305" s="8" t="s">
        <v>46</v>
      </c>
      <c r="G305" s="8"/>
      <c r="H305" s="7">
        <v>32575714.289999999</v>
      </c>
      <c r="I305" s="7">
        <f>I306</f>
        <v>32575714.289999999</v>
      </c>
      <c r="J305" s="7"/>
      <c r="K305" s="7">
        <f t="shared" si="150"/>
        <v>32575714.289999999</v>
      </c>
      <c r="L305" s="7">
        <v>31924200</v>
      </c>
      <c r="M305" s="7"/>
      <c r="N305" s="7">
        <f t="shared" si="202"/>
        <v>31924200</v>
      </c>
      <c r="O305" s="7">
        <v>651514.29</v>
      </c>
      <c r="P305" s="7"/>
      <c r="Q305" s="7">
        <f t="shared" si="203"/>
        <v>651514.29</v>
      </c>
    </row>
    <row r="306" spans="1:17">
      <c r="A306" s="6" t="s">
        <v>186</v>
      </c>
      <c r="B306" s="6" t="s">
        <v>187</v>
      </c>
      <c r="C306" s="6" t="s">
        <v>0</v>
      </c>
      <c r="D306" s="6" t="s">
        <v>0</v>
      </c>
      <c r="E306" s="6" t="s">
        <v>0</v>
      </c>
      <c r="F306" s="6" t="s">
        <v>0</v>
      </c>
      <c r="G306" s="6" t="s">
        <v>0</v>
      </c>
      <c r="H306" s="7">
        <v>32575714.289999999</v>
      </c>
      <c r="I306" s="7">
        <v>32575714.289999999</v>
      </c>
      <c r="J306" s="7"/>
      <c r="K306" s="7">
        <f t="shared" si="150"/>
        <v>32575714.289999999</v>
      </c>
      <c r="L306" s="7">
        <v>31924200</v>
      </c>
      <c r="M306" s="7"/>
      <c r="N306" s="7">
        <f t="shared" si="202"/>
        <v>31924200</v>
      </c>
      <c r="O306" s="7">
        <v>651514.29</v>
      </c>
      <c r="P306" s="7"/>
      <c r="Q306" s="7">
        <f t="shared" si="203"/>
        <v>651514.29</v>
      </c>
    </row>
    <row r="307" spans="1:17" ht="52.5">
      <c r="A307" s="6" t="s">
        <v>195</v>
      </c>
      <c r="B307" s="4" t="s">
        <v>27</v>
      </c>
      <c r="C307" s="4" t="s">
        <v>27</v>
      </c>
      <c r="D307" s="8" t="s">
        <v>196</v>
      </c>
      <c r="E307" s="8" t="s">
        <v>92</v>
      </c>
      <c r="F307" s="8" t="s">
        <v>46</v>
      </c>
      <c r="G307" s="8"/>
      <c r="H307" s="7">
        <v>135951122.44999999</v>
      </c>
      <c r="I307" s="7">
        <f>I308</f>
        <v>135951122.44999999</v>
      </c>
      <c r="J307" s="7"/>
      <c r="K307" s="7">
        <f t="shared" si="150"/>
        <v>135951122.44999999</v>
      </c>
      <c r="L307" s="7">
        <v>133232100</v>
      </c>
      <c r="M307" s="7"/>
      <c r="N307" s="7">
        <f t="shared" si="202"/>
        <v>133232100</v>
      </c>
      <c r="O307" s="7">
        <v>2719022.45</v>
      </c>
      <c r="P307" s="7"/>
      <c r="Q307" s="7">
        <f t="shared" si="203"/>
        <v>2719022.45</v>
      </c>
    </row>
    <row r="308" spans="1:17">
      <c r="A308" s="6" t="s">
        <v>186</v>
      </c>
      <c r="B308" s="6" t="s">
        <v>187</v>
      </c>
      <c r="C308" s="6" t="s">
        <v>0</v>
      </c>
      <c r="D308" s="6" t="s">
        <v>0</v>
      </c>
      <c r="E308" s="6" t="s">
        <v>0</v>
      </c>
      <c r="F308" s="6" t="s">
        <v>0</v>
      </c>
      <c r="G308" s="6" t="s">
        <v>0</v>
      </c>
      <c r="H308" s="7">
        <v>135951122.44999999</v>
      </c>
      <c r="I308" s="7">
        <v>135951122.44999999</v>
      </c>
      <c r="J308" s="7"/>
      <c r="K308" s="7">
        <f t="shared" si="150"/>
        <v>135951122.44999999</v>
      </c>
      <c r="L308" s="7">
        <v>133232100</v>
      </c>
      <c r="M308" s="7"/>
      <c r="N308" s="7">
        <f t="shared" si="202"/>
        <v>133232100</v>
      </c>
      <c r="O308" s="7">
        <v>2719022.45</v>
      </c>
      <c r="P308" s="7"/>
      <c r="Q308" s="7">
        <f t="shared" si="203"/>
        <v>2719022.45</v>
      </c>
    </row>
    <row r="309" spans="1:17" ht="73.5">
      <c r="A309" s="6" t="s">
        <v>197</v>
      </c>
      <c r="B309" s="4" t="s">
        <v>27</v>
      </c>
      <c r="C309" s="4" t="s">
        <v>27</v>
      </c>
      <c r="D309" s="8" t="s">
        <v>198</v>
      </c>
      <c r="E309" s="8" t="s">
        <v>199</v>
      </c>
      <c r="F309" s="8" t="s">
        <v>46</v>
      </c>
      <c r="G309" s="8"/>
      <c r="H309" s="7">
        <v>218849591.84</v>
      </c>
      <c r="I309" s="7">
        <f>I310</f>
        <v>218849591.84</v>
      </c>
      <c r="J309" s="7"/>
      <c r="K309" s="7">
        <f t="shared" si="150"/>
        <v>218849591.84</v>
      </c>
      <c r="L309" s="7">
        <v>214472600</v>
      </c>
      <c r="M309" s="7"/>
      <c r="N309" s="7">
        <f t="shared" si="202"/>
        <v>214472600</v>
      </c>
      <c r="O309" s="7">
        <v>4376991.84</v>
      </c>
      <c r="P309" s="7"/>
      <c r="Q309" s="7">
        <f t="shared" si="203"/>
        <v>4376991.84</v>
      </c>
    </row>
    <row r="310" spans="1:17">
      <c r="A310" s="6" t="s">
        <v>186</v>
      </c>
      <c r="B310" s="6" t="s">
        <v>187</v>
      </c>
      <c r="C310" s="6" t="s">
        <v>0</v>
      </c>
      <c r="D310" s="6" t="s">
        <v>0</v>
      </c>
      <c r="E310" s="6" t="s">
        <v>0</v>
      </c>
      <c r="F310" s="6" t="s">
        <v>0</v>
      </c>
      <c r="G310" s="6" t="s">
        <v>0</v>
      </c>
      <c r="H310" s="7">
        <v>218849591.84</v>
      </c>
      <c r="I310" s="7">
        <v>218849591.84</v>
      </c>
      <c r="J310" s="7"/>
      <c r="K310" s="7">
        <f t="shared" si="150"/>
        <v>218849591.84</v>
      </c>
      <c r="L310" s="7">
        <v>214472600</v>
      </c>
      <c r="M310" s="7"/>
      <c r="N310" s="7">
        <f t="shared" si="202"/>
        <v>214472600</v>
      </c>
      <c r="O310" s="7">
        <v>4376991.84</v>
      </c>
      <c r="P310" s="7"/>
      <c r="Q310" s="7">
        <f t="shared" si="203"/>
        <v>4376991.84</v>
      </c>
    </row>
    <row r="311" spans="1:17" ht="21" customHeight="1">
      <c r="A311" s="19" t="s">
        <v>205</v>
      </c>
      <c r="B311" s="19"/>
      <c r="C311" s="19"/>
      <c r="D311" s="19"/>
      <c r="E311" s="19"/>
      <c r="F311" s="19"/>
      <c r="G311" s="9"/>
      <c r="H311" s="7">
        <f>H313</f>
        <v>944456660</v>
      </c>
      <c r="I311" s="7">
        <f t="shared" ref="I311:J311" si="204">I313</f>
        <v>1244456660</v>
      </c>
      <c r="J311" s="7">
        <f t="shared" si="204"/>
        <v>300000000</v>
      </c>
      <c r="K311" s="7">
        <f t="shared" si="150"/>
        <v>1244456660</v>
      </c>
      <c r="L311" s="7">
        <f t="shared" ref="L311:M311" si="205">L313</f>
        <v>500000000</v>
      </c>
      <c r="M311" s="7">
        <f t="shared" si="205"/>
        <v>300000000</v>
      </c>
      <c r="N311" s="7">
        <f t="shared" si="202"/>
        <v>800000000</v>
      </c>
      <c r="O311" s="7">
        <f t="shared" ref="O311" si="206">O313</f>
        <v>444456660</v>
      </c>
      <c r="P311" s="7"/>
      <c r="Q311" s="7">
        <f t="shared" si="203"/>
        <v>444456660</v>
      </c>
    </row>
    <row r="312" spans="1:17">
      <c r="A312" s="19" t="s">
        <v>21</v>
      </c>
      <c r="B312" s="19"/>
      <c r="C312" s="19"/>
      <c r="D312" s="19"/>
      <c r="E312" s="19"/>
      <c r="F312" s="19"/>
      <c r="G312" s="9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1:17">
      <c r="A313" s="19" t="s">
        <v>22</v>
      </c>
      <c r="B313" s="19"/>
      <c r="C313" s="19"/>
      <c r="D313" s="19"/>
      <c r="E313" s="19"/>
      <c r="F313" s="19"/>
      <c r="G313" s="9"/>
      <c r="H313" s="7">
        <f>H314+H320</f>
        <v>944456660</v>
      </c>
      <c r="I313" s="7">
        <f t="shared" ref="I313:J313" si="207">I314+I320</f>
        <v>1244456660</v>
      </c>
      <c r="J313" s="7">
        <f t="shared" si="207"/>
        <v>300000000</v>
      </c>
      <c r="K313" s="7">
        <f t="shared" si="150"/>
        <v>1244456660</v>
      </c>
      <c r="L313" s="7">
        <f t="shared" ref="L313:M313" si="208">L314+L320</f>
        <v>500000000</v>
      </c>
      <c r="M313" s="7">
        <f t="shared" si="208"/>
        <v>300000000</v>
      </c>
      <c r="N313" s="7">
        <f t="shared" si="202"/>
        <v>800000000</v>
      </c>
      <c r="O313" s="7">
        <f t="shared" ref="O313" si="209">O314+O320</f>
        <v>444456660</v>
      </c>
      <c r="P313" s="7"/>
      <c r="Q313" s="7">
        <f t="shared" si="203"/>
        <v>444456660</v>
      </c>
    </row>
    <row r="314" spans="1:17" ht="21" customHeight="1">
      <c r="A314" s="19" t="s">
        <v>206</v>
      </c>
      <c r="B314" s="19"/>
      <c r="C314" s="19"/>
      <c r="D314" s="19"/>
      <c r="E314" s="19"/>
      <c r="F314" s="19"/>
      <c r="G314" s="9"/>
      <c r="H314" s="7">
        <f>H315</f>
        <v>562052860</v>
      </c>
      <c r="I314" s="7">
        <f t="shared" ref="I314:J314" si="210">I315</f>
        <v>862052860</v>
      </c>
      <c r="J314" s="7">
        <f t="shared" si="210"/>
        <v>300000000</v>
      </c>
      <c r="K314" s="7">
        <f t="shared" ref="K314:K356" si="211">H314+J314</f>
        <v>862052860</v>
      </c>
      <c r="L314" s="7">
        <f>L315</f>
        <v>500000000</v>
      </c>
      <c r="M314" s="7">
        <f t="shared" ref="M314" si="212">M315</f>
        <v>300000000</v>
      </c>
      <c r="N314" s="7">
        <f t="shared" si="202"/>
        <v>800000000</v>
      </c>
      <c r="O314" s="7">
        <f>O315</f>
        <v>62052860</v>
      </c>
      <c r="P314" s="7"/>
      <c r="Q314" s="7">
        <f>O314+P314</f>
        <v>62052860</v>
      </c>
    </row>
    <row r="315" spans="1:17">
      <c r="A315" s="14" t="s">
        <v>123</v>
      </c>
      <c r="B315" s="14"/>
      <c r="C315" s="14"/>
      <c r="D315" s="14"/>
      <c r="E315" s="14"/>
      <c r="F315" s="14"/>
      <c r="G315" s="11"/>
      <c r="H315" s="5">
        <f>H316+H317+H318+H319</f>
        <v>562052860</v>
      </c>
      <c r="I315" s="5">
        <f t="shared" ref="I315:J315" si="213">I316+I317+I318+I319</f>
        <v>862052860</v>
      </c>
      <c r="J315" s="5">
        <f t="shared" si="213"/>
        <v>300000000</v>
      </c>
      <c r="K315" s="5">
        <f t="shared" si="211"/>
        <v>862052860</v>
      </c>
      <c r="L315" s="5">
        <f t="shared" ref="L315:M315" si="214">L316+L317+L318+L319</f>
        <v>500000000</v>
      </c>
      <c r="M315" s="5">
        <f t="shared" si="214"/>
        <v>300000000</v>
      </c>
      <c r="N315" s="5">
        <f t="shared" si="202"/>
        <v>800000000</v>
      </c>
      <c r="O315" s="5">
        <f t="shared" ref="O315" si="215">O316+O317+O318+O319</f>
        <v>62052860</v>
      </c>
      <c r="P315" s="5"/>
      <c r="Q315" s="5">
        <f t="shared" si="203"/>
        <v>62052860</v>
      </c>
    </row>
    <row r="316" spans="1:17" ht="63">
      <c r="A316" s="6" t="s">
        <v>207</v>
      </c>
      <c r="B316" s="4" t="s">
        <v>27</v>
      </c>
      <c r="C316" s="4" t="s">
        <v>27</v>
      </c>
      <c r="D316" s="8" t="s">
        <v>208</v>
      </c>
      <c r="E316" s="8" t="s">
        <v>98</v>
      </c>
      <c r="F316" s="8" t="s">
        <v>30</v>
      </c>
      <c r="G316" s="7"/>
      <c r="H316" s="7">
        <v>18190300</v>
      </c>
      <c r="I316" s="7">
        <v>18190300</v>
      </c>
      <c r="J316" s="7"/>
      <c r="K316" s="7">
        <f t="shared" si="211"/>
        <v>18190300</v>
      </c>
      <c r="L316" s="7"/>
      <c r="M316" s="7"/>
      <c r="N316" s="7"/>
      <c r="O316" s="7">
        <v>18190300</v>
      </c>
      <c r="P316" s="7"/>
      <c r="Q316" s="7">
        <f t="shared" si="203"/>
        <v>18190300</v>
      </c>
    </row>
    <row r="317" spans="1:17" ht="94.5">
      <c r="A317" s="6" t="s">
        <v>214</v>
      </c>
      <c r="B317" s="4" t="s">
        <v>27</v>
      </c>
      <c r="C317" s="4" t="s">
        <v>125</v>
      </c>
      <c r="D317" s="8" t="s">
        <v>215</v>
      </c>
      <c r="E317" s="8" t="s">
        <v>96</v>
      </c>
      <c r="F317" s="8" t="s">
        <v>216</v>
      </c>
      <c r="G317" s="7"/>
      <c r="H317" s="7">
        <v>500000000</v>
      </c>
      <c r="I317" s="7">
        <v>800000000</v>
      </c>
      <c r="J317" s="7">
        <v>300000000</v>
      </c>
      <c r="K317" s="7">
        <f t="shared" si="211"/>
        <v>800000000</v>
      </c>
      <c r="L317" s="7">
        <v>500000000</v>
      </c>
      <c r="M317" s="7">
        <v>300000000</v>
      </c>
      <c r="N317" s="7">
        <f t="shared" si="202"/>
        <v>800000000</v>
      </c>
      <c r="O317" s="7"/>
      <c r="P317" s="7"/>
      <c r="Q317" s="7"/>
    </row>
    <row r="318" spans="1:17" ht="52.5">
      <c r="A318" s="6" t="s">
        <v>217</v>
      </c>
      <c r="B318" s="4" t="s">
        <v>27</v>
      </c>
      <c r="C318" s="4" t="s">
        <v>27</v>
      </c>
      <c r="D318" s="8" t="s">
        <v>218</v>
      </c>
      <c r="E318" s="8" t="s">
        <v>92</v>
      </c>
      <c r="F318" s="8" t="s">
        <v>46</v>
      </c>
      <c r="G318" s="7"/>
      <c r="H318" s="7">
        <v>11289050</v>
      </c>
      <c r="I318" s="7">
        <v>11289050</v>
      </c>
      <c r="J318" s="7"/>
      <c r="K318" s="7">
        <f t="shared" si="211"/>
        <v>11289050</v>
      </c>
      <c r="L318" s="7"/>
      <c r="M318" s="7"/>
      <c r="N318" s="7"/>
      <c r="O318" s="7">
        <v>11289050</v>
      </c>
      <c r="P318" s="7"/>
      <c r="Q318" s="7">
        <f t="shared" si="203"/>
        <v>11289050</v>
      </c>
    </row>
    <row r="319" spans="1:17" ht="42">
      <c r="A319" s="6" t="s">
        <v>221</v>
      </c>
      <c r="B319" s="4" t="s">
        <v>27</v>
      </c>
      <c r="C319" s="4" t="s">
        <v>27</v>
      </c>
      <c r="D319" s="8" t="s">
        <v>222</v>
      </c>
      <c r="E319" s="8" t="s">
        <v>98</v>
      </c>
      <c r="F319" s="8" t="s">
        <v>36</v>
      </c>
      <c r="G319" s="7"/>
      <c r="H319" s="7">
        <v>32573510</v>
      </c>
      <c r="I319" s="7">
        <v>32573510</v>
      </c>
      <c r="J319" s="7"/>
      <c r="K319" s="7">
        <f t="shared" si="211"/>
        <v>32573510</v>
      </c>
      <c r="L319" s="7"/>
      <c r="M319" s="7"/>
      <c r="N319" s="7"/>
      <c r="O319" s="7">
        <v>32573510</v>
      </c>
      <c r="P319" s="7"/>
      <c r="Q319" s="7">
        <f t="shared" si="203"/>
        <v>32573510</v>
      </c>
    </row>
    <row r="320" spans="1:17" ht="19.5" customHeight="1">
      <c r="A320" s="19" t="s">
        <v>223</v>
      </c>
      <c r="B320" s="19"/>
      <c r="C320" s="19"/>
      <c r="D320" s="19"/>
      <c r="E320" s="19"/>
      <c r="F320" s="19"/>
      <c r="G320" s="9"/>
      <c r="H320" s="7">
        <f>H321</f>
        <v>382403800</v>
      </c>
      <c r="I320" s="7">
        <f t="shared" ref="I320:Q320" si="216">I321</f>
        <v>382403800</v>
      </c>
      <c r="J320" s="7"/>
      <c r="K320" s="7">
        <f t="shared" si="216"/>
        <v>382403800</v>
      </c>
      <c r="L320" s="7"/>
      <c r="M320" s="7"/>
      <c r="N320" s="7"/>
      <c r="O320" s="7">
        <f t="shared" si="216"/>
        <v>382403800</v>
      </c>
      <c r="P320" s="7"/>
      <c r="Q320" s="7">
        <f t="shared" si="216"/>
        <v>382403800</v>
      </c>
    </row>
    <row r="321" spans="1:17">
      <c r="A321" s="14" t="s">
        <v>123</v>
      </c>
      <c r="B321" s="14"/>
      <c r="C321" s="14"/>
      <c r="D321" s="14"/>
      <c r="E321" s="14"/>
      <c r="F321" s="14"/>
      <c r="G321" s="11"/>
      <c r="H321" s="5">
        <f>H322+H323+H324</f>
        <v>382403800</v>
      </c>
      <c r="I321" s="5">
        <f t="shared" ref="I321" si="217">I322+I323+I324</f>
        <v>382403800</v>
      </c>
      <c r="J321" s="5"/>
      <c r="K321" s="5">
        <f t="shared" si="211"/>
        <v>382403800</v>
      </c>
      <c r="L321" s="5"/>
      <c r="M321" s="5"/>
      <c r="N321" s="5"/>
      <c r="O321" s="5">
        <f t="shared" ref="O321" si="218">O322+O323+O324</f>
        <v>382403800</v>
      </c>
      <c r="P321" s="5"/>
      <c r="Q321" s="5">
        <f t="shared" si="203"/>
        <v>382403800</v>
      </c>
    </row>
    <row r="322" spans="1:17" ht="94.5">
      <c r="A322" s="6" t="s">
        <v>224</v>
      </c>
      <c r="B322" s="4" t="s">
        <v>27</v>
      </c>
      <c r="C322" s="4" t="s">
        <v>125</v>
      </c>
      <c r="D322" s="8" t="s">
        <v>212</v>
      </c>
      <c r="E322" s="8" t="s">
        <v>127</v>
      </c>
      <c r="F322" s="8" t="s">
        <v>46</v>
      </c>
      <c r="G322" s="8"/>
      <c r="H322" s="7">
        <v>10500000</v>
      </c>
      <c r="I322" s="7">
        <v>10500000</v>
      </c>
      <c r="J322" s="7"/>
      <c r="K322" s="7">
        <f t="shared" si="211"/>
        <v>10500000</v>
      </c>
      <c r="L322" s="7"/>
      <c r="M322" s="7"/>
      <c r="N322" s="7"/>
      <c r="O322" s="7">
        <v>10500000</v>
      </c>
      <c r="P322" s="7"/>
      <c r="Q322" s="7">
        <f t="shared" si="203"/>
        <v>10500000</v>
      </c>
    </row>
    <row r="323" spans="1:17" ht="178.5">
      <c r="A323" s="6" t="s">
        <v>226</v>
      </c>
      <c r="B323" s="4" t="s">
        <v>27</v>
      </c>
      <c r="C323" s="4" t="s">
        <v>125</v>
      </c>
      <c r="D323" s="8" t="s">
        <v>227</v>
      </c>
      <c r="E323" s="8" t="s">
        <v>127</v>
      </c>
      <c r="F323" s="8" t="s">
        <v>228</v>
      </c>
      <c r="G323" s="8"/>
      <c r="H323" s="7">
        <v>24700000</v>
      </c>
      <c r="I323" s="7">
        <v>24700000</v>
      </c>
      <c r="J323" s="7">
        <v>7800000</v>
      </c>
      <c r="K323" s="7">
        <f t="shared" si="211"/>
        <v>32500000</v>
      </c>
      <c r="L323" s="7"/>
      <c r="M323" s="7"/>
      <c r="N323" s="7"/>
      <c r="O323" s="7">
        <v>24700000</v>
      </c>
      <c r="P323" s="7">
        <v>7800000</v>
      </c>
      <c r="Q323" s="7">
        <f t="shared" si="203"/>
        <v>32500000</v>
      </c>
    </row>
    <row r="324" spans="1:17" ht="94.5">
      <c r="A324" s="6" t="s">
        <v>229</v>
      </c>
      <c r="B324" s="4" t="s">
        <v>27</v>
      </c>
      <c r="C324" s="4" t="s">
        <v>125</v>
      </c>
      <c r="D324" s="8" t="s">
        <v>230</v>
      </c>
      <c r="E324" s="8" t="s">
        <v>127</v>
      </c>
      <c r="F324" s="8" t="s">
        <v>231</v>
      </c>
      <c r="G324" s="8"/>
      <c r="H324" s="7">
        <v>347203800</v>
      </c>
      <c r="I324" s="7">
        <v>347203800</v>
      </c>
      <c r="J324" s="7">
        <v>-7800000</v>
      </c>
      <c r="K324" s="7">
        <f>H324+J324</f>
        <v>339403800</v>
      </c>
      <c r="L324" s="7"/>
      <c r="M324" s="7"/>
      <c r="N324" s="7"/>
      <c r="O324" s="7">
        <v>347203800</v>
      </c>
      <c r="P324" s="7">
        <v>-7800000</v>
      </c>
      <c r="Q324" s="7">
        <f t="shared" si="203"/>
        <v>339403800</v>
      </c>
    </row>
    <row r="325" spans="1:17" ht="23.25" customHeight="1">
      <c r="A325" s="19" t="s">
        <v>232</v>
      </c>
      <c r="B325" s="19"/>
      <c r="C325" s="19"/>
      <c r="D325" s="19"/>
      <c r="E325" s="19"/>
      <c r="F325" s="19"/>
      <c r="G325" s="9"/>
      <c r="H325" s="7">
        <f>H326+H327</f>
        <v>531284168.64999998</v>
      </c>
      <c r="I325" s="7">
        <f t="shared" ref="I325" si="219">I326+I327</f>
        <v>531284148.64999998</v>
      </c>
      <c r="J325" s="7"/>
      <c r="K325" s="7">
        <f t="shared" si="211"/>
        <v>531284168.64999998</v>
      </c>
      <c r="L325" s="7">
        <f t="shared" ref="L325" si="220">L326+L327</f>
        <v>405860600</v>
      </c>
      <c r="M325" s="7"/>
      <c r="N325" s="7">
        <f t="shared" si="202"/>
        <v>405860600</v>
      </c>
      <c r="O325" s="7">
        <f t="shared" ref="O325" si="221">O326+O327</f>
        <v>125423568.65000001</v>
      </c>
      <c r="P325" s="7"/>
      <c r="Q325" s="7">
        <f t="shared" si="203"/>
        <v>125423568.65000001</v>
      </c>
    </row>
    <row r="326" spans="1:17">
      <c r="A326" s="19" t="s">
        <v>21</v>
      </c>
      <c r="B326" s="19"/>
      <c r="C326" s="19"/>
      <c r="D326" s="19"/>
      <c r="E326" s="19"/>
      <c r="F326" s="19"/>
      <c r="G326" s="9"/>
      <c r="H326" s="7">
        <f>H332</f>
        <v>111707200</v>
      </c>
      <c r="I326" s="7">
        <f t="shared" ref="I326" si="222">I332</f>
        <v>111707200</v>
      </c>
      <c r="J326" s="7"/>
      <c r="K326" s="7">
        <f t="shared" si="211"/>
        <v>111707200</v>
      </c>
      <c r="L326" s="7">
        <f t="shared" ref="L326" si="223">L332</f>
        <v>111707200</v>
      </c>
      <c r="M326" s="7"/>
      <c r="N326" s="7">
        <f t="shared" si="202"/>
        <v>111707200</v>
      </c>
      <c r="O326" s="7"/>
      <c r="P326" s="7"/>
      <c r="Q326" s="7"/>
    </row>
    <row r="327" spans="1:17">
      <c r="A327" s="19" t="s">
        <v>22</v>
      </c>
      <c r="B327" s="19"/>
      <c r="C327" s="19"/>
      <c r="D327" s="19"/>
      <c r="E327" s="19"/>
      <c r="F327" s="19"/>
      <c r="G327" s="9"/>
      <c r="H327" s="7">
        <f>H330+H333+H334+H335</f>
        <v>419576968.64999998</v>
      </c>
      <c r="I327" s="7">
        <f t="shared" ref="I327" si="224">I330+I333+I334+I335</f>
        <v>419576948.64999998</v>
      </c>
      <c r="J327" s="7"/>
      <c r="K327" s="7">
        <f t="shared" si="211"/>
        <v>419576968.64999998</v>
      </c>
      <c r="L327" s="7">
        <f t="shared" ref="L327" si="225">L330+L333+L334+L335</f>
        <v>294153400</v>
      </c>
      <c r="M327" s="7"/>
      <c r="N327" s="7">
        <f t="shared" si="202"/>
        <v>294153400</v>
      </c>
      <c r="O327" s="7">
        <f t="shared" ref="O327" si="226">O330+O333+O334+O335</f>
        <v>125423568.65000001</v>
      </c>
      <c r="P327" s="7"/>
      <c r="Q327" s="7">
        <f t="shared" si="203"/>
        <v>125423568.65000001</v>
      </c>
    </row>
    <row r="328" spans="1:17" hidden="1">
      <c r="A328" s="19" t="s">
        <v>0</v>
      </c>
      <c r="B328" s="19"/>
      <c r="C328" s="19"/>
      <c r="D328" s="19"/>
      <c r="E328" s="19"/>
      <c r="F328" s="19"/>
      <c r="G328" s="9"/>
      <c r="H328" s="7">
        <f>H329</f>
        <v>531284168.64999998</v>
      </c>
      <c r="I328" s="7">
        <f t="shared" ref="I328" si="227">I329</f>
        <v>531284148.64999998</v>
      </c>
      <c r="J328" s="7"/>
      <c r="K328" s="7">
        <f t="shared" si="211"/>
        <v>531284168.64999998</v>
      </c>
      <c r="L328" s="7">
        <f t="shared" ref="L328" si="228">L329</f>
        <v>405860600</v>
      </c>
      <c r="M328" s="7"/>
      <c r="N328" s="7">
        <f t="shared" si="202"/>
        <v>405860600</v>
      </c>
      <c r="O328" s="7">
        <f t="shared" ref="O328" si="229">O329</f>
        <v>125423568.65000001</v>
      </c>
      <c r="P328" s="7"/>
      <c r="Q328" s="7">
        <f t="shared" si="203"/>
        <v>125423568.65000001</v>
      </c>
    </row>
    <row r="329" spans="1:17">
      <c r="A329" s="14" t="s">
        <v>25</v>
      </c>
      <c r="B329" s="14"/>
      <c r="C329" s="14"/>
      <c r="D329" s="14"/>
      <c r="E329" s="14"/>
      <c r="F329" s="14"/>
      <c r="G329" s="11"/>
      <c r="H329" s="5">
        <f>H330+H331+H333+H334+H335</f>
        <v>531284168.64999998</v>
      </c>
      <c r="I329" s="5">
        <f t="shared" ref="I329" si="230">I330+I331+I333+I334+I335</f>
        <v>531284148.64999998</v>
      </c>
      <c r="J329" s="5"/>
      <c r="K329" s="5">
        <f>H329+J329</f>
        <v>531284168.64999998</v>
      </c>
      <c r="L329" s="5">
        <f t="shared" ref="L329" si="231">L330+L331+L333+L334+L335</f>
        <v>405860600</v>
      </c>
      <c r="M329" s="5"/>
      <c r="N329" s="5">
        <f t="shared" si="202"/>
        <v>405860600</v>
      </c>
      <c r="O329" s="5">
        <f t="shared" ref="O329" si="232">O330+O331+O333+O334+O335</f>
        <v>125423568.65000001</v>
      </c>
      <c r="P329" s="5"/>
      <c r="Q329" s="5">
        <f t="shared" si="203"/>
        <v>125423568.65000001</v>
      </c>
    </row>
    <row r="330" spans="1:17" ht="84">
      <c r="A330" s="6" t="s">
        <v>233</v>
      </c>
      <c r="B330" s="4" t="s">
        <v>27</v>
      </c>
      <c r="C330" s="4" t="s">
        <v>27</v>
      </c>
      <c r="D330" s="8" t="s">
        <v>234</v>
      </c>
      <c r="E330" s="8" t="s">
        <v>29</v>
      </c>
      <c r="F330" s="8" t="s">
        <v>99</v>
      </c>
      <c r="G330" s="7"/>
      <c r="H330" s="7">
        <v>10000000</v>
      </c>
      <c r="I330" s="7">
        <v>10000000</v>
      </c>
      <c r="J330" s="7"/>
      <c r="K330" s="7">
        <f t="shared" si="211"/>
        <v>10000000</v>
      </c>
      <c r="L330" s="7"/>
      <c r="M330" s="7"/>
      <c r="N330" s="7">
        <f t="shared" si="202"/>
        <v>0</v>
      </c>
      <c r="O330" s="7">
        <v>10000000</v>
      </c>
      <c r="P330" s="7"/>
      <c r="Q330" s="7">
        <f t="shared" si="203"/>
        <v>10000000</v>
      </c>
    </row>
    <row r="331" spans="1:17" ht="63">
      <c r="A331" s="6" t="s">
        <v>298</v>
      </c>
      <c r="B331" s="4" t="s">
        <v>27</v>
      </c>
      <c r="C331" s="4" t="s">
        <v>27</v>
      </c>
      <c r="D331" s="8" t="s">
        <v>83</v>
      </c>
      <c r="E331" s="8" t="s">
        <v>190</v>
      </c>
      <c r="F331" s="8" t="s">
        <v>40</v>
      </c>
      <c r="G331" s="7"/>
      <c r="H331" s="7">
        <v>111707200</v>
      </c>
      <c r="I331" s="7">
        <v>111707200</v>
      </c>
      <c r="J331" s="7"/>
      <c r="K331" s="7">
        <f t="shared" si="211"/>
        <v>111707200</v>
      </c>
      <c r="L331" s="7">
        <v>111707200</v>
      </c>
      <c r="M331" s="7"/>
      <c r="N331" s="7">
        <f t="shared" si="202"/>
        <v>111707200</v>
      </c>
      <c r="O331" s="7"/>
      <c r="P331" s="7"/>
      <c r="Q331" s="7">
        <f t="shared" si="203"/>
        <v>0</v>
      </c>
    </row>
    <row r="332" spans="1:17" ht="21">
      <c r="A332" s="6" t="s">
        <v>113</v>
      </c>
      <c r="B332" s="6" t="s">
        <v>114</v>
      </c>
      <c r="C332" s="6" t="s">
        <v>0</v>
      </c>
      <c r="D332" s="6" t="s">
        <v>0</v>
      </c>
      <c r="E332" s="6" t="s">
        <v>0</v>
      </c>
      <c r="F332" s="6" t="s">
        <v>0</v>
      </c>
      <c r="G332" s="7" t="s">
        <v>0</v>
      </c>
      <c r="H332" s="7">
        <v>111707200</v>
      </c>
      <c r="I332" s="7">
        <v>111707200</v>
      </c>
      <c r="J332" s="7"/>
      <c r="K332" s="7">
        <f t="shared" si="211"/>
        <v>111707200</v>
      </c>
      <c r="L332" s="7">
        <v>111707200</v>
      </c>
      <c r="M332" s="7"/>
      <c r="N332" s="7">
        <f t="shared" si="202"/>
        <v>111707200</v>
      </c>
      <c r="O332" s="7"/>
      <c r="P332" s="7"/>
      <c r="Q332" s="7">
        <f t="shared" si="203"/>
        <v>0</v>
      </c>
    </row>
    <row r="333" spans="1:17" ht="84">
      <c r="A333" s="6" t="s">
        <v>235</v>
      </c>
      <c r="B333" s="4" t="s">
        <v>27</v>
      </c>
      <c r="C333" s="4" t="s">
        <v>27</v>
      </c>
      <c r="D333" s="8" t="s">
        <v>236</v>
      </c>
      <c r="E333" s="8" t="s">
        <v>29</v>
      </c>
      <c r="F333" s="8" t="s">
        <v>216</v>
      </c>
      <c r="G333" s="7"/>
      <c r="H333" s="7">
        <v>369576968.64999998</v>
      </c>
      <c r="I333" s="7">
        <f>65573950.65+294153400+9849598</f>
        <v>369576948.64999998</v>
      </c>
      <c r="J333" s="7"/>
      <c r="K333" s="7">
        <f>H333+J333</f>
        <v>369576968.64999998</v>
      </c>
      <c r="L333" s="7">
        <v>294153400</v>
      </c>
      <c r="M333" s="7"/>
      <c r="N333" s="7">
        <f t="shared" si="202"/>
        <v>294153400</v>
      </c>
      <c r="O333" s="7">
        <v>75423568.650000006</v>
      </c>
      <c r="P333" s="7"/>
      <c r="Q333" s="7">
        <f t="shared" si="203"/>
        <v>75423568.650000006</v>
      </c>
    </row>
    <row r="334" spans="1:17" ht="84">
      <c r="A334" s="6" t="s">
        <v>237</v>
      </c>
      <c r="B334" s="4" t="s">
        <v>27</v>
      </c>
      <c r="C334" s="4" t="s">
        <v>27</v>
      </c>
      <c r="D334" s="8" t="s">
        <v>238</v>
      </c>
      <c r="E334" s="8" t="s">
        <v>29</v>
      </c>
      <c r="F334" s="8" t="s">
        <v>43</v>
      </c>
      <c r="G334" s="7"/>
      <c r="H334" s="7">
        <v>20000000</v>
      </c>
      <c r="I334" s="7">
        <v>20000000</v>
      </c>
      <c r="J334" s="7"/>
      <c r="K334" s="7">
        <f t="shared" si="211"/>
        <v>20000000</v>
      </c>
      <c r="L334" s="7"/>
      <c r="M334" s="7"/>
      <c r="N334" s="7">
        <f t="shared" si="202"/>
        <v>0</v>
      </c>
      <c r="O334" s="7">
        <v>20000000</v>
      </c>
      <c r="P334" s="7"/>
      <c r="Q334" s="7">
        <f t="shared" si="203"/>
        <v>20000000</v>
      </c>
    </row>
    <row r="335" spans="1:17" ht="84">
      <c r="A335" s="6" t="s">
        <v>239</v>
      </c>
      <c r="B335" s="4" t="s">
        <v>27</v>
      </c>
      <c r="C335" s="4" t="s">
        <v>27</v>
      </c>
      <c r="D335" s="8" t="s">
        <v>240</v>
      </c>
      <c r="E335" s="8" t="s">
        <v>29</v>
      </c>
      <c r="F335" s="8" t="s">
        <v>43</v>
      </c>
      <c r="G335" s="8"/>
      <c r="H335" s="7">
        <v>20000000</v>
      </c>
      <c r="I335" s="7">
        <v>20000000</v>
      </c>
      <c r="J335" s="7"/>
      <c r="K335" s="7">
        <f t="shared" si="211"/>
        <v>20000000</v>
      </c>
      <c r="L335" s="7"/>
      <c r="M335" s="7"/>
      <c r="N335" s="7">
        <f t="shared" si="202"/>
        <v>0</v>
      </c>
      <c r="O335" s="7">
        <v>20000000</v>
      </c>
      <c r="P335" s="7"/>
      <c r="Q335" s="7">
        <f t="shared" si="203"/>
        <v>20000000</v>
      </c>
    </row>
    <row r="336" spans="1:17" ht="24" customHeight="1">
      <c r="A336" s="19" t="s">
        <v>241</v>
      </c>
      <c r="B336" s="19"/>
      <c r="C336" s="19"/>
      <c r="D336" s="19"/>
      <c r="E336" s="19"/>
      <c r="F336" s="19"/>
      <c r="G336" s="9"/>
      <c r="H336" s="7">
        <f>H338</f>
        <v>199194508.88999999</v>
      </c>
      <c r="I336" s="7">
        <f t="shared" ref="I336" si="233">I338</f>
        <v>199194568.88999999</v>
      </c>
      <c r="J336" s="7"/>
      <c r="K336" s="7">
        <f t="shared" si="211"/>
        <v>199194508.88999999</v>
      </c>
      <c r="L336" s="7">
        <f t="shared" ref="L336" si="234">L338</f>
        <v>192393300</v>
      </c>
      <c r="M336" s="7"/>
      <c r="N336" s="7">
        <f t="shared" si="202"/>
        <v>192393300</v>
      </c>
      <c r="O336" s="7">
        <f t="shared" ref="O336" si="235">O338</f>
        <v>6801208.8900000006</v>
      </c>
      <c r="P336" s="7"/>
      <c r="Q336" s="7">
        <f t="shared" si="203"/>
        <v>6801208.8900000006</v>
      </c>
    </row>
    <row r="337" spans="1:17">
      <c r="A337" s="19" t="s">
        <v>21</v>
      </c>
      <c r="B337" s="19"/>
      <c r="C337" s="19"/>
      <c r="D337" s="19"/>
      <c r="E337" s="19"/>
      <c r="F337" s="19"/>
      <c r="G337" s="9"/>
      <c r="H337" s="7"/>
      <c r="I337" s="7"/>
      <c r="J337" s="7"/>
      <c r="K337" s="7"/>
      <c r="L337" s="7"/>
      <c r="M337" s="7"/>
      <c r="N337" s="7"/>
      <c r="O337" s="7"/>
      <c r="P337" s="7"/>
      <c r="Q337" s="7"/>
    </row>
    <row r="338" spans="1:17">
      <c r="A338" s="19" t="s">
        <v>22</v>
      </c>
      <c r="B338" s="19"/>
      <c r="C338" s="19"/>
      <c r="D338" s="19"/>
      <c r="E338" s="19"/>
      <c r="F338" s="19"/>
      <c r="G338" s="9"/>
      <c r="H338" s="7">
        <f>H339+H343</f>
        <v>199194508.88999999</v>
      </c>
      <c r="I338" s="7">
        <f t="shared" ref="I338" si="236">I339+I343</f>
        <v>199194568.88999999</v>
      </c>
      <c r="J338" s="7"/>
      <c r="K338" s="7">
        <f t="shared" si="211"/>
        <v>199194508.88999999</v>
      </c>
      <c r="L338" s="7">
        <f t="shared" ref="L338" si="237">L339+L343</f>
        <v>192393300</v>
      </c>
      <c r="M338" s="7"/>
      <c r="N338" s="7">
        <f t="shared" si="202"/>
        <v>192393300</v>
      </c>
      <c r="O338" s="7">
        <f t="shared" ref="O338" si="238">O339+O343</f>
        <v>6801208.8900000006</v>
      </c>
      <c r="P338" s="7"/>
      <c r="Q338" s="7">
        <f t="shared" si="203"/>
        <v>6801208.8900000006</v>
      </c>
    </row>
    <row r="339" spans="1:17" ht="21.75" customHeight="1">
      <c r="A339" s="19" t="s">
        <v>242</v>
      </c>
      <c r="B339" s="19"/>
      <c r="C339" s="19"/>
      <c r="D339" s="19"/>
      <c r="E339" s="19"/>
      <c r="F339" s="19"/>
      <c r="G339" s="9"/>
      <c r="H339" s="7">
        <f>H340</f>
        <v>2876888.89</v>
      </c>
      <c r="I339" s="7">
        <f t="shared" ref="I339" si="239">I340</f>
        <v>2876888.89</v>
      </c>
      <c r="J339" s="7"/>
      <c r="K339" s="7">
        <f t="shared" si="211"/>
        <v>2876888.89</v>
      </c>
      <c r="L339" s="7"/>
      <c r="M339" s="7"/>
      <c r="N339" s="7"/>
      <c r="O339" s="7">
        <f t="shared" ref="O339" si="240">O340</f>
        <v>2876888.89</v>
      </c>
      <c r="P339" s="7"/>
      <c r="Q339" s="7">
        <f t="shared" si="203"/>
        <v>2876888.89</v>
      </c>
    </row>
    <row r="340" spans="1:17">
      <c r="A340" s="14" t="s">
        <v>25</v>
      </c>
      <c r="B340" s="14"/>
      <c r="C340" s="14"/>
      <c r="D340" s="14"/>
      <c r="E340" s="14"/>
      <c r="F340" s="14"/>
      <c r="G340" s="11"/>
      <c r="H340" s="5">
        <f>H341+H342</f>
        <v>2876888.89</v>
      </c>
      <c r="I340" s="5">
        <f t="shared" ref="I340" si="241">I341+I342</f>
        <v>2876888.89</v>
      </c>
      <c r="J340" s="7"/>
      <c r="K340" s="5">
        <f t="shared" si="211"/>
        <v>2876888.89</v>
      </c>
      <c r="L340" s="7"/>
      <c r="M340" s="7"/>
      <c r="N340" s="7"/>
      <c r="O340" s="5">
        <f t="shared" ref="O340" si="242">O341+O342</f>
        <v>2876888.89</v>
      </c>
      <c r="P340" s="7"/>
      <c r="Q340" s="5">
        <f t="shared" si="203"/>
        <v>2876888.89</v>
      </c>
    </row>
    <row r="341" spans="1:17" ht="63">
      <c r="A341" s="6" t="s">
        <v>243</v>
      </c>
      <c r="B341" s="4" t="s">
        <v>27</v>
      </c>
      <c r="C341" s="4" t="s">
        <v>27</v>
      </c>
      <c r="D341" s="8" t="s">
        <v>244</v>
      </c>
      <c r="E341" s="8" t="s">
        <v>103</v>
      </c>
      <c r="F341" s="8" t="s">
        <v>46</v>
      </c>
      <c r="G341" s="8"/>
      <c r="H341" s="7">
        <v>1939177.78</v>
      </c>
      <c r="I341" s="7">
        <v>1939177.78</v>
      </c>
      <c r="J341" s="7"/>
      <c r="K341" s="7">
        <f t="shared" si="211"/>
        <v>1939177.78</v>
      </c>
      <c r="L341" s="7"/>
      <c r="M341" s="7"/>
      <c r="N341" s="7"/>
      <c r="O341" s="7">
        <v>1939177.78</v>
      </c>
      <c r="P341" s="7"/>
      <c r="Q341" s="7">
        <f t="shared" si="203"/>
        <v>1939177.78</v>
      </c>
    </row>
    <row r="342" spans="1:17" ht="52.5">
      <c r="A342" s="6" t="s">
        <v>245</v>
      </c>
      <c r="B342" s="4" t="s">
        <v>27</v>
      </c>
      <c r="C342" s="4" t="s">
        <v>27</v>
      </c>
      <c r="D342" s="8" t="s">
        <v>244</v>
      </c>
      <c r="E342" s="8" t="s">
        <v>246</v>
      </c>
      <c r="F342" s="8" t="s">
        <v>46</v>
      </c>
      <c r="G342" s="8"/>
      <c r="H342" s="7">
        <v>937711.11</v>
      </c>
      <c r="I342" s="7">
        <v>937711.11</v>
      </c>
      <c r="J342" s="7"/>
      <c r="K342" s="7">
        <f t="shared" si="211"/>
        <v>937711.11</v>
      </c>
      <c r="L342" s="7"/>
      <c r="M342" s="7"/>
      <c r="N342" s="7"/>
      <c r="O342" s="7">
        <v>937711.11</v>
      </c>
      <c r="P342" s="7"/>
      <c r="Q342" s="7">
        <f t="shared" si="203"/>
        <v>937711.11</v>
      </c>
    </row>
    <row r="343" spans="1:17">
      <c r="A343" s="19" t="s">
        <v>250</v>
      </c>
      <c r="B343" s="19"/>
      <c r="C343" s="19"/>
      <c r="D343" s="19"/>
      <c r="E343" s="19"/>
      <c r="F343" s="19"/>
      <c r="G343" s="9"/>
      <c r="H343" s="7">
        <f>H344</f>
        <v>196317620</v>
      </c>
      <c r="I343" s="7">
        <f t="shared" ref="I343" si="243">I344</f>
        <v>196317680</v>
      </c>
      <c r="J343" s="7"/>
      <c r="K343" s="7">
        <f t="shared" si="211"/>
        <v>196317620</v>
      </c>
      <c r="L343" s="7">
        <f t="shared" ref="L343" si="244">L344</f>
        <v>192393300</v>
      </c>
      <c r="M343" s="7"/>
      <c r="N343" s="7">
        <f t="shared" si="202"/>
        <v>192393300</v>
      </c>
      <c r="O343" s="7">
        <f t="shared" ref="O343" si="245">O344</f>
        <v>3924320</v>
      </c>
      <c r="P343" s="7"/>
      <c r="Q343" s="7">
        <f t="shared" si="203"/>
        <v>3924320</v>
      </c>
    </row>
    <row r="344" spans="1:17">
      <c r="A344" s="14" t="s">
        <v>25</v>
      </c>
      <c r="B344" s="14"/>
      <c r="C344" s="14"/>
      <c r="D344" s="14"/>
      <c r="E344" s="14"/>
      <c r="F344" s="14"/>
      <c r="G344" s="11"/>
      <c r="H344" s="5">
        <f>H345+H346+H347</f>
        <v>196317620</v>
      </c>
      <c r="I344" s="5">
        <f t="shared" ref="I344" si="246">I345+I346+I347</f>
        <v>196317680</v>
      </c>
      <c r="J344" s="5"/>
      <c r="K344" s="5">
        <f t="shared" si="211"/>
        <v>196317620</v>
      </c>
      <c r="L344" s="5">
        <f t="shared" ref="L344" si="247">L345+L346+L347</f>
        <v>192393300</v>
      </c>
      <c r="M344" s="5"/>
      <c r="N344" s="5">
        <f t="shared" si="202"/>
        <v>192393300</v>
      </c>
      <c r="O344" s="5">
        <f t="shared" ref="O344" si="248">O345+O346+O347</f>
        <v>3924320</v>
      </c>
      <c r="P344" s="5"/>
      <c r="Q344" s="5">
        <f t="shared" si="203"/>
        <v>3924320</v>
      </c>
    </row>
    <row r="345" spans="1:17" ht="63">
      <c r="A345" s="6" t="s">
        <v>254</v>
      </c>
      <c r="B345" s="4" t="s">
        <v>27</v>
      </c>
      <c r="C345" s="4" t="s">
        <v>27</v>
      </c>
      <c r="D345" s="8" t="s">
        <v>121</v>
      </c>
      <c r="E345" s="8" t="s">
        <v>255</v>
      </c>
      <c r="F345" s="8" t="s">
        <v>46</v>
      </c>
      <c r="G345" s="8"/>
      <c r="H345" s="7">
        <v>109152000</v>
      </c>
      <c r="I345" s="7">
        <f>106971000+2181000</f>
        <v>109152000</v>
      </c>
      <c r="J345" s="7"/>
      <c r="K345" s="7">
        <f t="shared" si="211"/>
        <v>109152000</v>
      </c>
      <c r="L345" s="7">
        <v>106971000</v>
      </c>
      <c r="M345" s="7"/>
      <c r="N345" s="7">
        <f t="shared" si="202"/>
        <v>106971000</v>
      </c>
      <c r="O345" s="7">
        <v>2181000</v>
      </c>
      <c r="P345" s="7"/>
      <c r="Q345" s="7">
        <f t="shared" si="203"/>
        <v>2181000</v>
      </c>
    </row>
    <row r="346" spans="1:17" ht="63">
      <c r="A346" s="6" t="s">
        <v>256</v>
      </c>
      <c r="B346" s="4" t="s">
        <v>27</v>
      </c>
      <c r="C346" s="4" t="s">
        <v>27</v>
      </c>
      <c r="D346" s="8" t="s">
        <v>102</v>
      </c>
      <c r="E346" s="8" t="s">
        <v>190</v>
      </c>
      <c r="F346" s="8" t="s">
        <v>46</v>
      </c>
      <c r="G346" s="8"/>
      <c r="H346" s="7">
        <v>52592560</v>
      </c>
      <c r="I346" s="7">
        <f>51540660+1051900</f>
        <v>52592560</v>
      </c>
      <c r="J346" s="7"/>
      <c r="K346" s="7">
        <f t="shared" si="211"/>
        <v>52592560</v>
      </c>
      <c r="L346" s="7">
        <v>51540660</v>
      </c>
      <c r="M346" s="7"/>
      <c r="N346" s="7">
        <f t="shared" si="202"/>
        <v>51540660</v>
      </c>
      <c r="O346" s="7">
        <v>1051900</v>
      </c>
      <c r="P346" s="7"/>
      <c r="Q346" s="7">
        <f t="shared" si="203"/>
        <v>1051900</v>
      </c>
    </row>
    <row r="347" spans="1:17" ht="63">
      <c r="A347" s="6" t="s">
        <v>260</v>
      </c>
      <c r="B347" s="4" t="s">
        <v>27</v>
      </c>
      <c r="C347" s="4" t="s">
        <v>27</v>
      </c>
      <c r="D347" s="8" t="s">
        <v>261</v>
      </c>
      <c r="E347" s="8" t="s">
        <v>190</v>
      </c>
      <c r="F347" s="8" t="s">
        <v>46</v>
      </c>
      <c r="G347" s="8"/>
      <c r="H347" s="7">
        <v>34573060</v>
      </c>
      <c r="I347" s="7">
        <v>34573120</v>
      </c>
      <c r="J347" s="7"/>
      <c r="K347" s="7">
        <f t="shared" si="211"/>
        <v>34573060</v>
      </c>
      <c r="L347" s="7">
        <v>33881640</v>
      </c>
      <c r="M347" s="7"/>
      <c r="N347" s="7">
        <f t="shared" si="202"/>
        <v>33881640</v>
      </c>
      <c r="O347" s="7">
        <v>691420</v>
      </c>
      <c r="P347" s="7"/>
      <c r="Q347" s="7">
        <f t="shared" si="203"/>
        <v>691420</v>
      </c>
    </row>
    <row r="348" spans="1:17" ht="24.75" customHeight="1">
      <c r="A348" s="19" t="s">
        <v>268</v>
      </c>
      <c r="B348" s="19"/>
      <c r="C348" s="19"/>
      <c r="D348" s="19"/>
      <c r="E348" s="19"/>
      <c r="F348" s="19"/>
      <c r="G348" s="9"/>
      <c r="H348" s="7">
        <f>H349</f>
        <v>108728979.59</v>
      </c>
      <c r="I348" s="7">
        <f t="shared" ref="I348" si="249">I349</f>
        <v>108728979.59</v>
      </c>
      <c r="J348" s="7"/>
      <c r="K348" s="7">
        <f t="shared" si="211"/>
        <v>108728979.59</v>
      </c>
      <c r="L348" s="7">
        <f t="shared" ref="L348" si="250">L349</f>
        <v>106554400</v>
      </c>
      <c r="M348" s="7"/>
      <c r="N348" s="7">
        <f t="shared" si="202"/>
        <v>106554400</v>
      </c>
      <c r="O348" s="7">
        <f t="shared" ref="O348" si="251">O349</f>
        <v>2174579.59</v>
      </c>
      <c r="P348" s="7"/>
      <c r="Q348" s="7">
        <f t="shared" si="203"/>
        <v>2174579.59</v>
      </c>
    </row>
    <row r="349" spans="1:17">
      <c r="A349" s="19" t="s">
        <v>21</v>
      </c>
      <c r="B349" s="19"/>
      <c r="C349" s="19"/>
      <c r="D349" s="19"/>
      <c r="E349" s="19"/>
      <c r="F349" s="19"/>
      <c r="G349" s="9"/>
      <c r="H349" s="7">
        <f>H351</f>
        <v>108728979.59</v>
      </c>
      <c r="I349" s="7">
        <f t="shared" ref="I349" si="252">I351</f>
        <v>108728979.59</v>
      </c>
      <c r="J349" s="7"/>
      <c r="K349" s="7">
        <f t="shared" si="211"/>
        <v>108728979.59</v>
      </c>
      <c r="L349" s="7">
        <f t="shared" ref="L349" si="253">L351</f>
        <v>106554400</v>
      </c>
      <c r="M349" s="7"/>
      <c r="N349" s="7">
        <f t="shared" si="202"/>
        <v>106554400</v>
      </c>
      <c r="O349" s="7">
        <f t="shared" ref="O349" si="254">O351</f>
        <v>2174579.59</v>
      </c>
      <c r="P349" s="7"/>
      <c r="Q349" s="7">
        <f t="shared" si="203"/>
        <v>2174579.59</v>
      </c>
    </row>
    <row r="350" spans="1:17">
      <c r="A350" s="19" t="s">
        <v>22</v>
      </c>
      <c r="B350" s="19"/>
      <c r="C350" s="19"/>
      <c r="D350" s="19"/>
      <c r="E350" s="19"/>
      <c r="F350" s="19"/>
      <c r="G350" s="9"/>
      <c r="H350" s="7"/>
      <c r="I350" s="7"/>
      <c r="J350" s="7"/>
      <c r="K350" s="7"/>
      <c r="L350" s="7"/>
      <c r="M350" s="7"/>
      <c r="N350" s="7"/>
      <c r="O350" s="7"/>
      <c r="P350" s="7"/>
      <c r="Q350" s="7">
        <f t="shared" si="203"/>
        <v>0</v>
      </c>
    </row>
    <row r="351" spans="1:17" hidden="1">
      <c r="A351" s="19" t="s">
        <v>0</v>
      </c>
      <c r="B351" s="19"/>
      <c r="C351" s="19"/>
      <c r="D351" s="19"/>
      <c r="E351" s="19"/>
      <c r="F351" s="19"/>
      <c r="G351" s="9"/>
      <c r="H351" s="7">
        <f>H352</f>
        <v>108728979.59</v>
      </c>
      <c r="I351" s="7">
        <f t="shared" ref="I351" si="255">I352</f>
        <v>108728979.59</v>
      </c>
      <c r="J351" s="7"/>
      <c r="K351" s="7">
        <f t="shared" si="211"/>
        <v>108728979.59</v>
      </c>
      <c r="L351" s="7">
        <f t="shared" ref="L351" si="256">L352</f>
        <v>106554400</v>
      </c>
      <c r="M351" s="7"/>
      <c r="N351" s="7">
        <f t="shared" si="202"/>
        <v>106554400</v>
      </c>
      <c r="O351" s="7">
        <f t="shared" ref="O351" si="257">O352</f>
        <v>2174579.59</v>
      </c>
      <c r="P351" s="7"/>
      <c r="Q351" s="7">
        <f t="shared" si="203"/>
        <v>2174579.59</v>
      </c>
    </row>
    <row r="352" spans="1:17">
      <c r="A352" s="14" t="s">
        <v>25</v>
      </c>
      <c r="B352" s="14"/>
      <c r="C352" s="14"/>
      <c r="D352" s="14"/>
      <c r="E352" s="14"/>
      <c r="F352" s="14"/>
      <c r="G352" s="11"/>
      <c r="H352" s="5">
        <f>H353+H355</f>
        <v>108728979.59</v>
      </c>
      <c r="I352" s="5">
        <f t="shared" ref="I352" si="258">I353+I355</f>
        <v>108728979.59</v>
      </c>
      <c r="J352" s="7"/>
      <c r="K352" s="5">
        <f t="shared" si="211"/>
        <v>108728979.59</v>
      </c>
      <c r="L352" s="5">
        <f t="shared" ref="L352" si="259">L353+L355</f>
        <v>106554400</v>
      </c>
      <c r="M352" s="7"/>
      <c r="N352" s="5">
        <f t="shared" si="202"/>
        <v>106554400</v>
      </c>
      <c r="O352" s="5">
        <f t="shared" ref="O352" si="260">O353+O355</f>
        <v>2174579.59</v>
      </c>
      <c r="P352" s="7"/>
      <c r="Q352" s="5">
        <f t="shared" si="203"/>
        <v>2174579.59</v>
      </c>
    </row>
    <row r="353" spans="1:17" ht="84">
      <c r="A353" s="6" t="s">
        <v>269</v>
      </c>
      <c r="B353" s="4" t="s">
        <v>27</v>
      </c>
      <c r="C353" s="4" t="s">
        <v>27</v>
      </c>
      <c r="D353" s="8" t="s">
        <v>270</v>
      </c>
      <c r="E353" s="8" t="s">
        <v>29</v>
      </c>
      <c r="F353" s="8" t="s">
        <v>271</v>
      </c>
      <c r="G353" s="8"/>
      <c r="H353" s="7">
        <v>70884499.590000004</v>
      </c>
      <c r="I353" s="7">
        <v>70884499.590000004</v>
      </c>
      <c r="J353" s="7"/>
      <c r="K353" s="7">
        <f t="shared" si="211"/>
        <v>70884499.590000004</v>
      </c>
      <c r="L353" s="7">
        <v>69466809.599999994</v>
      </c>
      <c r="M353" s="7"/>
      <c r="N353" s="7">
        <f t="shared" si="202"/>
        <v>69466809.599999994</v>
      </c>
      <c r="O353" s="7">
        <v>1417689.99</v>
      </c>
      <c r="P353" s="7"/>
      <c r="Q353" s="7">
        <f t="shared" si="203"/>
        <v>1417689.99</v>
      </c>
    </row>
    <row r="354" spans="1:17" ht="21">
      <c r="A354" s="6" t="s">
        <v>272</v>
      </c>
      <c r="B354" s="6" t="s">
        <v>273</v>
      </c>
      <c r="C354" s="6" t="s">
        <v>0</v>
      </c>
      <c r="D354" s="6" t="s">
        <v>0</v>
      </c>
      <c r="E354" s="6" t="s">
        <v>0</v>
      </c>
      <c r="F354" s="6" t="s">
        <v>0</v>
      </c>
      <c r="G354" s="6"/>
      <c r="H354" s="7">
        <v>70884499.590000004</v>
      </c>
      <c r="I354" s="7">
        <v>70884499.590000004</v>
      </c>
      <c r="J354" s="7"/>
      <c r="K354" s="7">
        <f t="shared" si="211"/>
        <v>70884499.590000004</v>
      </c>
      <c r="L354" s="7">
        <v>69466809.599999994</v>
      </c>
      <c r="M354" s="7"/>
      <c r="N354" s="7">
        <f t="shared" si="202"/>
        <v>69466809.599999994</v>
      </c>
      <c r="O354" s="7">
        <v>1417689.99</v>
      </c>
      <c r="P354" s="7"/>
      <c r="Q354" s="7">
        <f t="shared" si="203"/>
        <v>1417689.99</v>
      </c>
    </row>
    <row r="355" spans="1:17" ht="84">
      <c r="A355" s="6" t="s">
        <v>278</v>
      </c>
      <c r="B355" s="4" t="s">
        <v>27</v>
      </c>
      <c r="C355" s="4" t="s">
        <v>27</v>
      </c>
      <c r="D355" s="8" t="s">
        <v>279</v>
      </c>
      <c r="E355" s="8" t="s">
        <v>29</v>
      </c>
      <c r="F355" s="8" t="s">
        <v>173</v>
      </c>
      <c r="G355" s="8"/>
      <c r="H355" s="7">
        <v>37844480</v>
      </c>
      <c r="I355" s="7">
        <f>I356</f>
        <v>37844480</v>
      </c>
      <c r="J355" s="7"/>
      <c r="K355" s="7">
        <f t="shared" si="211"/>
        <v>37844480</v>
      </c>
      <c r="L355" s="7">
        <v>37087590.399999999</v>
      </c>
      <c r="M355" s="7"/>
      <c r="N355" s="7">
        <f t="shared" si="202"/>
        <v>37087590.399999999</v>
      </c>
      <c r="O355" s="7">
        <v>756889.59999999998</v>
      </c>
      <c r="P355" s="7"/>
      <c r="Q355" s="7">
        <f t="shared" si="203"/>
        <v>756889.59999999998</v>
      </c>
    </row>
    <row r="356" spans="1:17" ht="21">
      <c r="A356" s="6" t="s">
        <v>272</v>
      </c>
      <c r="B356" s="6" t="s">
        <v>273</v>
      </c>
      <c r="C356" s="6" t="s">
        <v>0</v>
      </c>
      <c r="D356" s="6" t="s">
        <v>0</v>
      </c>
      <c r="E356" s="6" t="s">
        <v>0</v>
      </c>
      <c r="F356" s="6" t="s">
        <v>0</v>
      </c>
      <c r="G356" s="6" t="s">
        <v>0</v>
      </c>
      <c r="H356" s="7">
        <v>37844480</v>
      </c>
      <c r="I356" s="7">
        <v>37844480</v>
      </c>
      <c r="J356" s="7"/>
      <c r="K356" s="7">
        <f t="shared" si="211"/>
        <v>37844480</v>
      </c>
      <c r="L356" s="7">
        <v>37087590.399999999</v>
      </c>
      <c r="M356" s="7"/>
      <c r="N356" s="7">
        <f t="shared" si="202"/>
        <v>37087590.399999999</v>
      </c>
      <c r="O356" s="7">
        <v>756889.59999999998</v>
      </c>
      <c r="P356" s="7"/>
      <c r="Q356" s="7">
        <f t="shared" si="203"/>
        <v>756889.59999999998</v>
      </c>
    </row>
    <row r="357" spans="1:17">
      <c r="A357" s="18" t="s">
        <v>2</v>
      </c>
      <c r="B357" s="18" t="s">
        <v>3</v>
      </c>
      <c r="C357" s="18" t="s">
        <v>4</v>
      </c>
      <c r="D357" s="18" t="s">
        <v>5</v>
      </c>
      <c r="E357" s="18" t="s">
        <v>6</v>
      </c>
      <c r="F357" s="18" t="s">
        <v>7</v>
      </c>
      <c r="G357" s="18" t="s">
        <v>306</v>
      </c>
      <c r="H357" s="20" t="s">
        <v>299</v>
      </c>
      <c r="I357" s="20"/>
      <c r="J357" s="20"/>
      <c r="K357" s="20"/>
      <c r="L357" s="20"/>
      <c r="M357" s="20"/>
      <c r="N357" s="20"/>
      <c r="O357" s="20"/>
      <c r="P357" s="20"/>
      <c r="Q357" s="20"/>
    </row>
    <row r="358" spans="1:17" ht="21.75" customHeight="1">
      <c r="A358" s="14" t="s">
        <v>0</v>
      </c>
      <c r="B358" s="14" t="s">
        <v>0</v>
      </c>
      <c r="C358" s="14" t="s">
        <v>0</v>
      </c>
      <c r="D358" s="14" t="s">
        <v>0</v>
      </c>
      <c r="E358" s="14" t="s">
        <v>0</v>
      </c>
      <c r="F358" s="14" t="s">
        <v>0</v>
      </c>
      <c r="G358" s="14" t="s">
        <v>0</v>
      </c>
      <c r="H358" s="18" t="s">
        <v>312</v>
      </c>
      <c r="I358" s="18" t="s">
        <v>310</v>
      </c>
      <c r="J358" s="18" t="s">
        <v>311</v>
      </c>
      <c r="K358" s="18" t="s">
        <v>10</v>
      </c>
      <c r="L358" s="18" t="s">
        <v>11</v>
      </c>
      <c r="M358" s="18"/>
      <c r="N358" s="18"/>
      <c r="O358" s="18"/>
      <c r="P358" s="18"/>
      <c r="Q358" s="18"/>
    </row>
    <row r="359" spans="1:17" ht="28.5" customHeight="1">
      <c r="A359" s="14" t="s">
        <v>0</v>
      </c>
      <c r="B359" s="14" t="s">
        <v>0</v>
      </c>
      <c r="C359" s="14" t="s">
        <v>0</v>
      </c>
      <c r="D359" s="14" t="s">
        <v>0</v>
      </c>
      <c r="E359" s="14" t="s">
        <v>0</v>
      </c>
      <c r="F359" s="14" t="s">
        <v>0</v>
      </c>
      <c r="G359" s="14" t="s">
        <v>0</v>
      </c>
      <c r="H359" s="21" t="s">
        <v>0</v>
      </c>
      <c r="I359" s="21" t="s">
        <v>0</v>
      </c>
      <c r="J359" s="21" t="s">
        <v>0</v>
      </c>
      <c r="K359" s="21" t="s">
        <v>0</v>
      </c>
      <c r="L359" s="18" t="s">
        <v>12</v>
      </c>
      <c r="M359" s="18" t="s">
        <v>9</v>
      </c>
      <c r="N359" s="18" t="s">
        <v>10</v>
      </c>
      <c r="O359" s="18" t="s">
        <v>13</v>
      </c>
      <c r="P359" s="18" t="s">
        <v>9</v>
      </c>
      <c r="Q359" s="18" t="s">
        <v>10</v>
      </c>
    </row>
    <row r="360" spans="1:17" ht="28.5" customHeight="1">
      <c r="A360" s="14" t="s">
        <v>0</v>
      </c>
      <c r="B360" s="14" t="s">
        <v>0</v>
      </c>
      <c r="C360" s="14" t="s">
        <v>0</v>
      </c>
      <c r="D360" s="14" t="s">
        <v>0</v>
      </c>
      <c r="E360" s="14" t="s">
        <v>0</v>
      </c>
      <c r="F360" s="14" t="s">
        <v>0</v>
      </c>
      <c r="G360" s="14" t="s">
        <v>0</v>
      </c>
      <c r="H360" s="21" t="s">
        <v>0</v>
      </c>
      <c r="I360" s="21" t="s">
        <v>0</v>
      </c>
      <c r="J360" s="21" t="s">
        <v>0</v>
      </c>
      <c r="K360" s="21" t="s">
        <v>0</v>
      </c>
      <c r="L360" s="21" t="s">
        <v>0</v>
      </c>
      <c r="M360" s="21" t="s">
        <v>0</v>
      </c>
      <c r="N360" s="21" t="s">
        <v>0</v>
      </c>
      <c r="O360" s="21" t="s">
        <v>0</v>
      </c>
      <c r="P360" s="21" t="s">
        <v>0</v>
      </c>
      <c r="Q360" s="21" t="s">
        <v>0</v>
      </c>
    </row>
    <row r="361" spans="1:17">
      <c r="A361" s="4" t="s">
        <v>14</v>
      </c>
      <c r="B361" s="4" t="s">
        <v>15</v>
      </c>
      <c r="C361" s="4" t="s">
        <v>16</v>
      </c>
      <c r="D361" s="4" t="s">
        <v>17</v>
      </c>
      <c r="E361" s="4" t="s">
        <v>18</v>
      </c>
      <c r="F361" s="4" t="s">
        <v>19</v>
      </c>
      <c r="G361" s="4">
        <v>7</v>
      </c>
      <c r="H361" s="4">
        <v>8</v>
      </c>
      <c r="I361" s="4">
        <v>9</v>
      </c>
      <c r="J361" s="4">
        <v>10</v>
      </c>
      <c r="K361" s="4">
        <v>11</v>
      </c>
      <c r="L361" s="4">
        <v>12</v>
      </c>
      <c r="M361" s="4">
        <v>13</v>
      </c>
      <c r="N361" s="4">
        <v>14</v>
      </c>
      <c r="O361" s="4">
        <v>15</v>
      </c>
      <c r="P361" s="4">
        <v>16</v>
      </c>
      <c r="Q361" s="4">
        <v>17</v>
      </c>
    </row>
    <row r="362" spans="1:17">
      <c r="A362" s="14" t="s">
        <v>20</v>
      </c>
      <c r="B362" s="14"/>
      <c r="C362" s="14"/>
      <c r="D362" s="14"/>
      <c r="E362" s="14"/>
      <c r="F362" s="14"/>
      <c r="G362" s="11"/>
      <c r="H362" s="5">
        <f>H363+H364</f>
        <v>2160392396.5799999</v>
      </c>
      <c r="I362" s="5">
        <f t="shared" ref="I362" si="261">I363+I364</f>
        <v>2160392396.5799999</v>
      </c>
      <c r="J362" s="5"/>
      <c r="K362" s="5">
        <f>H362+J362</f>
        <v>2160392396.5799999</v>
      </c>
      <c r="L362" s="5">
        <f t="shared" ref="L362" si="262">L363+L364</f>
        <v>1419623520</v>
      </c>
      <c r="M362" s="5"/>
      <c r="N362" s="5">
        <f>L362+M362</f>
        <v>1419623520</v>
      </c>
      <c r="O362" s="5">
        <f t="shared" ref="O362" si="263">O363+O364</f>
        <v>740768876.58000004</v>
      </c>
      <c r="P362" s="5"/>
      <c r="Q362" s="5">
        <f>O362+P362</f>
        <v>740768876.58000004</v>
      </c>
    </row>
    <row r="363" spans="1:17">
      <c r="A363" s="15" t="s">
        <v>21</v>
      </c>
      <c r="B363" s="15"/>
      <c r="C363" s="15"/>
      <c r="D363" s="15"/>
      <c r="E363" s="15"/>
      <c r="F363" s="15"/>
      <c r="G363" s="6"/>
      <c r="H363" s="7">
        <f>H366+H375+H397+H403+H410</f>
        <v>108046700</v>
      </c>
      <c r="I363" s="7">
        <f t="shared" ref="I363" si="264">I366+I375+I397+I403+I410</f>
        <v>108046700</v>
      </c>
      <c r="J363" s="7"/>
      <c r="K363" s="7">
        <f t="shared" ref="K363:K416" si="265">H363+J363</f>
        <v>108046700</v>
      </c>
      <c r="L363" s="7">
        <f t="shared" ref="L363" si="266">L366+L375+L397+L403+L410</f>
        <v>108046700</v>
      </c>
      <c r="M363" s="7"/>
      <c r="N363" s="7">
        <f t="shared" ref="N363:N415" si="267">L363+M363</f>
        <v>108046700</v>
      </c>
      <c r="O363" s="7"/>
      <c r="P363" s="7"/>
      <c r="Q363" s="7"/>
    </row>
    <row r="364" spans="1:17">
      <c r="A364" s="15" t="s">
        <v>22</v>
      </c>
      <c r="B364" s="15"/>
      <c r="C364" s="15"/>
      <c r="D364" s="15"/>
      <c r="E364" s="15"/>
      <c r="F364" s="15"/>
      <c r="G364" s="6"/>
      <c r="H364" s="7">
        <f>H367+H376+H398+H404+H411</f>
        <v>2052345696.5799999</v>
      </c>
      <c r="I364" s="7">
        <f t="shared" ref="I364" si="268">I367+I376+I398+I404+I411</f>
        <v>2052345696.5799999</v>
      </c>
      <c r="J364" s="7"/>
      <c r="K364" s="7">
        <f t="shared" si="265"/>
        <v>2052345696.5799999</v>
      </c>
      <c r="L364" s="7">
        <f t="shared" ref="L364" si="269">L367+L376+L398+L404+L411</f>
        <v>1311576820</v>
      </c>
      <c r="M364" s="7"/>
      <c r="N364" s="7">
        <f t="shared" si="267"/>
        <v>1311576820</v>
      </c>
      <c r="O364" s="7">
        <f t="shared" ref="O364" si="270">O367+O376+O398+O404+O411</f>
        <v>740768876.58000004</v>
      </c>
      <c r="P364" s="7"/>
      <c r="Q364" s="7">
        <f t="shared" ref="Q364:Q416" si="271">O364+P364</f>
        <v>740768876.58000004</v>
      </c>
    </row>
    <row r="365" spans="1:17" ht="22.5" customHeight="1">
      <c r="A365" s="19" t="s">
        <v>23</v>
      </c>
      <c r="B365" s="19"/>
      <c r="C365" s="19"/>
      <c r="D365" s="19"/>
      <c r="E365" s="19"/>
      <c r="F365" s="19"/>
      <c r="G365" s="9"/>
      <c r="H365" s="7">
        <f>H367</f>
        <v>653613500</v>
      </c>
      <c r="I365" s="7">
        <f t="shared" ref="I365" si="272">I367</f>
        <v>653613500</v>
      </c>
      <c r="J365" s="7"/>
      <c r="K365" s="7">
        <f t="shared" si="265"/>
        <v>653613500</v>
      </c>
      <c r="L365" s="7">
        <f t="shared" ref="L365" si="273">L367</f>
        <v>511576820</v>
      </c>
      <c r="M365" s="7"/>
      <c r="N365" s="7">
        <f t="shared" si="267"/>
        <v>511576820</v>
      </c>
      <c r="O365" s="7">
        <f t="shared" ref="O365" si="274">O367</f>
        <v>142036680</v>
      </c>
      <c r="P365" s="7"/>
      <c r="Q365" s="7">
        <f t="shared" si="271"/>
        <v>142036680</v>
      </c>
    </row>
    <row r="366" spans="1:17">
      <c r="A366" s="19" t="s">
        <v>21</v>
      </c>
      <c r="B366" s="19"/>
      <c r="C366" s="19"/>
      <c r="D366" s="19"/>
      <c r="E366" s="19"/>
      <c r="F366" s="19"/>
      <c r="G366" s="9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spans="1:17">
      <c r="A367" s="19" t="s">
        <v>22</v>
      </c>
      <c r="B367" s="19"/>
      <c r="C367" s="19"/>
      <c r="D367" s="19"/>
      <c r="E367" s="19"/>
      <c r="F367" s="19"/>
      <c r="G367" s="9"/>
      <c r="H367" s="7">
        <f>H368</f>
        <v>653613500</v>
      </c>
      <c r="I367" s="7">
        <f t="shared" ref="I367:I368" si="275">I368</f>
        <v>653613500</v>
      </c>
      <c r="J367" s="7"/>
      <c r="K367" s="7">
        <f t="shared" si="265"/>
        <v>653613500</v>
      </c>
      <c r="L367" s="7">
        <f t="shared" ref="L367:L368" si="276">L368</f>
        <v>511576820</v>
      </c>
      <c r="M367" s="7"/>
      <c r="N367" s="7">
        <f t="shared" si="267"/>
        <v>511576820</v>
      </c>
      <c r="O367" s="7">
        <f t="shared" ref="O367:O368" si="277">O368</f>
        <v>142036680</v>
      </c>
      <c r="P367" s="7"/>
      <c r="Q367" s="7">
        <f t="shared" si="271"/>
        <v>142036680</v>
      </c>
    </row>
    <row r="368" spans="1:17" ht="22.5" customHeight="1">
      <c r="A368" s="19" t="s">
        <v>24</v>
      </c>
      <c r="B368" s="19"/>
      <c r="C368" s="19"/>
      <c r="D368" s="19"/>
      <c r="E368" s="19"/>
      <c r="F368" s="19"/>
      <c r="G368" s="9"/>
      <c r="H368" s="7">
        <f>H369</f>
        <v>653613500</v>
      </c>
      <c r="I368" s="7">
        <f t="shared" si="275"/>
        <v>653613500</v>
      </c>
      <c r="J368" s="7"/>
      <c r="K368" s="7">
        <f t="shared" si="265"/>
        <v>653613500</v>
      </c>
      <c r="L368" s="7">
        <f t="shared" si="276"/>
        <v>511576820</v>
      </c>
      <c r="M368" s="7"/>
      <c r="N368" s="7">
        <f t="shared" si="267"/>
        <v>511576820</v>
      </c>
      <c r="O368" s="7">
        <f t="shared" si="277"/>
        <v>142036680</v>
      </c>
      <c r="P368" s="7"/>
      <c r="Q368" s="7">
        <f t="shared" si="271"/>
        <v>142036680</v>
      </c>
    </row>
    <row r="369" spans="1:17" ht="17.25" customHeight="1">
      <c r="A369" s="14" t="s">
        <v>25</v>
      </c>
      <c r="B369" s="14"/>
      <c r="C369" s="14"/>
      <c r="D369" s="14"/>
      <c r="E369" s="14"/>
      <c r="F369" s="14"/>
      <c r="G369" s="11"/>
      <c r="H369" s="5">
        <f>SUM(H370:H373)</f>
        <v>653613500</v>
      </c>
      <c r="I369" s="5">
        <f t="shared" ref="I369" si="278">SUM(I370:I373)</f>
        <v>653613500</v>
      </c>
      <c r="J369" s="5"/>
      <c r="K369" s="5">
        <f t="shared" si="265"/>
        <v>653613500</v>
      </c>
      <c r="L369" s="5">
        <f t="shared" ref="L369" si="279">SUM(L370:L373)</f>
        <v>511576820</v>
      </c>
      <c r="M369" s="5"/>
      <c r="N369" s="5">
        <f t="shared" si="267"/>
        <v>511576820</v>
      </c>
      <c r="O369" s="5">
        <f t="shared" ref="O369" si="280">SUM(O370:O373)</f>
        <v>142036680</v>
      </c>
      <c r="P369" s="5"/>
      <c r="Q369" s="5">
        <f t="shared" si="271"/>
        <v>142036680</v>
      </c>
    </row>
    <row r="370" spans="1:17" ht="84">
      <c r="A370" s="6" t="s">
        <v>26</v>
      </c>
      <c r="B370" s="4" t="s">
        <v>27</v>
      </c>
      <c r="C370" s="4" t="s">
        <v>27</v>
      </c>
      <c r="D370" s="8" t="s">
        <v>28</v>
      </c>
      <c r="E370" s="8" t="s">
        <v>29</v>
      </c>
      <c r="F370" s="8" t="s">
        <v>30</v>
      </c>
      <c r="G370" s="8"/>
      <c r="H370" s="7">
        <v>124906753.8</v>
      </c>
      <c r="I370" s="7">
        <v>124906753.8</v>
      </c>
      <c r="J370" s="7"/>
      <c r="K370" s="7">
        <f t="shared" si="265"/>
        <v>124906753.8</v>
      </c>
      <c r="L370" s="7"/>
      <c r="M370" s="7"/>
      <c r="N370" s="7"/>
      <c r="O370" s="7">
        <v>124906753.8</v>
      </c>
      <c r="P370" s="7"/>
      <c r="Q370" s="7">
        <f t="shared" si="271"/>
        <v>124906753.8</v>
      </c>
    </row>
    <row r="371" spans="1:17" ht="84">
      <c r="A371" s="6" t="s">
        <v>31</v>
      </c>
      <c r="B371" s="4" t="s">
        <v>27</v>
      </c>
      <c r="C371" s="4" t="s">
        <v>27</v>
      </c>
      <c r="D371" s="8" t="s">
        <v>32</v>
      </c>
      <c r="E371" s="8" t="s">
        <v>29</v>
      </c>
      <c r="F371" s="8" t="s">
        <v>33</v>
      </c>
      <c r="G371" s="8"/>
      <c r="H371" s="7">
        <v>441922598.10000002</v>
      </c>
      <c r="I371" s="7">
        <f>427604450+14318148.1</f>
        <v>441922598.10000002</v>
      </c>
      <c r="J371" s="7"/>
      <c r="K371" s="7">
        <f t="shared" si="265"/>
        <v>441922598.10000002</v>
      </c>
      <c r="L371" s="7">
        <v>427604450</v>
      </c>
      <c r="M371" s="7"/>
      <c r="N371" s="7">
        <f t="shared" si="267"/>
        <v>427604450</v>
      </c>
      <c r="O371" s="7">
        <v>14318148.1</v>
      </c>
      <c r="P371" s="7"/>
      <c r="Q371" s="7">
        <f t="shared" si="271"/>
        <v>14318148.1</v>
      </c>
    </row>
    <row r="372" spans="1:17" ht="84">
      <c r="A372" s="6" t="s">
        <v>300</v>
      </c>
      <c r="B372" s="4" t="s">
        <v>27</v>
      </c>
      <c r="C372" s="4" t="s">
        <v>27</v>
      </c>
      <c r="D372" s="8" t="s">
        <v>35</v>
      </c>
      <c r="E372" s="8" t="s">
        <v>29</v>
      </c>
      <c r="F372" s="8" t="s">
        <v>301</v>
      </c>
      <c r="G372" s="8"/>
      <c r="H372" s="7">
        <v>26783992.629999999</v>
      </c>
      <c r="I372" s="7">
        <v>26783992.629999999</v>
      </c>
      <c r="J372" s="7"/>
      <c r="K372" s="7">
        <f t="shared" si="265"/>
        <v>26783992.629999999</v>
      </c>
      <c r="L372" s="7">
        <v>25916200</v>
      </c>
      <c r="M372" s="7"/>
      <c r="N372" s="7">
        <f t="shared" si="267"/>
        <v>25916200</v>
      </c>
      <c r="O372" s="7">
        <v>867792.63</v>
      </c>
      <c r="P372" s="7"/>
      <c r="Q372" s="7">
        <f t="shared" si="271"/>
        <v>867792.63</v>
      </c>
    </row>
    <row r="373" spans="1:17" ht="84">
      <c r="A373" s="6" t="s">
        <v>44</v>
      </c>
      <c r="B373" s="4" t="s">
        <v>27</v>
      </c>
      <c r="C373" s="4" t="s">
        <v>27</v>
      </c>
      <c r="D373" s="8" t="s">
        <v>45</v>
      </c>
      <c r="E373" s="8" t="s">
        <v>29</v>
      </c>
      <c r="F373" s="8" t="s">
        <v>46</v>
      </c>
      <c r="G373" s="8"/>
      <c r="H373" s="7">
        <v>60000155.469999999</v>
      </c>
      <c r="I373" s="7">
        <v>60000155.469999999</v>
      </c>
      <c r="J373" s="7"/>
      <c r="K373" s="7">
        <f t="shared" si="265"/>
        <v>60000155.469999999</v>
      </c>
      <c r="L373" s="7">
        <v>58056170</v>
      </c>
      <c r="M373" s="7"/>
      <c r="N373" s="7">
        <f t="shared" si="267"/>
        <v>58056170</v>
      </c>
      <c r="O373" s="7">
        <v>1943985.47</v>
      </c>
      <c r="P373" s="7"/>
      <c r="Q373" s="7">
        <f t="shared" si="271"/>
        <v>1943985.47</v>
      </c>
    </row>
    <row r="374" spans="1:17" ht="25.5" customHeight="1">
      <c r="A374" s="19" t="s">
        <v>128</v>
      </c>
      <c r="B374" s="19"/>
      <c r="C374" s="19"/>
      <c r="D374" s="19"/>
      <c r="E374" s="19"/>
      <c r="F374" s="19"/>
      <c r="G374" s="9"/>
      <c r="H374" s="7">
        <f>H376</f>
        <v>77233700</v>
      </c>
      <c r="I374" s="7">
        <f t="shared" ref="I374" si="281">I376</f>
        <v>77233700</v>
      </c>
      <c r="J374" s="7"/>
      <c r="K374" s="7">
        <f t="shared" si="265"/>
        <v>77233700</v>
      </c>
      <c r="L374" s="7"/>
      <c r="M374" s="7"/>
      <c r="N374" s="7"/>
      <c r="O374" s="7">
        <f t="shared" ref="O374" si="282">O376</f>
        <v>77233700</v>
      </c>
      <c r="P374" s="7"/>
      <c r="Q374" s="7">
        <f t="shared" si="271"/>
        <v>77233700</v>
      </c>
    </row>
    <row r="375" spans="1:17">
      <c r="A375" s="19" t="s">
        <v>21</v>
      </c>
      <c r="B375" s="19"/>
      <c r="C375" s="19"/>
      <c r="D375" s="19"/>
      <c r="E375" s="19"/>
      <c r="F375" s="19"/>
      <c r="G375" s="9"/>
      <c r="H375" s="7"/>
      <c r="I375" s="7"/>
      <c r="J375" s="7"/>
      <c r="K375" s="7"/>
      <c r="L375" s="7"/>
      <c r="M375" s="7"/>
      <c r="N375" s="7"/>
      <c r="O375" s="7"/>
      <c r="P375" s="7"/>
      <c r="Q375" s="7"/>
    </row>
    <row r="376" spans="1:17">
      <c r="A376" s="19" t="s">
        <v>22</v>
      </c>
      <c r="B376" s="19"/>
      <c r="C376" s="19"/>
      <c r="D376" s="19"/>
      <c r="E376" s="19"/>
      <c r="F376" s="19"/>
      <c r="G376" s="9"/>
      <c r="H376" s="7">
        <f>H377</f>
        <v>77233700</v>
      </c>
      <c r="I376" s="7">
        <f t="shared" ref="I376" si="283">I377</f>
        <v>77233700</v>
      </c>
      <c r="J376" s="7"/>
      <c r="K376" s="7">
        <f t="shared" si="265"/>
        <v>77233700</v>
      </c>
      <c r="L376" s="7"/>
      <c r="M376" s="7"/>
      <c r="N376" s="7"/>
      <c r="O376" s="7">
        <f t="shared" ref="O376" si="284">O377</f>
        <v>77233700</v>
      </c>
      <c r="P376" s="7"/>
      <c r="Q376" s="7">
        <f t="shared" si="271"/>
        <v>77233700</v>
      </c>
    </row>
    <row r="377" spans="1:17" ht="24" customHeight="1">
      <c r="A377" s="19" t="s">
        <v>129</v>
      </c>
      <c r="B377" s="19"/>
      <c r="C377" s="19"/>
      <c r="D377" s="19"/>
      <c r="E377" s="19"/>
      <c r="F377" s="19"/>
      <c r="G377" s="9"/>
      <c r="H377" s="7">
        <f>H378+H380</f>
        <v>77233700</v>
      </c>
      <c r="I377" s="7">
        <f t="shared" ref="I377" si="285">I378+I380</f>
        <v>77233700</v>
      </c>
      <c r="J377" s="7"/>
      <c r="K377" s="7">
        <f t="shared" si="265"/>
        <v>77233700</v>
      </c>
      <c r="L377" s="7"/>
      <c r="M377" s="7"/>
      <c r="N377" s="7"/>
      <c r="O377" s="7">
        <f t="shared" ref="O377" si="286">O378+O380</f>
        <v>77233700</v>
      </c>
      <c r="P377" s="7"/>
      <c r="Q377" s="7">
        <f t="shared" si="271"/>
        <v>77233700</v>
      </c>
    </row>
    <row r="378" spans="1:17" ht="15.75" customHeight="1">
      <c r="A378" s="14" t="s">
        <v>25</v>
      </c>
      <c r="B378" s="14"/>
      <c r="C378" s="14"/>
      <c r="D378" s="14"/>
      <c r="E378" s="14"/>
      <c r="F378" s="14"/>
      <c r="G378" s="11"/>
      <c r="H378" s="5">
        <f>H379</f>
        <v>46663200</v>
      </c>
      <c r="I378" s="5">
        <f t="shared" ref="I378" si="287">I379</f>
        <v>46663200</v>
      </c>
      <c r="J378" s="7"/>
      <c r="K378" s="5">
        <f t="shared" si="265"/>
        <v>46663200</v>
      </c>
      <c r="L378" s="7"/>
      <c r="M378" s="7"/>
      <c r="N378" s="7"/>
      <c r="O378" s="5">
        <f t="shared" ref="O378" si="288">O379</f>
        <v>46663200</v>
      </c>
      <c r="P378" s="7"/>
      <c r="Q378" s="5">
        <f t="shared" si="271"/>
        <v>46663200</v>
      </c>
    </row>
    <row r="379" spans="1:17" ht="63">
      <c r="A379" s="6" t="s">
        <v>288</v>
      </c>
      <c r="B379" s="4" t="s">
        <v>27</v>
      </c>
      <c r="C379" s="4" t="s">
        <v>27</v>
      </c>
      <c r="D379" s="8" t="s">
        <v>289</v>
      </c>
      <c r="E379" s="8" t="s">
        <v>96</v>
      </c>
      <c r="F379" s="8" t="s">
        <v>49</v>
      </c>
      <c r="G379" s="8"/>
      <c r="H379" s="7">
        <v>46663200</v>
      </c>
      <c r="I379" s="7">
        <v>46663200</v>
      </c>
      <c r="J379" s="7"/>
      <c r="K379" s="7">
        <f t="shared" si="265"/>
        <v>46663200</v>
      </c>
      <c r="L379" s="7"/>
      <c r="M379" s="7"/>
      <c r="N379" s="7">
        <f t="shared" si="267"/>
        <v>0</v>
      </c>
      <c r="O379" s="7">
        <v>46663200</v>
      </c>
      <c r="P379" s="7"/>
      <c r="Q379" s="7">
        <f t="shared" si="271"/>
        <v>46663200</v>
      </c>
    </row>
    <row r="380" spans="1:17" ht="18.75" customHeight="1">
      <c r="A380" s="14" t="s">
        <v>144</v>
      </c>
      <c r="B380" s="14"/>
      <c r="C380" s="14"/>
      <c r="D380" s="14"/>
      <c r="E380" s="14"/>
      <c r="F380" s="14"/>
      <c r="G380" s="11"/>
      <c r="H380" s="5">
        <f>SUM(H381:H395)</f>
        <v>30570500</v>
      </c>
      <c r="I380" s="5">
        <f>SUM(I381:I395)</f>
        <v>30570500</v>
      </c>
      <c r="J380" s="5"/>
      <c r="K380" s="5">
        <f t="shared" si="265"/>
        <v>30570500</v>
      </c>
      <c r="L380" s="5"/>
      <c r="M380" s="5"/>
      <c r="N380" s="5"/>
      <c r="O380" s="5">
        <f t="shared" ref="O380" si="289">SUM(O381:O395)</f>
        <v>30570500</v>
      </c>
      <c r="P380" s="5"/>
      <c r="Q380" s="5">
        <f t="shared" si="271"/>
        <v>30570500</v>
      </c>
    </row>
    <row r="381" spans="1:17" ht="94.5">
      <c r="A381" s="6" t="s">
        <v>145</v>
      </c>
      <c r="B381" s="4" t="s">
        <v>27</v>
      </c>
      <c r="C381" s="4" t="s">
        <v>27</v>
      </c>
      <c r="D381" s="8" t="s">
        <v>27</v>
      </c>
      <c r="E381" s="8" t="s">
        <v>302</v>
      </c>
      <c r="F381" s="8" t="s">
        <v>49</v>
      </c>
      <c r="G381" s="8"/>
      <c r="H381" s="7">
        <v>1517250</v>
      </c>
      <c r="I381" s="7">
        <v>1517250</v>
      </c>
      <c r="J381" s="7"/>
      <c r="K381" s="7">
        <f t="shared" si="265"/>
        <v>1517250</v>
      </c>
      <c r="L381" s="7"/>
      <c r="M381" s="7"/>
      <c r="N381" s="7"/>
      <c r="O381" s="7">
        <v>1517250</v>
      </c>
      <c r="P381" s="7"/>
      <c r="Q381" s="7">
        <f t="shared" si="271"/>
        <v>1517250</v>
      </c>
    </row>
    <row r="382" spans="1:17" ht="105">
      <c r="A382" s="6" t="s">
        <v>145</v>
      </c>
      <c r="B382" s="4" t="s">
        <v>27</v>
      </c>
      <c r="C382" s="4" t="s">
        <v>27</v>
      </c>
      <c r="D382" s="8" t="s">
        <v>27</v>
      </c>
      <c r="E382" s="8" t="s">
        <v>290</v>
      </c>
      <c r="F382" s="8" t="s">
        <v>49</v>
      </c>
      <c r="G382" s="8"/>
      <c r="H382" s="7">
        <v>1517250</v>
      </c>
      <c r="I382" s="7">
        <v>1517250</v>
      </c>
      <c r="J382" s="7"/>
      <c r="K382" s="7">
        <f t="shared" si="265"/>
        <v>1517250</v>
      </c>
      <c r="L382" s="7"/>
      <c r="M382" s="7"/>
      <c r="N382" s="7"/>
      <c r="O382" s="7">
        <v>1517250</v>
      </c>
      <c r="P382" s="7"/>
      <c r="Q382" s="7">
        <f t="shared" si="271"/>
        <v>1517250</v>
      </c>
    </row>
    <row r="383" spans="1:17" ht="105">
      <c r="A383" s="6" t="s">
        <v>145</v>
      </c>
      <c r="B383" s="4" t="s">
        <v>27</v>
      </c>
      <c r="C383" s="4" t="s">
        <v>27</v>
      </c>
      <c r="D383" s="8" t="s">
        <v>27</v>
      </c>
      <c r="E383" s="8" t="s">
        <v>291</v>
      </c>
      <c r="F383" s="8" t="s">
        <v>49</v>
      </c>
      <c r="G383" s="8"/>
      <c r="H383" s="7">
        <v>1897000</v>
      </c>
      <c r="I383" s="7">
        <v>1897000</v>
      </c>
      <c r="J383" s="7"/>
      <c r="K383" s="7">
        <f t="shared" si="265"/>
        <v>1897000</v>
      </c>
      <c r="L383" s="7"/>
      <c r="M383" s="7"/>
      <c r="N383" s="7"/>
      <c r="O383" s="7">
        <v>1897000</v>
      </c>
      <c r="P383" s="7"/>
      <c r="Q383" s="7">
        <f t="shared" si="271"/>
        <v>1897000</v>
      </c>
    </row>
    <row r="384" spans="1:17" ht="115.5">
      <c r="A384" s="6" t="s">
        <v>145</v>
      </c>
      <c r="B384" s="4" t="s">
        <v>27</v>
      </c>
      <c r="C384" s="4" t="s">
        <v>27</v>
      </c>
      <c r="D384" s="8" t="s">
        <v>27</v>
      </c>
      <c r="E384" s="8" t="s">
        <v>303</v>
      </c>
      <c r="F384" s="8" t="s">
        <v>49</v>
      </c>
      <c r="G384" s="8"/>
      <c r="H384" s="7">
        <v>1924500</v>
      </c>
      <c r="I384" s="7">
        <v>1924500</v>
      </c>
      <c r="J384" s="7"/>
      <c r="K384" s="7">
        <f t="shared" si="265"/>
        <v>1924500</v>
      </c>
      <c r="L384" s="7"/>
      <c r="M384" s="7"/>
      <c r="N384" s="7"/>
      <c r="O384" s="7">
        <v>1924500</v>
      </c>
      <c r="P384" s="7"/>
      <c r="Q384" s="7">
        <f t="shared" si="271"/>
        <v>1924500</v>
      </c>
    </row>
    <row r="385" spans="1:17" ht="126">
      <c r="A385" s="6" t="s">
        <v>145</v>
      </c>
      <c r="B385" s="4" t="s">
        <v>27</v>
      </c>
      <c r="C385" s="4" t="s">
        <v>27</v>
      </c>
      <c r="D385" s="8" t="s">
        <v>27</v>
      </c>
      <c r="E385" s="8" t="s">
        <v>148</v>
      </c>
      <c r="F385" s="8" t="s">
        <v>49</v>
      </c>
      <c r="G385" s="8"/>
      <c r="H385" s="7">
        <v>1924500</v>
      </c>
      <c r="I385" s="7">
        <v>1924500</v>
      </c>
      <c r="J385" s="7"/>
      <c r="K385" s="7">
        <f t="shared" si="265"/>
        <v>1924500</v>
      </c>
      <c r="L385" s="7"/>
      <c r="M385" s="7"/>
      <c r="N385" s="7"/>
      <c r="O385" s="7">
        <v>1924500</v>
      </c>
      <c r="P385" s="7"/>
      <c r="Q385" s="7">
        <f t="shared" si="271"/>
        <v>1924500</v>
      </c>
    </row>
    <row r="386" spans="1:17" ht="105">
      <c r="A386" s="6" t="s">
        <v>145</v>
      </c>
      <c r="B386" s="4" t="s">
        <v>27</v>
      </c>
      <c r="C386" s="4" t="s">
        <v>27</v>
      </c>
      <c r="D386" s="8" t="s">
        <v>27</v>
      </c>
      <c r="E386" s="8" t="s">
        <v>149</v>
      </c>
      <c r="F386" s="8" t="s">
        <v>49</v>
      </c>
      <c r="G386" s="8"/>
      <c r="H386" s="7">
        <v>4880000</v>
      </c>
      <c r="I386" s="7">
        <v>4880000</v>
      </c>
      <c r="J386" s="7"/>
      <c r="K386" s="7">
        <f t="shared" si="265"/>
        <v>4880000</v>
      </c>
      <c r="L386" s="7"/>
      <c r="M386" s="7"/>
      <c r="N386" s="7"/>
      <c r="O386" s="7">
        <v>4880000</v>
      </c>
      <c r="P386" s="7"/>
      <c r="Q386" s="7">
        <f t="shared" si="271"/>
        <v>4880000</v>
      </c>
    </row>
    <row r="387" spans="1:17" ht="105">
      <c r="A387" s="6" t="s">
        <v>145</v>
      </c>
      <c r="B387" s="4" t="s">
        <v>27</v>
      </c>
      <c r="C387" s="4" t="s">
        <v>27</v>
      </c>
      <c r="D387" s="8" t="s">
        <v>27</v>
      </c>
      <c r="E387" s="8" t="s">
        <v>150</v>
      </c>
      <c r="F387" s="8" t="s">
        <v>49</v>
      </c>
      <c r="G387" s="8"/>
      <c r="H387" s="7">
        <v>1225000</v>
      </c>
      <c r="I387" s="7">
        <v>1225000</v>
      </c>
      <c r="J387" s="7"/>
      <c r="K387" s="7">
        <f t="shared" si="265"/>
        <v>1225000</v>
      </c>
      <c r="L387" s="7"/>
      <c r="M387" s="7"/>
      <c r="N387" s="7"/>
      <c r="O387" s="7">
        <v>1225000</v>
      </c>
      <c r="P387" s="7"/>
      <c r="Q387" s="7">
        <f t="shared" si="271"/>
        <v>1225000</v>
      </c>
    </row>
    <row r="388" spans="1:17" ht="115.5">
      <c r="A388" s="6" t="s">
        <v>145</v>
      </c>
      <c r="B388" s="4" t="s">
        <v>27</v>
      </c>
      <c r="C388" s="4" t="s">
        <v>27</v>
      </c>
      <c r="D388" s="8" t="s">
        <v>27</v>
      </c>
      <c r="E388" s="8" t="s">
        <v>151</v>
      </c>
      <c r="F388" s="8" t="s">
        <v>49</v>
      </c>
      <c r="G388" s="8"/>
      <c r="H388" s="7">
        <v>1330000</v>
      </c>
      <c r="I388" s="7">
        <v>1330000</v>
      </c>
      <c r="J388" s="7"/>
      <c r="K388" s="7">
        <f t="shared" si="265"/>
        <v>1330000</v>
      </c>
      <c r="L388" s="7"/>
      <c r="M388" s="7"/>
      <c r="N388" s="7"/>
      <c r="O388" s="7">
        <v>1330000</v>
      </c>
      <c r="P388" s="7"/>
      <c r="Q388" s="7">
        <f t="shared" si="271"/>
        <v>1330000</v>
      </c>
    </row>
    <row r="389" spans="1:17" ht="105">
      <c r="A389" s="6" t="s">
        <v>145</v>
      </c>
      <c r="B389" s="4" t="s">
        <v>27</v>
      </c>
      <c r="C389" s="4" t="s">
        <v>27</v>
      </c>
      <c r="D389" s="8" t="s">
        <v>27</v>
      </c>
      <c r="E389" s="8" t="s">
        <v>294</v>
      </c>
      <c r="F389" s="8" t="s">
        <v>49</v>
      </c>
      <c r="G389" s="8"/>
      <c r="H389" s="7">
        <v>1350000</v>
      </c>
      <c r="I389" s="7">
        <v>1350000</v>
      </c>
      <c r="J389" s="7"/>
      <c r="K389" s="7">
        <f t="shared" si="265"/>
        <v>1350000</v>
      </c>
      <c r="L389" s="7"/>
      <c r="M389" s="7"/>
      <c r="N389" s="7"/>
      <c r="O389" s="7">
        <v>1350000</v>
      </c>
      <c r="P389" s="7"/>
      <c r="Q389" s="7">
        <f t="shared" si="271"/>
        <v>1350000</v>
      </c>
    </row>
    <row r="390" spans="1:17" ht="105">
      <c r="A390" s="6" t="s">
        <v>145</v>
      </c>
      <c r="B390" s="4" t="s">
        <v>27</v>
      </c>
      <c r="C390" s="4" t="s">
        <v>27</v>
      </c>
      <c r="D390" s="8" t="s">
        <v>27</v>
      </c>
      <c r="E390" s="8" t="s">
        <v>154</v>
      </c>
      <c r="F390" s="8" t="s">
        <v>49</v>
      </c>
      <c r="G390" s="8"/>
      <c r="H390" s="7">
        <v>1845000</v>
      </c>
      <c r="I390" s="7">
        <v>1845000</v>
      </c>
      <c r="J390" s="7"/>
      <c r="K390" s="7">
        <f t="shared" si="265"/>
        <v>1845000</v>
      </c>
      <c r="L390" s="7"/>
      <c r="M390" s="7"/>
      <c r="N390" s="7"/>
      <c r="O390" s="7">
        <v>1845000</v>
      </c>
      <c r="P390" s="7"/>
      <c r="Q390" s="7">
        <f t="shared" si="271"/>
        <v>1845000</v>
      </c>
    </row>
    <row r="391" spans="1:17" ht="105">
      <c r="A391" s="6" t="s">
        <v>145</v>
      </c>
      <c r="B391" s="4" t="s">
        <v>27</v>
      </c>
      <c r="C391" s="4" t="s">
        <v>27</v>
      </c>
      <c r="D391" s="8" t="s">
        <v>27</v>
      </c>
      <c r="E391" s="8" t="s">
        <v>155</v>
      </c>
      <c r="F391" s="8" t="s">
        <v>49</v>
      </c>
      <c r="G391" s="8"/>
      <c r="H391" s="7">
        <v>1700000</v>
      </c>
      <c r="I391" s="7">
        <v>1700000</v>
      </c>
      <c r="J391" s="7"/>
      <c r="K391" s="7">
        <f t="shared" si="265"/>
        <v>1700000</v>
      </c>
      <c r="L391" s="7"/>
      <c r="M391" s="7"/>
      <c r="N391" s="7"/>
      <c r="O391" s="7">
        <v>1700000</v>
      </c>
      <c r="P391" s="7"/>
      <c r="Q391" s="7">
        <f t="shared" si="271"/>
        <v>1700000</v>
      </c>
    </row>
    <row r="392" spans="1:17" ht="105">
      <c r="A392" s="6" t="s">
        <v>145</v>
      </c>
      <c r="B392" s="4" t="s">
        <v>27</v>
      </c>
      <c r="C392" s="4" t="s">
        <v>27</v>
      </c>
      <c r="D392" s="8" t="s">
        <v>27</v>
      </c>
      <c r="E392" s="8" t="s">
        <v>156</v>
      </c>
      <c r="F392" s="8" t="s">
        <v>49</v>
      </c>
      <c r="G392" s="8"/>
      <c r="H392" s="7">
        <v>2160000</v>
      </c>
      <c r="I392" s="7">
        <v>2160000</v>
      </c>
      <c r="J392" s="7"/>
      <c r="K392" s="7">
        <f t="shared" si="265"/>
        <v>2160000</v>
      </c>
      <c r="L392" s="7"/>
      <c r="M392" s="7"/>
      <c r="N392" s="7"/>
      <c r="O392" s="7">
        <v>2160000</v>
      </c>
      <c r="P392" s="7"/>
      <c r="Q392" s="7">
        <f t="shared" si="271"/>
        <v>2160000</v>
      </c>
    </row>
    <row r="393" spans="1:17" ht="126">
      <c r="A393" s="6" t="s">
        <v>145</v>
      </c>
      <c r="B393" s="4" t="s">
        <v>27</v>
      </c>
      <c r="C393" s="4" t="s">
        <v>27</v>
      </c>
      <c r="D393" s="8" t="s">
        <v>27</v>
      </c>
      <c r="E393" s="8" t="s">
        <v>295</v>
      </c>
      <c r="F393" s="8" t="s">
        <v>49</v>
      </c>
      <c r="G393" s="8"/>
      <c r="H393" s="7">
        <v>3150000</v>
      </c>
      <c r="I393" s="7">
        <v>3150000</v>
      </c>
      <c r="J393" s="7"/>
      <c r="K393" s="7">
        <f t="shared" si="265"/>
        <v>3150000</v>
      </c>
      <c r="L393" s="7"/>
      <c r="M393" s="7"/>
      <c r="N393" s="7"/>
      <c r="O393" s="7">
        <v>3150000</v>
      </c>
      <c r="P393" s="7"/>
      <c r="Q393" s="7">
        <f t="shared" si="271"/>
        <v>3150000</v>
      </c>
    </row>
    <row r="394" spans="1:17" ht="105">
      <c r="A394" s="6" t="s">
        <v>145</v>
      </c>
      <c r="B394" s="4" t="s">
        <v>27</v>
      </c>
      <c r="C394" s="4" t="s">
        <v>27</v>
      </c>
      <c r="D394" s="8" t="s">
        <v>27</v>
      </c>
      <c r="E394" s="8" t="s">
        <v>157</v>
      </c>
      <c r="F394" s="8" t="s">
        <v>49</v>
      </c>
      <c r="G394" s="8"/>
      <c r="H394" s="7">
        <v>2450000</v>
      </c>
      <c r="I394" s="7">
        <v>2450000</v>
      </c>
      <c r="J394" s="7"/>
      <c r="K394" s="7">
        <f t="shared" si="265"/>
        <v>2450000</v>
      </c>
      <c r="L394" s="7"/>
      <c r="M394" s="7"/>
      <c r="N394" s="7"/>
      <c r="O394" s="7">
        <v>2450000</v>
      </c>
      <c r="P394" s="7"/>
      <c r="Q394" s="7">
        <f t="shared" si="271"/>
        <v>2450000</v>
      </c>
    </row>
    <row r="395" spans="1:17" ht="105">
      <c r="A395" s="6" t="s">
        <v>145</v>
      </c>
      <c r="B395" s="4" t="s">
        <v>27</v>
      </c>
      <c r="C395" s="4" t="s">
        <v>27</v>
      </c>
      <c r="D395" s="8" t="s">
        <v>27</v>
      </c>
      <c r="E395" s="8" t="s">
        <v>158</v>
      </c>
      <c r="F395" s="8" t="s">
        <v>49</v>
      </c>
      <c r="G395" s="8"/>
      <c r="H395" s="7">
        <v>1700000</v>
      </c>
      <c r="I395" s="7">
        <v>1700000</v>
      </c>
      <c r="J395" s="7"/>
      <c r="K395" s="7">
        <f t="shared" si="265"/>
        <v>1700000</v>
      </c>
      <c r="L395" s="7"/>
      <c r="M395" s="7"/>
      <c r="N395" s="7"/>
      <c r="O395" s="7">
        <v>1700000</v>
      </c>
      <c r="P395" s="7"/>
      <c r="Q395" s="7">
        <f t="shared" si="271"/>
        <v>1700000</v>
      </c>
    </row>
    <row r="396" spans="1:17" ht="33.75" customHeight="1">
      <c r="A396" s="19" t="s">
        <v>178</v>
      </c>
      <c r="B396" s="19"/>
      <c r="C396" s="19"/>
      <c r="D396" s="19"/>
      <c r="E396" s="19"/>
      <c r="F396" s="19"/>
      <c r="G396" s="9"/>
      <c r="H396" s="7">
        <f>H398</f>
        <v>10000000</v>
      </c>
      <c r="I396" s="7">
        <f t="shared" ref="I396" si="290">I398</f>
        <v>10000000</v>
      </c>
      <c r="J396" s="7"/>
      <c r="K396" s="7">
        <f t="shared" si="265"/>
        <v>10000000</v>
      </c>
      <c r="L396" s="7"/>
      <c r="M396" s="7"/>
      <c r="N396" s="7"/>
      <c r="O396" s="7">
        <f t="shared" ref="O396" si="291">O398</f>
        <v>10000000</v>
      </c>
      <c r="P396" s="7"/>
      <c r="Q396" s="7">
        <f t="shared" si="271"/>
        <v>10000000</v>
      </c>
    </row>
    <row r="397" spans="1:17">
      <c r="A397" s="19" t="s">
        <v>21</v>
      </c>
      <c r="B397" s="19"/>
      <c r="C397" s="19"/>
      <c r="D397" s="19"/>
      <c r="E397" s="19"/>
      <c r="F397" s="19"/>
      <c r="G397" s="9"/>
      <c r="H397" s="7"/>
      <c r="I397" s="7"/>
      <c r="J397" s="7"/>
      <c r="K397" s="7"/>
      <c r="L397" s="7"/>
      <c r="M397" s="7"/>
      <c r="N397" s="7"/>
      <c r="O397" s="7"/>
      <c r="P397" s="7"/>
      <c r="Q397" s="7"/>
    </row>
    <row r="398" spans="1:17">
      <c r="A398" s="19" t="s">
        <v>22</v>
      </c>
      <c r="B398" s="19"/>
      <c r="C398" s="19"/>
      <c r="D398" s="19"/>
      <c r="E398" s="19"/>
      <c r="F398" s="19"/>
      <c r="G398" s="9"/>
      <c r="H398" s="7">
        <f>H399</f>
        <v>10000000</v>
      </c>
      <c r="I398" s="7">
        <f t="shared" ref="I398:I399" si="292">I399</f>
        <v>10000000</v>
      </c>
      <c r="J398" s="7"/>
      <c r="K398" s="7">
        <f t="shared" si="265"/>
        <v>10000000</v>
      </c>
      <c r="L398" s="7"/>
      <c r="M398" s="7"/>
      <c r="N398" s="7"/>
      <c r="O398" s="7">
        <f t="shared" ref="O398:O400" si="293">O399</f>
        <v>10000000</v>
      </c>
      <c r="P398" s="7"/>
      <c r="Q398" s="7">
        <f t="shared" si="271"/>
        <v>10000000</v>
      </c>
    </row>
    <row r="399" spans="1:17" ht="20.25" customHeight="1">
      <c r="A399" s="19" t="s">
        <v>179</v>
      </c>
      <c r="B399" s="19"/>
      <c r="C399" s="19"/>
      <c r="D399" s="19"/>
      <c r="E399" s="19"/>
      <c r="F399" s="19"/>
      <c r="G399" s="9"/>
      <c r="H399" s="7">
        <f>H400</f>
        <v>10000000</v>
      </c>
      <c r="I399" s="7">
        <f t="shared" si="292"/>
        <v>10000000</v>
      </c>
      <c r="J399" s="7"/>
      <c r="K399" s="7">
        <f t="shared" si="265"/>
        <v>10000000</v>
      </c>
      <c r="L399" s="7"/>
      <c r="M399" s="7"/>
      <c r="N399" s="7"/>
      <c r="O399" s="7">
        <f t="shared" si="293"/>
        <v>10000000</v>
      </c>
      <c r="P399" s="7"/>
      <c r="Q399" s="7">
        <f t="shared" si="271"/>
        <v>10000000</v>
      </c>
    </row>
    <row r="400" spans="1:17">
      <c r="A400" s="14" t="s">
        <v>25</v>
      </c>
      <c r="B400" s="14"/>
      <c r="C400" s="14"/>
      <c r="D400" s="14"/>
      <c r="E400" s="14"/>
      <c r="F400" s="14"/>
      <c r="G400" s="11"/>
      <c r="H400" s="5">
        <f>H401</f>
        <v>10000000</v>
      </c>
      <c r="I400" s="5">
        <f>I401</f>
        <v>10000000</v>
      </c>
      <c r="J400" s="7"/>
      <c r="K400" s="5">
        <f t="shared" si="265"/>
        <v>10000000</v>
      </c>
      <c r="L400" s="7"/>
      <c r="M400" s="7"/>
      <c r="N400" s="5"/>
      <c r="O400" s="5">
        <f t="shared" si="293"/>
        <v>10000000</v>
      </c>
      <c r="P400" s="7"/>
      <c r="Q400" s="5">
        <f t="shared" si="271"/>
        <v>10000000</v>
      </c>
    </row>
    <row r="401" spans="1:17" ht="84">
      <c r="A401" s="6" t="s">
        <v>180</v>
      </c>
      <c r="B401" s="4" t="s">
        <v>27</v>
      </c>
      <c r="C401" s="4" t="s">
        <v>27</v>
      </c>
      <c r="D401" s="8" t="s">
        <v>105</v>
      </c>
      <c r="E401" s="8" t="s">
        <v>29</v>
      </c>
      <c r="F401" s="8" t="s">
        <v>46</v>
      </c>
      <c r="G401" s="8"/>
      <c r="H401" s="7">
        <v>10000000</v>
      </c>
      <c r="I401" s="7">
        <v>10000000</v>
      </c>
      <c r="J401" s="7" t="s">
        <v>0</v>
      </c>
      <c r="K401" s="7"/>
      <c r="L401" s="7" t="s">
        <v>0</v>
      </c>
      <c r="M401" s="7" t="s">
        <v>0</v>
      </c>
      <c r="N401" s="7"/>
      <c r="O401" s="7">
        <v>10000000</v>
      </c>
      <c r="P401" s="7" t="s">
        <v>0</v>
      </c>
      <c r="Q401" s="7"/>
    </row>
    <row r="402" spans="1:17" ht="21.75" customHeight="1">
      <c r="A402" s="19" t="s">
        <v>205</v>
      </c>
      <c r="B402" s="19"/>
      <c r="C402" s="19"/>
      <c r="D402" s="19"/>
      <c r="E402" s="19"/>
      <c r="F402" s="19"/>
      <c r="G402" s="9"/>
      <c r="H402" s="7">
        <f>H404</f>
        <v>1201038670</v>
      </c>
      <c r="I402" s="7">
        <f t="shared" ref="I402" si="294">I404</f>
        <v>1201038670</v>
      </c>
      <c r="J402" s="7"/>
      <c r="K402" s="7">
        <f t="shared" si="265"/>
        <v>1201038670</v>
      </c>
      <c r="L402" s="7">
        <f t="shared" ref="L402" si="295">L404</f>
        <v>800000000</v>
      </c>
      <c r="M402" s="7"/>
      <c r="N402" s="7">
        <f t="shared" si="267"/>
        <v>800000000</v>
      </c>
      <c r="O402" s="7">
        <f t="shared" ref="O402" si="296">O404</f>
        <v>401038670</v>
      </c>
      <c r="P402" s="7"/>
      <c r="Q402" s="7">
        <f t="shared" si="271"/>
        <v>401038670</v>
      </c>
    </row>
    <row r="403" spans="1:17">
      <c r="A403" s="19" t="s">
        <v>21</v>
      </c>
      <c r="B403" s="19"/>
      <c r="C403" s="19"/>
      <c r="D403" s="19"/>
      <c r="E403" s="19"/>
      <c r="F403" s="19"/>
      <c r="G403" s="9"/>
      <c r="H403" s="7"/>
      <c r="I403" s="7"/>
      <c r="J403" s="7"/>
      <c r="K403" s="7"/>
      <c r="L403" s="7"/>
      <c r="M403" s="7"/>
      <c r="N403" s="7"/>
      <c r="O403" s="7"/>
      <c r="P403" s="7"/>
      <c r="Q403" s="7"/>
    </row>
    <row r="404" spans="1:17">
      <c r="A404" s="19" t="s">
        <v>22</v>
      </c>
      <c r="B404" s="19"/>
      <c r="C404" s="19"/>
      <c r="D404" s="19"/>
      <c r="E404" s="19"/>
      <c r="F404" s="19"/>
      <c r="G404" s="9"/>
      <c r="H404" s="7">
        <f>H405</f>
        <v>1201038670</v>
      </c>
      <c r="I404" s="7">
        <f t="shared" ref="I404:I405" si="297">I405</f>
        <v>1201038670</v>
      </c>
      <c r="J404" s="7"/>
      <c r="K404" s="7">
        <f t="shared" si="265"/>
        <v>1201038670</v>
      </c>
      <c r="L404" s="7">
        <f t="shared" ref="L404:L405" si="298">L405</f>
        <v>800000000</v>
      </c>
      <c r="M404" s="7"/>
      <c r="N404" s="7">
        <f t="shared" si="267"/>
        <v>800000000</v>
      </c>
      <c r="O404" s="7">
        <f t="shared" ref="O404:O405" si="299">O405</f>
        <v>401038670</v>
      </c>
      <c r="P404" s="7"/>
      <c r="Q404" s="7">
        <f t="shared" si="271"/>
        <v>401038670</v>
      </c>
    </row>
    <row r="405" spans="1:17" ht="20.25" customHeight="1">
      <c r="A405" s="19" t="s">
        <v>206</v>
      </c>
      <c r="B405" s="19"/>
      <c r="C405" s="19"/>
      <c r="D405" s="19"/>
      <c r="E405" s="19"/>
      <c r="F405" s="19"/>
      <c r="G405" s="9"/>
      <c r="H405" s="7">
        <f>H406</f>
        <v>1201038670</v>
      </c>
      <c r="I405" s="7">
        <f t="shared" si="297"/>
        <v>1201038670</v>
      </c>
      <c r="J405" s="7"/>
      <c r="K405" s="7">
        <f t="shared" si="265"/>
        <v>1201038670</v>
      </c>
      <c r="L405" s="7">
        <f t="shared" si="298"/>
        <v>800000000</v>
      </c>
      <c r="M405" s="7"/>
      <c r="N405" s="7">
        <f t="shared" si="267"/>
        <v>800000000</v>
      </c>
      <c r="O405" s="7">
        <f t="shared" si="299"/>
        <v>401038670</v>
      </c>
      <c r="P405" s="7"/>
      <c r="Q405" s="7">
        <f t="shared" si="271"/>
        <v>401038670</v>
      </c>
    </row>
    <row r="406" spans="1:17">
      <c r="A406" s="14" t="s">
        <v>123</v>
      </c>
      <c r="B406" s="14"/>
      <c r="C406" s="14"/>
      <c r="D406" s="14"/>
      <c r="E406" s="14"/>
      <c r="F406" s="14"/>
      <c r="G406" s="11"/>
      <c r="H406" s="5">
        <f>H407+H408</f>
        <v>1201038670</v>
      </c>
      <c r="I406" s="7">
        <f t="shared" ref="I406" si="300">I407+I408</f>
        <v>1201038670</v>
      </c>
      <c r="J406" s="7"/>
      <c r="K406" s="5">
        <f t="shared" si="265"/>
        <v>1201038670</v>
      </c>
      <c r="L406" s="5">
        <f t="shared" ref="L406" si="301">L407+L408</f>
        <v>800000000</v>
      </c>
      <c r="M406" s="7"/>
      <c r="N406" s="5">
        <f t="shared" si="267"/>
        <v>800000000</v>
      </c>
      <c r="O406" s="5">
        <f t="shared" ref="O406" si="302">O407+O408</f>
        <v>401038670</v>
      </c>
      <c r="P406" s="7"/>
      <c r="Q406" s="5">
        <f t="shared" si="271"/>
        <v>401038670</v>
      </c>
    </row>
    <row r="407" spans="1:17" ht="63">
      <c r="A407" s="6" t="s">
        <v>207</v>
      </c>
      <c r="B407" s="4" t="s">
        <v>27</v>
      </c>
      <c r="C407" s="4" t="s">
        <v>27</v>
      </c>
      <c r="D407" s="8" t="s">
        <v>208</v>
      </c>
      <c r="E407" s="8" t="s">
        <v>98</v>
      </c>
      <c r="F407" s="8" t="s">
        <v>30</v>
      </c>
      <c r="G407" s="8"/>
      <c r="H407" s="7">
        <v>1038670</v>
      </c>
      <c r="I407" s="7">
        <v>1038670</v>
      </c>
      <c r="J407" s="7"/>
      <c r="K407" s="7">
        <f t="shared" si="265"/>
        <v>1038670</v>
      </c>
      <c r="L407" s="7"/>
      <c r="M407" s="7"/>
      <c r="N407" s="7"/>
      <c r="O407" s="7">
        <v>1038670</v>
      </c>
      <c r="P407" s="7"/>
      <c r="Q407" s="7">
        <f t="shared" si="271"/>
        <v>1038670</v>
      </c>
    </row>
    <row r="408" spans="1:17" ht="75" customHeight="1">
      <c r="A408" s="6" t="s">
        <v>214</v>
      </c>
      <c r="B408" s="4" t="s">
        <v>27</v>
      </c>
      <c r="C408" s="4" t="s">
        <v>125</v>
      </c>
      <c r="D408" s="8" t="s">
        <v>215</v>
      </c>
      <c r="E408" s="8" t="s">
        <v>96</v>
      </c>
      <c r="F408" s="8" t="s">
        <v>216</v>
      </c>
      <c r="G408" s="8"/>
      <c r="H408" s="7">
        <v>1200000000</v>
      </c>
      <c r="I408" s="7">
        <v>1200000000</v>
      </c>
      <c r="J408" s="7"/>
      <c r="K408" s="7">
        <f t="shared" si="265"/>
        <v>1200000000</v>
      </c>
      <c r="L408" s="7">
        <v>800000000</v>
      </c>
      <c r="M408" s="7"/>
      <c r="N408" s="7">
        <f t="shared" si="267"/>
        <v>800000000</v>
      </c>
      <c r="O408" s="7">
        <v>400000000</v>
      </c>
      <c r="P408" s="7"/>
      <c r="Q408" s="7">
        <f t="shared" si="271"/>
        <v>400000000</v>
      </c>
    </row>
    <row r="409" spans="1:17" ht="20.25" customHeight="1">
      <c r="A409" s="19" t="s">
        <v>232</v>
      </c>
      <c r="B409" s="19"/>
      <c r="C409" s="19"/>
      <c r="D409" s="19"/>
      <c r="E409" s="19"/>
      <c r="F409" s="19"/>
      <c r="G409" s="9"/>
      <c r="H409" s="7">
        <f>H410+H411</f>
        <v>218506526.57999998</v>
      </c>
      <c r="I409" s="7">
        <f t="shared" ref="I409" si="303">I410+I411</f>
        <v>218506526.57999998</v>
      </c>
      <c r="J409" s="7"/>
      <c r="K409" s="7">
        <f t="shared" si="265"/>
        <v>218506526.57999998</v>
      </c>
      <c r="L409" s="7">
        <f t="shared" ref="L409" si="304">L410+L411</f>
        <v>108046700</v>
      </c>
      <c r="M409" s="7"/>
      <c r="N409" s="7">
        <f t="shared" si="267"/>
        <v>108046700</v>
      </c>
      <c r="O409" s="7">
        <f t="shared" ref="O409" si="305">O410+O411</f>
        <v>110459826.58</v>
      </c>
      <c r="P409" s="7"/>
      <c r="Q409" s="7">
        <f t="shared" si="271"/>
        <v>110459826.58</v>
      </c>
    </row>
    <row r="410" spans="1:17">
      <c r="A410" s="19" t="s">
        <v>21</v>
      </c>
      <c r="B410" s="19"/>
      <c r="C410" s="19"/>
      <c r="D410" s="19"/>
      <c r="E410" s="19"/>
      <c r="F410" s="19"/>
      <c r="G410" s="9"/>
      <c r="H410" s="7">
        <f>H414</f>
        <v>108046700</v>
      </c>
      <c r="I410" s="7">
        <f t="shared" ref="I410" si="306">I414</f>
        <v>108046700</v>
      </c>
      <c r="J410" s="7"/>
      <c r="K410" s="7">
        <f t="shared" si="265"/>
        <v>108046700</v>
      </c>
      <c r="L410" s="7">
        <f t="shared" ref="L410" si="307">L414</f>
        <v>108046700</v>
      </c>
      <c r="M410" s="7"/>
      <c r="N410" s="7">
        <f t="shared" si="267"/>
        <v>108046700</v>
      </c>
      <c r="O410" s="7"/>
      <c r="P410" s="7"/>
      <c r="Q410" s="7"/>
    </row>
    <row r="411" spans="1:17">
      <c r="A411" s="19" t="s">
        <v>22</v>
      </c>
      <c r="B411" s="19"/>
      <c r="C411" s="19"/>
      <c r="D411" s="19"/>
      <c r="E411" s="19"/>
      <c r="F411" s="19"/>
      <c r="G411" s="9"/>
      <c r="H411" s="7">
        <f>H416</f>
        <v>110459826.58</v>
      </c>
      <c r="I411" s="7">
        <f t="shared" ref="I411" si="308">I416</f>
        <v>110459826.58</v>
      </c>
      <c r="J411" s="7"/>
      <c r="K411" s="7">
        <f t="shared" si="265"/>
        <v>110459826.58</v>
      </c>
      <c r="L411" s="7"/>
      <c r="M411" s="7"/>
      <c r="N411" s="7"/>
      <c r="O411" s="7">
        <f t="shared" ref="O411" si="309">O416</f>
        <v>110459826.58</v>
      </c>
      <c r="P411" s="7"/>
      <c r="Q411" s="7">
        <f t="shared" si="271"/>
        <v>110459826.58</v>
      </c>
    </row>
    <row r="412" spans="1:17" hidden="1">
      <c r="A412" s="19" t="s">
        <v>0</v>
      </c>
      <c r="B412" s="19"/>
      <c r="C412" s="19"/>
      <c r="D412" s="19"/>
      <c r="E412" s="19"/>
      <c r="F412" s="19"/>
      <c r="G412" s="9"/>
      <c r="H412" s="7">
        <f>H413</f>
        <v>218506526.57999998</v>
      </c>
      <c r="I412" s="7">
        <f t="shared" ref="I412" si="310">I413</f>
        <v>218506526.57999998</v>
      </c>
      <c r="J412" s="7"/>
      <c r="K412" s="7">
        <f t="shared" si="265"/>
        <v>218506526.57999998</v>
      </c>
      <c r="L412" s="7">
        <f t="shared" ref="L412" si="311">L413</f>
        <v>108046700</v>
      </c>
      <c r="M412" s="7"/>
      <c r="N412" s="7">
        <f t="shared" si="267"/>
        <v>108046700</v>
      </c>
      <c r="O412" s="7">
        <f t="shared" ref="O412" si="312">O413</f>
        <v>110459826.58</v>
      </c>
      <c r="P412" s="7"/>
      <c r="Q412" s="7">
        <f t="shared" si="271"/>
        <v>110459826.58</v>
      </c>
    </row>
    <row r="413" spans="1:17">
      <c r="A413" s="14" t="s">
        <v>25</v>
      </c>
      <c r="B413" s="14"/>
      <c r="C413" s="14"/>
      <c r="D413" s="14"/>
      <c r="E413" s="14"/>
      <c r="F413" s="14"/>
      <c r="G413" s="11"/>
      <c r="H413" s="5">
        <f>H414+H416</f>
        <v>218506526.57999998</v>
      </c>
      <c r="I413" s="5">
        <f t="shared" ref="I413" si="313">I414+I416</f>
        <v>218506526.57999998</v>
      </c>
      <c r="J413" s="5"/>
      <c r="K413" s="5">
        <f t="shared" si="265"/>
        <v>218506526.57999998</v>
      </c>
      <c r="L413" s="5">
        <f t="shared" ref="L413" si="314">L414+L416</f>
        <v>108046700</v>
      </c>
      <c r="M413" s="5"/>
      <c r="N413" s="5">
        <f t="shared" si="267"/>
        <v>108046700</v>
      </c>
      <c r="O413" s="5">
        <f t="shared" ref="O413" si="315">O414+O416</f>
        <v>110459826.58</v>
      </c>
      <c r="P413" s="5"/>
      <c r="Q413" s="5">
        <f t="shared" si="271"/>
        <v>110459826.58</v>
      </c>
    </row>
    <row r="414" spans="1:17" ht="63">
      <c r="A414" s="6" t="s">
        <v>298</v>
      </c>
      <c r="B414" s="4" t="s">
        <v>27</v>
      </c>
      <c r="C414" s="4" t="s">
        <v>27</v>
      </c>
      <c r="D414" s="8" t="s">
        <v>83</v>
      </c>
      <c r="E414" s="8" t="s">
        <v>190</v>
      </c>
      <c r="F414" s="8" t="s">
        <v>40</v>
      </c>
      <c r="G414" s="8"/>
      <c r="H414" s="7">
        <v>108046700</v>
      </c>
      <c r="I414" s="7">
        <f>I415</f>
        <v>108046700</v>
      </c>
      <c r="J414" s="7"/>
      <c r="K414" s="7">
        <f t="shared" si="265"/>
        <v>108046700</v>
      </c>
      <c r="L414" s="7">
        <v>108046700</v>
      </c>
      <c r="M414" s="7"/>
      <c r="N414" s="7">
        <f t="shared" si="267"/>
        <v>108046700</v>
      </c>
      <c r="O414" s="7"/>
      <c r="P414" s="7"/>
      <c r="Q414" s="7"/>
    </row>
    <row r="415" spans="1:17" ht="21">
      <c r="A415" s="6" t="s">
        <v>113</v>
      </c>
      <c r="B415" s="6" t="s">
        <v>114</v>
      </c>
      <c r="C415" s="6" t="s">
        <v>0</v>
      </c>
      <c r="D415" s="6" t="s">
        <v>0</v>
      </c>
      <c r="E415" s="6" t="s">
        <v>0</v>
      </c>
      <c r="F415" s="6" t="s">
        <v>0</v>
      </c>
      <c r="G415" s="6"/>
      <c r="H415" s="7">
        <v>108046700</v>
      </c>
      <c r="I415" s="7">
        <v>108046700</v>
      </c>
      <c r="J415" s="7"/>
      <c r="K415" s="7">
        <f t="shared" si="265"/>
        <v>108046700</v>
      </c>
      <c r="L415" s="7">
        <v>108046700</v>
      </c>
      <c r="M415" s="7"/>
      <c r="N415" s="7">
        <f t="shared" si="267"/>
        <v>108046700</v>
      </c>
      <c r="O415" s="7"/>
      <c r="P415" s="7"/>
      <c r="Q415" s="7"/>
    </row>
    <row r="416" spans="1:17" ht="84">
      <c r="A416" s="6" t="s">
        <v>237</v>
      </c>
      <c r="B416" s="4" t="s">
        <v>27</v>
      </c>
      <c r="C416" s="4" t="s">
        <v>27</v>
      </c>
      <c r="D416" s="8" t="s">
        <v>238</v>
      </c>
      <c r="E416" s="8" t="s">
        <v>29</v>
      </c>
      <c r="F416" s="8" t="s">
        <v>43</v>
      </c>
      <c r="G416" s="8"/>
      <c r="H416" s="7">
        <v>110459826.58</v>
      </c>
      <c r="I416" s="7">
        <v>110459826.58</v>
      </c>
      <c r="J416" s="7"/>
      <c r="K416" s="7">
        <f t="shared" si="265"/>
        <v>110459826.58</v>
      </c>
      <c r="L416" s="7"/>
      <c r="M416" s="7"/>
      <c r="N416" s="7"/>
      <c r="O416" s="7">
        <v>110459826.58</v>
      </c>
      <c r="P416" s="7"/>
      <c r="Q416" s="7">
        <f t="shared" si="271"/>
        <v>110459826.58</v>
      </c>
    </row>
    <row r="418" spans="1:17" ht="50.25" customHeight="1">
      <c r="A418" s="24" t="s">
        <v>304</v>
      </c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</row>
  </sheetData>
  <mergeCells count="224">
    <mergeCell ref="A412:F412"/>
    <mergeCell ref="A413:F413"/>
    <mergeCell ref="P1:Q1"/>
    <mergeCell ref="A2:Q2"/>
    <mergeCell ref="A418:Q418"/>
    <mergeCell ref="A400:F400"/>
    <mergeCell ref="A402:F402"/>
    <mergeCell ref="A403:F403"/>
    <mergeCell ref="A404:F404"/>
    <mergeCell ref="A405:F405"/>
    <mergeCell ref="A406:F406"/>
    <mergeCell ref="A409:F409"/>
    <mergeCell ref="A410:F410"/>
    <mergeCell ref="A411:F411"/>
    <mergeCell ref="A375:F375"/>
    <mergeCell ref="A376:F376"/>
    <mergeCell ref="A377:F377"/>
    <mergeCell ref="A378:F378"/>
    <mergeCell ref="A380:F380"/>
    <mergeCell ref="A396:F396"/>
    <mergeCell ref="A397:F397"/>
    <mergeCell ref="A398:F398"/>
    <mergeCell ref="A399:F399"/>
    <mergeCell ref="A362:F362"/>
    <mergeCell ref="A363:F363"/>
    <mergeCell ref="A364:F364"/>
    <mergeCell ref="A365:F365"/>
    <mergeCell ref="A366:F366"/>
    <mergeCell ref="A367:F367"/>
    <mergeCell ref="A368:F368"/>
    <mergeCell ref="A369:F369"/>
    <mergeCell ref="A374:F374"/>
    <mergeCell ref="H357:Q357"/>
    <mergeCell ref="H358:H360"/>
    <mergeCell ref="J358:J360"/>
    <mergeCell ref="K358:K360"/>
    <mergeCell ref="L358:Q358"/>
    <mergeCell ref="L359:L360"/>
    <mergeCell ref="M359:M360"/>
    <mergeCell ref="N359:N360"/>
    <mergeCell ref="O359:O360"/>
    <mergeCell ref="P359:P360"/>
    <mergeCell ref="Q359:Q360"/>
    <mergeCell ref="I358:I360"/>
    <mergeCell ref="G357:G360"/>
    <mergeCell ref="A348:F348"/>
    <mergeCell ref="A349:F349"/>
    <mergeCell ref="A350:F350"/>
    <mergeCell ref="A351:F351"/>
    <mergeCell ref="A352:F352"/>
    <mergeCell ref="A357:A360"/>
    <mergeCell ref="B357:B360"/>
    <mergeCell ref="C357:C360"/>
    <mergeCell ref="D357:D360"/>
    <mergeCell ref="E357:E360"/>
    <mergeCell ref="F357:F360"/>
    <mergeCell ref="A328:F328"/>
    <mergeCell ref="A329:F329"/>
    <mergeCell ref="A336:F336"/>
    <mergeCell ref="A337:F337"/>
    <mergeCell ref="A338:F338"/>
    <mergeCell ref="A339:F339"/>
    <mergeCell ref="A340:F340"/>
    <mergeCell ref="A343:F343"/>
    <mergeCell ref="A344:F344"/>
    <mergeCell ref="A312:F312"/>
    <mergeCell ref="A313:F313"/>
    <mergeCell ref="A314:F314"/>
    <mergeCell ref="A315:F315"/>
    <mergeCell ref="A320:F320"/>
    <mergeCell ref="A321:F321"/>
    <mergeCell ref="A325:F325"/>
    <mergeCell ref="A326:F326"/>
    <mergeCell ref="A327:F327"/>
    <mergeCell ref="A292:F292"/>
    <mergeCell ref="A293:F293"/>
    <mergeCell ref="A294:F294"/>
    <mergeCell ref="A296:F296"/>
    <mergeCell ref="A297:F297"/>
    <mergeCell ref="A298:F298"/>
    <mergeCell ref="A299:F299"/>
    <mergeCell ref="A300:F300"/>
    <mergeCell ref="A311:F311"/>
    <mergeCell ref="A263:F263"/>
    <mergeCell ref="A265:F265"/>
    <mergeCell ref="A266:F266"/>
    <mergeCell ref="A267:F267"/>
    <mergeCell ref="A268:F268"/>
    <mergeCell ref="A269:F269"/>
    <mergeCell ref="A275:F275"/>
    <mergeCell ref="A290:F290"/>
    <mergeCell ref="A291:F291"/>
    <mergeCell ref="A250:F250"/>
    <mergeCell ref="A251:F251"/>
    <mergeCell ref="A252:F252"/>
    <mergeCell ref="A253:F253"/>
    <mergeCell ref="A254:F254"/>
    <mergeCell ref="A259:F259"/>
    <mergeCell ref="A260:F260"/>
    <mergeCell ref="A261:F261"/>
    <mergeCell ref="A262:F262"/>
    <mergeCell ref="G231:G234"/>
    <mergeCell ref="A236:F236"/>
    <mergeCell ref="A237:F237"/>
    <mergeCell ref="A238:F238"/>
    <mergeCell ref="A239:F239"/>
    <mergeCell ref="A240:F240"/>
    <mergeCell ref="A241:F241"/>
    <mergeCell ref="A242:F242"/>
    <mergeCell ref="A243:F243"/>
    <mergeCell ref="H231:Q231"/>
    <mergeCell ref="H232:H234"/>
    <mergeCell ref="J232:J234"/>
    <mergeCell ref="K232:K234"/>
    <mergeCell ref="L232:Q232"/>
    <mergeCell ref="L233:L234"/>
    <mergeCell ref="M233:M234"/>
    <mergeCell ref="N233:N234"/>
    <mergeCell ref="O233:O234"/>
    <mergeCell ref="P233:P234"/>
    <mergeCell ref="Q233:Q234"/>
    <mergeCell ref="I232:I234"/>
    <mergeCell ref="A212:F212"/>
    <mergeCell ref="A214:F214"/>
    <mergeCell ref="A215:F215"/>
    <mergeCell ref="A216:F216"/>
    <mergeCell ref="A217:F217"/>
    <mergeCell ref="A218:F218"/>
    <mergeCell ref="A231:A234"/>
    <mergeCell ref="B231:B234"/>
    <mergeCell ref="C231:C234"/>
    <mergeCell ref="D231:D234"/>
    <mergeCell ref="E231:E234"/>
    <mergeCell ref="F231:F234"/>
    <mergeCell ref="A192:F192"/>
    <mergeCell ref="A193:F193"/>
    <mergeCell ref="A194:F194"/>
    <mergeCell ref="A195:F195"/>
    <mergeCell ref="A196:F196"/>
    <mergeCell ref="A199:F199"/>
    <mergeCell ref="A201:F201"/>
    <mergeCell ref="A202:F202"/>
    <mergeCell ref="A209:F209"/>
    <mergeCell ref="A168:F168"/>
    <mergeCell ref="A169:F169"/>
    <mergeCell ref="A177:F177"/>
    <mergeCell ref="A178:F178"/>
    <mergeCell ref="A183:F183"/>
    <mergeCell ref="A184:F184"/>
    <mergeCell ref="A185:F185"/>
    <mergeCell ref="A186:F186"/>
    <mergeCell ref="A187:F187"/>
    <mergeCell ref="A142:F142"/>
    <mergeCell ref="A144:F144"/>
    <mergeCell ref="A145:F145"/>
    <mergeCell ref="A146:F146"/>
    <mergeCell ref="A147:F147"/>
    <mergeCell ref="A148:F148"/>
    <mergeCell ref="A165:F165"/>
    <mergeCell ref="A166:F166"/>
    <mergeCell ref="A167:F167"/>
    <mergeCell ref="A130:F130"/>
    <mergeCell ref="A131:F131"/>
    <mergeCell ref="A132:F132"/>
    <mergeCell ref="A133:F133"/>
    <mergeCell ref="A134:F134"/>
    <mergeCell ref="A138:F138"/>
    <mergeCell ref="A139:F139"/>
    <mergeCell ref="A140:F140"/>
    <mergeCell ref="A141:F141"/>
    <mergeCell ref="A119:F119"/>
    <mergeCell ref="A120:F120"/>
    <mergeCell ref="A121:F121"/>
    <mergeCell ref="A122:F122"/>
    <mergeCell ref="A124:F124"/>
    <mergeCell ref="A125:F125"/>
    <mergeCell ref="A126:F126"/>
    <mergeCell ref="A127:F127"/>
    <mergeCell ref="A128:F128"/>
    <mergeCell ref="A86:F86"/>
    <mergeCell ref="A87:F87"/>
    <mergeCell ref="A89:F89"/>
    <mergeCell ref="A90:F90"/>
    <mergeCell ref="A91:F91"/>
    <mergeCell ref="A92:F92"/>
    <mergeCell ref="A93:F93"/>
    <mergeCell ref="A103:F103"/>
    <mergeCell ref="A118:F118"/>
    <mergeCell ref="H4:Q4"/>
    <mergeCell ref="H5:H7"/>
    <mergeCell ref="J5:J7"/>
    <mergeCell ref="K5:K7"/>
    <mergeCell ref="L5:Q5"/>
    <mergeCell ref="L6:L7"/>
    <mergeCell ref="M6:M7"/>
    <mergeCell ref="N6:N7"/>
    <mergeCell ref="O6:O7"/>
    <mergeCell ref="P6:P7"/>
    <mergeCell ref="Q6:Q7"/>
    <mergeCell ref="I5:I7"/>
    <mergeCell ref="A9:F9"/>
    <mergeCell ref="A10:F10"/>
    <mergeCell ref="A11:F11"/>
    <mergeCell ref="G136:G137"/>
    <mergeCell ref="A4:A7"/>
    <mergeCell ref="B4:B7"/>
    <mergeCell ref="C4:C7"/>
    <mergeCell ref="D4:D7"/>
    <mergeCell ref="E4:E7"/>
    <mergeCell ref="F4:F7"/>
    <mergeCell ref="G4:G7"/>
    <mergeCell ref="A12:F12"/>
    <mergeCell ref="A13:F13"/>
    <mergeCell ref="A14:F14"/>
    <mergeCell ref="A15:F15"/>
    <mergeCell ref="A16:F16"/>
    <mergeCell ref="A48:F48"/>
    <mergeCell ref="A49:F49"/>
    <mergeCell ref="A50:F50"/>
    <mergeCell ref="A51:F51"/>
    <mergeCell ref="A52:F52"/>
    <mergeCell ref="A83:F83"/>
    <mergeCell ref="A84:F84"/>
    <mergeCell ref="A85:F85"/>
  </mergeCells>
  <printOptions horizontalCentered="1"/>
  <pageMargins left="0" right="0" top="0.78740157480314965" bottom="0.51181102362204722" header="0.31496062992125984" footer="0.31496062992125984"/>
  <pageSetup paperSize="9" scale="7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2021-06-03T06:23:37Z</dcterms:modified>
</cp:coreProperties>
</file>