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845" windowWidth="11355" windowHeight="6645"/>
  </bookViews>
  <sheets>
    <sheet name="2021" sheetId="2" r:id="rId1"/>
  </sheets>
  <definedNames>
    <definedName name="_xlnm._FilterDatabase" localSheetId="0" hidden="1">'2021'!$A$7:$X$93</definedName>
    <definedName name="_xlnm.Print_Titles" localSheetId="0">'2021'!$5:$6</definedName>
    <definedName name="_xlnm.Print_Area" localSheetId="0">'2021'!$A$1:$W$108</definedName>
  </definedNames>
  <calcPr calcId="125725"/>
</workbook>
</file>

<file path=xl/calcChain.xml><?xml version="1.0" encoding="utf-8"?>
<calcChain xmlns="http://schemas.openxmlformats.org/spreadsheetml/2006/main">
  <c r="P11" i="2"/>
  <c r="K87"/>
  <c r="H17"/>
  <c r="K17"/>
  <c r="K9"/>
  <c r="K11"/>
  <c r="K12"/>
  <c r="K13"/>
  <c r="K14"/>
  <c r="K15"/>
  <c r="K16"/>
  <c r="K21"/>
  <c r="K22"/>
  <c r="K23"/>
  <c r="K24"/>
  <c r="K25"/>
  <c r="K28"/>
  <c r="K30"/>
  <c r="K31"/>
  <c r="K32"/>
  <c r="K33"/>
  <c r="K34"/>
  <c r="K35"/>
  <c r="K36"/>
  <c r="K37"/>
  <c r="K38"/>
  <c r="K39"/>
  <c r="K42"/>
  <c r="K44"/>
  <c r="K45"/>
  <c r="K47"/>
  <c r="K49"/>
  <c r="K50"/>
  <c r="K58"/>
  <c r="K60"/>
  <c r="K62"/>
  <c r="K63"/>
  <c r="K64"/>
  <c r="K65"/>
  <c r="K66"/>
  <c r="K67"/>
  <c r="K68"/>
  <c r="K69"/>
  <c r="K71"/>
  <c r="K73"/>
  <c r="K74"/>
  <c r="K76"/>
  <c r="K77"/>
  <c r="K78"/>
  <c r="K80"/>
  <c r="K81"/>
  <c r="K82"/>
  <c r="K83"/>
  <c r="K84"/>
  <c r="K85"/>
  <c r="K86"/>
  <c r="K88"/>
  <c r="K90"/>
  <c r="K92"/>
  <c r="K8"/>
  <c r="H57"/>
  <c r="H56"/>
  <c r="H55"/>
  <c r="H53"/>
  <c r="H52"/>
  <c r="K52" s="1"/>
  <c r="H51"/>
  <c r="K51" s="1"/>
  <c r="H27"/>
  <c r="K27" s="1"/>
  <c r="H26"/>
  <c r="K26" s="1"/>
  <c r="K93" s="1"/>
  <c r="H19"/>
  <c r="M42"/>
  <c r="O42"/>
  <c r="G93"/>
  <c r="P9"/>
  <c r="P12"/>
  <c r="P13"/>
  <c r="P14"/>
  <c r="P15"/>
  <c r="P16"/>
  <c r="P17"/>
  <c r="P19"/>
  <c r="P21"/>
  <c r="P22"/>
  <c r="P23"/>
  <c r="P24"/>
  <c r="P25"/>
  <c r="P26"/>
  <c r="P27"/>
  <c r="P28"/>
  <c r="P30"/>
  <c r="P31"/>
  <c r="P32"/>
  <c r="P33"/>
  <c r="P34"/>
  <c r="P35"/>
  <c r="P36"/>
  <c r="P37"/>
  <c r="P38"/>
  <c r="P40"/>
  <c r="P47"/>
  <c r="P49"/>
  <c r="P50"/>
  <c r="P51"/>
  <c r="P52"/>
  <c r="P53"/>
  <c r="P55"/>
  <c r="P56"/>
  <c r="P57"/>
  <c r="P58"/>
  <c r="P60"/>
  <c r="P62"/>
  <c r="P63"/>
  <c r="P64"/>
  <c r="P65"/>
  <c r="P66"/>
  <c r="P68"/>
  <c r="P69"/>
  <c r="P73"/>
  <c r="P77"/>
  <c r="P78"/>
  <c r="P80"/>
  <c r="P81"/>
  <c r="P82"/>
  <c r="P83"/>
  <c r="P84"/>
  <c r="P85"/>
  <c r="P86"/>
  <c r="P87"/>
  <c r="P88"/>
  <c r="P90"/>
  <c r="P92"/>
  <c r="P8"/>
  <c r="R17"/>
  <c r="S8"/>
  <c r="R8"/>
  <c r="S77"/>
  <c r="R82"/>
  <c r="S80"/>
  <c r="S92"/>
  <c r="S90"/>
  <c r="Q90"/>
  <c r="O81"/>
  <c r="O82"/>
  <c r="O83"/>
  <c r="O84"/>
  <c r="O85"/>
  <c r="O86"/>
  <c r="O87"/>
  <c r="O88"/>
  <c r="O80"/>
  <c r="O77"/>
  <c r="O78"/>
  <c r="O73"/>
  <c r="O63"/>
  <c r="O64"/>
  <c r="O65"/>
  <c r="O66"/>
  <c r="O68"/>
  <c r="O69"/>
  <c r="O62"/>
  <c r="O58"/>
  <c r="O50"/>
  <c r="O49"/>
  <c r="O31"/>
  <c r="O32"/>
  <c r="O33"/>
  <c r="O34"/>
  <c r="O35"/>
  <c r="O36"/>
  <c r="O37"/>
  <c r="O38"/>
  <c r="O40"/>
  <c r="O30"/>
  <c r="O22"/>
  <c r="O23"/>
  <c r="O24"/>
  <c r="O25"/>
  <c r="O26"/>
  <c r="O27"/>
  <c r="O28"/>
  <c r="O21"/>
  <c r="O12"/>
  <c r="O13"/>
  <c r="O14"/>
  <c r="O15"/>
  <c r="O16"/>
  <c r="O17"/>
  <c r="O11"/>
  <c r="Q11"/>
  <c r="Q9"/>
  <c r="O47"/>
  <c r="O60"/>
  <c r="O90"/>
  <c r="O92"/>
  <c r="O9"/>
  <c r="Q8"/>
  <c r="T8" s="1"/>
  <c r="O8"/>
  <c r="S9"/>
  <c r="S11"/>
  <c r="S12"/>
  <c r="S13"/>
  <c r="S14"/>
  <c r="S15"/>
  <c r="S16"/>
  <c r="S17"/>
  <c r="S21"/>
  <c r="S22"/>
  <c r="S23"/>
  <c r="S24"/>
  <c r="S25"/>
  <c r="S26"/>
  <c r="S27"/>
  <c r="S28"/>
  <c r="S30"/>
  <c r="S31"/>
  <c r="S32"/>
  <c r="S33"/>
  <c r="S34"/>
  <c r="S35"/>
  <c r="S36"/>
  <c r="S37"/>
  <c r="S38"/>
  <c r="S40"/>
  <c r="S42"/>
  <c r="S47"/>
  <c r="S49"/>
  <c r="S50"/>
  <c r="S58"/>
  <c r="S60"/>
  <c r="S62"/>
  <c r="S63"/>
  <c r="S64"/>
  <c r="S65"/>
  <c r="S66"/>
  <c r="S68"/>
  <c r="S69"/>
  <c r="S71"/>
  <c r="S73"/>
  <c r="S74"/>
  <c r="S78"/>
  <c r="S81"/>
  <c r="S82"/>
  <c r="S83"/>
  <c r="S84"/>
  <c r="S85"/>
  <c r="S86"/>
  <c r="S87"/>
  <c r="S88"/>
  <c r="R9"/>
  <c r="R11"/>
  <c r="T11"/>
  <c r="R12"/>
  <c r="R13"/>
  <c r="R14"/>
  <c r="R15"/>
  <c r="R16"/>
  <c r="R21"/>
  <c r="R22"/>
  <c r="R23"/>
  <c r="R24"/>
  <c r="R25"/>
  <c r="R26"/>
  <c r="R27"/>
  <c r="R28"/>
  <c r="R30"/>
  <c r="R31"/>
  <c r="R32"/>
  <c r="R33"/>
  <c r="R34"/>
  <c r="R35"/>
  <c r="R36"/>
  <c r="R37"/>
  <c r="R38"/>
  <c r="R40"/>
  <c r="R42"/>
  <c r="R47"/>
  <c r="R49"/>
  <c r="R50"/>
  <c r="R58"/>
  <c r="R60"/>
  <c r="R62"/>
  <c r="R63"/>
  <c r="R64"/>
  <c r="R65"/>
  <c r="R66"/>
  <c r="R68"/>
  <c r="R69"/>
  <c r="R71"/>
  <c r="R73"/>
  <c r="R74"/>
  <c r="R77"/>
  <c r="R78"/>
  <c r="R80"/>
  <c r="R81"/>
  <c r="R83"/>
  <c r="R84"/>
  <c r="R85"/>
  <c r="R86"/>
  <c r="R87"/>
  <c r="R88"/>
  <c r="R90"/>
  <c r="T90"/>
  <c r="R92"/>
  <c r="Q12"/>
  <c r="Q13"/>
  <c r="T13"/>
  <c r="Q14"/>
  <c r="Q15"/>
  <c r="Q16"/>
  <c r="Q17"/>
  <c r="Q21"/>
  <c r="Q22"/>
  <c r="Q23"/>
  <c r="Q24"/>
  <c r="T24"/>
  <c r="Q25"/>
  <c r="Q26"/>
  <c r="Q27"/>
  <c r="Q28"/>
  <c r="T28" s="1"/>
  <c r="Q30"/>
  <c r="Q31"/>
  <c r="Q32"/>
  <c r="Q33"/>
  <c r="T33" s="1"/>
  <c r="Q34"/>
  <c r="Q35"/>
  <c r="Q36"/>
  <c r="Q37"/>
  <c r="T37"/>
  <c r="Q38"/>
  <c r="Q47"/>
  <c r="Q49"/>
  <c r="Q50"/>
  <c r="Q58"/>
  <c r="Q60"/>
  <c r="Q62"/>
  <c r="Q63"/>
  <c r="Q64"/>
  <c r="Q65"/>
  <c r="Q66"/>
  <c r="Q68"/>
  <c r="T68"/>
  <c r="Q69"/>
  <c r="Q73"/>
  <c r="Q77"/>
  <c r="T77"/>
  <c r="Q78"/>
  <c r="T78" s="1"/>
  <c r="Q80"/>
  <c r="T80"/>
  <c r="Q81"/>
  <c r="T81" s="1"/>
  <c r="Q82"/>
  <c r="T82"/>
  <c r="Q83"/>
  <c r="Q84"/>
  <c r="Q85"/>
  <c r="T85"/>
  <c r="Q86"/>
  <c r="T86" s="1"/>
  <c r="Q87"/>
  <c r="Q88"/>
  <c r="Q92"/>
  <c r="H40"/>
  <c r="Q40"/>
  <c r="L76"/>
  <c r="Q76" s="1"/>
  <c r="T76" s="1"/>
  <c r="J19"/>
  <c r="S19"/>
  <c r="I19"/>
  <c r="R19" s="1"/>
  <c r="Q19"/>
  <c r="F19"/>
  <c r="O19"/>
  <c r="J57"/>
  <c r="S57" s="1"/>
  <c r="T57" s="1"/>
  <c r="I57"/>
  <c r="K57" s="1"/>
  <c r="R57"/>
  <c r="Q57"/>
  <c r="F57"/>
  <c r="O57"/>
  <c r="J56"/>
  <c r="S56" s="1"/>
  <c r="T56" s="1"/>
  <c r="I56"/>
  <c r="K56" s="1"/>
  <c r="R56"/>
  <c r="Q56"/>
  <c r="F56"/>
  <c r="O56" s="1"/>
  <c r="J55"/>
  <c r="S55"/>
  <c r="I55"/>
  <c r="K55" s="1"/>
  <c r="Q55"/>
  <c r="F55"/>
  <c r="O55" s="1"/>
  <c r="J53"/>
  <c r="S53"/>
  <c r="I53"/>
  <c r="R53" s="1"/>
  <c r="T53" s="1"/>
  <c r="Q53"/>
  <c r="F53"/>
  <c r="J52"/>
  <c r="J93" s="1"/>
  <c r="I52"/>
  <c r="R52"/>
  <c r="Q52"/>
  <c r="F52"/>
  <c r="O52" s="1"/>
  <c r="J51"/>
  <c r="S51"/>
  <c r="I51"/>
  <c r="R51" s="1"/>
  <c r="T51" s="1"/>
  <c r="F51"/>
  <c r="O51"/>
  <c r="N45"/>
  <c r="N44"/>
  <c r="L45"/>
  <c r="P45"/>
  <c r="L44"/>
  <c r="P44" s="1"/>
  <c r="O44"/>
  <c r="L39"/>
  <c r="R39" s="1"/>
  <c r="L67"/>
  <c r="O67"/>
  <c r="M74"/>
  <c r="O74" s="1"/>
  <c r="M71"/>
  <c r="O71" s="1"/>
  <c r="P71"/>
  <c r="Q71"/>
  <c r="S45"/>
  <c r="Q44"/>
  <c r="H93"/>
  <c r="O53"/>
  <c r="I93"/>
  <c r="S76"/>
  <c r="O76"/>
  <c r="K19"/>
  <c r="F93"/>
  <c r="Q39"/>
  <c r="Q67"/>
  <c r="T92"/>
  <c r="P74"/>
  <c r="P42"/>
  <c r="T42" s="1"/>
  <c r="K40"/>
  <c r="K53"/>
  <c r="R76"/>
  <c r="Q42"/>
  <c r="P76"/>
  <c r="S39"/>
  <c r="R67"/>
  <c r="Q74"/>
  <c r="T74"/>
  <c r="O39"/>
  <c r="R45"/>
  <c r="Q51"/>
  <c r="T88"/>
  <c r="T84"/>
  <c r="P67"/>
  <c r="T67"/>
  <c r="Q45"/>
  <c r="Q93" s="1"/>
  <c r="S67"/>
  <c r="O45"/>
  <c r="T73"/>
  <c r="T65"/>
  <c r="T60"/>
  <c r="T15"/>
  <c r="T14"/>
  <c r="T9"/>
  <c r="T69"/>
  <c r="T64"/>
  <c r="T58"/>
  <c r="T38"/>
  <c r="T34"/>
  <c r="T30"/>
  <c r="T25"/>
  <c r="T21"/>
  <c r="T49"/>
  <c r="T63"/>
  <c r="T47"/>
  <c r="T40"/>
  <c r="T36"/>
  <c r="T32"/>
  <c r="T27"/>
  <c r="T23"/>
  <c r="T87"/>
  <c r="T83"/>
  <c r="T50"/>
  <c r="T71"/>
  <c r="T66"/>
  <c r="T62"/>
  <c r="T45"/>
  <c r="T35"/>
  <c r="T31"/>
  <c r="T26"/>
  <c r="T22"/>
  <c r="T16"/>
  <c r="T12"/>
  <c r="T17"/>
  <c r="T19" l="1"/>
  <c r="O93"/>
  <c r="P93"/>
  <c r="P39"/>
  <c r="T39" s="1"/>
  <c r="S52"/>
  <c r="T52" s="1"/>
  <c r="R44"/>
  <c r="T44" s="1"/>
  <c r="S44"/>
  <c r="S93" s="1"/>
  <c r="R55"/>
  <c r="T55" s="1"/>
  <c r="T93" l="1"/>
  <c r="R93"/>
  <c r="V93" l="1"/>
  <c r="W93" s="1"/>
</calcChain>
</file>

<file path=xl/comments1.xml><?xml version="1.0" encoding="utf-8"?>
<comments xmlns="http://schemas.openxmlformats.org/spreadsheetml/2006/main">
  <authors>
    <author>Пермиловская Ирина Александровна</author>
    <author>Блинова Екатерина Николаевна</author>
  </authors>
  <commentList>
    <comment ref="K17" authorId="0">
      <text>
        <r>
          <rPr>
            <b/>
            <sz val="9"/>
            <color indexed="81"/>
            <rFont val="Tahoma"/>
            <family val="2"/>
            <charset val="204"/>
          </rPr>
          <t>Пермиловская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объем по данным администрации</t>
        </r>
      </text>
    </comment>
    <comment ref="L17" authorId="0">
      <text>
        <r>
          <rPr>
            <b/>
            <sz val="9"/>
            <color indexed="81"/>
            <rFont val="Tahoma"/>
            <family val="2"/>
            <charset val="204"/>
          </rPr>
          <t>Пермиловская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предложению предприятия</t>
        </r>
      </text>
    </comment>
    <comment ref="G19" authorId="1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G26" authorId="1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плановые объемы 1 кв перенесены на 2 кв</t>
        </r>
      </text>
    </comment>
    <comment ref="G27" authorId="1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плановые объемы 1 кв перенесены на 2 кв</t>
        </r>
      </text>
    </comment>
    <comment ref="G51" authorId="1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G52" authorId="1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G53" authorId="1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G55" authorId="1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G56" authorId="1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  <comment ref="G57" authorId="1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плановый объем 1 кв перенесен на 2 кв</t>
        </r>
      </text>
    </comment>
  </commentList>
</comments>
</file>

<file path=xl/sharedStrings.xml><?xml version="1.0" encoding="utf-8"?>
<sst xmlns="http://schemas.openxmlformats.org/spreadsheetml/2006/main" count="289" uniqueCount="134">
  <si>
    <t>вид дров</t>
  </si>
  <si>
    <t>ООО "Биотоп"</t>
  </si>
  <si>
    <t>Поселение/уточнение</t>
  </si>
  <si>
    <t>СМУП "Белое озеро"</t>
  </si>
  <si>
    <t>колотые длиной 1 м и менее</t>
  </si>
  <si>
    <t>круглые длиной 1 м и менее</t>
  </si>
  <si>
    <t>круглые длиной более 1 м</t>
  </si>
  <si>
    <t>ИП Витязев В.А.</t>
  </si>
  <si>
    <t>ООО "Производственно-сервисная компания"</t>
  </si>
  <si>
    <t>МО "Койденское"</t>
  </si>
  <si>
    <t>Предприятие</t>
  </si>
  <si>
    <t>Всего</t>
  </si>
  <si>
    <t>ИП Баулин А.В.</t>
  </si>
  <si>
    <t>ООО "Дрова29"</t>
  </si>
  <si>
    <t>1 квартал</t>
  </si>
  <si>
    <t>2 квартал</t>
  </si>
  <si>
    <t>3 квартал</t>
  </si>
  <si>
    <t>4 квартал</t>
  </si>
  <si>
    <t>всего</t>
  </si>
  <si>
    <t>1 полугодие</t>
  </si>
  <si>
    <t>2 полугодие</t>
  </si>
  <si>
    <t>ИП Попов Ю.Л.</t>
  </si>
  <si>
    <t>ООО "Архтоп"</t>
  </si>
  <si>
    <t>ООО "Вектор"</t>
  </si>
  <si>
    <t>МО "Жердское", МО "Дорогорское"</t>
  </si>
  <si>
    <t>ООО "Дровснаб"</t>
  </si>
  <si>
    <t>ООО "МПМК"</t>
  </si>
  <si>
    <t>ООО "Норд Развитие"</t>
  </si>
  <si>
    <t>ООО "Фореста"</t>
  </si>
  <si>
    <t>АО "Группа "Илим"</t>
  </si>
  <si>
    <t xml:space="preserve">2 квартал </t>
  </si>
  <si>
    <t xml:space="preserve">ИП Климова В.В. </t>
  </si>
  <si>
    <t>Плановый объем реализации твердого топлива, куб.м.</t>
  </si>
  <si>
    <t>ООО "Уютный город"</t>
  </si>
  <si>
    <t>ООО "Каргопольский зодчий"</t>
  </si>
  <si>
    <t>ИП Юрьев Алексей Анатольевич</t>
  </si>
  <si>
    <t>ООО "Природа"</t>
  </si>
  <si>
    <t>ООО "Север-лес"</t>
  </si>
  <si>
    <t>городской округ "Город Архангельск"</t>
  </si>
  <si>
    <t>Муниципальный район/городской округ</t>
  </si>
  <si>
    <t>городской округ Арх.обл. "Северодвинск"</t>
  </si>
  <si>
    <t>(Д) пос. Белое озеро</t>
  </si>
  <si>
    <t>город Северодвинск, за исключением пос. Белое Озеро</t>
  </si>
  <si>
    <t>ИНН</t>
  </si>
  <si>
    <t>МУП "Хозьминское"</t>
  </si>
  <si>
    <t>Вельский муниципальный район Арх.обл.</t>
  </si>
  <si>
    <t>сельские поселения "Верхнешоношское", "Усть-Шоношское", "Хозьминское", "Шадреньгское"</t>
  </si>
  <si>
    <t>ООО "ТАЙБОЛА"</t>
  </si>
  <si>
    <t>Лешуконский муниципальный район Арх.обл.</t>
  </si>
  <si>
    <t>сельские поселения  "Вожгорское", "Ценогорское", "Койнасское"</t>
  </si>
  <si>
    <t>Приморский муниципальный район Арх.обл.</t>
  </si>
  <si>
    <t>сельские поселения "Заостровское", "Катунинское", "Лисестровское", "Приморское", "Талажское", "Уемское", "Боброво-Лявленское" (за исключением о. Княжестров)</t>
  </si>
  <si>
    <t xml:space="preserve">сельское поселение "Островное" и о. Княжестров сельского поселения "Боброво-Лявленское" </t>
  </si>
  <si>
    <t>городской округ "Город Архангельск" за исключением островов Кего, Бревенник, Хабарка</t>
  </si>
  <si>
    <t>острова Кего, Бревенник, Хабарка</t>
  </si>
  <si>
    <t>СПК "РЫБОЛОВЕЦКИЙ КОЛХОЗ "БЕЛОМОР"</t>
  </si>
  <si>
    <t>МУП "Жилкомсервис" МО "Город Новодвинск"</t>
  </si>
  <si>
    <t>городской округ Арх.обл. "Город Новодвинск"</t>
  </si>
  <si>
    <t>ИП Чупраков Евгений Анатольевич</t>
  </si>
  <si>
    <t>Котласский муниципальный район Арх.обл.</t>
  </si>
  <si>
    <t>городские поселения "Приводинское" и "Шипицынское"</t>
  </si>
  <si>
    <t>ООО "Рай Топ"</t>
  </si>
  <si>
    <t>деревни Уна и Луда сельского поселения "Петроминское", сельские поселения "Боброво-Лявленское" (за исключением острова Княжестров), "Заостровское", "Катунинское", Лисестровское", "Приморское", "Талажское", "Уемское"</t>
  </si>
  <si>
    <t>сельское поселение "Пертоминское" (пос. Пертоминск)</t>
  </si>
  <si>
    <t>ИП Пэдуре Иван Васильевич</t>
  </si>
  <si>
    <t>Виноградовский муниципальный район Арх.обл.</t>
  </si>
  <si>
    <t>городское поселение "Березниковское"</t>
  </si>
  <si>
    <t>сельские поселения "Моржегорское", "Осиновское", "Усть-Ваеньгское", "Шидровское"</t>
  </si>
  <si>
    <t>Красноборский муниципальный район Арх.обл.</t>
  </si>
  <si>
    <t>сельские поселения "Алексеевское", "Пермогорское", "Телеговское", "Черевковское"</t>
  </si>
  <si>
    <t xml:space="preserve">круглые  длиной более  1 м </t>
  </si>
  <si>
    <t>Холмогорский муниципальный район Арх.обл.</t>
  </si>
  <si>
    <t>сельские поселения "Матигорское", "Ракульское", "Холмогорское", "Усть-Пинежское"</t>
  </si>
  <si>
    <t>ИП Осипов Игорь Романович</t>
  </si>
  <si>
    <t>ООО "Двина"</t>
  </si>
  <si>
    <t>Верхнетоемский муниципальный район Арх.обл.</t>
  </si>
  <si>
    <t>сельское поселение "Афанасьевское"</t>
  </si>
  <si>
    <t>сельское поселение "Пучужское"</t>
  </si>
  <si>
    <t>сельское поселение "Верхнетоемское"</t>
  </si>
  <si>
    <t>сельское поселение "Двинское"</t>
  </si>
  <si>
    <t>сельское поселение "Сефтренское"</t>
  </si>
  <si>
    <t>сельское поселение "Федьковское"</t>
  </si>
  <si>
    <t>сельское поселение "Заостровское"</t>
  </si>
  <si>
    <t>сельское поселение "Шидровское"</t>
  </si>
  <si>
    <t>ИП Третьяков Алексей Леонидович</t>
  </si>
  <si>
    <t>Пинежский муниципальный район Арх.обл.</t>
  </si>
  <si>
    <t>ООО "УК ПлесецкСтройСервис"</t>
  </si>
  <si>
    <t>Плесецкий муниципальный район Арх.обл.</t>
  </si>
  <si>
    <t>сельское поселение "Емцовское" и городские поселения "Плесецкое" и "Савинское"</t>
  </si>
  <si>
    <t>сельское поселение "Пертоминское" (дер. Летняя Золотица и дер. Пушлахта)</t>
  </si>
  <si>
    <t>ИП Агафапудов Антон Анатольевич</t>
  </si>
  <si>
    <t>Шенкурский муниципальный район Арх.обл.</t>
  </si>
  <si>
    <t>городское поселение "Шенкурское", сельское поселение "Федорогорское"</t>
  </si>
  <si>
    <t>ИП Тихонов Андрей Леонидович</t>
  </si>
  <si>
    <t>Мезенский муниципальный район Арх.обл.</t>
  </si>
  <si>
    <t>городское поселение "Мезенское"</t>
  </si>
  <si>
    <t>ООО "ЛПК 14"</t>
  </si>
  <si>
    <t>сельские поселения "Боброво-Лявленское", "Заостровское", "Катунинское", "Лисестровское", "Талажское", "Уемское"</t>
  </si>
  <si>
    <t>городские поселения "Каменское" и "Мезенское", сельские поселения "Дорогорское", "Козьмогородское", "Совпольское", "Соянское", "Целегорское"</t>
  </si>
  <si>
    <t>АО "Онежский ЛДК"</t>
  </si>
  <si>
    <t>Онежский муниципальный район Арх.обл.</t>
  </si>
  <si>
    <t>Каргопольский муниципальный округ Арх.обл.</t>
  </si>
  <si>
    <t>городское поселение "Приводинское"</t>
  </si>
  <si>
    <t>городское поселение "Черемушское"</t>
  </si>
  <si>
    <t>городское поселение "Сольвычегодское"</t>
  </si>
  <si>
    <t>сельское поселение "Быченское"</t>
  </si>
  <si>
    <t>сельское поселение "Долгощелье"</t>
  </si>
  <si>
    <t>сельское поселение "Алексеевское"</t>
  </si>
  <si>
    <t>сельское поселение  "Куликовское"</t>
  </si>
  <si>
    <t>сельское поселение  "Верхнеуфтюгское"</t>
  </si>
  <si>
    <t>сельское поселение "Соловецкое"</t>
  </si>
  <si>
    <t>сельские поселения "Боброво-Лявленское", "Заостровское", "Катунинское", "Уемское","Приморское",  "Талажское"</t>
  </si>
  <si>
    <t>Вилегодский муниципальный район Арх.обл.</t>
  </si>
  <si>
    <t>ООО "Райтоп29"</t>
  </si>
  <si>
    <t>сельские поселения "Карпогорское", "Лавельское", "Междуреченское", "Сосновское", "Сурское", "Нюхченское"</t>
  </si>
  <si>
    <t>городское поселение "Каргопольское",
сельские поселения "Пошевенское", "Приозерное", "Павловское"</t>
  </si>
  <si>
    <t>ООО "АвтоСтройЛес"</t>
  </si>
  <si>
    <t>круглые длиной 
1 м и менее</t>
  </si>
  <si>
    <t>колотые длиной 
1 м и менее</t>
  </si>
  <si>
    <t>круглые длиной
 1 м и менее</t>
  </si>
  <si>
    <t>колотые длиной
 1 м и менее</t>
  </si>
  <si>
    <t>сельские поселения "Веркольское", "Карпогорское", "Кеврольское", "Междуреченское", "Пинежское", "Пиринемское", "Покшеньгское", "Шилегское"</t>
  </si>
  <si>
    <t>Расчет плановой потребности 
 в средствах областного бюджета для предоставления субсидии на возмещение недополученных доходов, возникающих в результате государственного регулирования розничных цен
 на топливо твердое, реализуемое населению для нужд отопления,
 на 2021 год</t>
  </si>
  <si>
    <t xml:space="preserve">Экономически обоснованная стоимость
 (без НДС), рублей/пл.куб.м. </t>
  </si>
  <si>
    <t>Розничная цена (без НДС), рублей/пл.куб.м.</t>
  </si>
  <si>
    <t>Потребность в средствах областного бюджета
 (за январь - декабрь 2021 г.),
 рублей</t>
  </si>
  <si>
    <t>Потребность в средствах областного бюджета
 всего в 2021 году
(за декабрь 2020
 - ноябрь 2021),
рублей</t>
  </si>
  <si>
    <t>декабрь 2020 года,
рублей</t>
  </si>
  <si>
    <t>декабрь 2021 года,
рублей</t>
  </si>
  <si>
    <t>1 квартал факт</t>
  </si>
  <si>
    <t>1 квартал план</t>
  </si>
  <si>
    <t>МО "Верхнетоемское", 
МО "Двинское", МО "Сефтренское", 
МО "Федьковское"</t>
  </si>
  <si>
    <t>к пояснительной записке</t>
  </si>
  <si>
    <t xml:space="preserve">     Приложение № 23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</si>
</sst>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2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12"/>
      <name val="Tahoma"/>
      <family val="2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Tahoma"/>
      <family val="2"/>
      <charset val="204"/>
    </font>
    <font>
      <b/>
      <sz val="18"/>
      <name val="Tahoma"/>
      <family val="2"/>
      <charset val="204"/>
    </font>
    <font>
      <sz val="18"/>
      <name val="Calibri"/>
      <family val="2"/>
      <charset val="204"/>
    </font>
    <font>
      <sz val="12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24"/>
      <name val="Tahoma"/>
      <family val="2"/>
      <charset val="204"/>
    </font>
    <font>
      <sz val="14"/>
      <name val="Tahoma"/>
      <family val="2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2"/>
      <color theme="0" tint="-0.34998626667073579"/>
      <name val="Tahoma"/>
      <family val="2"/>
      <charset val="204"/>
    </font>
    <font>
      <sz val="12"/>
      <color rgb="FFFF0000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0" fillId="0" borderId="0"/>
    <xf numFmtId="0" fontId="4" fillId="0" borderId="0"/>
    <xf numFmtId="0" fontId="2" fillId="0" borderId="0"/>
    <xf numFmtId="0" fontId="2" fillId="0" borderId="0"/>
    <xf numFmtId="0" fontId="20" fillId="0" borderId="0"/>
    <xf numFmtId="0" fontId="4" fillId="0" borderId="0"/>
    <xf numFmtId="164" fontId="2" fillId="0" borderId="0" applyFont="0" applyFill="0" applyBorder="0" applyAlignment="0" applyProtection="0"/>
  </cellStyleXfs>
  <cellXfs count="125">
    <xf numFmtId="0" fontId="0" fillId="0" borderId="0" xfId="0"/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9" fillId="0" borderId="0" xfId="2" applyFont="1" applyFill="1" applyAlignment="1">
      <alignment horizontal="left" wrapText="1"/>
    </xf>
    <xf numFmtId="0" fontId="9" fillId="0" borderId="0" xfId="3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7" fillId="2" borderId="0" xfId="6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 vertical="center"/>
    </xf>
    <xf numFmtId="4" fontId="0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" fontId="21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165" fontId="14" fillId="4" borderId="1" xfId="3" applyNumberFormat="1" applyFont="1" applyFill="1" applyBorder="1" applyAlignment="1">
      <alignment horizontal="center" vertical="center" wrapText="1"/>
    </xf>
    <xf numFmtId="4" fontId="14" fillId="4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65" fontId="7" fillId="0" borderId="1" xfId="3" applyNumberFormat="1" applyFont="1" applyFill="1" applyBorder="1" applyAlignment="1">
      <alignment horizontal="center" vertical="center" wrapText="1"/>
    </xf>
    <xf numFmtId="4" fontId="7" fillId="0" borderId="1" xfId="3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64" fontId="14" fillId="0" borderId="1" xfId="7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24" fillId="0" borderId="1" xfId="0" applyNumberFormat="1" applyFont="1" applyFill="1" applyBorder="1" applyAlignment="1" applyProtection="1">
      <alignment horizontal="center" vertical="center" wrapText="1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 wrapText="1"/>
    </xf>
    <xf numFmtId="4" fontId="19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" fontId="18" fillId="5" borderId="0" xfId="7" applyNumberFormat="1" applyFont="1" applyFill="1" applyBorder="1" applyAlignment="1">
      <alignment horizontal="center" vertical="center"/>
    </xf>
    <xf numFmtId="4" fontId="18" fillId="5" borderId="0" xfId="7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 applyProtection="1">
      <alignment horizontal="center" vertical="center" wrapText="1" shrinkToFit="1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165" fontId="18" fillId="4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165" fontId="19" fillId="0" borderId="0" xfId="0" applyNumberFormat="1" applyFont="1" applyFill="1"/>
    <xf numFmtId="4" fontId="19" fillId="0" borderId="0" xfId="0" applyNumberFormat="1" applyFont="1" applyFill="1"/>
    <xf numFmtId="0" fontId="19" fillId="0" borderId="0" xfId="0" applyFont="1" applyFill="1" applyAlignment="1">
      <alignment horizontal="center"/>
    </xf>
    <xf numFmtId="0" fontId="17" fillId="0" borderId="7" xfId="3" applyFont="1" applyFill="1" applyBorder="1" applyAlignment="1">
      <alignment horizontal="center" wrapText="1"/>
    </xf>
    <xf numFmtId="0" fontId="25" fillId="0" borderId="0" xfId="0" applyFont="1"/>
    <xf numFmtId="0" fontId="26" fillId="0" borderId="0" xfId="0" applyFont="1" applyFill="1"/>
    <xf numFmtId="0" fontId="11" fillId="2" borderId="0" xfId="6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1" xfId="3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5" xfId="3" applyFont="1" applyFill="1" applyBorder="1" applyAlignment="1">
      <alignment horizontal="center" vertical="center" wrapText="1"/>
    </xf>
    <xf numFmtId="0" fontId="14" fillId="4" borderId="6" xfId="3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wrapText="1"/>
    </xf>
    <xf numFmtId="4" fontId="18" fillId="5" borderId="0" xfId="7" applyNumberFormat="1" applyFont="1" applyFill="1" applyBorder="1" applyAlignment="1">
      <alignment horizontal="center" vertical="center"/>
    </xf>
    <xf numFmtId="4" fontId="18" fillId="5" borderId="0" xfId="7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0 2 2" xfId="1"/>
    <cellStyle name="Обычный 10 2 4 2" xfId="2"/>
    <cellStyle name="Обычный 2" xfId="3"/>
    <cellStyle name="Обычный 3" xfId="4"/>
    <cellStyle name="Обычный 53" xfId="5"/>
    <cellStyle name="Обычный 7" xfId="6"/>
    <cellStyle name="Финансовый" xfId="7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8"/>
  <sheetViews>
    <sheetView tabSelected="1" view="pageBreakPreview" zoomScale="70" zoomScaleNormal="85" zoomScaleSheetLayoutView="70" workbookViewId="0">
      <pane xSplit="5" ySplit="7" topLeftCell="G8" activePane="bottomRight" state="frozen"/>
      <selection pane="topRight" activeCell="E1" sqref="E1"/>
      <selection pane="bottomLeft" activeCell="A6" sqref="A6"/>
      <selection pane="bottomRight" activeCell="G4" sqref="G4"/>
    </sheetView>
  </sheetViews>
  <sheetFormatPr defaultRowHeight="12.75" outlineLevelCol="1"/>
  <cols>
    <col min="1" max="1" width="16.85546875" style="7" customWidth="1"/>
    <col min="2" max="2" width="32.7109375" style="8" customWidth="1"/>
    <col min="3" max="3" width="33.85546875" style="46" customWidth="1"/>
    <col min="4" max="4" width="42.5703125" style="17" customWidth="1"/>
    <col min="5" max="5" width="18.28515625" style="22" customWidth="1"/>
    <col min="6" max="6" width="16.28515625" style="7" hidden="1" customWidth="1" outlineLevel="1"/>
    <col min="7" max="7" width="16.28515625" style="7" customWidth="1" collapsed="1"/>
    <col min="8" max="8" width="15.85546875" style="7" customWidth="1"/>
    <col min="9" max="9" width="16.28515625" style="7" customWidth="1"/>
    <col min="10" max="10" width="15.85546875" style="7" customWidth="1"/>
    <col min="11" max="11" width="17.85546875" style="7" customWidth="1"/>
    <col min="12" max="12" width="21" style="7" customWidth="1"/>
    <col min="13" max="14" width="14" style="7" customWidth="1"/>
    <col min="15" max="15" width="22.7109375" style="7" hidden="1" customWidth="1" outlineLevel="1"/>
    <col min="16" max="16" width="22.7109375" style="7" customWidth="1" collapsed="1"/>
    <col min="17" max="20" width="22.7109375" style="7" customWidth="1"/>
    <col min="21" max="22" width="23.7109375" style="7" customWidth="1"/>
    <col min="23" max="23" width="32.28515625" style="7" customWidth="1"/>
    <col min="24" max="24" width="13.85546875" style="7" bestFit="1" customWidth="1"/>
    <col min="25" max="16384" width="9.140625" style="7"/>
  </cols>
  <sheetData>
    <row r="1" spans="1:24" ht="27" customHeight="1">
      <c r="V1" s="105" t="s">
        <v>133</v>
      </c>
      <c r="W1" s="104"/>
    </row>
    <row r="2" spans="1:24" ht="27" customHeight="1">
      <c r="V2" s="105" t="s">
        <v>132</v>
      </c>
      <c r="W2" s="104"/>
    </row>
    <row r="3" spans="1:24" ht="132" customHeight="1">
      <c r="A3" s="106" t="s">
        <v>122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4" ht="14.25" customHeight="1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4" s="24" customFormat="1" ht="86.25" customHeight="1">
      <c r="A5" s="117" t="s">
        <v>43</v>
      </c>
      <c r="B5" s="117" t="s">
        <v>10</v>
      </c>
      <c r="C5" s="115" t="s">
        <v>39</v>
      </c>
      <c r="D5" s="120" t="s">
        <v>2</v>
      </c>
      <c r="E5" s="115" t="s">
        <v>0</v>
      </c>
      <c r="F5" s="112" t="s">
        <v>32</v>
      </c>
      <c r="G5" s="113"/>
      <c r="H5" s="113"/>
      <c r="I5" s="113"/>
      <c r="J5" s="113"/>
      <c r="K5" s="114"/>
      <c r="L5" s="115" t="s">
        <v>123</v>
      </c>
      <c r="M5" s="112" t="s">
        <v>124</v>
      </c>
      <c r="N5" s="114"/>
      <c r="O5" s="110" t="s">
        <v>125</v>
      </c>
      <c r="P5" s="110"/>
      <c r="Q5" s="110"/>
      <c r="R5" s="110"/>
      <c r="S5" s="110"/>
      <c r="T5" s="110"/>
      <c r="U5" s="111" t="s">
        <v>127</v>
      </c>
      <c r="V5" s="119" t="s">
        <v>128</v>
      </c>
      <c r="W5" s="110" t="s">
        <v>126</v>
      </c>
    </row>
    <row r="6" spans="1:24" s="25" customFormat="1" ht="39" customHeight="1">
      <c r="A6" s="118"/>
      <c r="B6" s="118"/>
      <c r="C6" s="116"/>
      <c r="D6" s="121"/>
      <c r="E6" s="116"/>
      <c r="F6" s="47" t="s">
        <v>130</v>
      </c>
      <c r="G6" s="47" t="s">
        <v>129</v>
      </c>
      <c r="H6" s="47" t="s">
        <v>30</v>
      </c>
      <c r="I6" s="47" t="s">
        <v>16</v>
      </c>
      <c r="J6" s="47" t="s">
        <v>17</v>
      </c>
      <c r="K6" s="47" t="s">
        <v>18</v>
      </c>
      <c r="L6" s="116"/>
      <c r="M6" s="47" t="s">
        <v>19</v>
      </c>
      <c r="N6" s="47" t="s">
        <v>20</v>
      </c>
      <c r="O6" s="47" t="s">
        <v>14</v>
      </c>
      <c r="P6" s="47" t="s">
        <v>129</v>
      </c>
      <c r="Q6" s="47" t="s">
        <v>15</v>
      </c>
      <c r="R6" s="47" t="s">
        <v>16</v>
      </c>
      <c r="S6" s="47" t="s">
        <v>17</v>
      </c>
      <c r="T6" s="48" t="s">
        <v>11</v>
      </c>
      <c r="U6" s="111"/>
      <c r="V6" s="119"/>
      <c r="W6" s="110"/>
    </row>
    <row r="7" spans="1:24" s="26" customFormat="1" ht="12" customHeight="1">
      <c r="A7" s="49"/>
      <c r="B7" s="49"/>
      <c r="C7" s="50"/>
      <c r="D7" s="51"/>
      <c r="E7" s="50"/>
      <c r="F7" s="52"/>
      <c r="G7" s="52"/>
      <c r="H7" s="52"/>
      <c r="I7" s="52"/>
      <c r="J7" s="52"/>
      <c r="K7" s="52"/>
      <c r="L7" s="50"/>
      <c r="M7" s="52"/>
      <c r="N7" s="52"/>
      <c r="O7" s="52"/>
      <c r="P7" s="52"/>
      <c r="Q7" s="52"/>
      <c r="R7" s="52"/>
      <c r="S7" s="52"/>
      <c r="T7" s="53"/>
      <c r="U7" s="54"/>
      <c r="V7" s="55"/>
      <c r="W7" s="54"/>
    </row>
    <row r="8" spans="1:24" s="37" customFormat="1" ht="70.5" customHeight="1">
      <c r="A8" s="56">
        <v>2907010396</v>
      </c>
      <c r="B8" s="57" t="s">
        <v>44</v>
      </c>
      <c r="C8" s="58" t="s">
        <v>45</v>
      </c>
      <c r="D8" s="59" t="s">
        <v>46</v>
      </c>
      <c r="E8" s="60" t="s">
        <v>6</v>
      </c>
      <c r="F8" s="62">
        <v>400</v>
      </c>
      <c r="G8" s="62">
        <v>1266.8</v>
      </c>
      <c r="H8" s="62">
        <v>100</v>
      </c>
      <c r="I8" s="62">
        <v>0</v>
      </c>
      <c r="J8" s="62">
        <v>108</v>
      </c>
      <c r="K8" s="62">
        <f>G8+H8+I8+J8</f>
        <v>1474.8</v>
      </c>
      <c r="L8" s="61">
        <v>747.71</v>
      </c>
      <c r="M8" s="61">
        <v>450</v>
      </c>
      <c r="N8" s="61">
        <v>470</v>
      </c>
      <c r="O8" s="61">
        <f>(L8-M8)*F8</f>
        <v>119084.00000000001</v>
      </c>
      <c r="P8" s="61">
        <f>G8*(L8-M8)</f>
        <v>377139.02800000005</v>
      </c>
      <c r="Q8" s="61">
        <f>(L8-M8)*H8</f>
        <v>29771.000000000004</v>
      </c>
      <c r="R8" s="61">
        <f>(L8-N8)*I8</f>
        <v>0</v>
      </c>
      <c r="S8" s="61">
        <f>(L8-N8)*J8</f>
        <v>29992.680000000004</v>
      </c>
      <c r="T8" s="63">
        <f>P8+Q8+R8+S8</f>
        <v>436902.70800000004</v>
      </c>
      <c r="U8" s="60"/>
      <c r="V8" s="61"/>
      <c r="W8" s="61"/>
      <c r="X8" s="36"/>
    </row>
    <row r="9" spans="1:24" s="37" customFormat="1" ht="70.5" customHeight="1">
      <c r="A9" s="56">
        <v>2907010396</v>
      </c>
      <c r="B9" s="57" t="s">
        <v>44</v>
      </c>
      <c r="C9" s="58" t="s">
        <v>45</v>
      </c>
      <c r="D9" s="59" t="s">
        <v>46</v>
      </c>
      <c r="E9" s="60" t="s">
        <v>117</v>
      </c>
      <c r="F9" s="62">
        <v>250</v>
      </c>
      <c r="G9" s="62">
        <v>345.3</v>
      </c>
      <c r="H9" s="62">
        <v>0</v>
      </c>
      <c r="I9" s="62">
        <v>0</v>
      </c>
      <c r="J9" s="62">
        <v>142</v>
      </c>
      <c r="K9" s="62">
        <f t="shared" ref="K9:K71" si="0">G9+H9+I9+J9</f>
        <v>487.3</v>
      </c>
      <c r="L9" s="61">
        <v>900.84</v>
      </c>
      <c r="M9" s="61">
        <v>535</v>
      </c>
      <c r="N9" s="61">
        <v>560</v>
      </c>
      <c r="O9" s="61">
        <f>(L9-M9)*F9</f>
        <v>91460.000000000015</v>
      </c>
      <c r="P9" s="61">
        <f t="shared" ref="P9:P71" si="1">G9*(L9-M9)</f>
        <v>126324.55200000001</v>
      </c>
      <c r="Q9" s="61">
        <f>(L9-M9)*H9</f>
        <v>0</v>
      </c>
      <c r="R9" s="61">
        <f t="shared" ref="R9:R45" si="2">(L9-N9)*I9</f>
        <v>0</v>
      </c>
      <c r="S9" s="61">
        <f t="shared" ref="S9:S45" si="3">(L9-N9)*J9</f>
        <v>48399.280000000006</v>
      </c>
      <c r="T9" s="63">
        <f t="shared" ref="T9:T71" si="4">P9+Q9+R9+S9</f>
        <v>174723.83200000002</v>
      </c>
      <c r="U9" s="60"/>
      <c r="V9" s="61"/>
      <c r="W9" s="61"/>
      <c r="X9" s="36"/>
    </row>
    <row r="10" spans="1:24" s="37" customFormat="1" ht="14.25" customHeight="1">
      <c r="A10" s="87"/>
      <c r="B10" s="88"/>
      <c r="C10" s="89"/>
      <c r="D10" s="90"/>
      <c r="E10" s="91"/>
      <c r="F10" s="92"/>
      <c r="G10" s="92"/>
      <c r="H10" s="92"/>
      <c r="I10" s="92"/>
      <c r="J10" s="92"/>
      <c r="K10" s="92"/>
      <c r="L10" s="93"/>
      <c r="M10" s="93"/>
      <c r="N10" s="93"/>
      <c r="O10" s="93"/>
      <c r="P10" s="93"/>
      <c r="Q10" s="93"/>
      <c r="R10" s="93"/>
      <c r="S10" s="93"/>
      <c r="T10" s="93"/>
      <c r="U10" s="91"/>
      <c r="V10" s="93"/>
      <c r="W10" s="93"/>
      <c r="X10" s="36"/>
    </row>
    <row r="11" spans="1:24" s="37" customFormat="1" ht="45">
      <c r="A11" s="56">
        <v>2901255449</v>
      </c>
      <c r="B11" s="57" t="s">
        <v>74</v>
      </c>
      <c r="C11" s="58" t="s">
        <v>75</v>
      </c>
      <c r="D11" s="59" t="s">
        <v>76</v>
      </c>
      <c r="E11" s="60" t="s">
        <v>6</v>
      </c>
      <c r="F11" s="62">
        <v>2000</v>
      </c>
      <c r="G11" s="62">
        <v>1677.434</v>
      </c>
      <c r="H11" s="62">
        <v>500</v>
      </c>
      <c r="I11" s="62">
        <v>500</v>
      </c>
      <c r="J11" s="62">
        <v>1500</v>
      </c>
      <c r="K11" s="62">
        <f t="shared" si="0"/>
        <v>4177.4340000000002</v>
      </c>
      <c r="L11" s="61">
        <v>2278.58</v>
      </c>
      <c r="M11" s="61">
        <v>470</v>
      </c>
      <c r="N11" s="61">
        <v>490</v>
      </c>
      <c r="O11" s="61">
        <f>(L11-M11)*F11</f>
        <v>3617160</v>
      </c>
      <c r="P11" s="61">
        <f>G11*(L11-M11)+0.03</f>
        <v>3033773.6137199998</v>
      </c>
      <c r="Q11" s="61">
        <f>(L11-M11)*H11</f>
        <v>904290</v>
      </c>
      <c r="R11" s="61">
        <f t="shared" si="2"/>
        <v>894290</v>
      </c>
      <c r="S11" s="61">
        <f t="shared" si="3"/>
        <v>2682870</v>
      </c>
      <c r="T11" s="63">
        <f t="shared" si="4"/>
        <v>7515223.6137199998</v>
      </c>
      <c r="U11" s="60"/>
      <c r="V11" s="61"/>
      <c r="W11" s="61"/>
      <c r="X11" s="36"/>
    </row>
    <row r="12" spans="1:24" s="37" customFormat="1" ht="45">
      <c r="A12" s="56">
        <v>2901255449</v>
      </c>
      <c r="B12" s="57" t="s">
        <v>74</v>
      </c>
      <c r="C12" s="58" t="s">
        <v>75</v>
      </c>
      <c r="D12" s="59" t="s">
        <v>77</v>
      </c>
      <c r="E12" s="60" t="s">
        <v>6</v>
      </c>
      <c r="F12" s="62">
        <v>2000</v>
      </c>
      <c r="G12" s="62">
        <v>2614.7170000000001</v>
      </c>
      <c r="H12" s="62">
        <v>500</v>
      </c>
      <c r="I12" s="62">
        <v>500</v>
      </c>
      <c r="J12" s="62">
        <v>1500</v>
      </c>
      <c r="K12" s="62">
        <f t="shared" si="0"/>
        <v>5114.7170000000006</v>
      </c>
      <c r="L12" s="61">
        <v>2278.58</v>
      </c>
      <c r="M12" s="61">
        <v>470</v>
      </c>
      <c r="N12" s="61">
        <v>490</v>
      </c>
      <c r="O12" s="61">
        <f t="shared" ref="O12:O17" si="5">(L12-M12)*F12</f>
        <v>3617160</v>
      </c>
      <c r="P12" s="61">
        <f t="shared" si="1"/>
        <v>4728924.8718600003</v>
      </c>
      <c r="Q12" s="61">
        <f t="shared" ref="Q12:Q45" si="6">(L12-M12)*H12</f>
        <v>904290</v>
      </c>
      <c r="R12" s="61">
        <f t="shared" si="2"/>
        <v>894290</v>
      </c>
      <c r="S12" s="61">
        <f t="shared" si="3"/>
        <v>2682870</v>
      </c>
      <c r="T12" s="63">
        <f t="shared" si="4"/>
        <v>9210374.8718600012</v>
      </c>
      <c r="U12" s="60"/>
      <c r="V12" s="61"/>
      <c r="W12" s="61"/>
      <c r="X12" s="36"/>
    </row>
    <row r="13" spans="1:24" s="37" customFormat="1" ht="45">
      <c r="A13" s="56">
        <v>2901255449</v>
      </c>
      <c r="B13" s="57" t="s">
        <v>74</v>
      </c>
      <c r="C13" s="58" t="s">
        <v>75</v>
      </c>
      <c r="D13" s="59" t="s">
        <v>78</v>
      </c>
      <c r="E13" s="60" t="s">
        <v>6</v>
      </c>
      <c r="F13" s="62">
        <v>40</v>
      </c>
      <c r="G13" s="62">
        <v>1159.9000000000001</v>
      </c>
      <c r="H13" s="62">
        <v>15</v>
      </c>
      <c r="I13" s="62">
        <v>15</v>
      </c>
      <c r="J13" s="62">
        <v>40</v>
      </c>
      <c r="K13" s="62">
        <f t="shared" si="0"/>
        <v>1229.9000000000001</v>
      </c>
      <c r="L13" s="61">
        <v>2278.58</v>
      </c>
      <c r="M13" s="61">
        <v>470</v>
      </c>
      <c r="N13" s="61">
        <v>490</v>
      </c>
      <c r="O13" s="61">
        <f t="shared" si="5"/>
        <v>72343.199999999997</v>
      </c>
      <c r="P13" s="61">
        <f t="shared" si="1"/>
        <v>2097771.9420000003</v>
      </c>
      <c r="Q13" s="61">
        <f t="shared" si="6"/>
        <v>27128.699999999997</v>
      </c>
      <c r="R13" s="61">
        <f t="shared" si="2"/>
        <v>26828.699999999997</v>
      </c>
      <c r="S13" s="61">
        <f t="shared" si="3"/>
        <v>71543.199999999997</v>
      </c>
      <c r="T13" s="63">
        <f t="shared" si="4"/>
        <v>2223272.5420000008</v>
      </c>
      <c r="U13" s="60"/>
      <c r="V13" s="61"/>
      <c r="W13" s="61"/>
      <c r="X13" s="36"/>
    </row>
    <row r="14" spans="1:24" s="39" customFormat="1" ht="45">
      <c r="A14" s="56">
        <v>2901255449</v>
      </c>
      <c r="B14" s="57" t="s">
        <v>74</v>
      </c>
      <c r="C14" s="58" t="s">
        <v>75</v>
      </c>
      <c r="D14" s="59" t="s">
        <v>79</v>
      </c>
      <c r="E14" s="60" t="s">
        <v>6</v>
      </c>
      <c r="F14" s="62">
        <v>35</v>
      </c>
      <c r="G14" s="62">
        <v>15</v>
      </c>
      <c r="H14" s="62">
        <v>10</v>
      </c>
      <c r="I14" s="62">
        <v>10</v>
      </c>
      <c r="J14" s="62">
        <v>35</v>
      </c>
      <c r="K14" s="62">
        <f t="shared" si="0"/>
        <v>70</v>
      </c>
      <c r="L14" s="61">
        <v>2278.58</v>
      </c>
      <c r="M14" s="61">
        <v>470</v>
      </c>
      <c r="N14" s="61">
        <v>490</v>
      </c>
      <c r="O14" s="61">
        <f t="shared" si="5"/>
        <v>63300.299999999996</v>
      </c>
      <c r="P14" s="61">
        <f t="shared" si="1"/>
        <v>27128.699999999997</v>
      </c>
      <c r="Q14" s="61">
        <f t="shared" si="6"/>
        <v>18085.8</v>
      </c>
      <c r="R14" s="61">
        <f t="shared" si="2"/>
        <v>17885.8</v>
      </c>
      <c r="S14" s="61">
        <f t="shared" si="3"/>
        <v>62600.299999999996</v>
      </c>
      <c r="T14" s="63">
        <f t="shared" si="4"/>
        <v>125700.6</v>
      </c>
      <c r="U14" s="60"/>
      <c r="V14" s="61"/>
      <c r="W14" s="61"/>
      <c r="X14" s="38"/>
    </row>
    <row r="15" spans="1:24" s="39" customFormat="1" ht="45">
      <c r="A15" s="56">
        <v>2901255449</v>
      </c>
      <c r="B15" s="57" t="s">
        <v>74</v>
      </c>
      <c r="C15" s="58" t="s">
        <v>75</v>
      </c>
      <c r="D15" s="59" t="s">
        <v>80</v>
      </c>
      <c r="E15" s="60" t="s">
        <v>6</v>
      </c>
      <c r="F15" s="62">
        <v>50</v>
      </c>
      <c r="G15" s="62">
        <v>16</v>
      </c>
      <c r="H15" s="62">
        <v>0</v>
      </c>
      <c r="I15" s="62">
        <v>0</v>
      </c>
      <c r="J15" s="62">
        <v>50</v>
      </c>
      <c r="K15" s="62">
        <f t="shared" si="0"/>
        <v>66</v>
      </c>
      <c r="L15" s="61">
        <v>2278.58</v>
      </c>
      <c r="M15" s="61">
        <v>470</v>
      </c>
      <c r="N15" s="61">
        <v>490</v>
      </c>
      <c r="O15" s="61">
        <f t="shared" si="5"/>
        <v>90429</v>
      </c>
      <c r="P15" s="61">
        <f t="shared" si="1"/>
        <v>28937.279999999999</v>
      </c>
      <c r="Q15" s="61">
        <f t="shared" si="6"/>
        <v>0</v>
      </c>
      <c r="R15" s="61">
        <f t="shared" si="2"/>
        <v>0</v>
      </c>
      <c r="S15" s="61">
        <f t="shared" si="3"/>
        <v>89429</v>
      </c>
      <c r="T15" s="63">
        <f t="shared" si="4"/>
        <v>118366.28</v>
      </c>
      <c r="U15" s="60"/>
      <c r="V15" s="61"/>
      <c r="W15" s="61"/>
      <c r="X15" s="38"/>
    </row>
    <row r="16" spans="1:24" s="39" customFormat="1" ht="45">
      <c r="A16" s="56">
        <v>2901255449</v>
      </c>
      <c r="B16" s="57" t="s">
        <v>74</v>
      </c>
      <c r="C16" s="58" t="s">
        <v>75</v>
      </c>
      <c r="D16" s="59" t="s">
        <v>81</v>
      </c>
      <c r="E16" s="60" t="s">
        <v>6</v>
      </c>
      <c r="F16" s="62">
        <v>50</v>
      </c>
      <c r="G16" s="62">
        <v>2775.8090000000002</v>
      </c>
      <c r="H16" s="62">
        <v>0</v>
      </c>
      <c r="I16" s="62">
        <v>0</v>
      </c>
      <c r="J16" s="62">
        <v>50</v>
      </c>
      <c r="K16" s="62">
        <f t="shared" si="0"/>
        <v>2825.8090000000002</v>
      </c>
      <c r="L16" s="61">
        <v>2278.58</v>
      </c>
      <c r="M16" s="61">
        <v>470</v>
      </c>
      <c r="N16" s="61">
        <v>490</v>
      </c>
      <c r="O16" s="61">
        <f t="shared" si="5"/>
        <v>90429</v>
      </c>
      <c r="P16" s="61">
        <f t="shared" si="1"/>
        <v>5020272.6412200006</v>
      </c>
      <c r="Q16" s="61">
        <f t="shared" si="6"/>
        <v>0</v>
      </c>
      <c r="R16" s="61">
        <f t="shared" si="2"/>
        <v>0</v>
      </c>
      <c r="S16" s="61">
        <f t="shared" si="3"/>
        <v>89429</v>
      </c>
      <c r="T16" s="63">
        <f t="shared" si="4"/>
        <v>5109701.6412200006</v>
      </c>
      <c r="U16" s="60"/>
      <c r="V16" s="61"/>
      <c r="W16" s="61"/>
      <c r="X16" s="38"/>
    </row>
    <row r="17" spans="1:24" s="39" customFormat="1" ht="45">
      <c r="A17" s="56">
        <v>2908004701</v>
      </c>
      <c r="B17" s="58" t="s">
        <v>26</v>
      </c>
      <c r="C17" s="58" t="s">
        <v>75</v>
      </c>
      <c r="D17" s="59" t="s">
        <v>131</v>
      </c>
      <c r="E17" s="69" t="s">
        <v>117</v>
      </c>
      <c r="F17" s="62">
        <v>0</v>
      </c>
      <c r="G17" s="62">
        <v>0</v>
      </c>
      <c r="H17" s="62">
        <f>3000+500</f>
        <v>3500</v>
      </c>
      <c r="I17" s="62">
        <v>3500</v>
      </c>
      <c r="J17" s="62">
        <v>3000</v>
      </c>
      <c r="K17" s="62">
        <f t="shared" si="0"/>
        <v>10000</v>
      </c>
      <c r="L17" s="61">
        <v>2743.2</v>
      </c>
      <c r="M17" s="61">
        <v>620</v>
      </c>
      <c r="N17" s="61">
        <v>650</v>
      </c>
      <c r="O17" s="61">
        <f t="shared" si="5"/>
        <v>0</v>
      </c>
      <c r="P17" s="61">
        <f t="shared" si="1"/>
        <v>0</v>
      </c>
      <c r="Q17" s="61">
        <f t="shared" si="6"/>
        <v>7431199.9999999991</v>
      </c>
      <c r="R17" s="61">
        <f t="shared" si="2"/>
        <v>7326199.9999999991</v>
      </c>
      <c r="S17" s="61">
        <f t="shared" si="3"/>
        <v>6279599.9999999991</v>
      </c>
      <c r="T17" s="63">
        <f t="shared" si="4"/>
        <v>21036999.999999996</v>
      </c>
      <c r="U17" s="60"/>
      <c r="V17" s="61"/>
      <c r="W17" s="61"/>
      <c r="X17" s="38"/>
    </row>
    <row r="18" spans="1:24" s="39" customFormat="1" ht="14.25" customHeight="1">
      <c r="A18" s="87"/>
      <c r="B18" s="89"/>
      <c r="C18" s="89"/>
      <c r="D18" s="90"/>
      <c r="E18" s="94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3"/>
      <c r="R18" s="93"/>
      <c r="S18" s="93"/>
      <c r="T18" s="93"/>
      <c r="U18" s="91"/>
      <c r="V18" s="93"/>
      <c r="W18" s="93"/>
      <c r="X18" s="38"/>
    </row>
    <row r="19" spans="1:24" s="39" customFormat="1" ht="45">
      <c r="A19" s="56">
        <v>7840346335</v>
      </c>
      <c r="B19" s="57" t="s">
        <v>29</v>
      </c>
      <c r="C19" s="58" t="s">
        <v>112</v>
      </c>
      <c r="D19" s="59"/>
      <c r="E19" s="60" t="s">
        <v>6</v>
      </c>
      <c r="F19" s="62">
        <f>1675</f>
        <v>1675</v>
      </c>
      <c r="G19" s="62">
        <v>0</v>
      </c>
      <c r="H19" s="62">
        <f>1675+1675</f>
        <v>3350</v>
      </c>
      <c r="I19" s="62">
        <f>1675</f>
        <v>1675</v>
      </c>
      <c r="J19" s="62">
        <f>1675</f>
        <v>1675</v>
      </c>
      <c r="K19" s="62">
        <f t="shared" si="0"/>
        <v>6700</v>
      </c>
      <c r="L19" s="61">
        <v>596.26</v>
      </c>
      <c r="M19" s="61">
        <v>550</v>
      </c>
      <c r="N19" s="61">
        <v>566.66999999999996</v>
      </c>
      <c r="O19" s="61">
        <f>(L19-M19)*F19</f>
        <v>77485.499999999985</v>
      </c>
      <c r="P19" s="61">
        <f t="shared" si="1"/>
        <v>0</v>
      </c>
      <c r="Q19" s="61">
        <f t="shared" si="6"/>
        <v>154970.99999999997</v>
      </c>
      <c r="R19" s="61">
        <f t="shared" si="2"/>
        <v>49563.250000000051</v>
      </c>
      <c r="S19" s="61">
        <f t="shared" si="3"/>
        <v>49563.250000000051</v>
      </c>
      <c r="T19" s="63">
        <f t="shared" si="4"/>
        <v>254097.50000000009</v>
      </c>
      <c r="U19" s="60"/>
      <c r="V19" s="61"/>
      <c r="W19" s="61"/>
      <c r="X19" s="38"/>
    </row>
    <row r="20" spans="1:24" s="39" customFormat="1" ht="14.25" customHeight="1">
      <c r="A20" s="87"/>
      <c r="B20" s="88"/>
      <c r="C20" s="89"/>
      <c r="D20" s="90"/>
      <c r="E20" s="91"/>
      <c r="F20" s="92"/>
      <c r="G20" s="92"/>
      <c r="H20" s="92"/>
      <c r="I20" s="92"/>
      <c r="J20" s="92"/>
      <c r="K20" s="92"/>
      <c r="L20" s="93"/>
      <c r="M20" s="93"/>
      <c r="N20" s="93"/>
      <c r="O20" s="93"/>
      <c r="P20" s="93"/>
      <c r="Q20" s="93"/>
      <c r="R20" s="93"/>
      <c r="S20" s="93"/>
      <c r="T20" s="93"/>
      <c r="U20" s="91"/>
      <c r="V20" s="93"/>
      <c r="W20" s="93"/>
      <c r="X20" s="38"/>
    </row>
    <row r="21" spans="1:24" s="39" customFormat="1" ht="45">
      <c r="A21" s="56">
        <v>2901255449</v>
      </c>
      <c r="B21" s="58" t="s">
        <v>74</v>
      </c>
      <c r="C21" s="58" t="s">
        <v>65</v>
      </c>
      <c r="D21" s="59" t="s">
        <v>66</v>
      </c>
      <c r="E21" s="69" t="s">
        <v>6</v>
      </c>
      <c r="F21" s="62">
        <v>400</v>
      </c>
      <c r="G21" s="62">
        <v>653</v>
      </c>
      <c r="H21" s="62">
        <v>100</v>
      </c>
      <c r="I21" s="62">
        <v>100</v>
      </c>
      <c r="J21" s="62">
        <v>200</v>
      </c>
      <c r="K21" s="62">
        <f t="shared" si="0"/>
        <v>1053</v>
      </c>
      <c r="L21" s="61">
        <v>2276.27</v>
      </c>
      <c r="M21" s="61">
        <v>625</v>
      </c>
      <c r="N21" s="61">
        <v>650</v>
      </c>
      <c r="O21" s="61">
        <f>(L21-M21)*F21</f>
        <v>660508</v>
      </c>
      <c r="P21" s="61">
        <f t="shared" si="1"/>
        <v>1078279.31</v>
      </c>
      <c r="Q21" s="61">
        <f t="shared" si="6"/>
        <v>165127</v>
      </c>
      <c r="R21" s="61">
        <f t="shared" si="2"/>
        <v>162627</v>
      </c>
      <c r="S21" s="61">
        <f t="shared" si="3"/>
        <v>325254</v>
      </c>
      <c r="T21" s="63">
        <f t="shared" si="4"/>
        <v>1731287.31</v>
      </c>
      <c r="U21" s="60"/>
      <c r="V21" s="61"/>
      <c r="W21" s="61"/>
      <c r="X21" s="38"/>
    </row>
    <row r="22" spans="1:24" s="37" customFormat="1" ht="45">
      <c r="A22" s="56">
        <v>2901255449</v>
      </c>
      <c r="B22" s="58" t="s">
        <v>74</v>
      </c>
      <c r="C22" s="58" t="s">
        <v>65</v>
      </c>
      <c r="D22" s="59" t="s">
        <v>82</v>
      </c>
      <c r="E22" s="69" t="s">
        <v>6</v>
      </c>
      <c r="F22" s="62">
        <v>200</v>
      </c>
      <c r="G22" s="62">
        <v>191</v>
      </c>
      <c r="H22" s="62">
        <v>50</v>
      </c>
      <c r="I22" s="62">
        <v>50</v>
      </c>
      <c r="J22" s="62">
        <v>100</v>
      </c>
      <c r="K22" s="62">
        <f t="shared" si="0"/>
        <v>391</v>
      </c>
      <c r="L22" s="61">
        <v>2276.27</v>
      </c>
      <c r="M22" s="61">
        <v>625</v>
      </c>
      <c r="N22" s="61">
        <v>650</v>
      </c>
      <c r="O22" s="61">
        <f t="shared" ref="O22:O28" si="7">(L22-M22)*F22</f>
        <v>330254</v>
      </c>
      <c r="P22" s="61">
        <f t="shared" si="1"/>
        <v>315392.57</v>
      </c>
      <c r="Q22" s="61">
        <f t="shared" si="6"/>
        <v>82563.5</v>
      </c>
      <c r="R22" s="61">
        <f t="shared" si="2"/>
        <v>81313.5</v>
      </c>
      <c r="S22" s="61">
        <f t="shared" si="3"/>
        <v>162627</v>
      </c>
      <c r="T22" s="63">
        <f t="shared" si="4"/>
        <v>641896.57000000007</v>
      </c>
      <c r="U22" s="60"/>
      <c r="V22" s="61"/>
      <c r="W22" s="61"/>
      <c r="X22" s="36"/>
    </row>
    <row r="23" spans="1:24" s="37" customFormat="1" ht="45">
      <c r="A23" s="56">
        <v>2901255449</v>
      </c>
      <c r="B23" s="58" t="s">
        <v>74</v>
      </c>
      <c r="C23" s="58" t="s">
        <v>65</v>
      </c>
      <c r="D23" s="59" t="s">
        <v>83</v>
      </c>
      <c r="E23" s="69" t="s">
        <v>6</v>
      </c>
      <c r="F23" s="62">
        <v>450</v>
      </c>
      <c r="G23" s="62">
        <v>1053</v>
      </c>
      <c r="H23" s="62">
        <v>100</v>
      </c>
      <c r="I23" s="62">
        <v>100</v>
      </c>
      <c r="J23" s="62">
        <v>250</v>
      </c>
      <c r="K23" s="62">
        <f t="shared" si="0"/>
        <v>1503</v>
      </c>
      <c r="L23" s="61">
        <v>2276.27</v>
      </c>
      <c r="M23" s="61">
        <v>625</v>
      </c>
      <c r="N23" s="61">
        <v>650</v>
      </c>
      <c r="O23" s="61">
        <f t="shared" si="7"/>
        <v>743071.5</v>
      </c>
      <c r="P23" s="61">
        <f t="shared" si="1"/>
        <v>1738787.31</v>
      </c>
      <c r="Q23" s="61">
        <f t="shared" si="6"/>
        <v>165127</v>
      </c>
      <c r="R23" s="61">
        <f t="shared" si="2"/>
        <v>162627</v>
      </c>
      <c r="S23" s="61">
        <f t="shared" si="3"/>
        <v>406567.5</v>
      </c>
      <c r="T23" s="63">
        <f t="shared" si="4"/>
        <v>2473108.81</v>
      </c>
      <c r="U23" s="60"/>
      <c r="V23" s="61"/>
      <c r="W23" s="61"/>
      <c r="X23" s="36"/>
    </row>
    <row r="24" spans="1:24" s="39" customFormat="1" ht="45">
      <c r="A24" s="56">
        <v>291002207929</v>
      </c>
      <c r="B24" s="58" t="s">
        <v>64</v>
      </c>
      <c r="C24" s="58" t="s">
        <v>65</v>
      </c>
      <c r="D24" s="59" t="s">
        <v>66</v>
      </c>
      <c r="E24" s="69" t="s">
        <v>6</v>
      </c>
      <c r="F24" s="62">
        <v>550</v>
      </c>
      <c r="G24" s="62">
        <v>578.91999999999996</v>
      </c>
      <c r="H24" s="62">
        <v>450</v>
      </c>
      <c r="I24" s="62">
        <v>450</v>
      </c>
      <c r="J24" s="62">
        <v>550</v>
      </c>
      <c r="K24" s="62">
        <f t="shared" si="0"/>
        <v>2028.92</v>
      </c>
      <c r="L24" s="61">
        <v>1496.89</v>
      </c>
      <c r="M24" s="61">
        <v>625</v>
      </c>
      <c r="N24" s="61">
        <v>650</v>
      </c>
      <c r="O24" s="61">
        <f t="shared" si="7"/>
        <v>479539.50000000006</v>
      </c>
      <c r="P24" s="61">
        <f t="shared" si="1"/>
        <v>504754.5588</v>
      </c>
      <c r="Q24" s="61">
        <f t="shared" si="6"/>
        <v>392350.50000000006</v>
      </c>
      <c r="R24" s="61">
        <f t="shared" si="2"/>
        <v>381100.50000000006</v>
      </c>
      <c r="S24" s="61">
        <f t="shared" si="3"/>
        <v>465789.50000000006</v>
      </c>
      <c r="T24" s="63">
        <f t="shared" si="4"/>
        <v>1743995.0588</v>
      </c>
      <c r="U24" s="60"/>
      <c r="V24" s="61"/>
      <c r="W24" s="61"/>
      <c r="X24" s="38"/>
    </row>
    <row r="25" spans="1:24" s="39" customFormat="1" ht="45">
      <c r="A25" s="56">
        <v>291002207929</v>
      </c>
      <c r="B25" s="58" t="s">
        <v>64</v>
      </c>
      <c r="C25" s="58" t="s">
        <v>65</v>
      </c>
      <c r="D25" s="59" t="s">
        <v>66</v>
      </c>
      <c r="E25" s="60" t="s">
        <v>117</v>
      </c>
      <c r="F25" s="62">
        <v>300</v>
      </c>
      <c r="G25" s="62">
        <v>390.03</v>
      </c>
      <c r="H25" s="62">
        <v>200</v>
      </c>
      <c r="I25" s="62">
        <v>200</v>
      </c>
      <c r="J25" s="62">
        <v>300</v>
      </c>
      <c r="K25" s="62">
        <f t="shared" si="0"/>
        <v>1090.03</v>
      </c>
      <c r="L25" s="61">
        <v>1668.86</v>
      </c>
      <c r="M25" s="61">
        <v>757</v>
      </c>
      <c r="N25" s="61">
        <v>780</v>
      </c>
      <c r="O25" s="61">
        <f t="shared" si="7"/>
        <v>273557.99999999994</v>
      </c>
      <c r="P25" s="61">
        <f t="shared" si="1"/>
        <v>355652.75579999993</v>
      </c>
      <c r="Q25" s="61">
        <f t="shared" si="6"/>
        <v>182371.99999999997</v>
      </c>
      <c r="R25" s="61">
        <f t="shared" si="2"/>
        <v>177771.99999999997</v>
      </c>
      <c r="S25" s="61">
        <f t="shared" si="3"/>
        <v>266657.99999999994</v>
      </c>
      <c r="T25" s="63">
        <f t="shared" si="4"/>
        <v>982454.75579999993</v>
      </c>
      <c r="U25" s="60"/>
      <c r="V25" s="61"/>
      <c r="W25" s="61"/>
      <c r="X25" s="38"/>
    </row>
    <row r="26" spans="1:24" s="39" customFormat="1" ht="48" customHeight="1">
      <c r="A26" s="56">
        <v>291002207929</v>
      </c>
      <c r="B26" s="58" t="s">
        <v>64</v>
      </c>
      <c r="C26" s="58" t="s">
        <v>65</v>
      </c>
      <c r="D26" s="59" t="s">
        <v>67</v>
      </c>
      <c r="E26" s="69" t="s">
        <v>6</v>
      </c>
      <c r="F26" s="62">
        <v>600</v>
      </c>
      <c r="G26" s="62">
        <v>0</v>
      </c>
      <c r="H26" s="62">
        <f>500+600</f>
        <v>1100</v>
      </c>
      <c r="I26" s="62">
        <v>500</v>
      </c>
      <c r="J26" s="62">
        <v>600</v>
      </c>
      <c r="K26" s="62">
        <f t="shared" si="0"/>
        <v>2200</v>
      </c>
      <c r="L26" s="61">
        <v>1496.89</v>
      </c>
      <c r="M26" s="61">
        <v>625</v>
      </c>
      <c r="N26" s="61">
        <v>650</v>
      </c>
      <c r="O26" s="61">
        <f t="shared" si="7"/>
        <v>523134.00000000006</v>
      </c>
      <c r="P26" s="61">
        <f t="shared" si="1"/>
        <v>0</v>
      </c>
      <c r="Q26" s="61">
        <f t="shared" si="6"/>
        <v>959079.00000000012</v>
      </c>
      <c r="R26" s="61">
        <f t="shared" si="2"/>
        <v>423445.00000000006</v>
      </c>
      <c r="S26" s="61">
        <f t="shared" si="3"/>
        <v>508134.00000000006</v>
      </c>
      <c r="T26" s="63">
        <f t="shared" si="4"/>
        <v>1890658.0000000002</v>
      </c>
      <c r="U26" s="60"/>
      <c r="V26" s="61"/>
      <c r="W26" s="61"/>
      <c r="X26" s="38"/>
    </row>
    <row r="27" spans="1:24" s="39" customFormat="1" ht="48" customHeight="1">
      <c r="A27" s="56">
        <v>291002207929</v>
      </c>
      <c r="B27" s="58" t="s">
        <v>64</v>
      </c>
      <c r="C27" s="58" t="s">
        <v>65</v>
      </c>
      <c r="D27" s="59" t="s">
        <v>67</v>
      </c>
      <c r="E27" s="60" t="s">
        <v>5</v>
      </c>
      <c r="F27" s="62">
        <v>250</v>
      </c>
      <c r="G27" s="62">
        <v>0</v>
      </c>
      <c r="H27" s="62">
        <f>150+250</f>
        <v>400</v>
      </c>
      <c r="I27" s="62">
        <v>150</v>
      </c>
      <c r="J27" s="62">
        <v>250</v>
      </c>
      <c r="K27" s="62">
        <f t="shared" si="0"/>
        <v>800</v>
      </c>
      <c r="L27" s="61">
        <v>1668.86</v>
      </c>
      <c r="M27" s="61">
        <v>757</v>
      </c>
      <c r="N27" s="61">
        <v>780</v>
      </c>
      <c r="O27" s="61">
        <f t="shared" si="7"/>
        <v>227964.99999999997</v>
      </c>
      <c r="P27" s="61">
        <f t="shared" si="1"/>
        <v>0</v>
      </c>
      <c r="Q27" s="61">
        <f t="shared" si="6"/>
        <v>364743.99999999994</v>
      </c>
      <c r="R27" s="61">
        <f t="shared" si="2"/>
        <v>133328.99999999997</v>
      </c>
      <c r="S27" s="61">
        <f t="shared" si="3"/>
        <v>222214.99999999997</v>
      </c>
      <c r="T27" s="63">
        <f t="shared" si="4"/>
        <v>720287.99999999988</v>
      </c>
      <c r="U27" s="60"/>
      <c r="V27" s="61"/>
      <c r="W27" s="61"/>
      <c r="X27" s="38"/>
    </row>
    <row r="28" spans="1:24" s="39" customFormat="1" ht="45">
      <c r="A28" s="56">
        <v>291000069367</v>
      </c>
      <c r="B28" s="58" t="s">
        <v>73</v>
      </c>
      <c r="C28" s="58" t="s">
        <v>65</v>
      </c>
      <c r="D28" s="59" t="s">
        <v>66</v>
      </c>
      <c r="E28" s="69" t="s">
        <v>5</v>
      </c>
      <c r="F28" s="62">
        <v>1250</v>
      </c>
      <c r="G28" s="62">
        <v>1732.5</v>
      </c>
      <c r="H28" s="62">
        <v>700</v>
      </c>
      <c r="I28" s="62">
        <v>850</v>
      </c>
      <c r="J28" s="62">
        <v>1400</v>
      </c>
      <c r="K28" s="62">
        <f t="shared" si="0"/>
        <v>4682.5</v>
      </c>
      <c r="L28" s="61">
        <v>1641.01</v>
      </c>
      <c r="M28" s="61">
        <v>757</v>
      </c>
      <c r="N28" s="61">
        <v>780</v>
      </c>
      <c r="O28" s="61">
        <f t="shared" si="7"/>
        <v>1105012.5</v>
      </c>
      <c r="P28" s="61">
        <f t="shared" si="1"/>
        <v>1531547.325</v>
      </c>
      <c r="Q28" s="61">
        <f t="shared" si="6"/>
        <v>618807</v>
      </c>
      <c r="R28" s="61">
        <f t="shared" si="2"/>
        <v>731858.5</v>
      </c>
      <c r="S28" s="61">
        <f t="shared" si="3"/>
        <v>1205414</v>
      </c>
      <c r="T28" s="63">
        <f t="shared" si="4"/>
        <v>4087626.8250000002</v>
      </c>
      <c r="U28" s="60"/>
      <c r="V28" s="61"/>
      <c r="W28" s="61"/>
      <c r="X28" s="38"/>
    </row>
    <row r="29" spans="1:24" s="39" customFormat="1" ht="14.25" customHeight="1">
      <c r="A29" s="87"/>
      <c r="B29" s="89"/>
      <c r="C29" s="89"/>
      <c r="D29" s="90"/>
      <c r="E29" s="94"/>
      <c r="F29" s="92"/>
      <c r="G29" s="92"/>
      <c r="H29" s="92"/>
      <c r="I29" s="92"/>
      <c r="J29" s="92"/>
      <c r="K29" s="92"/>
      <c r="L29" s="93"/>
      <c r="M29" s="93"/>
      <c r="N29" s="93"/>
      <c r="O29" s="93"/>
      <c r="P29" s="93"/>
      <c r="Q29" s="93"/>
      <c r="R29" s="93"/>
      <c r="S29" s="93"/>
      <c r="T29" s="93"/>
      <c r="U29" s="91"/>
      <c r="V29" s="93"/>
      <c r="W29" s="93"/>
      <c r="X29" s="38"/>
    </row>
    <row r="30" spans="1:24" s="39" customFormat="1" ht="45">
      <c r="A30" s="56">
        <v>2901292930</v>
      </c>
      <c r="B30" s="57" t="s">
        <v>22</v>
      </c>
      <c r="C30" s="58" t="s">
        <v>38</v>
      </c>
      <c r="D30" s="59"/>
      <c r="E30" s="60" t="s">
        <v>118</v>
      </c>
      <c r="F30" s="62">
        <v>1500</v>
      </c>
      <c r="G30" s="62">
        <v>1741.05</v>
      </c>
      <c r="H30" s="62">
        <v>1500</v>
      </c>
      <c r="I30" s="62">
        <v>1500</v>
      </c>
      <c r="J30" s="62">
        <v>1500</v>
      </c>
      <c r="K30" s="62">
        <f t="shared" si="0"/>
        <v>6241.05</v>
      </c>
      <c r="L30" s="61">
        <v>2546</v>
      </c>
      <c r="M30" s="61">
        <v>905</v>
      </c>
      <c r="N30" s="61">
        <v>950</v>
      </c>
      <c r="O30" s="61">
        <f>(L30-M30)*F30</f>
        <v>2461500</v>
      </c>
      <c r="P30" s="61">
        <f t="shared" si="1"/>
        <v>2857063.05</v>
      </c>
      <c r="Q30" s="61">
        <f t="shared" si="6"/>
        <v>2461500</v>
      </c>
      <c r="R30" s="61">
        <f t="shared" si="2"/>
        <v>2394000</v>
      </c>
      <c r="S30" s="61">
        <f t="shared" si="3"/>
        <v>2394000</v>
      </c>
      <c r="T30" s="63">
        <f t="shared" si="4"/>
        <v>10106563.050000001</v>
      </c>
      <c r="U30" s="61"/>
      <c r="V30" s="61"/>
      <c r="W30" s="61"/>
      <c r="X30" s="38"/>
    </row>
    <row r="31" spans="1:24" s="39" customFormat="1" ht="57.75" customHeight="1">
      <c r="A31" s="56">
        <v>2901169038</v>
      </c>
      <c r="B31" s="57" t="s">
        <v>1</v>
      </c>
      <c r="C31" s="58" t="s">
        <v>38</v>
      </c>
      <c r="D31" s="59" t="s">
        <v>53</v>
      </c>
      <c r="E31" s="60" t="s">
        <v>118</v>
      </c>
      <c r="F31" s="62">
        <v>3500</v>
      </c>
      <c r="G31" s="62">
        <v>4102.6000000000004</v>
      </c>
      <c r="H31" s="62">
        <v>4500</v>
      </c>
      <c r="I31" s="62">
        <v>3898.92</v>
      </c>
      <c r="J31" s="62">
        <v>3000</v>
      </c>
      <c r="K31" s="62">
        <f t="shared" si="0"/>
        <v>15501.52</v>
      </c>
      <c r="L31" s="61">
        <v>2871.18</v>
      </c>
      <c r="M31" s="61">
        <v>905</v>
      </c>
      <c r="N31" s="61">
        <v>950</v>
      </c>
      <c r="O31" s="61">
        <f t="shared" ref="O31:O40" si="8">(L31-M31)*F31</f>
        <v>6881629.9999999991</v>
      </c>
      <c r="P31" s="61">
        <f t="shared" si="1"/>
        <v>8066450.068</v>
      </c>
      <c r="Q31" s="61">
        <f t="shared" si="6"/>
        <v>8847810</v>
      </c>
      <c r="R31" s="61">
        <f t="shared" si="2"/>
        <v>7490527.1255999999</v>
      </c>
      <c r="S31" s="61">
        <f t="shared" si="3"/>
        <v>5763539.9999999991</v>
      </c>
      <c r="T31" s="63">
        <f t="shared" si="4"/>
        <v>30168327.193599999</v>
      </c>
      <c r="U31" s="61"/>
      <c r="V31" s="61"/>
      <c r="W31" s="61"/>
      <c r="X31" s="38"/>
    </row>
    <row r="32" spans="1:24" s="41" customFormat="1" ht="45">
      <c r="A32" s="56">
        <v>2901169038</v>
      </c>
      <c r="B32" s="57" t="s">
        <v>1</v>
      </c>
      <c r="C32" s="58" t="s">
        <v>38</v>
      </c>
      <c r="D32" s="59" t="s">
        <v>54</v>
      </c>
      <c r="E32" s="60" t="s">
        <v>118</v>
      </c>
      <c r="F32" s="62">
        <v>1100</v>
      </c>
      <c r="G32" s="62">
        <v>492.75000000000006</v>
      </c>
      <c r="H32" s="62">
        <v>700</v>
      </c>
      <c r="I32" s="62">
        <v>2200</v>
      </c>
      <c r="J32" s="62">
        <v>2127.5700000000002</v>
      </c>
      <c r="K32" s="62">
        <f t="shared" si="0"/>
        <v>5520.32</v>
      </c>
      <c r="L32" s="61">
        <v>3222.53</v>
      </c>
      <c r="M32" s="61">
        <v>905</v>
      </c>
      <c r="N32" s="61">
        <v>950</v>
      </c>
      <c r="O32" s="61">
        <f t="shared" si="8"/>
        <v>2549283</v>
      </c>
      <c r="P32" s="61">
        <f t="shared" si="1"/>
        <v>1141962.9075000002</v>
      </c>
      <c r="Q32" s="61">
        <f t="shared" si="6"/>
        <v>1622271.0000000002</v>
      </c>
      <c r="R32" s="61">
        <f t="shared" si="2"/>
        <v>4999566</v>
      </c>
      <c r="S32" s="61">
        <f t="shared" si="3"/>
        <v>4834966.6521000005</v>
      </c>
      <c r="T32" s="63">
        <f t="shared" si="4"/>
        <v>12598766.559600001</v>
      </c>
      <c r="U32" s="61"/>
      <c r="V32" s="61"/>
      <c r="W32" s="61"/>
      <c r="X32" s="40"/>
    </row>
    <row r="33" spans="1:24" s="41" customFormat="1" ht="45">
      <c r="A33" s="56">
        <v>290800874900</v>
      </c>
      <c r="B33" s="58" t="s">
        <v>90</v>
      </c>
      <c r="C33" s="58" t="s">
        <v>38</v>
      </c>
      <c r="D33" s="59"/>
      <c r="E33" s="60" t="s">
        <v>118</v>
      </c>
      <c r="F33" s="62">
        <v>300</v>
      </c>
      <c r="G33" s="62">
        <v>222.65</v>
      </c>
      <c r="H33" s="62">
        <v>250</v>
      </c>
      <c r="I33" s="62">
        <v>300</v>
      </c>
      <c r="J33" s="62">
        <v>350</v>
      </c>
      <c r="K33" s="62">
        <f t="shared" si="0"/>
        <v>1122.6500000000001</v>
      </c>
      <c r="L33" s="61">
        <v>1894.43</v>
      </c>
      <c r="M33" s="61">
        <v>905</v>
      </c>
      <c r="N33" s="61">
        <v>950</v>
      </c>
      <c r="O33" s="61">
        <f t="shared" si="8"/>
        <v>296829</v>
      </c>
      <c r="P33" s="61">
        <f t="shared" si="1"/>
        <v>220296.58950000003</v>
      </c>
      <c r="Q33" s="61">
        <f t="shared" si="6"/>
        <v>247357.50000000003</v>
      </c>
      <c r="R33" s="61">
        <f t="shared" si="2"/>
        <v>283329</v>
      </c>
      <c r="S33" s="61">
        <f t="shared" si="3"/>
        <v>330550.5</v>
      </c>
      <c r="T33" s="63">
        <f t="shared" si="4"/>
        <v>1081533.5895</v>
      </c>
      <c r="U33" s="61"/>
      <c r="V33" s="61"/>
      <c r="W33" s="61"/>
      <c r="X33" s="40"/>
    </row>
    <row r="34" spans="1:24" s="41" customFormat="1" ht="45">
      <c r="A34" s="56">
        <v>290126441430</v>
      </c>
      <c r="B34" s="57" t="s">
        <v>7</v>
      </c>
      <c r="C34" s="58" t="s">
        <v>38</v>
      </c>
      <c r="D34" s="59"/>
      <c r="E34" s="60" t="s">
        <v>118</v>
      </c>
      <c r="F34" s="62">
        <v>800</v>
      </c>
      <c r="G34" s="62">
        <v>3147.58</v>
      </c>
      <c r="H34" s="62">
        <v>1600</v>
      </c>
      <c r="I34" s="62">
        <v>2000</v>
      </c>
      <c r="J34" s="62">
        <v>1200</v>
      </c>
      <c r="K34" s="62">
        <f t="shared" si="0"/>
        <v>7947.58</v>
      </c>
      <c r="L34" s="61">
        <v>2772.24</v>
      </c>
      <c r="M34" s="61">
        <v>905</v>
      </c>
      <c r="N34" s="61">
        <v>950</v>
      </c>
      <c r="O34" s="61">
        <f t="shared" si="8"/>
        <v>1493791.9999999998</v>
      </c>
      <c r="P34" s="61">
        <f t="shared" si="1"/>
        <v>5877287.2791999988</v>
      </c>
      <c r="Q34" s="61">
        <f t="shared" si="6"/>
        <v>2987583.9999999995</v>
      </c>
      <c r="R34" s="61">
        <f t="shared" si="2"/>
        <v>3644479.9999999995</v>
      </c>
      <c r="S34" s="61">
        <f t="shared" si="3"/>
        <v>2186687.9999999995</v>
      </c>
      <c r="T34" s="63">
        <f t="shared" si="4"/>
        <v>14696039.279199999</v>
      </c>
      <c r="U34" s="61"/>
      <c r="V34" s="61"/>
      <c r="W34" s="61"/>
      <c r="X34" s="40"/>
    </row>
    <row r="35" spans="1:24" s="41" customFormat="1" ht="45">
      <c r="A35" s="56">
        <v>2901286380</v>
      </c>
      <c r="B35" s="58" t="s">
        <v>13</v>
      </c>
      <c r="C35" s="58" t="s">
        <v>38</v>
      </c>
      <c r="D35" s="59"/>
      <c r="E35" s="60" t="s">
        <v>118</v>
      </c>
      <c r="F35" s="62">
        <v>1500</v>
      </c>
      <c r="G35" s="62">
        <v>1193.55</v>
      </c>
      <c r="H35" s="62">
        <v>1500</v>
      </c>
      <c r="I35" s="62">
        <v>1500</v>
      </c>
      <c r="J35" s="62">
        <v>1500</v>
      </c>
      <c r="K35" s="62">
        <f t="shared" si="0"/>
        <v>5693.55</v>
      </c>
      <c r="L35" s="61">
        <v>2506.0300000000002</v>
      </c>
      <c r="M35" s="61">
        <v>905</v>
      </c>
      <c r="N35" s="61">
        <v>950</v>
      </c>
      <c r="O35" s="61">
        <f t="shared" si="8"/>
        <v>2401545.0000000005</v>
      </c>
      <c r="P35" s="61">
        <f t="shared" si="1"/>
        <v>1910909.3565000002</v>
      </c>
      <c r="Q35" s="61">
        <f t="shared" si="6"/>
        <v>2401545.0000000005</v>
      </c>
      <c r="R35" s="61">
        <f t="shared" si="2"/>
        <v>2334045.0000000005</v>
      </c>
      <c r="S35" s="61">
        <f t="shared" si="3"/>
        <v>2334045.0000000005</v>
      </c>
      <c r="T35" s="63">
        <f t="shared" si="4"/>
        <v>8980544.3565000016</v>
      </c>
      <c r="U35" s="61"/>
      <c r="V35" s="61"/>
      <c r="W35" s="61"/>
      <c r="X35" s="40"/>
    </row>
    <row r="36" spans="1:24" s="41" customFormat="1" ht="45">
      <c r="A36" s="56">
        <v>2901293596</v>
      </c>
      <c r="B36" s="58" t="s">
        <v>25</v>
      </c>
      <c r="C36" s="58" t="s">
        <v>38</v>
      </c>
      <c r="D36" s="59"/>
      <c r="E36" s="60" t="s">
        <v>118</v>
      </c>
      <c r="F36" s="62">
        <v>3100</v>
      </c>
      <c r="G36" s="62">
        <v>4265</v>
      </c>
      <c r="H36" s="62">
        <v>3000</v>
      </c>
      <c r="I36" s="62">
        <v>2700</v>
      </c>
      <c r="J36" s="62">
        <v>3200</v>
      </c>
      <c r="K36" s="62">
        <f t="shared" si="0"/>
        <v>13165</v>
      </c>
      <c r="L36" s="61">
        <v>1864.33</v>
      </c>
      <c r="M36" s="61">
        <v>905</v>
      </c>
      <c r="N36" s="61">
        <v>950</v>
      </c>
      <c r="O36" s="61">
        <f t="shared" si="8"/>
        <v>2973923</v>
      </c>
      <c r="P36" s="61">
        <f t="shared" si="1"/>
        <v>4091542.4499999997</v>
      </c>
      <c r="Q36" s="61">
        <f t="shared" si="6"/>
        <v>2877990</v>
      </c>
      <c r="R36" s="61">
        <f t="shared" si="2"/>
        <v>2468691</v>
      </c>
      <c r="S36" s="61">
        <f t="shared" si="3"/>
        <v>2925856</v>
      </c>
      <c r="T36" s="63">
        <f t="shared" si="4"/>
        <v>12364079.449999999</v>
      </c>
      <c r="U36" s="61"/>
      <c r="V36" s="61"/>
      <c r="W36" s="61"/>
      <c r="X36" s="40"/>
    </row>
    <row r="37" spans="1:24" s="41" customFormat="1" ht="45">
      <c r="A37" s="56">
        <v>2901253748</v>
      </c>
      <c r="B37" s="58" t="s">
        <v>28</v>
      </c>
      <c r="C37" s="58" t="s">
        <v>38</v>
      </c>
      <c r="D37" s="59"/>
      <c r="E37" s="60" t="s">
        <v>118</v>
      </c>
      <c r="F37" s="62">
        <v>625</v>
      </c>
      <c r="G37" s="62">
        <v>1228</v>
      </c>
      <c r="H37" s="62">
        <v>625</v>
      </c>
      <c r="I37" s="62">
        <v>625</v>
      </c>
      <c r="J37" s="62">
        <v>625</v>
      </c>
      <c r="K37" s="62">
        <f t="shared" si="0"/>
        <v>3103</v>
      </c>
      <c r="L37" s="61">
        <v>2481.7600000000002</v>
      </c>
      <c r="M37" s="61">
        <v>905</v>
      </c>
      <c r="N37" s="61">
        <v>950</v>
      </c>
      <c r="O37" s="61">
        <f t="shared" si="8"/>
        <v>985475.00000000012</v>
      </c>
      <c r="P37" s="61">
        <f t="shared" si="1"/>
        <v>1936261.2800000003</v>
      </c>
      <c r="Q37" s="61">
        <f t="shared" si="6"/>
        <v>985475.00000000012</v>
      </c>
      <c r="R37" s="61">
        <f t="shared" si="2"/>
        <v>957350.00000000012</v>
      </c>
      <c r="S37" s="61">
        <f t="shared" si="3"/>
        <v>957350.00000000012</v>
      </c>
      <c r="T37" s="63">
        <f t="shared" si="4"/>
        <v>4836436.28</v>
      </c>
      <c r="U37" s="61"/>
      <c r="V37" s="61"/>
      <c r="W37" s="61"/>
      <c r="X37" s="40"/>
    </row>
    <row r="38" spans="1:24" s="41" customFormat="1" ht="45">
      <c r="A38" s="56">
        <v>2901288349</v>
      </c>
      <c r="B38" s="58" t="s">
        <v>96</v>
      </c>
      <c r="C38" s="58" t="s">
        <v>38</v>
      </c>
      <c r="D38" s="59"/>
      <c r="E38" s="60" t="s">
        <v>118</v>
      </c>
      <c r="F38" s="62">
        <v>750</v>
      </c>
      <c r="G38" s="62">
        <v>950</v>
      </c>
      <c r="H38" s="62">
        <v>750</v>
      </c>
      <c r="I38" s="62">
        <v>750</v>
      </c>
      <c r="J38" s="62">
        <v>750</v>
      </c>
      <c r="K38" s="62">
        <f t="shared" si="0"/>
        <v>3200</v>
      </c>
      <c r="L38" s="61">
        <v>2460.4899999999998</v>
      </c>
      <c r="M38" s="61">
        <v>905</v>
      </c>
      <c r="N38" s="61">
        <v>950</v>
      </c>
      <c r="O38" s="61">
        <f t="shared" si="8"/>
        <v>1166617.4999999998</v>
      </c>
      <c r="P38" s="61">
        <f t="shared" si="1"/>
        <v>1477715.4999999998</v>
      </c>
      <c r="Q38" s="61">
        <f t="shared" si="6"/>
        <v>1166617.4999999998</v>
      </c>
      <c r="R38" s="61">
        <f t="shared" si="2"/>
        <v>1132867.4999999998</v>
      </c>
      <c r="S38" s="61">
        <f t="shared" si="3"/>
        <v>1132867.4999999998</v>
      </c>
      <c r="T38" s="63">
        <f t="shared" si="4"/>
        <v>4910067.9999999991</v>
      </c>
      <c r="U38" s="61"/>
      <c r="V38" s="61"/>
      <c r="W38" s="61"/>
      <c r="X38" s="40"/>
    </row>
    <row r="39" spans="1:24" s="43" customFormat="1" ht="45">
      <c r="A39" s="56">
        <v>290122492240</v>
      </c>
      <c r="B39" s="58" t="s">
        <v>31</v>
      </c>
      <c r="C39" s="58" t="s">
        <v>38</v>
      </c>
      <c r="D39" s="59"/>
      <c r="E39" s="60" t="s">
        <v>118</v>
      </c>
      <c r="F39" s="62">
        <v>500</v>
      </c>
      <c r="G39" s="62">
        <v>155</v>
      </c>
      <c r="H39" s="62">
        <v>750</v>
      </c>
      <c r="I39" s="62">
        <v>750</v>
      </c>
      <c r="J39" s="62">
        <v>500</v>
      </c>
      <c r="K39" s="62">
        <f t="shared" si="0"/>
        <v>2155</v>
      </c>
      <c r="L39" s="61">
        <f>2396.9</f>
        <v>2396.9</v>
      </c>
      <c r="M39" s="61">
        <v>905</v>
      </c>
      <c r="N39" s="61">
        <v>950</v>
      </c>
      <c r="O39" s="61">
        <f t="shared" si="8"/>
        <v>745950</v>
      </c>
      <c r="P39" s="61">
        <f t="shared" si="1"/>
        <v>231244.5</v>
      </c>
      <c r="Q39" s="61">
        <f t="shared" si="6"/>
        <v>1118925</v>
      </c>
      <c r="R39" s="61">
        <f t="shared" si="2"/>
        <v>1085175</v>
      </c>
      <c r="S39" s="61">
        <f t="shared" si="3"/>
        <v>723450</v>
      </c>
      <c r="T39" s="63">
        <f t="shared" si="4"/>
        <v>3158794.5</v>
      </c>
      <c r="U39" s="61"/>
      <c r="V39" s="61"/>
      <c r="W39" s="61"/>
      <c r="X39" s="42"/>
    </row>
    <row r="40" spans="1:24" s="80" customFormat="1" ht="45">
      <c r="A40" s="56">
        <v>2901300437</v>
      </c>
      <c r="B40" s="58" t="s">
        <v>116</v>
      </c>
      <c r="C40" s="58" t="s">
        <v>38</v>
      </c>
      <c r="D40" s="59"/>
      <c r="E40" s="69" t="s">
        <v>118</v>
      </c>
      <c r="F40" s="62">
        <v>0</v>
      </c>
      <c r="G40" s="62">
        <v>0</v>
      </c>
      <c r="H40" s="62">
        <f>1000</f>
        <v>1000</v>
      </c>
      <c r="I40" s="62">
        <v>1500</v>
      </c>
      <c r="J40" s="62">
        <v>1500</v>
      </c>
      <c r="K40" s="62">
        <f t="shared" si="0"/>
        <v>4000</v>
      </c>
      <c r="L40" s="61">
        <v>2500</v>
      </c>
      <c r="M40" s="61">
        <v>905</v>
      </c>
      <c r="N40" s="61">
        <v>950</v>
      </c>
      <c r="O40" s="61">
        <f t="shared" si="8"/>
        <v>0</v>
      </c>
      <c r="P40" s="61">
        <f t="shared" si="1"/>
        <v>0</v>
      </c>
      <c r="Q40" s="61">
        <f t="shared" si="6"/>
        <v>1595000</v>
      </c>
      <c r="R40" s="61">
        <f t="shared" si="2"/>
        <v>2325000</v>
      </c>
      <c r="S40" s="61">
        <f t="shared" si="3"/>
        <v>2325000</v>
      </c>
      <c r="T40" s="63">
        <f t="shared" si="4"/>
        <v>6245000</v>
      </c>
      <c r="U40" s="61"/>
      <c r="V40" s="61"/>
      <c r="W40" s="61"/>
      <c r="X40" s="79"/>
    </row>
    <row r="41" spans="1:24" s="80" customFormat="1" ht="14.25" customHeight="1">
      <c r="A41" s="87"/>
      <c r="B41" s="89"/>
      <c r="C41" s="89"/>
      <c r="D41" s="90"/>
      <c r="E41" s="94"/>
      <c r="F41" s="92"/>
      <c r="G41" s="92"/>
      <c r="H41" s="92"/>
      <c r="I41" s="92"/>
      <c r="J41" s="92"/>
      <c r="K41" s="92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79"/>
    </row>
    <row r="42" spans="1:24" s="80" customFormat="1" ht="45">
      <c r="A42" s="56">
        <v>2903004320</v>
      </c>
      <c r="B42" s="58" t="s">
        <v>56</v>
      </c>
      <c r="C42" s="58" t="s">
        <v>57</v>
      </c>
      <c r="D42" s="59"/>
      <c r="E42" s="60" t="s">
        <v>6</v>
      </c>
      <c r="F42" s="62">
        <v>102</v>
      </c>
      <c r="G42" s="62">
        <v>129</v>
      </c>
      <c r="H42" s="62">
        <v>156</v>
      </c>
      <c r="I42" s="62">
        <v>198</v>
      </c>
      <c r="J42" s="62">
        <v>244</v>
      </c>
      <c r="K42" s="62">
        <f t="shared" si="0"/>
        <v>727</v>
      </c>
      <c r="L42" s="61">
        <v>1683.34</v>
      </c>
      <c r="M42" s="61">
        <f>720.83</f>
        <v>720.83</v>
      </c>
      <c r="N42" s="61">
        <v>741.67</v>
      </c>
      <c r="O42" s="61">
        <f>(L42-M42)*F42</f>
        <v>98176.01999999999</v>
      </c>
      <c r="P42" s="61">
        <f t="shared" si="1"/>
        <v>124163.78999999998</v>
      </c>
      <c r="Q42" s="61">
        <f t="shared" si="6"/>
        <v>150151.55999999997</v>
      </c>
      <c r="R42" s="61">
        <f t="shared" si="2"/>
        <v>186450.66</v>
      </c>
      <c r="S42" s="61">
        <f t="shared" si="3"/>
        <v>229767.47999999998</v>
      </c>
      <c r="T42" s="63">
        <f t="shared" si="4"/>
        <v>690533.49</v>
      </c>
      <c r="U42" s="60"/>
      <c r="V42" s="61"/>
      <c r="W42" s="61"/>
      <c r="X42" s="79"/>
    </row>
    <row r="43" spans="1:24" s="80" customFormat="1" ht="14.25" customHeight="1">
      <c r="A43" s="87"/>
      <c r="B43" s="89"/>
      <c r="C43" s="89"/>
      <c r="D43" s="90"/>
      <c r="E43" s="91"/>
      <c r="F43" s="92"/>
      <c r="G43" s="92"/>
      <c r="H43" s="92"/>
      <c r="I43" s="92"/>
      <c r="J43" s="92"/>
      <c r="K43" s="92"/>
      <c r="L43" s="93"/>
      <c r="M43" s="93"/>
      <c r="N43" s="93"/>
      <c r="O43" s="93"/>
      <c r="P43" s="93"/>
      <c r="Q43" s="93"/>
      <c r="R43" s="93"/>
      <c r="S43" s="93"/>
      <c r="T43" s="93"/>
      <c r="U43" s="91"/>
      <c r="V43" s="93"/>
      <c r="W43" s="93"/>
      <c r="X43" s="79"/>
    </row>
    <row r="44" spans="1:24" s="80" customFormat="1" ht="45">
      <c r="A44" s="56">
        <v>2902046374</v>
      </c>
      <c r="B44" s="57" t="s">
        <v>3</v>
      </c>
      <c r="C44" s="58" t="s">
        <v>40</v>
      </c>
      <c r="D44" s="59" t="s">
        <v>41</v>
      </c>
      <c r="E44" s="60" t="s">
        <v>5</v>
      </c>
      <c r="F44" s="62">
        <v>250</v>
      </c>
      <c r="G44" s="62">
        <v>121</v>
      </c>
      <c r="H44" s="62">
        <v>100</v>
      </c>
      <c r="I44" s="62">
        <v>0</v>
      </c>
      <c r="J44" s="62">
        <v>50</v>
      </c>
      <c r="K44" s="62">
        <f t="shared" si="0"/>
        <v>271</v>
      </c>
      <c r="L44" s="61">
        <f>1561*1561/1185*0+1611.04</f>
        <v>1611.04</v>
      </c>
      <c r="M44" s="61">
        <v>1044</v>
      </c>
      <c r="N44" s="61">
        <f>1082*0+1080</f>
        <v>1080</v>
      </c>
      <c r="O44" s="61">
        <f>(L44-M44)*F44</f>
        <v>141760</v>
      </c>
      <c r="P44" s="61">
        <f t="shared" si="1"/>
        <v>68611.839999999997</v>
      </c>
      <c r="Q44" s="61">
        <f t="shared" si="6"/>
        <v>56704</v>
      </c>
      <c r="R44" s="61">
        <f t="shared" si="2"/>
        <v>0</v>
      </c>
      <c r="S44" s="61">
        <f t="shared" si="3"/>
        <v>26552</v>
      </c>
      <c r="T44" s="63">
        <f t="shared" si="4"/>
        <v>151867.84</v>
      </c>
      <c r="U44" s="60"/>
      <c r="V44" s="61"/>
      <c r="W44" s="61"/>
      <c r="X44" s="79"/>
    </row>
    <row r="45" spans="1:24" s="31" customFormat="1" ht="45">
      <c r="A45" s="56">
        <v>2902046374</v>
      </c>
      <c r="B45" s="58" t="s">
        <v>3</v>
      </c>
      <c r="C45" s="58" t="s">
        <v>40</v>
      </c>
      <c r="D45" s="59" t="s">
        <v>42</v>
      </c>
      <c r="E45" s="60" t="s">
        <v>5</v>
      </c>
      <c r="F45" s="62">
        <v>0</v>
      </c>
      <c r="G45" s="62">
        <v>0</v>
      </c>
      <c r="H45" s="62">
        <v>50</v>
      </c>
      <c r="I45" s="62">
        <v>100</v>
      </c>
      <c r="J45" s="62">
        <v>250</v>
      </c>
      <c r="K45" s="62">
        <f t="shared" si="0"/>
        <v>400</v>
      </c>
      <c r="L45" s="61">
        <f>1854*1854/1723*0+1896.33</f>
        <v>1896.33</v>
      </c>
      <c r="M45" s="61">
        <v>1044</v>
      </c>
      <c r="N45" s="61">
        <f>1082*0+1080</f>
        <v>1080</v>
      </c>
      <c r="O45" s="61">
        <f>(L45-M45)*F45</f>
        <v>0</v>
      </c>
      <c r="P45" s="61">
        <f t="shared" si="1"/>
        <v>0</v>
      </c>
      <c r="Q45" s="61">
        <f t="shared" si="6"/>
        <v>42616.5</v>
      </c>
      <c r="R45" s="61">
        <f t="shared" si="2"/>
        <v>81633</v>
      </c>
      <c r="S45" s="61">
        <f t="shared" si="3"/>
        <v>204082.49999999997</v>
      </c>
      <c r="T45" s="63">
        <f t="shared" si="4"/>
        <v>328332</v>
      </c>
      <c r="U45" s="70"/>
      <c r="V45" s="61"/>
      <c r="W45" s="61"/>
      <c r="X45" s="30"/>
    </row>
    <row r="46" spans="1:24" s="31" customFormat="1" ht="14.25" customHeight="1">
      <c r="A46" s="87"/>
      <c r="B46" s="89"/>
      <c r="C46" s="89"/>
      <c r="D46" s="90"/>
      <c r="E46" s="91"/>
      <c r="F46" s="92"/>
      <c r="G46" s="92"/>
      <c r="H46" s="92"/>
      <c r="I46" s="92"/>
      <c r="J46" s="92"/>
      <c r="K46" s="92"/>
      <c r="L46" s="93"/>
      <c r="M46" s="93"/>
      <c r="N46" s="93"/>
      <c r="O46" s="93"/>
      <c r="P46" s="93"/>
      <c r="Q46" s="93"/>
      <c r="R46" s="93"/>
      <c r="S46" s="93"/>
      <c r="T46" s="93"/>
      <c r="U46" s="95"/>
      <c r="V46" s="93"/>
      <c r="W46" s="93"/>
      <c r="X46" s="30"/>
    </row>
    <row r="47" spans="1:24" s="41" customFormat="1" ht="60">
      <c r="A47" s="56">
        <v>2911007340</v>
      </c>
      <c r="B47" s="58" t="s">
        <v>34</v>
      </c>
      <c r="C47" s="58" t="s">
        <v>101</v>
      </c>
      <c r="D47" s="59" t="s">
        <v>115</v>
      </c>
      <c r="E47" s="69" t="s">
        <v>5</v>
      </c>
      <c r="F47" s="62">
        <v>0</v>
      </c>
      <c r="G47" s="62">
        <v>0</v>
      </c>
      <c r="H47" s="62">
        <v>1000</v>
      </c>
      <c r="I47" s="62">
        <v>500</v>
      </c>
      <c r="J47" s="62">
        <v>500</v>
      </c>
      <c r="K47" s="62">
        <f t="shared" si="0"/>
        <v>2000</v>
      </c>
      <c r="L47" s="78">
        <v>2035</v>
      </c>
      <c r="M47" s="61">
        <v>900</v>
      </c>
      <c r="N47" s="61">
        <v>930</v>
      </c>
      <c r="O47" s="61">
        <f>(L47-M47)*F47</f>
        <v>0</v>
      </c>
      <c r="P47" s="61">
        <f t="shared" si="1"/>
        <v>0</v>
      </c>
      <c r="Q47" s="61">
        <f t="shared" ref="Q47:Q92" si="9">(L47-M47)*H47</f>
        <v>1135000</v>
      </c>
      <c r="R47" s="61">
        <f t="shared" ref="R47:R92" si="10">(L47-N47)*I47</f>
        <v>552500</v>
      </c>
      <c r="S47" s="61">
        <f t="shared" ref="S47:S88" si="11">(L47-N47)*J47</f>
        <v>552500</v>
      </c>
      <c r="T47" s="63">
        <f t="shared" si="4"/>
        <v>2240000</v>
      </c>
      <c r="U47" s="60"/>
      <c r="V47" s="61"/>
      <c r="W47" s="61"/>
      <c r="X47" s="40"/>
    </row>
    <row r="48" spans="1:24" s="41" customFormat="1" ht="14.25" customHeight="1">
      <c r="A48" s="87"/>
      <c r="B48" s="89"/>
      <c r="C48" s="89"/>
      <c r="D48" s="90"/>
      <c r="E48" s="94"/>
      <c r="F48" s="92"/>
      <c r="G48" s="92"/>
      <c r="H48" s="92"/>
      <c r="I48" s="92"/>
      <c r="J48" s="92"/>
      <c r="K48" s="92"/>
      <c r="L48" s="96"/>
      <c r="M48" s="93"/>
      <c r="N48" s="93"/>
      <c r="O48" s="93"/>
      <c r="P48" s="93"/>
      <c r="Q48" s="93"/>
      <c r="R48" s="93"/>
      <c r="S48" s="93"/>
      <c r="T48" s="93"/>
      <c r="U48" s="91"/>
      <c r="V48" s="93"/>
      <c r="W48" s="93"/>
      <c r="X48" s="40"/>
    </row>
    <row r="49" spans="1:24" s="29" customFormat="1" ht="45">
      <c r="A49" s="56">
        <v>291300034742</v>
      </c>
      <c r="B49" s="57" t="s">
        <v>58</v>
      </c>
      <c r="C49" s="58" t="s">
        <v>59</v>
      </c>
      <c r="D49" s="59" t="s">
        <v>60</v>
      </c>
      <c r="E49" s="60" t="s">
        <v>117</v>
      </c>
      <c r="F49" s="62">
        <v>300</v>
      </c>
      <c r="G49" s="62">
        <v>124.5</v>
      </c>
      <c r="H49" s="62">
        <v>100</v>
      </c>
      <c r="I49" s="62">
        <v>0</v>
      </c>
      <c r="J49" s="62">
        <v>300</v>
      </c>
      <c r="K49" s="62">
        <f t="shared" si="0"/>
        <v>524.5</v>
      </c>
      <c r="L49" s="61">
        <v>1005.51</v>
      </c>
      <c r="M49" s="61">
        <v>820</v>
      </c>
      <c r="N49" s="61">
        <v>860</v>
      </c>
      <c r="O49" s="61">
        <f>(L49-M49)*F49</f>
        <v>55653</v>
      </c>
      <c r="P49" s="61">
        <f t="shared" si="1"/>
        <v>23095.994999999999</v>
      </c>
      <c r="Q49" s="61">
        <f t="shared" si="9"/>
        <v>18551</v>
      </c>
      <c r="R49" s="61">
        <f t="shared" si="10"/>
        <v>0</v>
      </c>
      <c r="S49" s="61">
        <f t="shared" si="11"/>
        <v>43653</v>
      </c>
      <c r="T49" s="63">
        <f t="shared" si="4"/>
        <v>85299.994999999995</v>
      </c>
      <c r="U49" s="60"/>
      <c r="V49" s="61"/>
      <c r="W49" s="61"/>
      <c r="X49" s="28"/>
    </row>
    <row r="50" spans="1:24" s="29" customFormat="1" ht="45">
      <c r="A50" s="56">
        <v>291300034742</v>
      </c>
      <c r="B50" s="57" t="s">
        <v>58</v>
      </c>
      <c r="C50" s="58" t="s">
        <v>59</v>
      </c>
      <c r="D50" s="59" t="s">
        <v>60</v>
      </c>
      <c r="E50" s="60" t="s">
        <v>6</v>
      </c>
      <c r="F50" s="62">
        <v>2400</v>
      </c>
      <c r="G50" s="62">
        <v>2068.6999999999998</v>
      </c>
      <c r="H50" s="62">
        <v>300</v>
      </c>
      <c r="I50" s="62">
        <v>0</v>
      </c>
      <c r="J50" s="62">
        <v>2300</v>
      </c>
      <c r="K50" s="62">
        <f t="shared" si="0"/>
        <v>4668.7</v>
      </c>
      <c r="L50" s="61">
        <v>810.84</v>
      </c>
      <c r="M50" s="61">
        <v>727</v>
      </c>
      <c r="N50" s="61">
        <v>750</v>
      </c>
      <c r="O50" s="61">
        <f>(L50-M50)*F50</f>
        <v>201216.00000000009</v>
      </c>
      <c r="P50" s="61">
        <f t="shared" si="1"/>
        <v>173439.80800000005</v>
      </c>
      <c r="Q50" s="61">
        <f t="shared" si="9"/>
        <v>25152.000000000011</v>
      </c>
      <c r="R50" s="61">
        <f t="shared" si="10"/>
        <v>0</v>
      </c>
      <c r="S50" s="61">
        <f t="shared" si="11"/>
        <v>139932.00000000009</v>
      </c>
      <c r="T50" s="63">
        <f t="shared" si="4"/>
        <v>338523.80800000014</v>
      </c>
      <c r="U50" s="60"/>
      <c r="V50" s="61"/>
      <c r="W50" s="61"/>
      <c r="X50" s="28"/>
    </row>
    <row r="51" spans="1:24" s="41" customFormat="1" ht="45">
      <c r="A51" s="56">
        <v>7840346335</v>
      </c>
      <c r="B51" s="57" t="s">
        <v>29</v>
      </c>
      <c r="C51" s="58" t="s">
        <v>59</v>
      </c>
      <c r="D51" s="59" t="s">
        <v>102</v>
      </c>
      <c r="E51" s="60" t="s">
        <v>6</v>
      </c>
      <c r="F51" s="62">
        <f>1100</f>
        <v>1100</v>
      </c>
      <c r="G51" s="62">
        <v>0</v>
      </c>
      <c r="H51" s="62">
        <f>1100+1100</f>
        <v>2200</v>
      </c>
      <c r="I51" s="62">
        <f>1100</f>
        <v>1100</v>
      </c>
      <c r="J51" s="62">
        <f>1100</f>
        <v>1100</v>
      </c>
      <c r="K51" s="62">
        <f t="shared" si="0"/>
        <v>4400</v>
      </c>
      <c r="L51" s="61">
        <v>657.37</v>
      </c>
      <c r="M51" s="61">
        <v>605.83000000000004</v>
      </c>
      <c r="N51" s="61">
        <v>625</v>
      </c>
      <c r="O51" s="61">
        <f>(L51-M51)*F51</f>
        <v>56693.999999999956</v>
      </c>
      <c r="P51" s="61">
        <f t="shared" si="1"/>
        <v>0</v>
      </c>
      <c r="Q51" s="61">
        <f t="shared" si="9"/>
        <v>113387.99999999991</v>
      </c>
      <c r="R51" s="61">
        <f t="shared" si="10"/>
        <v>35607.000000000007</v>
      </c>
      <c r="S51" s="61">
        <f t="shared" si="11"/>
        <v>35607.000000000007</v>
      </c>
      <c r="T51" s="63">
        <f t="shared" si="4"/>
        <v>184601.99999999991</v>
      </c>
      <c r="U51" s="60"/>
      <c r="V51" s="61"/>
      <c r="W51" s="61"/>
      <c r="X51" s="40"/>
    </row>
    <row r="52" spans="1:24" s="29" customFormat="1" ht="45">
      <c r="A52" s="56">
        <v>7840346335</v>
      </c>
      <c r="B52" s="57" t="s">
        <v>29</v>
      </c>
      <c r="C52" s="58" t="s">
        <v>59</v>
      </c>
      <c r="D52" s="59" t="s">
        <v>103</v>
      </c>
      <c r="E52" s="60" t="s">
        <v>6</v>
      </c>
      <c r="F52" s="62">
        <f>450</f>
        <v>450</v>
      </c>
      <c r="G52" s="62">
        <v>0</v>
      </c>
      <c r="H52" s="62">
        <f>450+450</f>
        <v>900</v>
      </c>
      <c r="I52" s="62">
        <f>450</f>
        <v>450</v>
      </c>
      <c r="J52" s="62">
        <f>450</f>
        <v>450</v>
      </c>
      <c r="K52" s="62">
        <f t="shared" si="0"/>
        <v>1800</v>
      </c>
      <c r="L52" s="61">
        <v>657.37</v>
      </c>
      <c r="M52" s="61">
        <v>605.83000000000004</v>
      </c>
      <c r="N52" s="61">
        <v>625</v>
      </c>
      <c r="O52" s="61">
        <f>(L52-M52)*F52</f>
        <v>23192.999999999985</v>
      </c>
      <c r="P52" s="61">
        <f t="shared" si="1"/>
        <v>0</v>
      </c>
      <c r="Q52" s="61">
        <f t="shared" si="9"/>
        <v>46385.999999999971</v>
      </c>
      <c r="R52" s="61">
        <f t="shared" si="10"/>
        <v>14566.500000000002</v>
      </c>
      <c r="S52" s="61">
        <f t="shared" si="11"/>
        <v>14566.500000000002</v>
      </c>
      <c r="T52" s="63">
        <f t="shared" si="4"/>
        <v>75518.999999999971</v>
      </c>
      <c r="U52" s="60"/>
      <c r="V52" s="61"/>
      <c r="W52" s="61"/>
      <c r="X52" s="28"/>
    </row>
    <row r="53" spans="1:24" s="29" customFormat="1" ht="45">
      <c r="A53" s="56">
        <v>7840346335</v>
      </c>
      <c r="B53" s="57" t="s">
        <v>29</v>
      </c>
      <c r="C53" s="58" t="s">
        <v>59</v>
      </c>
      <c r="D53" s="59" t="s">
        <v>104</v>
      </c>
      <c r="E53" s="60" t="s">
        <v>6</v>
      </c>
      <c r="F53" s="62">
        <f>625</f>
        <v>625</v>
      </c>
      <c r="G53" s="62">
        <v>0</v>
      </c>
      <c r="H53" s="62">
        <f>625+625</f>
        <v>1250</v>
      </c>
      <c r="I53" s="62">
        <f>625</f>
        <v>625</v>
      </c>
      <c r="J53" s="62">
        <f>625</f>
        <v>625</v>
      </c>
      <c r="K53" s="62">
        <f t="shared" si="0"/>
        <v>2500</v>
      </c>
      <c r="L53" s="61">
        <v>657.37</v>
      </c>
      <c r="M53" s="61">
        <v>605.83000000000004</v>
      </c>
      <c r="N53" s="61">
        <v>625</v>
      </c>
      <c r="O53" s="61">
        <f>(L53-M53)*F53</f>
        <v>32212.499999999978</v>
      </c>
      <c r="P53" s="61">
        <f t="shared" si="1"/>
        <v>0</v>
      </c>
      <c r="Q53" s="61">
        <f t="shared" si="9"/>
        <v>64424.999999999956</v>
      </c>
      <c r="R53" s="61">
        <f t="shared" si="10"/>
        <v>20231.250000000004</v>
      </c>
      <c r="S53" s="61">
        <f t="shared" si="11"/>
        <v>20231.250000000004</v>
      </c>
      <c r="T53" s="63">
        <f t="shared" si="4"/>
        <v>104887.49999999996</v>
      </c>
      <c r="U53" s="60"/>
      <c r="V53" s="61"/>
      <c r="W53" s="61"/>
      <c r="X53" s="28"/>
    </row>
    <row r="54" spans="1:24" s="29" customFormat="1" ht="14.25" customHeight="1">
      <c r="A54" s="87"/>
      <c r="B54" s="88"/>
      <c r="C54" s="89"/>
      <c r="D54" s="90"/>
      <c r="E54" s="91"/>
      <c r="F54" s="92"/>
      <c r="G54" s="92"/>
      <c r="H54" s="92"/>
      <c r="I54" s="92"/>
      <c r="J54" s="92"/>
      <c r="K54" s="92"/>
      <c r="L54" s="93"/>
      <c r="M54" s="93"/>
      <c r="N54" s="93"/>
      <c r="O54" s="93"/>
      <c r="P54" s="93"/>
      <c r="Q54" s="93"/>
      <c r="R54" s="93"/>
      <c r="S54" s="93"/>
      <c r="T54" s="93"/>
      <c r="U54" s="91"/>
      <c r="V54" s="93"/>
      <c r="W54" s="93"/>
      <c r="X54" s="28"/>
    </row>
    <row r="55" spans="1:24" s="29" customFormat="1" ht="45">
      <c r="A55" s="56">
        <v>7840346335</v>
      </c>
      <c r="B55" s="57" t="s">
        <v>29</v>
      </c>
      <c r="C55" s="58" t="s">
        <v>68</v>
      </c>
      <c r="D55" s="59" t="s">
        <v>107</v>
      </c>
      <c r="E55" s="60" t="s">
        <v>6</v>
      </c>
      <c r="F55" s="62">
        <f>150</f>
        <v>150</v>
      </c>
      <c r="G55" s="62">
        <v>0</v>
      </c>
      <c r="H55" s="62">
        <f>150+150</f>
        <v>300</v>
      </c>
      <c r="I55" s="62">
        <f>150</f>
        <v>150</v>
      </c>
      <c r="J55" s="62">
        <f>150</f>
        <v>150</v>
      </c>
      <c r="K55" s="62">
        <f t="shared" si="0"/>
        <v>600</v>
      </c>
      <c r="L55" s="61">
        <v>503.23</v>
      </c>
      <c r="M55" s="61">
        <v>434.17</v>
      </c>
      <c r="N55" s="61">
        <v>450</v>
      </c>
      <c r="O55" s="61">
        <f>(L55-M55)*F55</f>
        <v>10359</v>
      </c>
      <c r="P55" s="61">
        <f t="shared" si="1"/>
        <v>0</v>
      </c>
      <c r="Q55" s="61">
        <f t="shared" si="9"/>
        <v>20718</v>
      </c>
      <c r="R55" s="61">
        <f t="shared" si="10"/>
        <v>7984.5000000000027</v>
      </c>
      <c r="S55" s="61">
        <f t="shared" si="11"/>
        <v>7984.5000000000027</v>
      </c>
      <c r="T55" s="63">
        <f t="shared" si="4"/>
        <v>36687.000000000007</v>
      </c>
      <c r="U55" s="66"/>
      <c r="V55" s="66"/>
      <c r="W55" s="66"/>
      <c r="X55" s="28"/>
    </row>
    <row r="56" spans="1:24" s="41" customFormat="1" ht="45">
      <c r="A56" s="56">
        <v>7840346335</v>
      </c>
      <c r="B56" s="57" t="s">
        <v>29</v>
      </c>
      <c r="C56" s="58" t="s">
        <v>68</v>
      </c>
      <c r="D56" s="59" t="s">
        <v>108</v>
      </c>
      <c r="E56" s="60" t="s">
        <v>6</v>
      </c>
      <c r="F56" s="62">
        <f>875</f>
        <v>875</v>
      </c>
      <c r="G56" s="62">
        <v>0</v>
      </c>
      <c r="H56" s="62">
        <f>875+875</f>
        <v>1750</v>
      </c>
      <c r="I56" s="62">
        <f>875</f>
        <v>875</v>
      </c>
      <c r="J56" s="62">
        <f>875</f>
        <v>875</v>
      </c>
      <c r="K56" s="62">
        <f t="shared" si="0"/>
        <v>3500</v>
      </c>
      <c r="L56" s="61">
        <v>503.23</v>
      </c>
      <c r="M56" s="61">
        <v>434.17</v>
      </c>
      <c r="N56" s="61">
        <v>450</v>
      </c>
      <c r="O56" s="61">
        <f>(L56-M56)*F56</f>
        <v>60427.5</v>
      </c>
      <c r="P56" s="61">
        <f t="shared" si="1"/>
        <v>0</v>
      </c>
      <c r="Q56" s="61">
        <f t="shared" si="9"/>
        <v>120855</v>
      </c>
      <c r="R56" s="61">
        <f t="shared" si="10"/>
        <v>46576.250000000015</v>
      </c>
      <c r="S56" s="61">
        <f t="shared" si="11"/>
        <v>46576.250000000015</v>
      </c>
      <c r="T56" s="63">
        <f t="shared" si="4"/>
        <v>214007.5</v>
      </c>
      <c r="U56" s="66"/>
      <c r="V56" s="66"/>
      <c r="W56" s="66"/>
      <c r="X56" s="40"/>
    </row>
    <row r="57" spans="1:24" s="41" customFormat="1" ht="45">
      <c r="A57" s="56">
        <v>7840346335</v>
      </c>
      <c r="B57" s="57" t="s">
        <v>29</v>
      </c>
      <c r="C57" s="58" t="s">
        <v>68</v>
      </c>
      <c r="D57" s="59" t="s">
        <v>109</v>
      </c>
      <c r="E57" s="60" t="s">
        <v>6</v>
      </c>
      <c r="F57" s="62">
        <f>375</f>
        <v>375</v>
      </c>
      <c r="G57" s="62">
        <v>0</v>
      </c>
      <c r="H57" s="62">
        <f>375+375</f>
        <v>750</v>
      </c>
      <c r="I57" s="62">
        <f>375</f>
        <v>375</v>
      </c>
      <c r="J57" s="62">
        <f>375</f>
        <v>375</v>
      </c>
      <c r="K57" s="62">
        <f t="shared" si="0"/>
        <v>1500</v>
      </c>
      <c r="L57" s="61">
        <v>503.23</v>
      </c>
      <c r="M57" s="61">
        <v>434.17</v>
      </c>
      <c r="N57" s="61">
        <v>450</v>
      </c>
      <c r="O57" s="61">
        <f>(L57-M57)*F57</f>
        <v>25897.5</v>
      </c>
      <c r="P57" s="61">
        <f t="shared" si="1"/>
        <v>0</v>
      </c>
      <c r="Q57" s="61">
        <f t="shared" si="9"/>
        <v>51795</v>
      </c>
      <c r="R57" s="61">
        <f t="shared" si="10"/>
        <v>19961.250000000007</v>
      </c>
      <c r="S57" s="61">
        <f t="shared" si="11"/>
        <v>19961.250000000007</v>
      </c>
      <c r="T57" s="63">
        <f t="shared" si="4"/>
        <v>91717.5</v>
      </c>
      <c r="U57" s="66"/>
      <c r="V57" s="66"/>
      <c r="W57" s="66"/>
      <c r="X57" s="40"/>
    </row>
    <row r="58" spans="1:24" s="41" customFormat="1" ht="59.25" customHeight="1">
      <c r="A58" s="56">
        <v>291401426859</v>
      </c>
      <c r="B58" s="57" t="s">
        <v>35</v>
      </c>
      <c r="C58" s="58" t="s">
        <v>68</v>
      </c>
      <c r="D58" s="59" t="s">
        <v>69</v>
      </c>
      <c r="E58" s="60" t="s">
        <v>70</v>
      </c>
      <c r="F58" s="62">
        <v>3000</v>
      </c>
      <c r="G58" s="62">
        <v>2627.7</v>
      </c>
      <c r="H58" s="62">
        <v>1000</v>
      </c>
      <c r="I58" s="62">
        <v>0</v>
      </c>
      <c r="J58" s="62">
        <v>500</v>
      </c>
      <c r="K58" s="62">
        <f t="shared" si="0"/>
        <v>4127.7</v>
      </c>
      <c r="L58" s="61">
        <v>1382.97</v>
      </c>
      <c r="M58" s="61">
        <v>521</v>
      </c>
      <c r="N58" s="61">
        <v>540</v>
      </c>
      <c r="O58" s="61">
        <f>(L58-M58)*F58</f>
        <v>2585910</v>
      </c>
      <c r="P58" s="61">
        <f t="shared" si="1"/>
        <v>2264998.5690000001</v>
      </c>
      <c r="Q58" s="61">
        <f t="shared" si="9"/>
        <v>861970</v>
      </c>
      <c r="R58" s="61">
        <f t="shared" si="10"/>
        <v>0</v>
      </c>
      <c r="S58" s="61">
        <f t="shared" si="11"/>
        <v>421485</v>
      </c>
      <c r="T58" s="63">
        <f t="shared" si="4"/>
        <v>3548453.5690000001</v>
      </c>
      <c r="U58" s="66"/>
      <c r="V58" s="66"/>
      <c r="W58" s="66"/>
      <c r="X58" s="40"/>
    </row>
    <row r="59" spans="1:24" s="41" customFormat="1" ht="14.25" customHeight="1">
      <c r="A59" s="87"/>
      <c r="B59" s="88"/>
      <c r="C59" s="89"/>
      <c r="D59" s="90"/>
      <c r="E59" s="91"/>
      <c r="F59" s="92"/>
      <c r="G59" s="92"/>
      <c r="H59" s="92"/>
      <c r="I59" s="92"/>
      <c r="J59" s="92"/>
      <c r="K59" s="92"/>
      <c r="L59" s="93"/>
      <c r="M59" s="93"/>
      <c r="N59" s="93"/>
      <c r="O59" s="93"/>
      <c r="P59" s="93"/>
      <c r="Q59" s="93"/>
      <c r="R59" s="93"/>
      <c r="S59" s="93"/>
      <c r="T59" s="93"/>
      <c r="U59" s="97"/>
      <c r="V59" s="97"/>
      <c r="W59" s="97"/>
      <c r="X59" s="40"/>
    </row>
    <row r="60" spans="1:24" s="41" customFormat="1" ht="45">
      <c r="A60" s="56">
        <v>2916002377</v>
      </c>
      <c r="B60" s="58" t="s">
        <v>47</v>
      </c>
      <c r="C60" s="58" t="s">
        <v>48</v>
      </c>
      <c r="D60" s="59" t="s">
        <v>49</v>
      </c>
      <c r="E60" s="60" t="s">
        <v>5</v>
      </c>
      <c r="F60" s="62">
        <v>1191</v>
      </c>
      <c r="G60" s="62">
        <v>1176.3399999999999</v>
      </c>
      <c r="H60" s="62">
        <v>486</v>
      </c>
      <c r="I60" s="62">
        <v>90</v>
      </c>
      <c r="J60" s="62">
        <v>1445</v>
      </c>
      <c r="K60" s="62">
        <f t="shared" si="0"/>
        <v>3197.34</v>
      </c>
      <c r="L60" s="61">
        <v>1641.98</v>
      </c>
      <c r="M60" s="61">
        <v>1050</v>
      </c>
      <c r="N60" s="61">
        <v>1080</v>
      </c>
      <c r="O60" s="61">
        <f>(L60-M60)*F60</f>
        <v>705048.18</v>
      </c>
      <c r="P60" s="61">
        <f t="shared" si="1"/>
        <v>696369.75319999992</v>
      </c>
      <c r="Q60" s="61">
        <f t="shared" si="9"/>
        <v>287702.28000000003</v>
      </c>
      <c r="R60" s="61">
        <f t="shared" si="10"/>
        <v>50578.200000000004</v>
      </c>
      <c r="S60" s="61">
        <f t="shared" si="11"/>
        <v>812061.1</v>
      </c>
      <c r="T60" s="63">
        <f t="shared" si="4"/>
        <v>1846711.3331999998</v>
      </c>
      <c r="U60" s="60"/>
      <c r="V60" s="61"/>
      <c r="W60" s="61"/>
      <c r="X60" s="40"/>
    </row>
    <row r="61" spans="1:24" s="41" customFormat="1" ht="14.25" customHeight="1">
      <c r="A61" s="87"/>
      <c r="B61" s="89"/>
      <c r="C61" s="89"/>
      <c r="D61" s="90"/>
      <c r="E61" s="91"/>
      <c r="F61" s="92"/>
      <c r="G61" s="92"/>
      <c r="H61" s="92"/>
      <c r="I61" s="92"/>
      <c r="J61" s="92"/>
      <c r="K61" s="92"/>
      <c r="L61" s="93"/>
      <c r="M61" s="93"/>
      <c r="N61" s="93"/>
      <c r="O61" s="93"/>
      <c r="P61" s="93"/>
      <c r="Q61" s="93"/>
      <c r="R61" s="93"/>
      <c r="S61" s="93"/>
      <c r="T61" s="93"/>
      <c r="U61" s="91"/>
      <c r="V61" s="93"/>
      <c r="W61" s="93"/>
      <c r="X61" s="40"/>
    </row>
    <row r="62" spans="1:24" s="41" customFormat="1" ht="45">
      <c r="A62" s="56">
        <v>2901293606</v>
      </c>
      <c r="B62" s="58" t="s">
        <v>27</v>
      </c>
      <c r="C62" s="58" t="s">
        <v>94</v>
      </c>
      <c r="D62" s="59" t="s">
        <v>105</v>
      </c>
      <c r="E62" s="60" t="s">
        <v>117</v>
      </c>
      <c r="F62" s="62">
        <v>200</v>
      </c>
      <c r="G62" s="62">
        <v>1110.49</v>
      </c>
      <c r="H62" s="62">
        <v>600</v>
      </c>
      <c r="I62" s="62">
        <v>600</v>
      </c>
      <c r="J62" s="62">
        <v>600</v>
      </c>
      <c r="K62" s="62">
        <f t="shared" si="0"/>
        <v>2910.49</v>
      </c>
      <c r="L62" s="75">
        <v>2889.32</v>
      </c>
      <c r="M62" s="61">
        <v>1050</v>
      </c>
      <c r="N62" s="61">
        <v>1080</v>
      </c>
      <c r="O62" s="61">
        <f>(L62-M62)*F62</f>
        <v>367864.00000000006</v>
      </c>
      <c r="P62" s="61">
        <f t="shared" si="1"/>
        <v>2042546.4668000003</v>
      </c>
      <c r="Q62" s="61">
        <f t="shared" si="9"/>
        <v>1103592</v>
      </c>
      <c r="R62" s="61">
        <f t="shared" si="10"/>
        <v>1085592</v>
      </c>
      <c r="S62" s="61">
        <f t="shared" si="11"/>
        <v>1085592</v>
      </c>
      <c r="T62" s="63">
        <f t="shared" si="4"/>
        <v>5317322.4668000005</v>
      </c>
      <c r="U62" s="60"/>
      <c r="V62" s="61"/>
      <c r="W62" s="61"/>
      <c r="X62" s="40"/>
    </row>
    <row r="63" spans="1:24" s="41" customFormat="1" ht="45">
      <c r="A63" s="56">
        <v>2901293606</v>
      </c>
      <c r="B63" s="58" t="s">
        <v>27</v>
      </c>
      <c r="C63" s="58" t="s">
        <v>94</v>
      </c>
      <c r="D63" s="59" t="s">
        <v>95</v>
      </c>
      <c r="E63" s="60" t="s">
        <v>117</v>
      </c>
      <c r="F63" s="62">
        <v>50</v>
      </c>
      <c r="G63" s="62">
        <v>0</v>
      </c>
      <c r="H63" s="62">
        <v>150</v>
      </c>
      <c r="I63" s="62">
        <v>150</v>
      </c>
      <c r="J63" s="62">
        <v>150</v>
      </c>
      <c r="K63" s="62">
        <f t="shared" si="0"/>
        <v>450</v>
      </c>
      <c r="L63" s="75">
        <v>2889.32</v>
      </c>
      <c r="M63" s="61">
        <v>1050</v>
      </c>
      <c r="N63" s="61">
        <v>1080</v>
      </c>
      <c r="O63" s="61">
        <f t="shared" ref="O63:O69" si="12">(L63-M63)*F63</f>
        <v>91966.000000000015</v>
      </c>
      <c r="P63" s="61">
        <f t="shared" si="1"/>
        <v>0</v>
      </c>
      <c r="Q63" s="61">
        <f t="shared" si="9"/>
        <v>275898</v>
      </c>
      <c r="R63" s="61">
        <f t="shared" si="10"/>
        <v>271398</v>
      </c>
      <c r="S63" s="61">
        <f t="shared" si="11"/>
        <v>271398</v>
      </c>
      <c r="T63" s="63">
        <f t="shared" si="4"/>
        <v>818694</v>
      </c>
      <c r="U63" s="60"/>
      <c r="V63" s="61"/>
      <c r="W63" s="61"/>
      <c r="X63" s="40"/>
    </row>
    <row r="64" spans="1:24" s="33" customFormat="1" ht="45">
      <c r="A64" s="56">
        <v>291701236658</v>
      </c>
      <c r="B64" s="58" t="s">
        <v>21</v>
      </c>
      <c r="C64" s="58" t="s">
        <v>94</v>
      </c>
      <c r="D64" s="59" t="s">
        <v>106</v>
      </c>
      <c r="E64" s="60" t="s">
        <v>117</v>
      </c>
      <c r="F64" s="62">
        <v>100</v>
      </c>
      <c r="G64" s="62">
        <v>0</v>
      </c>
      <c r="H64" s="62">
        <v>300</v>
      </c>
      <c r="I64" s="62">
        <v>300</v>
      </c>
      <c r="J64" s="62">
        <v>300</v>
      </c>
      <c r="K64" s="62">
        <f t="shared" si="0"/>
        <v>900</v>
      </c>
      <c r="L64" s="75">
        <v>1514.05</v>
      </c>
      <c r="M64" s="61">
        <v>1050</v>
      </c>
      <c r="N64" s="61">
        <v>1080</v>
      </c>
      <c r="O64" s="61">
        <f t="shared" si="12"/>
        <v>46404.999999999993</v>
      </c>
      <c r="P64" s="61">
        <f t="shared" si="1"/>
        <v>0</v>
      </c>
      <c r="Q64" s="61">
        <f t="shared" si="9"/>
        <v>139215</v>
      </c>
      <c r="R64" s="61">
        <f t="shared" si="10"/>
        <v>130214.99999999999</v>
      </c>
      <c r="S64" s="61">
        <f t="shared" si="11"/>
        <v>130214.99999999999</v>
      </c>
      <c r="T64" s="63">
        <f t="shared" si="4"/>
        <v>399645</v>
      </c>
      <c r="U64" s="60"/>
      <c r="V64" s="61"/>
      <c r="W64" s="61"/>
      <c r="X64" s="32"/>
    </row>
    <row r="65" spans="1:24" s="44" customFormat="1" ht="45">
      <c r="A65" s="56">
        <v>2917126167</v>
      </c>
      <c r="B65" s="58" t="s">
        <v>23</v>
      </c>
      <c r="C65" s="58" t="s">
        <v>94</v>
      </c>
      <c r="D65" s="59" t="s">
        <v>24</v>
      </c>
      <c r="E65" s="60" t="s">
        <v>117</v>
      </c>
      <c r="F65" s="62">
        <v>550</v>
      </c>
      <c r="G65" s="62">
        <v>542.5</v>
      </c>
      <c r="H65" s="62">
        <v>290</v>
      </c>
      <c r="I65" s="62">
        <v>0</v>
      </c>
      <c r="J65" s="62">
        <v>0</v>
      </c>
      <c r="K65" s="62">
        <f t="shared" si="0"/>
        <v>832.5</v>
      </c>
      <c r="L65" s="61">
        <v>1983.87</v>
      </c>
      <c r="M65" s="61">
        <v>1050</v>
      </c>
      <c r="N65" s="65">
        <v>1080</v>
      </c>
      <c r="O65" s="61">
        <f t="shared" si="12"/>
        <v>513628.49999999994</v>
      </c>
      <c r="P65" s="61">
        <f t="shared" si="1"/>
        <v>506624.47499999992</v>
      </c>
      <c r="Q65" s="61">
        <f t="shared" si="9"/>
        <v>270822.3</v>
      </c>
      <c r="R65" s="61">
        <f t="shared" si="10"/>
        <v>0</v>
      </c>
      <c r="S65" s="61">
        <f t="shared" si="11"/>
        <v>0</v>
      </c>
      <c r="T65" s="63">
        <f t="shared" si="4"/>
        <v>777446.77499999991</v>
      </c>
      <c r="U65" s="86"/>
      <c r="V65" s="65"/>
      <c r="W65" s="65"/>
      <c r="X65" s="40"/>
    </row>
    <row r="66" spans="1:24" s="34" customFormat="1" ht="92.25" customHeight="1">
      <c r="A66" s="56">
        <v>2917126054</v>
      </c>
      <c r="B66" s="58" t="s">
        <v>8</v>
      </c>
      <c r="C66" s="58" t="s">
        <v>94</v>
      </c>
      <c r="D66" s="59" t="s">
        <v>98</v>
      </c>
      <c r="E66" s="60" t="s">
        <v>117</v>
      </c>
      <c r="F66" s="62">
        <v>4400</v>
      </c>
      <c r="G66" s="62">
        <v>6204</v>
      </c>
      <c r="H66" s="62">
        <v>4400</v>
      </c>
      <c r="I66" s="62">
        <v>4400</v>
      </c>
      <c r="J66" s="62">
        <v>4400</v>
      </c>
      <c r="K66" s="62">
        <f t="shared" si="0"/>
        <v>19404</v>
      </c>
      <c r="L66" s="61">
        <v>2845.01</v>
      </c>
      <c r="M66" s="61">
        <v>1050</v>
      </c>
      <c r="N66" s="61">
        <v>1080</v>
      </c>
      <c r="O66" s="61">
        <f t="shared" si="12"/>
        <v>7898044.0000000009</v>
      </c>
      <c r="P66" s="61">
        <f t="shared" si="1"/>
        <v>11136242.040000001</v>
      </c>
      <c r="Q66" s="61">
        <f t="shared" si="9"/>
        <v>7898044.0000000009</v>
      </c>
      <c r="R66" s="61">
        <f t="shared" si="10"/>
        <v>7766044.0000000009</v>
      </c>
      <c r="S66" s="61">
        <f t="shared" si="11"/>
        <v>7766044.0000000009</v>
      </c>
      <c r="T66" s="63">
        <f t="shared" si="4"/>
        <v>34566374.040000007</v>
      </c>
      <c r="U66" s="60"/>
      <c r="V66" s="61"/>
      <c r="W66" s="61"/>
      <c r="X66" s="28"/>
    </row>
    <row r="67" spans="1:24" s="44" customFormat="1" ht="45">
      <c r="A67" s="56">
        <v>2917126054</v>
      </c>
      <c r="B67" s="58" t="s">
        <v>8</v>
      </c>
      <c r="C67" s="58" t="s">
        <v>94</v>
      </c>
      <c r="D67" s="59" t="s">
        <v>9</v>
      </c>
      <c r="E67" s="60" t="s">
        <v>5</v>
      </c>
      <c r="F67" s="62">
        <v>0</v>
      </c>
      <c r="G67" s="62">
        <v>0</v>
      </c>
      <c r="H67" s="62">
        <v>300</v>
      </c>
      <c r="I67" s="62">
        <v>300</v>
      </c>
      <c r="J67" s="62">
        <v>300</v>
      </c>
      <c r="K67" s="62">
        <f t="shared" si="0"/>
        <v>900</v>
      </c>
      <c r="L67" s="61">
        <f>5221*1.046</f>
        <v>5461.1660000000002</v>
      </c>
      <c r="M67" s="61">
        <v>1050</v>
      </c>
      <c r="N67" s="61">
        <v>1080</v>
      </c>
      <c r="O67" s="61">
        <f t="shared" si="12"/>
        <v>0</v>
      </c>
      <c r="P67" s="61">
        <f t="shared" si="1"/>
        <v>0</v>
      </c>
      <c r="Q67" s="61">
        <f t="shared" si="9"/>
        <v>1323349.8</v>
      </c>
      <c r="R67" s="61">
        <f t="shared" si="10"/>
        <v>1314349.8</v>
      </c>
      <c r="S67" s="61">
        <f t="shared" si="11"/>
        <v>1314349.8</v>
      </c>
      <c r="T67" s="63">
        <f t="shared" si="4"/>
        <v>3952049.4000000004</v>
      </c>
      <c r="U67" s="60"/>
      <c r="V67" s="61"/>
      <c r="W67" s="61"/>
      <c r="X67" s="40"/>
    </row>
    <row r="68" spans="1:24" s="41" customFormat="1" ht="45">
      <c r="A68" s="56">
        <v>291700707343</v>
      </c>
      <c r="B68" s="58" t="s">
        <v>12</v>
      </c>
      <c r="C68" s="58" t="s">
        <v>94</v>
      </c>
      <c r="D68" s="59" t="s">
        <v>106</v>
      </c>
      <c r="E68" s="60" t="s">
        <v>5</v>
      </c>
      <c r="F68" s="62">
        <v>250</v>
      </c>
      <c r="G68" s="62">
        <v>281</v>
      </c>
      <c r="H68" s="62">
        <v>250</v>
      </c>
      <c r="I68" s="62">
        <v>250</v>
      </c>
      <c r="J68" s="62">
        <v>250</v>
      </c>
      <c r="K68" s="62">
        <f t="shared" si="0"/>
        <v>1031</v>
      </c>
      <c r="L68" s="61">
        <v>1376.22</v>
      </c>
      <c r="M68" s="61">
        <v>1050</v>
      </c>
      <c r="N68" s="61">
        <v>1080</v>
      </c>
      <c r="O68" s="61">
        <f t="shared" si="12"/>
        <v>81555</v>
      </c>
      <c r="P68" s="61">
        <f t="shared" si="1"/>
        <v>91667.82</v>
      </c>
      <c r="Q68" s="61">
        <f t="shared" si="9"/>
        <v>81555</v>
      </c>
      <c r="R68" s="61">
        <f t="shared" si="10"/>
        <v>74055</v>
      </c>
      <c r="S68" s="61">
        <f t="shared" si="11"/>
        <v>74055</v>
      </c>
      <c r="T68" s="63">
        <f t="shared" si="4"/>
        <v>321332.82</v>
      </c>
      <c r="U68" s="60"/>
      <c r="V68" s="61"/>
      <c r="W68" s="61"/>
      <c r="X68" s="40"/>
    </row>
    <row r="69" spans="1:24" s="41" customFormat="1" ht="45">
      <c r="A69" s="56">
        <v>292600222386</v>
      </c>
      <c r="B69" s="58" t="s">
        <v>93</v>
      </c>
      <c r="C69" s="58" t="s">
        <v>94</v>
      </c>
      <c r="D69" s="59" t="s">
        <v>95</v>
      </c>
      <c r="E69" s="60" t="s">
        <v>5</v>
      </c>
      <c r="F69" s="62">
        <v>1000</v>
      </c>
      <c r="G69" s="62">
        <v>236</v>
      </c>
      <c r="H69" s="62">
        <v>1000</v>
      </c>
      <c r="I69" s="62">
        <v>1000</v>
      </c>
      <c r="J69" s="62">
        <v>1000</v>
      </c>
      <c r="K69" s="62">
        <f t="shared" si="0"/>
        <v>3236</v>
      </c>
      <c r="L69" s="61">
        <v>2366.21</v>
      </c>
      <c r="M69" s="61">
        <v>1050</v>
      </c>
      <c r="N69" s="61">
        <v>1080</v>
      </c>
      <c r="O69" s="61">
        <f t="shared" si="12"/>
        <v>1316210</v>
      </c>
      <c r="P69" s="61">
        <f t="shared" si="1"/>
        <v>310625.56</v>
      </c>
      <c r="Q69" s="61">
        <f t="shared" si="9"/>
        <v>1316210</v>
      </c>
      <c r="R69" s="61">
        <f t="shared" si="10"/>
        <v>1286210</v>
      </c>
      <c r="S69" s="61">
        <f t="shared" si="11"/>
        <v>1286210</v>
      </c>
      <c r="T69" s="63">
        <f t="shared" si="4"/>
        <v>4199255.5600000005</v>
      </c>
      <c r="U69" s="60"/>
      <c r="V69" s="61"/>
      <c r="W69" s="61"/>
      <c r="X69" s="40"/>
    </row>
    <row r="70" spans="1:24" s="41" customFormat="1" ht="14.25" customHeight="1">
      <c r="A70" s="87"/>
      <c r="B70" s="89"/>
      <c r="C70" s="89"/>
      <c r="D70" s="90"/>
      <c r="E70" s="91"/>
      <c r="F70" s="92"/>
      <c r="G70" s="92"/>
      <c r="H70" s="92"/>
      <c r="I70" s="92"/>
      <c r="J70" s="92"/>
      <c r="K70" s="92"/>
      <c r="L70" s="93"/>
      <c r="M70" s="93"/>
      <c r="N70" s="93"/>
      <c r="O70" s="93"/>
      <c r="P70" s="93"/>
      <c r="Q70" s="93"/>
      <c r="R70" s="93"/>
      <c r="S70" s="93"/>
      <c r="T70" s="93"/>
      <c r="U70" s="91"/>
      <c r="V70" s="93"/>
      <c r="W70" s="93"/>
      <c r="X70" s="40"/>
    </row>
    <row r="71" spans="1:24" s="41" customFormat="1" ht="45">
      <c r="A71" s="56">
        <v>2906000194</v>
      </c>
      <c r="B71" s="57" t="s">
        <v>99</v>
      </c>
      <c r="C71" s="58" t="s">
        <v>100</v>
      </c>
      <c r="D71" s="59"/>
      <c r="E71" s="60" t="s">
        <v>6</v>
      </c>
      <c r="F71" s="62">
        <v>3700</v>
      </c>
      <c r="G71" s="62">
        <v>4150.2449999999999</v>
      </c>
      <c r="H71" s="62">
        <v>3655</v>
      </c>
      <c r="I71" s="62">
        <v>3700</v>
      </c>
      <c r="J71" s="62">
        <v>3700</v>
      </c>
      <c r="K71" s="62">
        <f t="shared" si="0"/>
        <v>15205.244999999999</v>
      </c>
      <c r="L71" s="61">
        <v>706.29</v>
      </c>
      <c r="M71" s="61">
        <f>777/1.2</f>
        <v>647.5</v>
      </c>
      <c r="N71" s="61">
        <v>666.67</v>
      </c>
      <c r="O71" s="61">
        <f>(L71-M71)*F71</f>
        <v>217522.99999999985</v>
      </c>
      <c r="P71" s="61">
        <f t="shared" si="1"/>
        <v>243992.90354999984</v>
      </c>
      <c r="Q71" s="61">
        <f t="shared" si="9"/>
        <v>214877.44999999987</v>
      </c>
      <c r="R71" s="61">
        <f t="shared" si="10"/>
        <v>146594.00000000003</v>
      </c>
      <c r="S71" s="61">
        <f t="shared" si="11"/>
        <v>146594.00000000003</v>
      </c>
      <c r="T71" s="63">
        <f t="shared" si="4"/>
        <v>752058.35354999977</v>
      </c>
      <c r="U71" s="60"/>
      <c r="V71" s="61"/>
      <c r="W71" s="61"/>
      <c r="X71" s="40"/>
    </row>
    <row r="72" spans="1:24" s="41" customFormat="1" ht="14.25" customHeight="1">
      <c r="A72" s="87"/>
      <c r="B72" s="88"/>
      <c r="C72" s="89"/>
      <c r="D72" s="90"/>
      <c r="E72" s="91"/>
      <c r="F72" s="92"/>
      <c r="G72" s="92"/>
      <c r="H72" s="92"/>
      <c r="I72" s="92"/>
      <c r="J72" s="92"/>
      <c r="K72" s="92"/>
      <c r="L72" s="93"/>
      <c r="M72" s="93"/>
      <c r="N72" s="93"/>
      <c r="O72" s="93"/>
      <c r="P72" s="93"/>
      <c r="Q72" s="93"/>
      <c r="R72" s="93"/>
      <c r="S72" s="93"/>
      <c r="T72" s="93"/>
      <c r="U72" s="91"/>
      <c r="V72" s="93"/>
      <c r="W72" s="93"/>
      <c r="X72" s="40"/>
    </row>
    <row r="73" spans="1:24" s="43" customFormat="1" ht="74.25" customHeight="1">
      <c r="A73" s="56">
        <v>2919007990</v>
      </c>
      <c r="B73" s="58" t="s">
        <v>113</v>
      </c>
      <c r="C73" s="58" t="s">
        <v>85</v>
      </c>
      <c r="D73" s="59" t="s">
        <v>114</v>
      </c>
      <c r="E73" s="60" t="s">
        <v>4</v>
      </c>
      <c r="F73" s="62">
        <v>1000</v>
      </c>
      <c r="G73" s="62">
        <v>1541</v>
      </c>
      <c r="H73" s="62">
        <v>1000</v>
      </c>
      <c r="I73" s="62">
        <v>1000</v>
      </c>
      <c r="J73" s="62">
        <v>1000</v>
      </c>
      <c r="K73" s="62">
        <f t="shared" ref="K73:K92" si="13">G73+H73+I73+J73</f>
        <v>4541</v>
      </c>
      <c r="L73" s="61">
        <v>1739.65</v>
      </c>
      <c r="M73" s="61">
        <v>1000</v>
      </c>
      <c r="N73" s="61">
        <v>1000</v>
      </c>
      <c r="O73" s="61">
        <f>(L73-M73)*F73</f>
        <v>739650.00000000012</v>
      </c>
      <c r="P73" s="61">
        <f t="shared" ref="P73:P92" si="14">G73*(L73-M73)</f>
        <v>1139800.6500000001</v>
      </c>
      <c r="Q73" s="61">
        <f t="shared" si="9"/>
        <v>739650.00000000012</v>
      </c>
      <c r="R73" s="61">
        <f t="shared" si="10"/>
        <v>739650.00000000012</v>
      </c>
      <c r="S73" s="61">
        <f t="shared" si="11"/>
        <v>739650.00000000012</v>
      </c>
      <c r="T73" s="63">
        <f t="shared" ref="T73:T92" si="15">P73+Q73+R73+S73</f>
        <v>3358750.6500000004</v>
      </c>
      <c r="U73" s="60"/>
      <c r="V73" s="61"/>
      <c r="W73" s="61"/>
      <c r="X73" s="38"/>
    </row>
    <row r="74" spans="1:24" s="43" customFormat="1" ht="93" customHeight="1">
      <c r="A74" s="56">
        <v>291903223700</v>
      </c>
      <c r="B74" s="58" t="s">
        <v>84</v>
      </c>
      <c r="C74" s="58" t="s">
        <v>85</v>
      </c>
      <c r="D74" s="59" t="s">
        <v>121</v>
      </c>
      <c r="E74" s="60" t="s">
        <v>5</v>
      </c>
      <c r="F74" s="62">
        <v>3750</v>
      </c>
      <c r="G74" s="62">
        <v>3593.21</v>
      </c>
      <c r="H74" s="62">
        <v>3750</v>
      </c>
      <c r="I74" s="62">
        <v>3750</v>
      </c>
      <c r="J74" s="62">
        <v>3750</v>
      </c>
      <c r="K74" s="62">
        <f t="shared" si="13"/>
        <v>14843.21</v>
      </c>
      <c r="L74" s="61">
        <v>1756.4</v>
      </c>
      <c r="M74" s="61">
        <f>921</f>
        <v>921</v>
      </c>
      <c r="N74" s="61">
        <v>930</v>
      </c>
      <c r="O74" s="61">
        <f>(L74-M74)*F74</f>
        <v>3132750.0000000005</v>
      </c>
      <c r="P74" s="61">
        <f t="shared" si="14"/>
        <v>3001767.6340000005</v>
      </c>
      <c r="Q74" s="61">
        <f t="shared" si="9"/>
        <v>3132750.0000000005</v>
      </c>
      <c r="R74" s="61">
        <f t="shared" si="10"/>
        <v>3099000.0000000005</v>
      </c>
      <c r="S74" s="61">
        <f t="shared" si="11"/>
        <v>3099000.0000000005</v>
      </c>
      <c r="T74" s="63">
        <f t="shared" si="15"/>
        <v>12332517.634000001</v>
      </c>
      <c r="U74" s="60"/>
      <c r="V74" s="61"/>
      <c r="W74" s="61"/>
      <c r="X74" s="38"/>
    </row>
    <row r="75" spans="1:24" s="43" customFormat="1" ht="14.25" customHeight="1">
      <c r="A75" s="87"/>
      <c r="B75" s="89"/>
      <c r="C75" s="89"/>
      <c r="D75" s="90"/>
      <c r="E75" s="91"/>
      <c r="F75" s="92"/>
      <c r="G75" s="92"/>
      <c r="H75" s="92"/>
      <c r="I75" s="92"/>
      <c r="J75" s="92"/>
      <c r="K75" s="92"/>
      <c r="L75" s="93"/>
      <c r="M75" s="93"/>
      <c r="N75" s="93"/>
      <c r="O75" s="93"/>
      <c r="P75" s="93"/>
      <c r="Q75" s="93"/>
      <c r="R75" s="93"/>
      <c r="S75" s="93"/>
      <c r="T75" s="93"/>
      <c r="U75" s="91"/>
      <c r="V75" s="93"/>
      <c r="W75" s="93"/>
      <c r="X75" s="38"/>
    </row>
    <row r="76" spans="1:24" s="43" customFormat="1" ht="45">
      <c r="A76" s="71"/>
      <c r="B76" s="72" t="s">
        <v>36</v>
      </c>
      <c r="C76" s="72" t="s">
        <v>87</v>
      </c>
      <c r="D76" s="73"/>
      <c r="E76" s="74" t="s">
        <v>117</v>
      </c>
      <c r="F76" s="76">
        <v>150</v>
      </c>
      <c r="G76" s="76">
        <v>0</v>
      </c>
      <c r="H76" s="76">
        <v>150</v>
      </c>
      <c r="I76" s="76">
        <v>150</v>
      </c>
      <c r="J76" s="76">
        <v>150</v>
      </c>
      <c r="K76" s="62">
        <f t="shared" si="13"/>
        <v>450</v>
      </c>
      <c r="L76" s="75">
        <f>L77</f>
        <v>1556.01</v>
      </c>
      <c r="M76" s="61">
        <v>778</v>
      </c>
      <c r="N76" s="61">
        <v>780</v>
      </c>
      <c r="O76" s="61">
        <f>(L76-M76)*F76</f>
        <v>116701.5</v>
      </c>
      <c r="P76" s="61">
        <f t="shared" si="14"/>
        <v>0</v>
      </c>
      <c r="Q76" s="61">
        <f t="shared" si="9"/>
        <v>116701.5</v>
      </c>
      <c r="R76" s="61">
        <f t="shared" si="10"/>
        <v>116401.5</v>
      </c>
      <c r="S76" s="61">
        <f t="shared" si="11"/>
        <v>116401.5</v>
      </c>
      <c r="T76" s="63">
        <f t="shared" si="15"/>
        <v>349504.5</v>
      </c>
      <c r="U76" s="77"/>
      <c r="V76" s="64"/>
      <c r="W76" s="64"/>
      <c r="X76" s="38"/>
    </row>
    <row r="77" spans="1:24" s="43" customFormat="1" ht="57" customHeight="1">
      <c r="A77" s="56">
        <v>2920015957</v>
      </c>
      <c r="B77" s="58" t="s">
        <v>86</v>
      </c>
      <c r="C77" s="58" t="s">
        <v>87</v>
      </c>
      <c r="D77" s="59" t="s">
        <v>88</v>
      </c>
      <c r="E77" s="60" t="s">
        <v>5</v>
      </c>
      <c r="F77" s="62">
        <v>425</v>
      </c>
      <c r="G77" s="62">
        <v>15</v>
      </c>
      <c r="H77" s="62">
        <v>425</v>
      </c>
      <c r="I77" s="62">
        <v>425</v>
      </c>
      <c r="J77" s="62">
        <v>425</v>
      </c>
      <c r="K77" s="62">
        <f t="shared" si="13"/>
        <v>1290</v>
      </c>
      <c r="L77" s="61">
        <v>1556.01</v>
      </c>
      <c r="M77" s="61">
        <v>778</v>
      </c>
      <c r="N77" s="61">
        <v>780</v>
      </c>
      <c r="O77" s="61">
        <f>(L77-M77)*F77</f>
        <v>330654.25</v>
      </c>
      <c r="P77" s="61">
        <f t="shared" si="14"/>
        <v>11670.15</v>
      </c>
      <c r="Q77" s="61">
        <f t="shared" si="9"/>
        <v>330654.25</v>
      </c>
      <c r="R77" s="61">
        <f t="shared" si="10"/>
        <v>329804.25</v>
      </c>
      <c r="S77" s="61">
        <f>(L77-N77)*J77</f>
        <v>329804.25</v>
      </c>
      <c r="T77" s="63">
        <f t="shared" si="15"/>
        <v>1001932.9</v>
      </c>
      <c r="U77" s="60"/>
      <c r="V77" s="61"/>
      <c r="W77" s="61"/>
      <c r="X77" s="38"/>
    </row>
    <row r="78" spans="1:24" s="43" customFormat="1" ht="57" customHeight="1">
      <c r="A78" s="56">
        <v>2920015957</v>
      </c>
      <c r="B78" s="58" t="s">
        <v>86</v>
      </c>
      <c r="C78" s="58" t="s">
        <v>87</v>
      </c>
      <c r="D78" s="59" t="s">
        <v>88</v>
      </c>
      <c r="E78" s="60" t="s">
        <v>4</v>
      </c>
      <c r="F78" s="62">
        <v>815</v>
      </c>
      <c r="G78" s="62">
        <v>314.12</v>
      </c>
      <c r="H78" s="62">
        <v>815</v>
      </c>
      <c r="I78" s="62">
        <v>815</v>
      </c>
      <c r="J78" s="62">
        <v>815</v>
      </c>
      <c r="K78" s="62">
        <f t="shared" si="13"/>
        <v>2759.12</v>
      </c>
      <c r="L78" s="61">
        <v>1722.34</v>
      </c>
      <c r="M78" s="61">
        <v>915</v>
      </c>
      <c r="N78" s="61">
        <v>915</v>
      </c>
      <c r="O78" s="61">
        <f>(L78-M78)*F78</f>
        <v>657982.1</v>
      </c>
      <c r="P78" s="61">
        <f t="shared" si="14"/>
        <v>253601.64079999996</v>
      </c>
      <c r="Q78" s="61">
        <f t="shared" si="9"/>
        <v>657982.1</v>
      </c>
      <c r="R78" s="61">
        <f t="shared" si="10"/>
        <v>657982.1</v>
      </c>
      <c r="S78" s="61">
        <f t="shared" si="11"/>
        <v>657982.1</v>
      </c>
      <c r="T78" s="63">
        <f t="shared" si="15"/>
        <v>2227547.9408</v>
      </c>
      <c r="U78" s="60"/>
      <c r="V78" s="61"/>
      <c r="W78" s="61"/>
      <c r="X78" s="38"/>
    </row>
    <row r="79" spans="1:24" s="43" customFormat="1" ht="14.25" customHeight="1">
      <c r="A79" s="87"/>
      <c r="B79" s="89"/>
      <c r="C79" s="89"/>
      <c r="D79" s="90"/>
      <c r="E79" s="91"/>
      <c r="F79" s="92"/>
      <c r="G79" s="92"/>
      <c r="H79" s="92"/>
      <c r="I79" s="92"/>
      <c r="J79" s="92"/>
      <c r="K79" s="92"/>
      <c r="L79" s="93"/>
      <c r="M79" s="93"/>
      <c r="N79" s="93"/>
      <c r="O79" s="93"/>
      <c r="P79" s="93"/>
      <c r="Q79" s="93"/>
      <c r="R79" s="93"/>
      <c r="S79" s="93"/>
      <c r="T79" s="93"/>
      <c r="U79" s="91"/>
      <c r="V79" s="93"/>
      <c r="W79" s="93"/>
      <c r="X79" s="38"/>
    </row>
    <row r="80" spans="1:24" s="43" customFormat="1" ht="82.5" customHeight="1">
      <c r="A80" s="56">
        <v>2901169038</v>
      </c>
      <c r="B80" s="58" t="s">
        <v>1</v>
      </c>
      <c r="C80" s="58" t="s">
        <v>50</v>
      </c>
      <c r="D80" s="59" t="s">
        <v>51</v>
      </c>
      <c r="E80" s="60" t="s">
        <v>4</v>
      </c>
      <c r="F80" s="62">
        <v>292</v>
      </c>
      <c r="G80" s="62">
        <v>76.650000000000006</v>
      </c>
      <c r="H80" s="62">
        <v>292</v>
      </c>
      <c r="I80" s="62">
        <v>292</v>
      </c>
      <c r="J80" s="62">
        <v>292.5</v>
      </c>
      <c r="K80" s="62">
        <f t="shared" si="13"/>
        <v>953.15</v>
      </c>
      <c r="L80" s="61">
        <v>2871.18</v>
      </c>
      <c r="M80" s="61">
        <v>1000</v>
      </c>
      <c r="N80" s="61">
        <v>1000</v>
      </c>
      <c r="O80" s="61">
        <f>(L80-M80)*F80</f>
        <v>546384.55999999994</v>
      </c>
      <c r="P80" s="61">
        <f t="shared" si="14"/>
        <v>143425.94699999999</v>
      </c>
      <c r="Q80" s="61">
        <f t="shared" si="9"/>
        <v>546384.55999999994</v>
      </c>
      <c r="R80" s="61">
        <f t="shared" si="10"/>
        <v>546384.55999999994</v>
      </c>
      <c r="S80" s="61">
        <f>(L80-N80)*J80</f>
        <v>547320.14999999991</v>
      </c>
      <c r="T80" s="63">
        <f t="shared" si="15"/>
        <v>1783515.2169999997</v>
      </c>
      <c r="U80" s="60"/>
      <c r="V80" s="61"/>
      <c r="W80" s="61"/>
      <c r="X80" s="38"/>
    </row>
    <row r="81" spans="1:24" s="43" customFormat="1" ht="57.75" customHeight="1">
      <c r="A81" s="56">
        <v>2901169038</v>
      </c>
      <c r="B81" s="58" t="s">
        <v>1</v>
      </c>
      <c r="C81" s="58" t="s">
        <v>50</v>
      </c>
      <c r="D81" s="59" t="s">
        <v>52</v>
      </c>
      <c r="E81" s="60" t="s">
        <v>4</v>
      </c>
      <c r="F81" s="62">
        <v>0</v>
      </c>
      <c r="G81" s="62">
        <v>0</v>
      </c>
      <c r="H81" s="62">
        <v>700</v>
      </c>
      <c r="I81" s="62">
        <v>700</v>
      </c>
      <c r="J81" s="62">
        <v>175</v>
      </c>
      <c r="K81" s="62">
        <f t="shared" si="13"/>
        <v>1575</v>
      </c>
      <c r="L81" s="61">
        <v>3222.53</v>
      </c>
      <c r="M81" s="61">
        <v>1000</v>
      </c>
      <c r="N81" s="61">
        <v>1000</v>
      </c>
      <c r="O81" s="61">
        <f t="shared" ref="O81:O88" si="16">(L81-M81)*F81</f>
        <v>0</v>
      </c>
      <c r="P81" s="61">
        <f t="shared" si="14"/>
        <v>0</v>
      </c>
      <c r="Q81" s="61">
        <f t="shared" si="9"/>
        <v>1555771.0000000002</v>
      </c>
      <c r="R81" s="61">
        <f t="shared" si="10"/>
        <v>1555771.0000000002</v>
      </c>
      <c r="S81" s="61">
        <f t="shared" si="11"/>
        <v>388942.75000000006</v>
      </c>
      <c r="T81" s="63">
        <f t="shared" si="15"/>
        <v>3500484.7500000005</v>
      </c>
      <c r="U81" s="60"/>
      <c r="V81" s="61"/>
      <c r="W81" s="61"/>
      <c r="X81" s="38"/>
    </row>
    <row r="82" spans="1:24" s="43" customFormat="1" ht="105">
      <c r="A82" s="56">
        <v>2901209393</v>
      </c>
      <c r="B82" s="58" t="s">
        <v>61</v>
      </c>
      <c r="C82" s="58" t="s">
        <v>50</v>
      </c>
      <c r="D82" s="59" t="s">
        <v>62</v>
      </c>
      <c r="E82" s="60" t="s">
        <v>117</v>
      </c>
      <c r="F82" s="62">
        <v>550</v>
      </c>
      <c r="G82" s="62">
        <v>1588.91</v>
      </c>
      <c r="H82" s="62">
        <v>510</v>
      </c>
      <c r="I82" s="62">
        <v>510</v>
      </c>
      <c r="J82" s="62">
        <v>659.3</v>
      </c>
      <c r="K82" s="62">
        <f t="shared" si="13"/>
        <v>3268.21</v>
      </c>
      <c r="L82" s="61">
        <v>2516.0100000000002</v>
      </c>
      <c r="M82" s="61">
        <v>967</v>
      </c>
      <c r="N82" s="61">
        <v>967</v>
      </c>
      <c r="O82" s="61">
        <f t="shared" si="16"/>
        <v>851955.50000000012</v>
      </c>
      <c r="P82" s="61">
        <f t="shared" si="14"/>
        <v>2461237.4791000006</v>
      </c>
      <c r="Q82" s="61">
        <f t="shared" si="9"/>
        <v>789995.10000000009</v>
      </c>
      <c r="R82" s="61">
        <f>(L82-N82)*I82</f>
        <v>789995.10000000009</v>
      </c>
      <c r="S82" s="61">
        <f t="shared" si="11"/>
        <v>1021262.2930000001</v>
      </c>
      <c r="T82" s="63">
        <f t="shared" si="15"/>
        <v>5062489.9721000008</v>
      </c>
      <c r="U82" s="60"/>
      <c r="V82" s="61"/>
      <c r="W82" s="61"/>
      <c r="X82" s="38"/>
    </row>
    <row r="83" spans="1:24" s="35" customFormat="1" ht="53.25" customHeight="1">
      <c r="A83" s="56">
        <v>2901209393</v>
      </c>
      <c r="B83" s="58" t="s">
        <v>61</v>
      </c>
      <c r="C83" s="58" t="s">
        <v>50</v>
      </c>
      <c r="D83" s="59" t="s">
        <v>52</v>
      </c>
      <c r="E83" s="60" t="s">
        <v>117</v>
      </c>
      <c r="F83" s="62">
        <v>0</v>
      </c>
      <c r="G83" s="62">
        <v>354</v>
      </c>
      <c r="H83" s="62">
        <v>659</v>
      </c>
      <c r="I83" s="62">
        <v>658</v>
      </c>
      <c r="J83" s="62">
        <v>658</v>
      </c>
      <c r="K83" s="62">
        <f t="shared" si="13"/>
        <v>2329</v>
      </c>
      <c r="L83" s="61">
        <v>2960.45</v>
      </c>
      <c r="M83" s="61">
        <v>967</v>
      </c>
      <c r="N83" s="61">
        <v>967</v>
      </c>
      <c r="O83" s="61">
        <f t="shared" si="16"/>
        <v>0</v>
      </c>
      <c r="P83" s="61">
        <f t="shared" si="14"/>
        <v>705681.29999999993</v>
      </c>
      <c r="Q83" s="61">
        <f t="shared" si="9"/>
        <v>1313683.5499999998</v>
      </c>
      <c r="R83" s="61">
        <f t="shared" si="10"/>
        <v>1311690.0999999999</v>
      </c>
      <c r="S83" s="61">
        <f t="shared" si="11"/>
        <v>1311690.0999999999</v>
      </c>
      <c r="T83" s="63">
        <f t="shared" si="15"/>
        <v>4642745.0499999989</v>
      </c>
      <c r="U83" s="60"/>
      <c r="V83" s="61"/>
      <c r="W83" s="61"/>
      <c r="X83" s="27"/>
    </row>
    <row r="84" spans="1:24" s="35" customFormat="1" ht="53.25" customHeight="1">
      <c r="A84" s="56">
        <v>2901209393</v>
      </c>
      <c r="B84" s="58" t="s">
        <v>61</v>
      </c>
      <c r="C84" s="58" t="s">
        <v>50</v>
      </c>
      <c r="D84" s="59" t="s">
        <v>63</v>
      </c>
      <c r="E84" s="60" t="s">
        <v>117</v>
      </c>
      <c r="F84" s="62">
        <v>0</v>
      </c>
      <c r="G84" s="62">
        <v>0</v>
      </c>
      <c r="H84" s="62">
        <v>350</v>
      </c>
      <c r="I84" s="62">
        <v>0</v>
      </c>
      <c r="J84" s="62">
        <v>0</v>
      </c>
      <c r="K84" s="62">
        <f t="shared" si="13"/>
        <v>350</v>
      </c>
      <c r="L84" s="61">
        <v>5424.12</v>
      </c>
      <c r="M84" s="61">
        <v>967</v>
      </c>
      <c r="N84" s="61">
        <v>967</v>
      </c>
      <c r="O84" s="61">
        <f t="shared" si="16"/>
        <v>0</v>
      </c>
      <c r="P84" s="61">
        <f t="shared" si="14"/>
        <v>0</v>
      </c>
      <c r="Q84" s="61">
        <f t="shared" si="9"/>
        <v>1559992</v>
      </c>
      <c r="R84" s="61">
        <f t="shared" si="10"/>
        <v>0</v>
      </c>
      <c r="S84" s="61">
        <f t="shared" si="11"/>
        <v>0</v>
      </c>
      <c r="T84" s="63">
        <f t="shared" si="15"/>
        <v>1559992</v>
      </c>
      <c r="U84" s="60"/>
      <c r="V84" s="61"/>
      <c r="W84" s="61"/>
      <c r="X84" s="27"/>
    </row>
    <row r="85" spans="1:24" s="39" customFormat="1" ht="45">
      <c r="A85" s="56">
        <v>2901209393</v>
      </c>
      <c r="B85" s="58" t="s">
        <v>61</v>
      </c>
      <c r="C85" s="58" t="s">
        <v>50</v>
      </c>
      <c r="D85" s="59" t="s">
        <v>110</v>
      </c>
      <c r="E85" s="60" t="s">
        <v>117</v>
      </c>
      <c r="F85" s="62">
        <v>0</v>
      </c>
      <c r="G85" s="62">
        <v>0</v>
      </c>
      <c r="H85" s="62">
        <v>500</v>
      </c>
      <c r="I85" s="62">
        <v>250</v>
      </c>
      <c r="J85" s="62">
        <v>250</v>
      </c>
      <c r="K85" s="62">
        <f t="shared" si="13"/>
        <v>1000</v>
      </c>
      <c r="L85" s="61">
        <v>7000</v>
      </c>
      <c r="M85" s="61">
        <v>967</v>
      </c>
      <c r="N85" s="61">
        <v>967</v>
      </c>
      <c r="O85" s="61">
        <f t="shared" si="16"/>
        <v>0</v>
      </c>
      <c r="P85" s="61">
        <f t="shared" si="14"/>
        <v>0</v>
      </c>
      <c r="Q85" s="61">
        <f t="shared" si="9"/>
        <v>3016500</v>
      </c>
      <c r="R85" s="61">
        <f t="shared" si="10"/>
        <v>1508250</v>
      </c>
      <c r="S85" s="61">
        <f t="shared" si="11"/>
        <v>1508250</v>
      </c>
      <c r="T85" s="63">
        <f t="shared" si="15"/>
        <v>6033000</v>
      </c>
      <c r="U85" s="67"/>
      <c r="V85" s="68"/>
      <c r="W85" s="68"/>
      <c r="X85" s="38"/>
    </row>
    <row r="86" spans="1:24" s="39" customFormat="1" ht="54.75" customHeight="1">
      <c r="A86" s="56">
        <v>2921001636</v>
      </c>
      <c r="B86" s="58" t="s">
        <v>55</v>
      </c>
      <c r="C86" s="58" t="s">
        <v>50</v>
      </c>
      <c r="D86" s="59" t="s">
        <v>89</v>
      </c>
      <c r="E86" s="69" t="s">
        <v>119</v>
      </c>
      <c r="F86" s="62">
        <v>300</v>
      </c>
      <c r="G86" s="62">
        <v>318</v>
      </c>
      <c r="H86" s="62">
        <v>200</v>
      </c>
      <c r="I86" s="62">
        <v>0</v>
      </c>
      <c r="J86" s="62">
        <v>0</v>
      </c>
      <c r="K86" s="62">
        <f t="shared" si="13"/>
        <v>518</v>
      </c>
      <c r="L86" s="61">
        <v>2467.94</v>
      </c>
      <c r="M86" s="61">
        <v>805.83</v>
      </c>
      <c r="N86" s="61">
        <v>805.83</v>
      </c>
      <c r="O86" s="61">
        <f t="shared" si="16"/>
        <v>498633.00000000006</v>
      </c>
      <c r="P86" s="61">
        <f t="shared" si="14"/>
        <v>528550.9800000001</v>
      </c>
      <c r="Q86" s="61">
        <f t="shared" si="9"/>
        <v>332422</v>
      </c>
      <c r="R86" s="61">
        <f t="shared" si="10"/>
        <v>0</v>
      </c>
      <c r="S86" s="61">
        <f t="shared" si="11"/>
        <v>0</v>
      </c>
      <c r="T86" s="63">
        <f t="shared" si="15"/>
        <v>860972.9800000001</v>
      </c>
      <c r="U86" s="60"/>
      <c r="V86" s="61"/>
      <c r="W86" s="61"/>
      <c r="X86" s="38"/>
    </row>
    <row r="87" spans="1:24" s="39" customFormat="1" ht="75">
      <c r="A87" s="56">
        <v>2901253748</v>
      </c>
      <c r="B87" s="58" t="s">
        <v>28</v>
      </c>
      <c r="C87" s="58" t="s">
        <v>50</v>
      </c>
      <c r="D87" s="59" t="s">
        <v>111</v>
      </c>
      <c r="E87" s="60" t="s">
        <v>118</v>
      </c>
      <c r="F87" s="62">
        <v>625</v>
      </c>
      <c r="G87" s="62">
        <v>0</v>
      </c>
      <c r="H87" s="62">
        <v>625</v>
      </c>
      <c r="I87" s="62">
        <v>625</v>
      </c>
      <c r="J87" s="62">
        <v>625</v>
      </c>
      <c r="K87" s="62">
        <f>G87+H87+I87+J87</f>
        <v>1875</v>
      </c>
      <c r="L87" s="61">
        <v>2481.7600000000002</v>
      </c>
      <c r="M87" s="61">
        <v>1000</v>
      </c>
      <c r="N87" s="61">
        <v>1000</v>
      </c>
      <c r="O87" s="61">
        <f t="shared" si="16"/>
        <v>926100.00000000012</v>
      </c>
      <c r="P87" s="61">
        <f t="shared" si="14"/>
        <v>0</v>
      </c>
      <c r="Q87" s="61">
        <f t="shared" si="9"/>
        <v>926100.00000000012</v>
      </c>
      <c r="R87" s="61">
        <f t="shared" si="10"/>
        <v>926100.00000000012</v>
      </c>
      <c r="S87" s="61">
        <f t="shared" si="11"/>
        <v>926100.00000000012</v>
      </c>
      <c r="T87" s="63">
        <f t="shared" si="15"/>
        <v>2778300.0000000005</v>
      </c>
      <c r="U87" s="60"/>
      <c r="V87" s="61"/>
      <c r="W87" s="61"/>
      <c r="X87" s="38"/>
    </row>
    <row r="88" spans="1:24" s="39" customFormat="1" ht="70.5" customHeight="1">
      <c r="A88" s="56">
        <v>2901288349</v>
      </c>
      <c r="B88" s="58" t="s">
        <v>96</v>
      </c>
      <c r="C88" s="58" t="s">
        <v>50</v>
      </c>
      <c r="D88" s="59" t="s">
        <v>97</v>
      </c>
      <c r="E88" s="69" t="s">
        <v>120</v>
      </c>
      <c r="F88" s="62">
        <v>279</v>
      </c>
      <c r="G88" s="62">
        <v>29.59</v>
      </c>
      <c r="H88" s="62">
        <v>279</v>
      </c>
      <c r="I88" s="62">
        <v>278</v>
      </c>
      <c r="J88" s="62">
        <v>279</v>
      </c>
      <c r="K88" s="62">
        <f t="shared" si="13"/>
        <v>865.58999999999992</v>
      </c>
      <c r="L88" s="61">
        <v>2460.4899999999998</v>
      </c>
      <c r="M88" s="61">
        <v>1000</v>
      </c>
      <c r="N88" s="61">
        <v>1000</v>
      </c>
      <c r="O88" s="61">
        <f t="shared" si="16"/>
        <v>407476.70999999996</v>
      </c>
      <c r="P88" s="61">
        <f t="shared" si="14"/>
        <v>43215.899099999995</v>
      </c>
      <c r="Q88" s="61">
        <f t="shared" si="9"/>
        <v>407476.70999999996</v>
      </c>
      <c r="R88" s="61">
        <f t="shared" si="10"/>
        <v>406016.21999999991</v>
      </c>
      <c r="S88" s="61">
        <f t="shared" si="11"/>
        <v>407476.70999999996</v>
      </c>
      <c r="T88" s="63">
        <f t="shared" si="15"/>
        <v>1264185.5390999997</v>
      </c>
      <c r="U88" s="60"/>
      <c r="V88" s="61"/>
      <c r="W88" s="61"/>
      <c r="X88" s="38"/>
    </row>
    <row r="89" spans="1:24" s="39" customFormat="1" ht="14.25" customHeight="1">
      <c r="A89" s="87"/>
      <c r="B89" s="89"/>
      <c r="C89" s="89"/>
      <c r="D89" s="90"/>
      <c r="E89" s="94"/>
      <c r="F89" s="92"/>
      <c r="G89" s="92"/>
      <c r="H89" s="92"/>
      <c r="I89" s="92"/>
      <c r="J89" s="92"/>
      <c r="K89" s="92"/>
      <c r="L89" s="93"/>
      <c r="M89" s="93"/>
      <c r="N89" s="93"/>
      <c r="O89" s="93"/>
      <c r="P89" s="93"/>
      <c r="Q89" s="93"/>
      <c r="R89" s="93"/>
      <c r="S89" s="93"/>
      <c r="T89" s="93"/>
      <c r="U89" s="91"/>
      <c r="V89" s="93"/>
      <c r="W89" s="93"/>
      <c r="X89" s="38"/>
    </row>
    <row r="90" spans="1:24" s="39" customFormat="1" ht="57.75" customHeight="1">
      <c r="A90" s="56">
        <v>2923007016</v>
      </c>
      <c r="B90" s="58" t="s">
        <v>37</v>
      </c>
      <c r="C90" s="58" t="s">
        <v>71</v>
      </c>
      <c r="D90" s="59" t="s">
        <v>72</v>
      </c>
      <c r="E90" s="60" t="s">
        <v>6</v>
      </c>
      <c r="F90" s="62">
        <v>1450</v>
      </c>
      <c r="G90" s="62">
        <v>1747.49</v>
      </c>
      <c r="H90" s="62">
        <v>750</v>
      </c>
      <c r="I90" s="62">
        <v>0</v>
      </c>
      <c r="J90" s="62">
        <v>0</v>
      </c>
      <c r="K90" s="62">
        <f t="shared" si="13"/>
        <v>2497.4899999999998</v>
      </c>
      <c r="L90" s="61">
        <v>2064.63</v>
      </c>
      <c r="M90" s="61">
        <v>716</v>
      </c>
      <c r="N90" s="61">
        <v>750</v>
      </c>
      <c r="O90" s="61">
        <f>(L90-M90)*F90</f>
        <v>1955513.5000000002</v>
      </c>
      <c r="P90" s="61">
        <f t="shared" si="14"/>
        <v>2356717.4387000003</v>
      </c>
      <c r="Q90" s="61">
        <f>(L90-M90)*H90</f>
        <v>1011472.5000000001</v>
      </c>
      <c r="R90" s="61">
        <f t="shared" si="10"/>
        <v>0</v>
      </c>
      <c r="S90" s="61">
        <f>(L90-N90)*J90</f>
        <v>0</v>
      </c>
      <c r="T90" s="63">
        <f t="shared" si="15"/>
        <v>3368189.9387000003</v>
      </c>
      <c r="U90" s="60"/>
      <c r="V90" s="61"/>
      <c r="W90" s="61"/>
      <c r="X90" s="38"/>
    </row>
    <row r="91" spans="1:24" s="39" customFormat="1" ht="14.25" customHeight="1">
      <c r="A91" s="87"/>
      <c r="B91" s="89"/>
      <c r="C91" s="89"/>
      <c r="D91" s="90"/>
      <c r="E91" s="91"/>
      <c r="F91" s="92"/>
      <c r="G91" s="92"/>
      <c r="H91" s="92"/>
      <c r="I91" s="92"/>
      <c r="J91" s="92"/>
      <c r="K91" s="92"/>
      <c r="L91" s="93"/>
      <c r="M91" s="93"/>
      <c r="N91" s="93"/>
      <c r="O91" s="93"/>
      <c r="P91" s="93"/>
      <c r="Q91" s="93"/>
      <c r="R91" s="93"/>
      <c r="S91" s="93"/>
      <c r="T91" s="93"/>
      <c r="U91" s="91"/>
      <c r="V91" s="93"/>
      <c r="W91" s="93"/>
      <c r="X91" s="38"/>
    </row>
    <row r="92" spans="1:24" s="39" customFormat="1" ht="54.75" customHeight="1">
      <c r="A92" s="56">
        <v>2924005452</v>
      </c>
      <c r="B92" s="58" t="s">
        <v>33</v>
      </c>
      <c r="C92" s="58" t="s">
        <v>91</v>
      </c>
      <c r="D92" s="59" t="s">
        <v>92</v>
      </c>
      <c r="E92" s="60" t="s">
        <v>5</v>
      </c>
      <c r="F92" s="62">
        <v>1505</v>
      </c>
      <c r="G92" s="62">
        <v>840</v>
      </c>
      <c r="H92" s="62">
        <v>1100</v>
      </c>
      <c r="I92" s="62">
        <v>1000</v>
      </c>
      <c r="J92" s="62">
        <v>1603</v>
      </c>
      <c r="K92" s="62">
        <f t="shared" si="13"/>
        <v>4543</v>
      </c>
      <c r="L92" s="61">
        <v>2874.43</v>
      </c>
      <c r="M92" s="61">
        <v>740</v>
      </c>
      <c r="N92" s="61">
        <v>780</v>
      </c>
      <c r="O92" s="61">
        <f>(L92-M92)*F92</f>
        <v>3212317.15</v>
      </c>
      <c r="P92" s="61">
        <f t="shared" si="14"/>
        <v>1792921.2</v>
      </c>
      <c r="Q92" s="61">
        <f t="shared" si="9"/>
        <v>2347873</v>
      </c>
      <c r="R92" s="61">
        <f t="shared" si="10"/>
        <v>2094429.9999999998</v>
      </c>
      <c r="S92" s="61">
        <f>(L92-N92)*J92</f>
        <v>3357371.2899999996</v>
      </c>
      <c r="T92" s="63">
        <f t="shared" si="15"/>
        <v>9592595.4900000002</v>
      </c>
      <c r="U92" s="60"/>
      <c r="V92" s="61"/>
      <c r="W92" s="61"/>
      <c r="X92" s="38"/>
    </row>
    <row r="93" spans="1:24" s="83" customFormat="1" ht="39.75" customHeight="1">
      <c r="A93" s="107" t="s">
        <v>11</v>
      </c>
      <c r="B93" s="108"/>
      <c r="C93" s="108"/>
      <c r="D93" s="108"/>
      <c r="E93" s="109"/>
      <c r="F93" s="98">
        <f t="shared" ref="F93:K93" si="17">SUM(F8:F92)</f>
        <v>56384</v>
      </c>
      <c r="G93" s="98">
        <f t="shared" si="17"/>
        <v>61157.034999999996</v>
      </c>
      <c r="H93" s="98">
        <f t="shared" si="17"/>
        <v>60642</v>
      </c>
      <c r="I93" s="98">
        <f t="shared" si="17"/>
        <v>51939.92</v>
      </c>
      <c r="J93" s="98">
        <f t="shared" si="17"/>
        <v>58548.37</v>
      </c>
      <c r="K93" s="98">
        <f t="shared" si="17"/>
        <v>232287.32499999992</v>
      </c>
      <c r="L93" s="81"/>
      <c r="M93" s="81"/>
      <c r="N93" s="81"/>
      <c r="O93" s="81">
        <f t="shared" ref="O93:T93" si="18">SUM(O8:O92)</f>
        <v>62044298.470000006</v>
      </c>
      <c r="P93" s="81">
        <f t="shared" si="18"/>
        <v>78896388.778350025</v>
      </c>
      <c r="Q93" s="81">
        <f t="shared" si="18"/>
        <v>73116367.659999996</v>
      </c>
      <c r="R93" s="81">
        <f t="shared" si="18"/>
        <v>67750182.11559999</v>
      </c>
      <c r="S93" s="81">
        <f t="shared" si="18"/>
        <v>70617938.135100007</v>
      </c>
      <c r="T93" s="81">
        <f t="shared" si="18"/>
        <v>290380876.68905008</v>
      </c>
      <c r="U93" s="81">
        <v>22450279.34</v>
      </c>
      <c r="V93" s="81">
        <f>T93*0.1</f>
        <v>29038087.668905009</v>
      </c>
      <c r="W93" s="81">
        <f>T93+U93-V93</f>
        <v>283793068.36014503</v>
      </c>
      <c r="X93" s="82"/>
    </row>
    <row r="94" spans="1:24" s="10" customFormat="1" ht="33.75" customHeight="1">
      <c r="B94" s="9"/>
      <c r="C94" s="45"/>
      <c r="D94" s="9"/>
      <c r="E94" s="18"/>
      <c r="J94" s="99"/>
      <c r="K94" s="100"/>
      <c r="S94" s="102"/>
      <c r="T94" s="101"/>
      <c r="W94" s="101"/>
    </row>
    <row r="95" spans="1:24" s="10" customFormat="1" ht="53.25" customHeight="1">
      <c r="B95" s="9"/>
      <c r="C95" s="45"/>
      <c r="D95" s="9"/>
      <c r="E95" s="18"/>
      <c r="U95" s="123"/>
      <c r="V95" s="123"/>
      <c r="W95" s="84"/>
    </row>
    <row r="96" spans="1:24" s="11" customFormat="1" ht="53.25" customHeight="1">
      <c r="B96" s="4"/>
      <c r="C96" s="4"/>
      <c r="D96" s="4"/>
      <c r="E96" s="19"/>
      <c r="F96" s="1"/>
      <c r="G96" s="1"/>
      <c r="I96" s="5"/>
      <c r="J96" s="5"/>
      <c r="K96" s="6"/>
      <c r="L96" s="6"/>
      <c r="M96" s="6"/>
      <c r="N96" s="2"/>
      <c r="O96" s="2"/>
      <c r="P96" s="2"/>
      <c r="Q96" s="2"/>
      <c r="R96" s="2"/>
      <c r="S96" s="2"/>
      <c r="T96" s="4"/>
      <c r="U96" s="124"/>
      <c r="V96" s="124"/>
      <c r="W96" s="84"/>
    </row>
    <row r="97" spans="2:23" s="11" customFormat="1" ht="45.75" customHeight="1">
      <c r="B97" s="4"/>
      <c r="C97" s="4"/>
      <c r="D97" s="4"/>
      <c r="E97" s="19"/>
      <c r="F97" s="1"/>
      <c r="G97" s="1"/>
      <c r="I97" s="5"/>
      <c r="J97" s="5"/>
      <c r="K97" s="6"/>
      <c r="L97" s="6"/>
      <c r="M97" s="6"/>
      <c r="N97" s="2"/>
      <c r="O97" s="2"/>
      <c r="P97" s="2"/>
      <c r="Q97" s="2"/>
      <c r="R97" s="2"/>
      <c r="S97" s="2"/>
      <c r="T97" s="4"/>
      <c r="U97" s="85"/>
      <c r="V97" s="85"/>
      <c r="W97" s="84"/>
    </row>
    <row r="98" spans="2:23" s="11" customFormat="1" ht="64.5" customHeight="1">
      <c r="B98" s="3"/>
      <c r="C98" s="4"/>
      <c r="D98" s="12"/>
      <c r="E98" s="20"/>
      <c r="F98" s="122"/>
      <c r="G98" s="122"/>
      <c r="H98" s="122"/>
      <c r="I98" s="122"/>
      <c r="J98" s="122"/>
      <c r="K98" s="122"/>
      <c r="L98" s="103"/>
      <c r="M98" s="103"/>
      <c r="N98" s="122"/>
      <c r="O98" s="122"/>
      <c r="P98" s="122"/>
      <c r="Q98" s="122"/>
      <c r="U98" s="1"/>
      <c r="V98" s="1"/>
      <c r="W98" s="1"/>
    </row>
    <row r="99" spans="2:23" s="13" customFormat="1" ht="15" customHeight="1">
      <c r="B99" s="3"/>
      <c r="C99" s="4"/>
      <c r="D99" s="12"/>
      <c r="E99" s="20"/>
      <c r="K99" s="14"/>
      <c r="L99" s="14"/>
      <c r="M99" s="11"/>
      <c r="N99" s="15"/>
      <c r="O99" s="16"/>
      <c r="P99" s="16"/>
      <c r="U99" s="3"/>
      <c r="V99" s="3"/>
      <c r="W99" s="3"/>
    </row>
    <row r="100" spans="2:23" s="13" customFormat="1" ht="15" customHeight="1">
      <c r="C100" s="12"/>
      <c r="E100" s="20"/>
      <c r="K100" s="14"/>
      <c r="L100" s="14"/>
      <c r="M100" s="11"/>
      <c r="N100" s="15"/>
      <c r="O100" s="16"/>
      <c r="P100" s="16"/>
    </row>
    <row r="101" spans="2:23" s="10" customFormat="1" ht="15" customHeight="1">
      <c r="B101" s="9"/>
      <c r="C101" s="45"/>
      <c r="D101" s="9"/>
      <c r="E101" s="18"/>
      <c r="H101" s="9"/>
      <c r="I101" s="9"/>
      <c r="J101" s="9"/>
    </row>
    <row r="102" spans="2:23" s="10" customFormat="1" ht="15" customHeight="1">
      <c r="B102" s="9"/>
      <c r="C102" s="45"/>
      <c r="D102" s="9"/>
      <c r="E102" s="18"/>
      <c r="H102" s="9"/>
      <c r="I102" s="9"/>
      <c r="J102" s="9"/>
    </row>
    <row r="103" spans="2:23" s="11" customFormat="1" ht="15" customHeight="1">
      <c r="B103" s="13"/>
      <c r="C103" s="12"/>
      <c r="D103" s="13"/>
      <c r="E103" s="20"/>
      <c r="H103" s="13"/>
      <c r="I103" s="13"/>
      <c r="J103" s="13"/>
      <c r="K103" s="14"/>
      <c r="L103" s="14"/>
      <c r="N103" s="14"/>
    </row>
    <row r="104" spans="2:23" s="11" customFormat="1" ht="15" customHeight="1">
      <c r="B104" s="13"/>
      <c r="C104" s="12"/>
      <c r="D104" s="13"/>
      <c r="E104" s="20"/>
    </row>
    <row r="105" spans="2:23" s="10" customFormat="1">
      <c r="B105" s="9"/>
      <c r="C105" s="45"/>
      <c r="D105" s="9"/>
      <c r="E105" s="18"/>
    </row>
    <row r="106" spans="2:23" s="10" customFormat="1">
      <c r="B106" s="9"/>
      <c r="C106" s="45"/>
      <c r="D106" s="9"/>
      <c r="E106" s="21"/>
    </row>
    <row r="107" spans="2:23" s="10" customFormat="1">
      <c r="B107" s="9"/>
      <c r="C107" s="45"/>
      <c r="D107" s="9"/>
      <c r="E107" s="21"/>
    </row>
    <row r="108" spans="2:23">
      <c r="B108" s="9"/>
      <c r="C108" s="45"/>
    </row>
  </sheetData>
  <autoFilter ref="A7:X93"/>
  <mergeCells count="18">
    <mergeCell ref="N98:Q98"/>
    <mergeCell ref="F98:K98"/>
    <mergeCell ref="U95:V95"/>
    <mergeCell ref="U96:V96"/>
    <mergeCell ref="A3:W3"/>
    <mergeCell ref="A93:E93"/>
    <mergeCell ref="W5:W6"/>
    <mergeCell ref="U5:U6"/>
    <mergeCell ref="F5:K5"/>
    <mergeCell ref="M5:N5"/>
    <mergeCell ref="L5:L6"/>
    <mergeCell ref="O5:T5"/>
    <mergeCell ref="B5:B6"/>
    <mergeCell ref="A5:A6"/>
    <mergeCell ref="V5:V6"/>
    <mergeCell ref="D5:D6"/>
    <mergeCell ref="E5:E6"/>
    <mergeCell ref="C5:C6"/>
  </mergeCells>
  <phoneticPr fontId="1" type="noConversion"/>
  <pageMargins left="0.19685039370078741" right="0.19685039370078741" top="0.98425196850393704" bottom="0.39370078740157483" header="0" footer="0.19685039370078741"/>
  <pageSetup paperSize="9" scale="31" fitToHeight="0" orientation="landscape" r:id="rId1"/>
  <headerFooter scaleWithDoc="0">
    <oddFooter>&amp;C&amp;P</oddFooter>
    <firstHeader>&amp;RПриложение 6</first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</vt:lpstr>
      <vt:lpstr>'2021'!Заголовки_для_печати</vt:lpstr>
      <vt:lpstr>'2021'!Область_печати</vt:lpstr>
    </vt:vector>
  </TitlesOfParts>
  <Company>ДТиЦ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syvorova</dc:creator>
  <cp:lastModifiedBy>minfin user</cp:lastModifiedBy>
  <cp:lastPrinted>2021-05-05T11:58:40Z</cp:lastPrinted>
  <dcterms:created xsi:type="dcterms:W3CDTF">2007-05-08T07:36:57Z</dcterms:created>
  <dcterms:modified xsi:type="dcterms:W3CDTF">2021-05-05T11:58:42Z</dcterms:modified>
</cp:coreProperties>
</file>