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835"/>
  </bookViews>
  <sheets>
    <sheet name="98 % (15244,7)" sheetId="1" r:id="rId1"/>
  </sheets>
  <definedNames>
    <definedName name="_xlnm.Print_Titles" localSheetId="0">'98 % (15244,7)'!$A:$B</definedName>
    <definedName name="_xlnm.Print_Area" localSheetId="0">'98 % (15244,7)'!$A$1:$AB$35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5" i="1"/>
  <c r="AH16"/>
  <c r="AH17"/>
  <c r="AH18"/>
  <c r="AH22"/>
  <c r="AE15"/>
  <c r="AE16"/>
  <c r="AE17"/>
  <c r="AE18"/>
  <c r="AE22"/>
  <c r="R80" l="1"/>
  <c r="R79"/>
  <c r="E49"/>
  <c r="G49" s="1"/>
  <c r="K49" s="1"/>
  <c r="L49" s="1"/>
  <c r="F46"/>
  <c r="F45"/>
  <c r="E37"/>
  <c r="E38" s="1"/>
  <c r="S35"/>
  <c r="Q35"/>
  <c r="P35"/>
  <c r="N35"/>
  <c r="M35"/>
  <c r="J35"/>
  <c r="J49" s="1"/>
  <c r="R34"/>
  <c r="T34" s="1"/>
  <c r="L34"/>
  <c r="O34" s="1"/>
  <c r="U34" s="1"/>
  <c r="K34"/>
  <c r="J34"/>
  <c r="E34"/>
  <c r="AB33"/>
  <c r="AA33"/>
  <c r="R33"/>
  <c r="T33" s="1"/>
  <c r="J33"/>
  <c r="E33"/>
  <c r="G33" s="1"/>
  <c r="R32"/>
  <c r="T32" s="1"/>
  <c r="J32"/>
  <c r="E32"/>
  <c r="R31"/>
  <c r="T31" s="1"/>
  <c r="J31"/>
  <c r="E31"/>
  <c r="G31" s="1"/>
  <c r="R30"/>
  <c r="T30" s="1"/>
  <c r="J30"/>
  <c r="E30"/>
  <c r="R29"/>
  <c r="T29" s="1"/>
  <c r="J29"/>
  <c r="E29"/>
  <c r="G29" s="1"/>
  <c r="R28"/>
  <c r="T28" s="1"/>
  <c r="J28"/>
  <c r="E28"/>
  <c r="R27"/>
  <c r="T27" s="1"/>
  <c r="J27"/>
  <c r="E27"/>
  <c r="G27" s="1"/>
  <c r="R26"/>
  <c r="T26" s="1"/>
  <c r="J26"/>
  <c r="E26"/>
  <c r="R25"/>
  <c r="T25" s="1"/>
  <c r="J25"/>
  <c r="E25"/>
  <c r="G25" s="1"/>
  <c r="R24"/>
  <c r="T24" s="1"/>
  <c r="J24"/>
  <c r="E24"/>
  <c r="AA23"/>
  <c r="R23"/>
  <c r="T23" s="1"/>
  <c r="J23"/>
  <c r="G23" s="1"/>
  <c r="K23" s="1"/>
  <c r="L23" s="1"/>
  <c r="O23" s="1"/>
  <c r="E23"/>
  <c r="AB22"/>
  <c r="AA22"/>
  <c r="Z22"/>
  <c r="W22"/>
  <c r="T22"/>
  <c r="R22"/>
  <c r="J22"/>
  <c r="E22"/>
  <c r="T21"/>
  <c r="R21"/>
  <c r="J21"/>
  <c r="G21"/>
  <c r="I21" s="1"/>
  <c r="F21"/>
  <c r="E21"/>
  <c r="T20"/>
  <c r="R20"/>
  <c r="J20"/>
  <c r="G20"/>
  <c r="E20"/>
  <c r="T19"/>
  <c r="R19"/>
  <c r="J19"/>
  <c r="G19" s="1"/>
  <c r="E19"/>
  <c r="AA18"/>
  <c r="Z18"/>
  <c r="AB18" s="1"/>
  <c r="W18"/>
  <c r="R18"/>
  <c r="T18" s="1"/>
  <c r="J18"/>
  <c r="E18"/>
  <c r="G18" s="1"/>
  <c r="AA17"/>
  <c r="W17"/>
  <c r="Z17" s="1"/>
  <c r="AB17" s="1"/>
  <c r="T17"/>
  <c r="R17"/>
  <c r="J17"/>
  <c r="G17"/>
  <c r="E17"/>
  <c r="AA16"/>
  <c r="Z16"/>
  <c r="AB16" s="1"/>
  <c r="W16"/>
  <c r="R16"/>
  <c r="T16" s="1"/>
  <c r="J16"/>
  <c r="E16"/>
  <c r="AA15"/>
  <c r="W15"/>
  <c r="Z15" s="1"/>
  <c r="AB15" s="1"/>
  <c r="T15"/>
  <c r="R15"/>
  <c r="J15"/>
  <c r="G15" s="1"/>
  <c r="E15"/>
  <c r="T14"/>
  <c r="R14"/>
  <c r="J14"/>
  <c r="G14"/>
  <c r="E14"/>
  <c r="T13"/>
  <c r="R13"/>
  <c r="L13"/>
  <c r="O13" s="1"/>
  <c r="J13"/>
  <c r="I13"/>
  <c r="G13"/>
  <c r="K13" s="1"/>
  <c r="E13"/>
  <c r="T12"/>
  <c r="R12"/>
  <c r="J12"/>
  <c r="G12"/>
  <c r="K12" s="1"/>
  <c r="L12" s="1"/>
  <c r="O12" s="1"/>
  <c r="E12"/>
  <c r="T11"/>
  <c r="R11"/>
  <c r="J11"/>
  <c r="G11" s="1"/>
  <c r="I11" s="1"/>
  <c r="E11"/>
  <c r="T10"/>
  <c r="R10"/>
  <c r="J10"/>
  <c r="F10"/>
  <c r="F35" s="1"/>
  <c r="E10"/>
  <c r="R9"/>
  <c r="J9"/>
  <c r="G9"/>
  <c r="K9" s="1"/>
  <c r="E9"/>
  <c r="U23" l="1"/>
  <c r="AD23" s="1"/>
  <c r="V23"/>
  <c r="I23"/>
  <c r="K21"/>
  <c r="L21" s="1"/>
  <c r="O21" s="1"/>
  <c r="G16"/>
  <c r="G22"/>
  <c r="V12"/>
  <c r="U12"/>
  <c r="V13"/>
  <c r="U13"/>
  <c r="I16"/>
  <c r="K16"/>
  <c r="L16" s="1"/>
  <c r="O16" s="1"/>
  <c r="U16" s="1"/>
  <c r="I18"/>
  <c r="K18"/>
  <c r="L18" s="1"/>
  <c r="O18" s="1"/>
  <c r="U18" s="1"/>
  <c r="I25"/>
  <c r="K25"/>
  <c r="L25" s="1"/>
  <c r="O25" s="1"/>
  <c r="I29"/>
  <c r="K29"/>
  <c r="L29" s="1"/>
  <c r="O29" s="1"/>
  <c r="V21"/>
  <c r="U21"/>
  <c r="I27"/>
  <c r="K27"/>
  <c r="L27" s="1"/>
  <c r="O27" s="1"/>
  <c r="I31"/>
  <c r="K31"/>
  <c r="L31" s="1"/>
  <c r="O31" s="1"/>
  <c r="L9"/>
  <c r="O9" s="1"/>
  <c r="G10"/>
  <c r="I10" s="1"/>
  <c r="K11"/>
  <c r="L11" s="1"/>
  <c r="O11" s="1"/>
  <c r="U11" s="1"/>
  <c r="I12"/>
  <c r="K14"/>
  <c r="L14" s="1"/>
  <c r="O14" s="1"/>
  <c r="I14"/>
  <c r="K15"/>
  <c r="L15" s="1"/>
  <c r="O15" s="1"/>
  <c r="U15" s="1"/>
  <c r="I15"/>
  <c r="K17"/>
  <c r="L17" s="1"/>
  <c r="O17" s="1"/>
  <c r="U17" s="1"/>
  <c r="I17"/>
  <c r="K19"/>
  <c r="L19" s="1"/>
  <c r="O19" s="1"/>
  <c r="I19"/>
  <c r="K20"/>
  <c r="L20" s="1"/>
  <c r="O20" s="1"/>
  <c r="I20"/>
  <c r="G24"/>
  <c r="G28"/>
  <c r="G32"/>
  <c r="F44"/>
  <c r="I33"/>
  <c r="K33"/>
  <c r="L33" s="1"/>
  <c r="O33" s="1"/>
  <c r="U33" s="1"/>
  <c r="I9"/>
  <c r="R35"/>
  <c r="T9"/>
  <c r="T35" s="1"/>
  <c r="G26"/>
  <c r="G30"/>
  <c r="O49"/>
  <c r="V49" s="1"/>
  <c r="W13" l="1"/>
  <c r="AD13" s="1"/>
  <c r="AE13" s="1"/>
  <c r="AH13" s="1"/>
  <c r="I22"/>
  <c r="K22"/>
  <c r="L22" s="1"/>
  <c r="O22" s="1"/>
  <c r="U22" s="1"/>
  <c r="W23"/>
  <c r="Z23" s="1"/>
  <c r="AB23" s="1"/>
  <c r="AE23"/>
  <c r="AH23" s="1"/>
  <c r="W21"/>
  <c r="AD21" s="1"/>
  <c r="AE21" s="1"/>
  <c r="AH21" s="1"/>
  <c r="W12"/>
  <c r="AD12" s="1"/>
  <c r="AE12" s="1"/>
  <c r="AH12" s="1"/>
  <c r="V20"/>
  <c r="U20"/>
  <c r="V14"/>
  <c r="U14"/>
  <c r="V27"/>
  <c r="U27"/>
  <c r="V29"/>
  <c r="U29"/>
  <c r="I28"/>
  <c r="K28"/>
  <c r="L28" s="1"/>
  <c r="O28" s="1"/>
  <c r="Y13"/>
  <c r="AA13" s="1"/>
  <c r="R52"/>
  <c r="V19"/>
  <c r="U19"/>
  <c r="V11"/>
  <c r="V31"/>
  <c r="U31"/>
  <c r="V25"/>
  <c r="U25"/>
  <c r="I26"/>
  <c r="K26"/>
  <c r="L26" s="1"/>
  <c r="O26" s="1"/>
  <c r="I32"/>
  <c r="K32"/>
  <c r="L32" s="1"/>
  <c r="O32" s="1"/>
  <c r="Y49"/>
  <c r="Z49" s="1"/>
  <c r="I24"/>
  <c r="K24"/>
  <c r="L24" s="1"/>
  <c r="O24" s="1"/>
  <c r="I30"/>
  <c r="K30"/>
  <c r="L30" s="1"/>
  <c r="O30" s="1"/>
  <c r="K10"/>
  <c r="Y21"/>
  <c r="AA21" s="1"/>
  <c r="Y12"/>
  <c r="AA12" s="1"/>
  <c r="W25" l="1"/>
  <c r="AD25" s="1"/>
  <c r="AE25" s="1"/>
  <c r="AH25" s="1"/>
  <c r="W29"/>
  <c r="AD29" s="1"/>
  <c r="AE29" s="1"/>
  <c r="AH29" s="1"/>
  <c r="W14"/>
  <c r="AD14" s="1"/>
  <c r="AE14" s="1"/>
  <c r="AH14" s="1"/>
  <c r="Z13"/>
  <c r="AB13" s="1"/>
  <c r="AE31"/>
  <c r="AH31" s="1"/>
  <c r="W31"/>
  <c r="AD31" s="1"/>
  <c r="W27"/>
  <c r="AD27" s="1"/>
  <c r="AE27" s="1"/>
  <c r="AH27" s="1"/>
  <c r="W20"/>
  <c r="AD20" s="1"/>
  <c r="AE20" s="1"/>
  <c r="AH20" s="1"/>
  <c r="W19"/>
  <c r="AD19" s="1"/>
  <c r="AE19" s="1"/>
  <c r="AH19" s="1"/>
  <c r="Z25"/>
  <c r="AB25" s="1"/>
  <c r="Y25"/>
  <c r="AA25" s="1"/>
  <c r="V24"/>
  <c r="U24"/>
  <c r="U9"/>
  <c r="Z12"/>
  <c r="AB12" s="1"/>
  <c r="L10"/>
  <c r="K35"/>
  <c r="Y31"/>
  <c r="AA31" s="1"/>
  <c r="Y29"/>
  <c r="AA29" s="1"/>
  <c r="Y14"/>
  <c r="AA14" s="1"/>
  <c r="W11"/>
  <c r="AD11" s="1"/>
  <c r="AE11" s="1"/>
  <c r="AH11" s="1"/>
  <c r="Y27"/>
  <c r="AA27" s="1"/>
  <c r="Z21"/>
  <c r="AB21" s="1"/>
  <c r="V26"/>
  <c r="U26"/>
  <c r="V30"/>
  <c r="U30"/>
  <c r="V32"/>
  <c r="U32"/>
  <c r="V28"/>
  <c r="U28"/>
  <c r="W28" l="1"/>
  <c r="AD28" s="1"/>
  <c r="AE28" s="1"/>
  <c r="AH28" s="1"/>
  <c r="W24"/>
  <c r="AD24" s="1"/>
  <c r="AE24" s="1"/>
  <c r="AH24" s="1"/>
  <c r="W30"/>
  <c r="W32"/>
  <c r="AD32" s="1"/>
  <c r="AE32" s="1"/>
  <c r="AH32" s="1"/>
  <c r="W26"/>
  <c r="AD26" s="1"/>
  <c r="AE26" s="1"/>
  <c r="AH26" s="1"/>
  <c r="Y20"/>
  <c r="AA20" s="1"/>
  <c r="Z27"/>
  <c r="AB27" s="1"/>
  <c r="Y19"/>
  <c r="AA19" s="1"/>
  <c r="Y26"/>
  <c r="AA26" s="1"/>
  <c r="V35"/>
  <c r="V44" s="1"/>
  <c r="Z31"/>
  <c r="AB31" s="1"/>
  <c r="Y28"/>
  <c r="AA28" s="1"/>
  <c r="Z14"/>
  <c r="AB14" s="1"/>
  <c r="Z19"/>
  <c r="AB19" s="1"/>
  <c r="K44"/>
  <c r="L52"/>
  <c r="G35"/>
  <c r="Z29"/>
  <c r="AB29" s="1"/>
  <c r="O10"/>
  <c r="L35"/>
  <c r="Y32"/>
  <c r="AA32" s="1"/>
  <c r="W35"/>
  <c r="W52" s="1"/>
  <c r="Y11"/>
  <c r="Y24"/>
  <c r="AA24" s="1"/>
  <c r="Y30" l="1"/>
  <c r="AA30" s="1"/>
  <c r="AD30"/>
  <c r="AE30" s="1"/>
  <c r="AH30" s="1"/>
  <c r="Z20"/>
  <c r="AB20" s="1"/>
  <c r="U10"/>
  <c r="U35" s="1"/>
  <c r="V52" s="1"/>
  <c r="O35"/>
  <c r="Z24"/>
  <c r="AB24" s="1"/>
  <c r="Y35"/>
  <c r="AA11"/>
  <c r="AA35" s="1"/>
  <c r="Z32"/>
  <c r="AB32" s="1"/>
  <c r="Z11"/>
  <c r="K37"/>
  <c r="K38" s="1"/>
  <c r="G52"/>
  <c r="G45"/>
  <c r="K36"/>
  <c r="Z28"/>
  <c r="AB28" s="1"/>
  <c r="Z26"/>
  <c r="AB26" s="1"/>
  <c r="Z30" l="1"/>
  <c r="AB30" s="1"/>
  <c r="Z35"/>
  <c r="Z44" s="1"/>
  <c r="AB11"/>
  <c r="Y52"/>
  <c r="Y44"/>
  <c r="Y45" s="1"/>
  <c r="AB35" l="1"/>
  <c r="AA51" s="1"/>
</calcChain>
</file>

<file path=xl/sharedStrings.xml><?xml version="1.0" encoding="utf-8"?>
<sst xmlns="http://schemas.openxmlformats.org/spreadsheetml/2006/main" count="87" uniqueCount="86">
  <si>
    <t>№ п/п</t>
  </si>
  <si>
    <t>Наименование МО</t>
  </si>
  <si>
    <t>Средняя заработная плата педагогов общего образования на  2021 год (руб.) (соглашение с МО)</t>
  </si>
  <si>
    <t>коэфф роста СЗП в 2021 г. в связи с выплатами по классному руководством</t>
  </si>
  <si>
    <t>Прогнозная средняя заработная плата педагогических работников с учетом классного руководства на 2021 год (руб.)</t>
  </si>
  <si>
    <t>Среднесписочная численность  педагогических работников муниципальных образовательных организаций дополнительного образования на 2021 год, ед. (предложения МО)</t>
  </si>
  <si>
    <t xml:space="preserve">Целевой показатель на 2021 год (соотношение средней заработной платы педагогов дополнительного образования к средней заработной плате учителей), % </t>
  </si>
  <si>
    <t>Потребность за счет всех источников (руб.)</t>
  </si>
  <si>
    <t>Потребность за счет средств консолидированного бюджета Архангельской области (руб.)</t>
  </si>
  <si>
    <t xml:space="preserve">Запланированный объем средств на меры социальной поддержки педработников в сельской местности (ЗП-обр.  2020 г. с инд. 1,04) ( руб.) </t>
  </si>
  <si>
    <t xml:space="preserve">Запланированный объем средств от внебюджетной деятельности, направляемый на повышение оплаты труда (ЗП-обр. 2019 г.) (руб.) </t>
  </si>
  <si>
    <t>Потребность районов (без МСП ) (руб.)</t>
  </si>
  <si>
    <t>Предусморено в местном бюджете (без МСП)  на 2021 год (инф. Минфин АО)(руб.)</t>
  </si>
  <si>
    <t>Предусмотрено на софинансирование субсидии на повышение оплаты труда в 2021 году (местн. бюджет) (руб.)</t>
  </si>
  <si>
    <t>ВСЕГО предусморено в местных бюджетах (без МСП) на 2021 год (руб.)</t>
  </si>
  <si>
    <t>Предусмотрена субсидия на повышение оплаты труда за счетр средств областного бюджета в 2021 году (руб.)</t>
  </si>
  <si>
    <t>Предусморено в консолидированном бюджете  на 2021 год (руб.)</t>
  </si>
  <si>
    <t>Дополнительная потребность за счет средств консолидированного бюджета  (руб.)</t>
  </si>
  <si>
    <t>Дополнительная потребность за счет средств консолидированного бюджета  без учета отрицательных значений. (руб.)</t>
  </si>
  <si>
    <t xml:space="preserve">Дополнительная потребность за счет средств консолидированного бюджета с учетом  коэффициента досчета потребности (руб.) </t>
  </si>
  <si>
    <t>Предельный уровень софинансирования, не выше утвержденного постановлением Правительства АО № 138-пп от 24.03.2020, %</t>
  </si>
  <si>
    <t>Объем субсидии на повышение средней заработной платы работников муниципальных учреждений дополнительного образования за счет средств областного бюджета (руб.)</t>
  </si>
  <si>
    <t>Потребность на повышение средней заработной платы работников муниципальных учреждений дополнительного образования, рублей  местный бюджет (руб.)</t>
  </si>
  <si>
    <t>Всего субсидия на повышение оплаты труда в 2021 году (руб.)</t>
  </si>
  <si>
    <t>уровни  ДО юр</t>
  </si>
  <si>
    <t>за счет средств областного бюджета</t>
  </si>
  <si>
    <t>за счет местных бюджетов</t>
  </si>
  <si>
    <t>гр.1</t>
  </si>
  <si>
    <t>гр.2</t>
  </si>
  <si>
    <t>гр.3</t>
  </si>
  <si>
    <t>гр.4</t>
  </si>
  <si>
    <t>гр.5</t>
  </si>
  <si>
    <t>гр.6=гр.4*гр.7</t>
  </si>
  <si>
    <t>гр.7</t>
  </si>
  <si>
    <t>гр.8=гр.5*гр.6*1,302*12мес.</t>
  </si>
  <si>
    <t>гр.9 = гр.8-гр.11</t>
  </si>
  <si>
    <t>гр.10</t>
  </si>
  <si>
    <t>гр.11</t>
  </si>
  <si>
    <t>гр.12=гр.9-гр.10</t>
  </si>
  <si>
    <t>гр.13</t>
  </si>
  <si>
    <t>гр.14</t>
  </si>
  <si>
    <t>гр. 15 = гр.13+гр.14</t>
  </si>
  <si>
    <t>гр. 16</t>
  </si>
  <si>
    <t>гр. 17 = гр.15+гр.16</t>
  </si>
  <si>
    <t>гр 18 =гр. 12 - гр.17</t>
  </si>
  <si>
    <t>гр 19 =гр. 12 - гр.17 (гр19&gt;0)</t>
  </si>
  <si>
    <t>гр.20= гр.19 х к-нт</t>
  </si>
  <si>
    <t>гр.21</t>
  </si>
  <si>
    <t>гр.22 = гр.20*гр.21/100</t>
  </si>
  <si>
    <t>гр.23=гр.20-гр.22</t>
  </si>
  <si>
    <t>Вельский р-он</t>
  </si>
  <si>
    <t>Верхнетоемский р-он</t>
  </si>
  <si>
    <t>Вилегодский р-он</t>
  </si>
  <si>
    <t>Виноградовский р-он</t>
  </si>
  <si>
    <t>Каргопольский р-он</t>
  </si>
  <si>
    <t>Коношский р-он</t>
  </si>
  <si>
    <t>Котласский р-он</t>
  </si>
  <si>
    <t>Красноборский р-он</t>
  </si>
  <si>
    <t>Ленский р-он</t>
  </si>
  <si>
    <t>Лешуконский р-он</t>
  </si>
  <si>
    <t>Мезенский р-он</t>
  </si>
  <si>
    <t>Няндомский р-он</t>
  </si>
  <si>
    <t>Онежский р-он</t>
  </si>
  <si>
    <t>Пинежский р-он</t>
  </si>
  <si>
    <t>Плесецкий р-он</t>
  </si>
  <si>
    <t>Приморский р-он</t>
  </si>
  <si>
    <t>Устьянский р-он</t>
  </si>
  <si>
    <t>Холмогорский р-он</t>
  </si>
  <si>
    <t>Шенкурский р-он</t>
  </si>
  <si>
    <t>г.Архангельск</t>
  </si>
  <si>
    <t>г.Северодвинск</t>
  </si>
  <si>
    <t>г.Котлас</t>
  </si>
  <si>
    <t>г.Новодвинск</t>
  </si>
  <si>
    <t>г.Коряжма</t>
  </si>
  <si>
    <t>Мирный</t>
  </si>
  <si>
    <t>Новая Земля</t>
  </si>
  <si>
    <t>Всего по МО</t>
  </si>
  <si>
    <t>коэф роста ЗПЛ учит в 2019 к 2018</t>
  </si>
  <si>
    <t>коэф роста ЗПЛ учит в 2018 (с 38131руб.до  39020,89 руб.)</t>
  </si>
  <si>
    <t>Министе образования и науки Архангельской области</t>
  </si>
  <si>
    <t xml:space="preserve">                          (подпись)</t>
  </si>
  <si>
    <t>Целевой показатель на  2021  год</t>
  </si>
  <si>
    <t>гр.24=гр.16+гр.24</t>
  </si>
  <si>
    <t>гр.25=гр.14+гр.25</t>
  </si>
  <si>
    <t>Планируемая средняя заработная плата педагогов допобразования в 2021 году в размере 98 % к целевому показателю (руб.)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</si>
  <si>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Приложение № 32
                                                                                                                                                                                                                                  к пояснительной записке
</t>
    </r>
    <r>
      <rPr>
        <b/>
        <sz val="14"/>
        <color theme="1"/>
        <rFont val="Times New Roman"/>
        <family val="1"/>
        <charset val="204"/>
      </rPr>
      <t>Расчет потребности средств для реализации "майских" указов Президента Российской Федерации в 2021 году в части повышения заработной платы педагогических работников муниципальных учреждений дополнительного образования детей (98% к целевому показателю)</t>
    </r>
  </si>
</sst>
</file>

<file path=xl/styles.xml><?xml version="1.0" encoding="utf-8"?>
<styleSheet xmlns="http://schemas.openxmlformats.org/spreadsheetml/2006/main">
  <numFmts count="14">
    <numFmt numFmtId="43" formatCode="_-* #,##0.00\ _₽_-;\-* #,##0.00\ _₽_-;_-* &quot;-&quot;??\ _₽_-;_-@_-"/>
    <numFmt numFmtId="164" formatCode="_-* #,##0.0000\ _₽_-;\-* #,##0.0000\ _₽_-;_-* &quot;-&quot;??\ _₽_-;_-@_-"/>
    <numFmt numFmtId="165" formatCode="_-* #,##0_р_._-;\-* #,##0_р_._-;_-* &quot;-&quot;??_р_._-;_-@_-"/>
    <numFmt numFmtId="166" formatCode="#,##0.0"/>
    <numFmt numFmtId="167" formatCode="_(* #,##0.0_);_(* \(#,##0.0\);_(* &quot;-&quot;??_);_(@_)"/>
    <numFmt numFmtId="168" formatCode="_-* #,##0.00_р_._-;\-* #,##0.00_р_._-;_-* &quot;-&quot;??_р_._-;_-@_-"/>
    <numFmt numFmtId="169" formatCode="_-* #,##0.0_р_._-;\-* #,##0.0_р_._-;_-* &quot;-&quot;??_р_._-;_-@_-"/>
    <numFmt numFmtId="170" formatCode="_-* #,##0.0\ _₽_-;\-* #,##0.0\ _₽_-;_-* &quot;-&quot;?\ _₽_-;_-@_-"/>
    <numFmt numFmtId="171" formatCode="_-* #,##0.0\ _₽_-;\-* #,##0.0\ _₽_-;_-* &quot;-&quot;??\ _₽_-;_-@_-"/>
    <numFmt numFmtId="172" formatCode="_-* #,##0.000_р_._-;\-* #,##0.000_р_._-;_-* &quot;-&quot;??_р_._-;_-@_-"/>
    <numFmt numFmtId="173" formatCode="0.00000000000"/>
    <numFmt numFmtId="174" formatCode="_(* #,##0.00_);_(* \(#,##0.00\);_(* &quot;-&quot;??_);_(@_)"/>
    <numFmt numFmtId="175" formatCode="#,##0.00000000"/>
    <numFmt numFmtId="176" formatCode="#,##0.00000"/>
  </numFmts>
  <fonts count="1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1" fillId="0" borderId="0"/>
    <xf numFmtId="0" fontId="14" fillId="0" borderId="0"/>
  </cellStyleXfs>
  <cellXfs count="133">
    <xf numFmtId="0" fontId="0" fillId="0" borderId="0" xfId="0"/>
    <xf numFmtId="0" fontId="3" fillId="0" borderId="0" xfId="0" applyFont="1"/>
    <xf numFmtId="0" fontId="7" fillId="0" borderId="0" xfId="0" applyFont="1" applyBorder="1" applyAlignment="1">
      <alignment horizontal="center" wrapText="1"/>
    </xf>
    <xf numFmtId="0" fontId="7" fillId="0" borderId="0" xfId="0" applyFont="1"/>
    <xf numFmtId="1" fontId="8" fillId="2" borderId="0" xfId="3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1" xfId="0" applyFont="1" applyFill="1" applyBorder="1"/>
    <xf numFmtId="0" fontId="7" fillId="0" borderId="1" xfId="0" applyFont="1" applyFill="1" applyBorder="1" applyAlignment="1">
      <alignment horizontal="left"/>
    </xf>
    <xf numFmtId="166" fontId="7" fillId="0" borderId="1" xfId="1" applyNumberFormat="1" applyFont="1" applyFill="1" applyBorder="1" applyAlignment="1">
      <alignment horizontal="right" indent="1"/>
    </xf>
    <xf numFmtId="166" fontId="3" fillId="0" borderId="1" xfId="1" applyNumberFormat="1" applyFont="1" applyFill="1" applyBorder="1" applyAlignment="1">
      <alignment horizontal="right" vertical="center" wrapText="1" indent="1"/>
    </xf>
    <xf numFmtId="168" fontId="3" fillId="0" borderId="1" xfId="1" applyNumberFormat="1" applyFont="1" applyFill="1" applyBorder="1" applyAlignment="1">
      <alignment horizontal="center" vertical="center"/>
    </xf>
    <xf numFmtId="169" fontId="3" fillId="0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/>
    <xf numFmtId="4" fontId="10" fillId="0" borderId="1" xfId="1" applyNumberFormat="1" applyFont="1" applyFill="1" applyBorder="1"/>
    <xf numFmtId="0" fontId="3" fillId="2" borderId="1" xfId="0" applyFont="1" applyFill="1" applyBorder="1"/>
    <xf numFmtId="170" fontId="3" fillId="2" borderId="0" xfId="0" applyNumberFormat="1" applyFont="1" applyFill="1" applyBorder="1"/>
    <xf numFmtId="0" fontId="3" fillId="0" borderId="1" xfId="0" applyFont="1" applyBorder="1"/>
    <xf numFmtId="166" fontId="3" fillId="0" borderId="1" xfId="0" applyNumberFormat="1" applyFont="1" applyBorder="1"/>
    <xf numFmtId="4" fontId="3" fillId="0" borderId="1" xfId="1" applyNumberFormat="1" applyFont="1" applyFill="1" applyBorder="1" applyAlignment="1">
      <alignment horizontal="right" vertical="center" indent="1"/>
    </xf>
    <xf numFmtId="170" fontId="12" fillId="2" borderId="0" xfId="0" applyNumberFormat="1" applyFont="1" applyFill="1" applyBorder="1"/>
    <xf numFmtId="166" fontId="3" fillId="3" borderId="1" xfId="0" applyNumberFormat="1" applyFont="1" applyFill="1" applyBorder="1"/>
    <xf numFmtId="0" fontId="3" fillId="4" borderId="1" xfId="0" applyFont="1" applyFill="1" applyBorder="1"/>
    <xf numFmtId="166" fontId="3" fillId="4" borderId="1" xfId="0" applyNumberFormat="1" applyFont="1" applyFill="1" applyBorder="1"/>
    <xf numFmtId="0" fontId="3" fillId="4" borderId="0" xfId="0" applyFont="1" applyFill="1"/>
    <xf numFmtId="0" fontId="7" fillId="5" borderId="1" xfId="0" applyFont="1" applyFill="1" applyBorder="1"/>
    <xf numFmtId="166" fontId="7" fillId="5" borderId="1" xfId="0" applyNumberFormat="1" applyFont="1" applyFill="1" applyBorder="1"/>
    <xf numFmtId="0" fontId="7" fillId="5" borderId="0" xfId="0" applyFont="1" applyFill="1"/>
    <xf numFmtId="0" fontId="3" fillId="2" borderId="0" xfId="0" applyFont="1" applyFill="1"/>
    <xf numFmtId="0" fontId="7" fillId="0" borderId="1" xfId="0" applyFont="1" applyFill="1" applyBorder="1" applyAlignment="1"/>
    <xf numFmtId="171" fontId="3" fillId="0" borderId="1" xfId="1" applyNumberFormat="1" applyFont="1" applyFill="1" applyBorder="1" applyAlignment="1">
      <alignment horizontal="right" vertical="center" wrapText="1" indent="1"/>
    </xf>
    <xf numFmtId="166" fontId="3" fillId="0" borderId="0" xfId="0" applyNumberFormat="1" applyFont="1"/>
    <xf numFmtId="0" fontId="11" fillId="0" borderId="1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 indent="1"/>
    </xf>
    <xf numFmtId="4" fontId="10" fillId="0" borderId="1" xfId="1" applyNumberFormat="1" applyFont="1" applyFill="1" applyBorder="1" applyAlignment="1">
      <alignment horizontal="right" indent="1"/>
    </xf>
    <xf numFmtId="167" fontId="11" fillId="0" borderId="1" xfId="0" applyNumberFormat="1" applyFont="1" applyFill="1" applyBorder="1" applyAlignment="1">
      <alignment horizontal="right" vertical="center" wrapText="1" indent="1"/>
    </xf>
    <xf numFmtId="4" fontId="10" fillId="0" borderId="1" xfId="0" applyNumberFormat="1" applyFont="1" applyFill="1" applyBorder="1" applyAlignment="1">
      <alignment horizontal="right" vertical="center" wrapText="1" indent="1"/>
    </xf>
    <xf numFmtId="4" fontId="11" fillId="0" borderId="4" xfId="0" applyNumberFormat="1" applyFont="1" applyFill="1" applyBorder="1" applyAlignment="1">
      <alignment horizontal="right" vertical="center" wrapText="1" indent="1"/>
    </xf>
    <xf numFmtId="166" fontId="11" fillId="0" borderId="0" xfId="0" applyNumberFormat="1" applyFont="1" applyFill="1" applyBorder="1" applyAlignment="1">
      <alignment horizontal="right" vertical="center" wrapText="1" indent="1"/>
    </xf>
    <xf numFmtId="164" fontId="0" fillId="0" borderId="0" xfId="1" applyNumberFormat="1" applyFont="1"/>
    <xf numFmtId="0" fontId="0" fillId="2" borderId="0" xfId="0" applyFill="1"/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Alignment="1">
      <alignment vertical="center" wrapText="1"/>
    </xf>
    <xf numFmtId="0" fontId="3" fillId="0" borderId="0" xfId="0" applyFont="1" applyFill="1"/>
    <xf numFmtId="164" fontId="3" fillId="0" borderId="0" xfId="1" applyNumberFormat="1" applyFont="1" applyFill="1"/>
    <xf numFmtId="165" fontId="3" fillId="0" borderId="0" xfId="1" applyNumberFormat="1" applyFont="1" applyFill="1"/>
    <xf numFmtId="0" fontId="6" fillId="0" borderId="0" xfId="2" applyFont="1" applyFill="1"/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1" fontId="8" fillId="0" borderId="1" xfId="3" applyNumberFormat="1" applyFont="1" applyFill="1" applyBorder="1" applyAlignment="1">
      <alignment horizontal="center" vertical="center" wrapText="1"/>
    </xf>
    <xf numFmtId="1" fontId="9" fillId="0" borderId="1" xfId="3" applyNumberFormat="1" applyFont="1" applyFill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right" vertical="center" wrapText="1" indent="1"/>
    </xf>
    <xf numFmtId="166" fontId="3" fillId="0" borderId="1" xfId="0" applyNumberFormat="1" applyFont="1" applyFill="1" applyBorder="1" applyAlignment="1">
      <alignment horizontal="right" vertical="center" wrapText="1" indent="1"/>
    </xf>
    <xf numFmtId="4" fontId="3" fillId="0" borderId="1" xfId="0" applyNumberFormat="1" applyFont="1" applyFill="1" applyBorder="1"/>
    <xf numFmtId="166" fontId="11" fillId="0" borderId="1" xfId="1" applyNumberFormat="1" applyFont="1" applyFill="1" applyBorder="1"/>
    <xf numFmtId="166" fontId="3" fillId="0" borderId="1" xfId="1" applyNumberFormat="1" applyFont="1" applyFill="1" applyBorder="1"/>
    <xf numFmtId="166" fontId="11" fillId="0" borderId="1" xfId="1" applyNumberFormat="1" applyFont="1" applyFill="1" applyBorder="1" applyAlignment="1">
      <alignment horizontal="center"/>
    </xf>
    <xf numFmtId="4" fontId="7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center"/>
    </xf>
    <xf numFmtId="170" fontId="3" fillId="0" borderId="1" xfId="0" applyNumberFormat="1" applyFont="1" applyFill="1" applyBorder="1"/>
    <xf numFmtId="0" fontId="7" fillId="0" borderId="1" xfId="0" applyFont="1" applyFill="1" applyBorder="1"/>
    <xf numFmtId="171" fontId="7" fillId="0" borderId="1" xfId="1" applyNumberFormat="1" applyFont="1" applyFill="1" applyBorder="1" applyAlignment="1">
      <alignment horizontal="right" vertical="center" wrapText="1" indent="1"/>
    </xf>
    <xf numFmtId="167" fontId="7" fillId="0" borderId="1" xfId="1" applyNumberFormat="1" applyFont="1" applyFill="1" applyBorder="1" applyAlignment="1">
      <alignment horizontal="right" vertical="center" wrapText="1" indent="1"/>
    </xf>
    <xf numFmtId="166" fontId="7" fillId="0" borderId="1" xfId="0" applyNumberFormat="1" applyFont="1" applyFill="1" applyBorder="1" applyAlignment="1">
      <alignment horizontal="right" vertical="center" wrapText="1" indent="1"/>
    </xf>
    <xf numFmtId="166" fontId="7" fillId="0" borderId="1" xfId="1" applyNumberFormat="1" applyFont="1" applyFill="1" applyBorder="1" applyAlignment="1">
      <alignment horizontal="right" vertical="center" wrapText="1" indent="1"/>
    </xf>
    <xf numFmtId="168" fontId="7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right" vertical="center" indent="1"/>
    </xf>
    <xf numFmtId="166" fontId="11" fillId="0" borderId="1" xfId="0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horizontal="left"/>
    </xf>
    <xf numFmtId="0" fontId="3" fillId="0" borderId="0" xfId="0" applyFont="1" applyAlignment="1"/>
    <xf numFmtId="0" fontId="12" fillId="0" borderId="0" xfId="0" applyFont="1" applyAlignment="1"/>
    <xf numFmtId="164" fontId="12" fillId="0" borderId="0" xfId="1" applyNumberFormat="1" applyFont="1" applyAlignment="1"/>
    <xf numFmtId="165" fontId="3" fillId="2" borderId="0" xfId="1" applyNumberFormat="1" applyFont="1" applyFill="1" applyAlignment="1"/>
    <xf numFmtId="172" fontId="3" fillId="2" borderId="0" xfId="1" applyNumberFormat="1" applyFont="1" applyFill="1" applyAlignment="1"/>
    <xf numFmtId="169" fontId="3" fillId="2" borderId="0" xfId="1" applyNumberFormat="1" applyFont="1" applyFill="1" applyAlignment="1"/>
    <xf numFmtId="0" fontId="3" fillId="2" borderId="0" xfId="0" applyFont="1" applyFill="1" applyBorder="1" applyAlignment="1"/>
    <xf numFmtId="0" fontId="14" fillId="0" borderId="0" xfId="4" applyAlignment="1"/>
    <xf numFmtId="164" fontId="14" fillId="0" borderId="0" xfId="1" applyNumberFormat="1" applyFont="1" applyAlignment="1"/>
    <xf numFmtId="166" fontId="3" fillId="0" borderId="0" xfId="0" applyNumberFormat="1" applyFont="1" applyAlignment="1"/>
    <xf numFmtId="173" fontId="14" fillId="0" borderId="0" xfId="4" applyNumberFormat="1" applyAlignment="1"/>
    <xf numFmtId="168" fontId="3" fillId="2" borderId="0" xfId="1" applyNumberFormat="1" applyFont="1" applyFill="1" applyAlignment="1"/>
    <xf numFmtId="164" fontId="3" fillId="0" borderId="0" xfId="1" applyNumberFormat="1" applyFont="1" applyAlignment="1"/>
    <xf numFmtId="0" fontId="3" fillId="2" borderId="0" xfId="0" applyFont="1" applyFill="1" applyAlignment="1"/>
    <xf numFmtId="0" fontId="15" fillId="0" borderId="0" xfId="0" applyFont="1" applyAlignment="1"/>
    <xf numFmtId="0" fontId="3" fillId="0" borderId="5" xfId="0" applyFont="1" applyBorder="1" applyAlignment="1"/>
    <xf numFmtId="165" fontId="15" fillId="2" borderId="5" xfId="1" applyNumberFormat="1" applyFont="1" applyFill="1" applyBorder="1" applyAlignment="1"/>
    <xf numFmtId="165" fontId="16" fillId="2" borderId="0" xfId="1" applyNumberFormat="1" applyFont="1" applyFill="1" applyAlignment="1"/>
    <xf numFmtId="4" fontId="3" fillId="0" borderId="0" xfId="0" applyNumberFormat="1" applyFont="1" applyAlignment="1"/>
    <xf numFmtId="166" fontId="3" fillId="3" borderId="1" xfId="0" applyNumberFormat="1" applyFont="1" applyFill="1" applyBorder="1" applyAlignment="1">
      <alignment horizontal="right" vertical="center" wrapText="1"/>
    </xf>
    <xf numFmtId="166" fontId="3" fillId="3" borderId="0" xfId="0" applyNumberFormat="1" applyFont="1" applyFill="1" applyBorder="1" applyAlignment="1">
      <alignment horizontal="right" vertical="center" wrapText="1"/>
    </xf>
    <xf numFmtId="169" fontId="12" fillId="2" borderId="0" xfId="1" applyNumberFormat="1" applyFont="1" applyFill="1" applyAlignment="1"/>
    <xf numFmtId="43" fontId="3" fillId="0" borderId="0" xfId="0" applyNumberFormat="1" applyFont="1" applyAlignment="1"/>
    <xf numFmtId="0" fontId="0" fillId="0" borderId="0" xfId="0" applyAlignment="1"/>
    <xf numFmtId="164" fontId="0" fillId="0" borderId="0" xfId="1" applyNumberFormat="1" applyFont="1" applyAlignment="1"/>
    <xf numFmtId="43" fontId="0" fillId="0" borderId="0" xfId="0" applyNumberFormat="1" applyAlignment="1"/>
    <xf numFmtId="0" fontId="0" fillId="2" borderId="0" xfId="0" applyFill="1" applyAlignment="1"/>
    <xf numFmtId="0" fontId="3" fillId="0" borderId="1" xfId="0" applyFont="1" applyFill="1" applyBorder="1" applyAlignment="1"/>
    <xf numFmtId="166" fontId="7" fillId="0" borderId="1" xfId="1" applyNumberFormat="1" applyFont="1" applyFill="1" applyBorder="1" applyAlignment="1">
      <alignment horizontal="right"/>
    </xf>
    <xf numFmtId="164" fontId="7" fillId="0" borderId="1" xfId="1" applyNumberFormat="1" applyFont="1" applyFill="1" applyBorder="1" applyAlignment="1">
      <alignment horizontal="right"/>
    </xf>
    <xf numFmtId="174" fontId="3" fillId="0" borderId="1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right" vertical="center"/>
    </xf>
    <xf numFmtId="171" fontId="3" fillId="0" borderId="1" xfId="1" applyNumberFormat="1" applyFont="1" applyFill="1" applyBorder="1" applyAlignment="1"/>
    <xf numFmtId="171" fontId="3" fillId="2" borderId="1" xfId="1" applyNumberFormat="1" applyFont="1" applyFill="1" applyBorder="1" applyAlignment="1"/>
    <xf numFmtId="171" fontId="11" fillId="0" borderId="1" xfId="1" applyNumberFormat="1" applyFont="1" applyFill="1" applyBorder="1" applyAlignment="1"/>
    <xf numFmtId="171" fontId="11" fillId="2" borderId="1" xfId="1" applyNumberFormat="1" applyFont="1" applyFill="1" applyBorder="1" applyAlignment="1"/>
    <xf numFmtId="171" fontId="11" fillId="3" borderId="1" xfId="1" applyNumberFormat="1" applyFont="1" applyFill="1" applyBorder="1" applyAlignment="1"/>
    <xf numFmtId="2" fontId="0" fillId="0" borderId="0" xfId="0" applyNumberFormat="1" applyAlignment="1"/>
    <xf numFmtId="4" fontId="0" fillId="0" borderId="0" xfId="0" applyNumberFormat="1" applyAlignment="1"/>
    <xf numFmtId="166" fontId="0" fillId="0" borderId="0" xfId="0" applyNumberFormat="1" applyAlignment="1"/>
    <xf numFmtId="166" fontId="0" fillId="2" borderId="0" xfId="0" applyNumberFormat="1" applyFill="1" applyAlignment="1"/>
    <xf numFmtId="175" fontId="0" fillId="0" borderId="0" xfId="0" applyNumberFormat="1" applyAlignment="1"/>
    <xf numFmtId="176" fontId="0" fillId="0" borderId="0" xfId="0" applyNumberFormat="1" applyAlignment="1"/>
    <xf numFmtId="4" fontId="0" fillId="2" borderId="0" xfId="0" applyNumberFormat="1" applyFill="1" applyAlignment="1"/>
    <xf numFmtId="0" fontId="3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</cellXfs>
  <cellStyles count="5">
    <cellStyle name="Normal" xfId="3"/>
    <cellStyle name="Обычный" xfId="0" builtinId="0"/>
    <cellStyle name="Обычный 3" xfId="2"/>
    <cellStyle name="Обычный 6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U201"/>
  <sheetViews>
    <sheetView tabSelected="1" view="pageBreakPreview" zoomScale="85" zoomScaleNormal="78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36" sqref="A36:XFD62"/>
    </sheetView>
  </sheetViews>
  <sheetFormatPr defaultRowHeight="12.75"/>
  <cols>
    <col min="1" max="1" width="3.85546875" customWidth="1"/>
    <col min="2" max="2" width="21.5703125" customWidth="1"/>
    <col min="3" max="3" width="15.140625" customWidth="1"/>
    <col min="4" max="4" width="13.5703125" style="39" customWidth="1"/>
    <col min="5" max="5" width="14.140625" customWidth="1"/>
    <col min="6" max="6" width="15.28515625" customWidth="1"/>
    <col min="7" max="7" width="16.140625" customWidth="1"/>
    <col min="8" max="9" width="18.7109375" hidden="1" customWidth="1"/>
    <col min="10" max="10" width="14.42578125" customWidth="1"/>
    <col min="11" max="12" width="22" customWidth="1"/>
    <col min="13" max="13" width="18.7109375" customWidth="1"/>
    <col min="14" max="14" width="19.85546875" customWidth="1"/>
    <col min="15" max="15" width="20.28515625" customWidth="1"/>
    <col min="16" max="16" width="19.140625" customWidth="1"/>
    <col min="17" max="17" width="16.7109375" customWidth="1"/>
    <col min="18" max="18" width="18.140625" customWidth="1"/>
    <col min="19" max="19" width="16.7109375" customWidth="1"/>
    <col min="20" max="20" width="22.42578125" customWidth="1"/>
    <col min="21" max="21" width="20.42578125" style="40" customWidth="1"/>
    <col min="22" max="22" width="18" customWidth="1"/>
    <col min="23" max="23" width="22.28515625" customWidth="1"/>
    <col min="24" max="24" width="17.140625" customWidth="1"/>
    <col min="25" max="25" width="22.5703125" style="40" customWidth="1"/>
    <col min="26" max="26" width="20.28515625" customWidth="1"/>
    <col min="27" max="28" width="18.85546875" customWidth="1"/>
    <col min="29" max="29" width="5.42578125" customWidth="1"/>
    <col min="30" max="30" width="18.85546875" hidden="1" customWidth="1"/>
    <col min="31" max="31" width="19.28515625" hidden="1" customWidth="1"/>
    <col min="32" max="32" width="4.42578125" hidden="1" customWidth="1"/>
    <col min="33" max="33" width="14.5703125" hidden="1" customWidth="1"/>
    <col min="34" max="34" width="21" hidden="1" customWidth="1"/>
  </cols>
  <sheetData>
    <row r="1" spans="1:34" s="1" customFormat="1" ht="99.75" customHeight="1">
      <c r="A1" s="42"/>
      <c r="B1" s="43"/>
      <c r="C1" s="128" t="s">
        <v>85</v>
      </c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4"/>
      <c r="AB1" s="44"/>
    </row>
    <row r="2" spans="1:34" s="1" customFormat="1" ht="6.75" customHeight="1">
      <c r="A2" s="44"/>
      <c r="B2" s="44"/>
      <c r="C2" s="44"/>
      <c r="D2" s="45"/>
      <c r="E2" s="44"/>
      <c r="F2" s="44"/>
      <c r="G2" s="44"/>
      <c r="H2" s="44"/>
      <c r="I2" s="44"/>
      <c r="J2" s="44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4"/>
      <c r="AA2" s="44"/>
      <c r="AB2" s="44"/>
    </row>
    <row r="3" spans="1:34" s="1" customFormat="1" ht="15.75" customHeight="1">
      <c r="A3" s="44"/>
      <c r="B3" s="47"/>
      <c r="C3" s="44"/>
      <c r="D3" s="45"/>
      <c r="E3" s="44"/>
      <c r="F3" s="44"/>
      <c r="G3" s="44"/>
      <c r="H3" s="44"/>
      <c r="I3" s="44"/>
      <c r="J3" s="44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4"/>
      <c r="AA3" s="44"/>
      <c r="AB3" s="44"/>
    </row>
    <row r="4" spans="1:34" s="1" customFormat="1" ht="15.75">
      <c r="A4" s="44"/>
      <c r="B4" s="44"/>
      <c r="C4" s="44"/>
      <c r="D4" s="45"/>
      <c r="E4" s="44"/>
      <c r="F4" s="44"/>
      <c r="G4" s="44"/>
      <c r="H4" s="44"/>
      <c r="I4" s="44"/>
      <c r="J4" s="44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4"/>
      <c r="AA4" s="44"/>
      <c r="AB4" s="44"/>
    </row>
    <row r="5" spans="1:34" s="3" customFormat="1" ht="37.5" customHeight="1">
      <c r="A5" s="120" t="s">
        <v>0</v>
      </c>
      <c r="B5" s="120" t="s">
        <v>1</v>
      </c>
      <c r="C5" s="121" t="s">
        <v>2</v>
      </c>
      <c r="D5" s="124" t="s">
        <v>3</v>
      </c>
      <c r="E5" s="121" t="s">
        <v>4</v>
      </c>
      <c r="F5" s="121" t="s">
        <v>5</v>
      </c>
      <c r="G5" s="121" t="s">
        <v>84</v>
      </c>
      <c r="H5" s="48"/>
      <c r="I5" s="48"/>
      <c r="J5" s="121" t="s">
        <v>6</v>
      </c>
      <c r="K5" s="121" t="s">
        <v>7</v>
      </c>
      <c r="L5" s="121" t="s">
        <v>8</v>
      </c>
      <c r="M5" s="121" t="s">
        <v>9</v>
      </c>
      <c r="N5" s="121" t="s">
        <v>10</v>
      </c>
      <c r="O5" s="127" t="s">
        <v>11</v>
      </c>
      <c r="P5" s="127" t="s">
        <v>12</v>
      </c>
      <c r="Q5" s="121" t="s">
        <v>13</v>
      </c>
      <c r="R5" s="121" t="s">
        <v>14</v>
      </c>
      <c r="S5" s="127" t="s">
        <v>15</v>
      </c>
      <c r="T5" s="127" t="s">
        <v>16</v>
      </c>
      <c r="U5" s="127" t="s">
        <v>17</v>
      </c>
      <c r="V5" s="121" t="s">
        <v>18</v>
      </c>
      <c r="W5" s="127" t="s">
        <v>19</v>
      </c>
      <c r="X5" s="121" t="s">
        <v>20</v>
      </c>
      <c r="Y5" s="127" t="s">
        <v>21</v>
      </c>
      <c r="Z5" s="127" t="s">
        <v>22</v>
      </c>
      <c r="AA5" s="129" t="s">
        <v>23</v>
      </c>
      <c r="AB5" s="130"/>
      <c r="AC5" s="2"/>
      <c r="AD5" s="2"/>
    </row>
    <row r="6" spans="1:34" s="3" customFormat="1" ht="44.25" customHeight="1">
      <c r="A6" s="120"/>
      <c r="B6" s="120"/>
      <c r="C6" s="122"/>
      <c r="D6" s="125"/>
      <c r="E6" s="122"/>
      <c r="F6" s="122"/>
      <c r="G6" s="122"/>
      <c r="H6" s="49" t="s">
        <v>24</v>
      </c>
      <c r="I6" s="49"/>
      <c r="J6" s="122"/>
      <c r="K6" s="122"/>
      <c r="L6" s="122"/>
      <c r="M6" s="122"/>
      <c r="N6" s="122"/>
      <c r="O6" s="127"/>
      <c r="P6" s="127"/>
      <c r="Q6" s="122"/>
      <c r="R6" s="122"/>
      <c r="S6" s="127"/>
      <c r="T6" s="127"/>
      <c r="U6" s="127"/>
      <c r="V6" s="122"/>
      <c r="W6" s="127"/>
      <c r="X6" s="122"/>
      <c r="Y6" s="127"/>
      <c r="Z6" s="127"/>
      <c r="AA6" s="131"/>
      <c r="AB6" s="132"/>
      <c r="AC6" s="2"/>
      <c r="AD6" s="2"/>
    </row>
    <row r="7" spans="1:34" s="1" customFormat="1" ht="107.25" customHeight="1">
      <c r="A7" s="120"/>
      <c r="B7" s="120"/>
      <c r="C7" s="123"/>
      <c r="D7" s="126"/>
      <c r="E7" s="123"/>
      <c r="F7" s="123"/>
      <c r="G7" s="123"/>
      <c r="H7" s="50"/>
      <c r="I7" s="50"/>
      <c r="J7" s="123"/>
      <c r="K7" s="123"/>
      <c r="L7" s="123"/>
      <c r="M7" s="123"/>
      <c r="N7" s="123"/>
      <c r="O7" s="127"/>
      <c r="P7" s="127"/>
      <c r="Q7" s="123"/>
      <c r="R7" s="123"/>
      <c r="S7" s="127"/>
      <c r="T7" s="127"/>
      <c r="U7" s="127"/>
      <c r="V7" s="123"/>
      <c r="W7" s="127"/>
      <c r="X7" s="123"/>
      <c r="Y7" s="127"/>
      <c r="Z7" s="127"/>
      <c r="AA7" s="41" t="s">
        <v>25</v>
      </c>
      <c r="AB7" s="41" t="s">
        <v>26</v>
      </c>
      <c r="AC7" s="2"/>
      <c r="AD7" s="2"/>
    </row>
    <row r="8" spans="1:34" s="5" customFormat="1" ht="33.75" customHeight="1">
      <c r="A8" s="51" t="s">
        <v>27</v>
      </c>
      <c r="B8" s="51" t="s">
        <v>28</v>
      </c>
      <c r="C8" s="51" t="s">
        <v>29</v>
      </c>
      <c r="D8" s="51">
        <v>4</v>
      </c>
      <c r="E8" s="51" t="s">
        <v>30</v>
      </c>
      <c r="F8" s="51" t="s">
        <v>31</v>
      </c>
      <c r="G8" s="52" t="s">
        <v>32</v>
      </c>
      <c r="H8" s="52"/>
      <c r="I8" s="52"/>
      <c r="J8" s="53" t="s">
        <v>33</v>
      </c>
      <c r="K8" s="54" t="s">
        <v>34</v>
      </c>
      <c r="L8" s="54" t="s">
        <v>35</v>
      </c>
      <c r="M8" s="51" t="s">
        <v>36</v>
      </c>
      <c r="N8" s="51" t="s">
        <v>37</v>
      </c>
      <c r="O8" s="55" t="s">
        <v>38</v>
      </c>
      <c r="P8" s="51" t="s">
        <v>39</v>
      </c>
      <c r="Q8" s="51" t="s">
        <v>40</v>
      </c>
      <c r="R8" s="55" t="s">
        <v>41</v>
      </c>
      <c r="S8" s="55" t="s">
        <v>42</v>
      </c>
      <c r="T8" s="55" t="s">
        <v>43</v>
      </c>
      <c r="U8" s="55" t="s">
        <v>44</v>
      </c>
      <c r="V8" s="55" t="s">
        <v>45</v>
      </c>
      <c r="W8" s="56" t="s">
        <v>46</v>
      </c>
      <c r="X8" s="55" t="s">
        <v>47</v>
      </c>
      <c r="Y8" s="55" t="s">
        <v>48</v>
      </c>
      <c r="Z8" s="55" t="s">
        <v>49</v>
      </c>
      <c r="AA8" s="55" t="s">
        <v>82</v>
      </c>
      <c r="AB8" s="55" t="s">
        <v>83</v>
      </c>
      <c r="AC8" s="4"/>
      <c r="AD8" s="4"/>
    </row>
    <row r="9" spans="1:34" s="1" customFormat="1" ht="15.75" customHeight="1">
      <c r="A9" s="6">
        <v>1</v>
      </c>
      <c r="B9" s="7" t="s">
        <v>50</v>
      </c>
      <c r="C9" s="8">
        <v>45438.071727888688</v>
      </c>
      <c r="D9" s="29">
        <v>1.1409359930695429</v>
      </c>
      <c r="E9" s="8">
        <f>ROUND(C9*D9,2)</f>
        <v>51841.93</v>
      </c>
      <c r="F9" s="57">
        <v>65.63</v>
      </c>
      <c r="G9" s="58">
        <f>ROUND(E9*J9/100,1)</f>
        <v>53440.6</v>
      </c>
      <c r="H9" s="58">
        <v>52692.104173156462</v>
      </c>
      <c r="I9" s="58">
        <f>G9-H9</f>
        <v>748.49582684353663</v>
      </c>
      <c r="J9" s="9">
        <f>$J$35</f>
        <v>103.08370064073</v>
      </c>
      <c r="K9" s="10">
        <f>ROUND(F9*G9*12*1.302,2)</f>
        <v>54798157.969999999</v>
      </c>
      <c r="L9" s="11">
        <f>K9-N9</f>
        <v>53613094.369999997</v>
      </c>
      <c r="M9" s="10">
        <v>164112</v>
      </c>
      <c r="N9" s="18">
        <v>1185063.6000000001</v>
      </c>
      <c r="O9" s="12">
        <f>L9-M9</f>
        <v>53448982.369999997</v>
      </c>
      <c r="P9" s="12">
        <v>58206681.399999999</v>
      </c>
      <c r="Q9" s="12"/>
      <c r="R9" s="12">
        <f>P9+Q9</f>
        <v>58206681.399999999</v>
      </c>
      <c r="S9" s="59"/>
      <c r="T9" s="59">
        <f>R9+S9</f>
        <v>58206681.399999999</v>
      </c>
      <c r="U9" s="12">
        <f>O9-T9</f>
        <v>-4757699.0300000012</v>
      </c>
      <c r="V9" s="12"/>
      <c r="W9" s="13"/>
      <c r="X9" s="60"/>
      <c r="Y9" s="61"/>
      <c r="Z9" s="61"/>
      <c r="AA9" s="6"/>
      <c r="AB9" s="6"/>
      <c r="AC9" s="15"/>
      <c r="AD9" s="15"/>
      <c r="AE9" s="16">
        <v>51530.9</v>
      </c>
      <c r="AF9" s="16"/>
      <c r="AG9" s="17">
        <v>58206681.399999999</v>
      </c>
    </row>
    <row r="10" spans="1:34" s="1" customFormat="1" ht="15.75" customHeight="1">
      <c r="A10" s="6">
        <v>2</v>
      </c>
      <c r="B10" s="7" t="s">
        <v>51</v>
      </c>
      <c r="C10" s="8">
        <v>41955.520620127318</v>
      </c>
      <c r="D10" s="29">
        <v>1.1256784844886554</v>
      </c>
      <c r="E10" s="8">
        <f t="shared" ref="E10:E33" si="0">ROUND(C10*D10,2)</f>
        <v>47228.43</v>
      </c>
      <c r="F10" s="57">
        <f>12.47+8</f>
        <v>20.47</v>
      </c>
      <c r="G10" s="58">
        <f t="shared" ref="G10:G33" si="1">ROUND(E10*J10/100,1)</f>
        <v>48684.800000000003</v>
      </c>
      <c r="H10" s="58">
        <v>48002.941189037912</v>
      </c>
      <c r="I10" s="58">
        <f t="shared" ref="I10:I33" si="2">G10-H10</f>
        <v>681.8588109620905</v>
      </c>
      <c r="J10" s="9">
        <f>$J$35</f>
        <v>103.08370064073</v>
      </c>
      <c r="K10" s="10">
        <f t="shared" ref="K10:K34" si="3">ROUND(F10*G10*12*1.302,2)</f>
        <v>15570532.42</v>
      </c>
      <c r="L10" s="11">
        <f>K10-N10</f>
        <v>15422104.42</v>
      </c>
      <c r="M10" s="10">
        <v>993928</v>
      </c>
      <c r="N10" s="18">
        <v>148428</v>
      </c>
      <c r="O10" s="12">
        <f t="shared" ref="O10:O34" si="4">L10-M10</f>
        <v>14428176.42</v>
      </c>
      <c r="P10" s="12">
        <v>16119801.6</v>
      </c>
      <c r="Q10" s="12"/>
      <c r="R10" s="12">
        <f t="shared" ref="R10:R34" si="5">P10+Q10</f>
        <v>16119801.6</v>
      </c>
      <c r="S10" s="59"/>
      <c r="T10" s="59">
        <f t="shared" ref="T10:T34" si="6">R10+S10</f>
        <v>16119801.6</v>
      </c>
      <c r="U10" s="12">
        <f t="shared" ref="U10:U34" si="7">O10-T10</f>
        <v>-1691625.1799999997</v>
      </c>
      <c r="V10" s="12"/>
      <c r="W10" s="13"/>
      <c r="X10" s="62"/>
      <c r="Y10" s="61"/>
      <c r="Z10" s="61"/>
      <c r="AA10" s="6"/>
      <c r="AB10" s="6"/>
      <c r="AC10" s="15"/>
      <c r="AD10" s="15"/>
      <c r="AE10" s="16"/>
      <c r="AF10" s="16"/>
      <c r="AG10" s="17">
        <v>16119801.6</v>
      </c>
    </row>
    <row r="11" spans="1:34" s="1" customFormat="1" ht="15.75" customHeight="1">
      <c r="A11" s="6">
        <v>3</v>
      </c>
      <c r="B11" s="7" t="s">
        <v>52</v>
      </c>
      <c r="C11" s="8">
        <v>45558.602627684799</v>
      </c>
      <c r="D11" s="29">
        <v>1.1179589999999999</v>
      </c>
      <c r="E11" s="8">
        <f t="shared" si="0"/>
        <v>50932.65</v>
      </c>
      <c r="F11" s="57">
        <v>17.2</v>
      </c>
      <c r="G11" s="58">
        <f t="shared" si="1"/>
        <v>52503.3</v>
      </c>
      <c r="H11" s="58">
        <v>51767.949041832726</v>
      </c>
      <c r="I11" s="58">
        <f t="shared" si="2"/>
        <v>735.35095816727699</v>
      </c>
      <c r="J11" s="9">
        <f t="shared" ref="J11:J34" si="8">$J$35</f>
        <v>103.08370064073</v>
      </c>
      <c r="K11" s="10">
        <f>ROUND(F11*G11*12*1.302,2)</f>
        <v>14109358.82</v>
      </c>
      <c r="L11" s="10">
        <f t="shared" ref="L11:L34" si="9">K11-N11</f>
        <v>13985408.42</v>
      </c>
      <c r="M11" s="10">
        <v>887432</v>
      </c>
      <c r="N11" s="18">
        <v>123950.40000000001</v>
      </c>
      <c r="O11" s="12">
        <f t="shared" si="4"/>
        <v>13097976.42</v>
      </c>
      <c r="P11" s="12">
        <v>10624814.200000001</v>
      </c>
      <c r="Q11" s="12">
        <v>116001.5</v>
      </c>
      <c r="R11" s="12">
        <f t="shared" si="5"/>
        <v>10740815.700000001</v>
      </c>
      <c r="S11" s="12">
        <v>2089298</v>
      </c>
      <c r="T11" s="59">
        <f t="shared" si="6"/>
        <v>12830113.700000001</v>
      </c>
      <c r="U11" s="12">
        <f>O11-T11</f>
        <v>267862.71999999881</v>
      </c>
      <c r="V11" s="12">
        <f>O11-T11</f>
        <v>267862.71999999881</v>
      </c>
      <c r="W11" s="63">
        <f t="shared" ref="W11:W30" si="10">ROUND(V11*0.44771951,1)</f>
        <v>119927.4</v>
      </c>
      <c r="X11" s="64">
        <v>70</v>
      </c>
      <c r="Y11" s="12">
        <f>ROUND(W11*X11/100,Y220)</f>
        <v>83949</v>
      </c>
      <c r="Z11" s="12">
        <f>W11-Y11</f>
        <v>35978.399999999994</v>
      </c>
      <c r="AA11" s="65">
        <f>S11+Y11</f>
        <v>2173247</v>
      </c>
      <c r="AB11" s="65">
        <f t="shared" ref="AB11:AB33" si="11">Q11+Z11</f>
        <v>151979.9</v>
      </c>
      <c r="AC11" s="19"/>
      <c r="AD11" s="15">
        <f>ROUND(W11/0.644339374,1)</f>
        <v>186124.6</v>
      </c>
      <c r="AE11" s="20">
        <f>V11-AD11</f>
        <v>81738.119999998802</v>
      </c>
      <c r="AF11" s="16"/>
      <c r="AG11" s="17">
        <v>13717545.699999999</v>
      </c>
      <c r="AH11" s="30">
        <f>AG11+AE11</f>
        <v>13799283.819999998</v>
      </c>
    </row>
    <row r="12" spans="1:34" s="1" customFormat="1" ht="15.75" customHeight="1">
      <c r="A12" s="6">
        <v>4</v>
      </c>
      <c r="B12" s="7" t="s">
        <v>53</v>
      </c>
      <c r="C12" s="8">
        <v>48348.192509703091</v>
      </c>
      <c r="D12" s="29">
        <v>1.1235503891689302</v>
      </c>
      <c r="E12" s="8">
        <f t="shared" si="0"/>
        <v>54321.63</v>
      </c>
      <c r="F12" s="57">
        <v>21.7</v>
      </c>
      <c r="G12" s="58">
        <f t="shared" si="1"/>
        <v>55996.7</v>
      </c>
      <c r="H12" s="58">
        <v>55212.468583152899</v>
      </c>
      <c r="I12" s="58">
        <f t="shared" si="2"/>
        <v>784.23141684709844</v>
      </c>
      <c r="J12" s="9">
        <f t="shared" si="8"/>
        <v>103.08370064073</v>
      </c>
      <c r="K12" s="10">
        <f t="shared" si="3"/>
        <v>18985165.969999999</v>
      </c>
      <c r="L12" s="10">
        <f t="shared" si="9"/>
        <v>18861736.369999997</v>
      </c>
      <c r="M12" s="10">
        <v>1076816.0000000002</v>
      </c>
      <c r="N12" s="18">
        <v>123429.6</v>
      </c>
      <c r="O12" s="12">
        <f t="shared" si="4"/>
        <v>17784920.369999997</v>
      </c>
      <c r="P12" s="12">
        <v>13407822.4</v>
      </c>
      <c r="Q12" s="12">
        <v>352702.5</v>
      </c>
      <c r="R12" s="12">
        <f t="shared" si="5"/>
        <v>13760524.9</v>
      </c>
      <c r="S12" s="12">
        <v>2949113</v>
      </c>
      <c r="T12" s="59">
        <f t="shared" si="6"/>
        <v>16709637.9</v>
      </c>
      <c r="U12" s="12">
        <f t="shared" si="7"/>
        <v>1075282.4699999969</v>
      </c>
      <c r="V12" s="12">
        <f t="shared" ref="V12:V14" si="12">O12-T12</f>
        <v>1075282.4699999969</v>
      </c>
      <c r="W12" s="63">
        <f t="shared" si="10"/>
        <v>481424.9</v>
      </c>
      <c r="X12" s="64">
        <v>70</v>
      </c>
      <c r="Y12" s="12">
        <f t="shared" ref="Y12:Y14" si="13">ROUND(W12*X12/100,0)</f>
        <v>336997</v>
      </c>
      <c r="Z12" s="12">
        <f t="shared" ref="Z12:Z32" si="14">W12-Y12</f>
        <v>144427.90000000002</v>
      </c>
      <c r="AA12" s="65">
        <f t="shared" ref="AA12:AA32" si="15">S12+Y12</f>
        <v>3286110</v>
      </c>
      <c r="AB12" s="65">
        <f t="shared" si="11"/>
        <v>497130.4</v>
      </c>
      <c r="AC12" s="19"/>
      <c r="AD12" s="15">
        <f t="shared" ref="AD12:AD14" si="16">ROUND(W12/0.644339374,1)</f>
        <v>747160.5</v>
      </c>
      <c r="AE12" s="20">
        <f t="shared" ref="AE12:AE32" si="17">V12-AD12</f>
        <v>328121.96999999695</v>
      </c>
      <c r="AF12" s="16"/>
      <c r="AG12" s="17">
        <v>17786453.899999999</v>
      </c>
      <c r="AH12" s="30">
        <f t="shared" ref="AH12:AH32" si="18">AG12+AE12</f>
        <v>18114575.869999997</v>
      </c>
    </row>
    <row r="13" spans="1:34" s="1" customFormat="1" ht="15.75" customHeight="1">
      <c r="A13" s="6">
        <v>5</v>
      </c>
      <c r="B13" s="7" t="s">
        <v>54</v>
      </c>
      <c r="C13" s="8">
        <v>37647.365935430782</v>
      </c>
      <c r="D13" s="29">
        <v>1.1399737613337688</v>
      </c>
      <c r="E13" s="8">
        <f t="shared" si="0"/>
        <v>42917.01</v>
      </c>
      <c r="F13" s="57">
        <v>23.8</v>
      </c>
      <c r="G13" s="58">
        <f t="shared" si="1"/>
        <v>44240.4</v>
      </c>
      <c r="H13" s="58">
        <v>43620.819334075961</v>
      </c>
      <c r="I13" s="58">
        <f t="shared" si="2"/>
        <v>619.58066592404066</v>
      </c>
      <c r="J13" s="9">
        <f t="shared" si="8"/>
        <v>103.08370064073</v>
      </c>
      <c r="K13" s="10">
        <f t="shared" si="3"/>
        <v>16450845.83</v>
      </c>
      <c r="L13" s="10">
        <f t="shared" si="9"/>
        <v>16050090.23</v>
      </c>
      <c r="M13" s="10">
        <v>0</v>
      </c>
      <c r="N13" s="18">
        <v>400755.60000000003</v>
      </c>
      <c r="O13" s="12">
        <f t="shared" si="4"/>
        <v>16050090.23</v>
      </c>
      <c r="P13" s="12">
        <v>14751343.600000001</v>
      </c>
      <c r="Q13" s="12">
        <v>52240.61999999918</v>
      </c>
      <c r="R13" s="12">
        <f t="shared" si="5"/>
        <v>14803584.220000001</v>
      </c>
      <c r="S13" s="12">
        <v>1016107</v>
      </c>
      <c r="T13" s="59">
        <f t="shared" si="6"/>
        <v>15819691.220000001</v>
      </c>
      <c r="U13" s="12">
        <f t="shared" si="7"/>
        <v>230399.00999999978</v>
      </c>
      <c r="V13" s="12">
        <f t="shared" si="12"/>
        <v>230399.00999999978</v>
      </c>
      <c r="W13" s="63">
        <f t="shared" si="10"/>
        <v>103154.1</v>
      </c>
      <c r="X13" s="64">
        <v>70</v>
      </c>
      <c r="Y13" s="12">
        <f t="shared" si="13"/>
        <v>72208</v>
      </c>
      <c r="Z13" s="12">
        <f t="shared" si="14"/>
        <v>30946.100000000006</v>
      </c>
      <c r="AA13" s="65">
        <f t="shared" si="15"/>
        <v>1088315</v>
      </c>
      <c r="AB13" s="65">
        <f t="shared" si="11"/>
        <v>83186.719999999186</v>
      </c>
      <c r="AC13" s="19"/>
      <c r="AD13" s="15">
        <f t="shared" si="16"/>
        <v>160092.79999999999</v>
      </c>
      <c r="AE13" s="20">
        <f t="shared" si="17"/>
        <v>70306.209999999788</v>
      </c>
      <c r="AF13" s="16"/>
      <c r="AG13" s="17">
        <v>15819691.199999999</v>
      </c>
      <c r="AH13" s="30">
        <f t="shared" si="18"/>
        <v>15889997.409999998</v>
      </c>
    </row>
    <row r="14" spans="1:34" s="1" customFormat="1" ht="15.75" customHeight="1">
      <c r="A14" s="6">
        <v>6</v>
      </c>
      <c r="B14" s="7" t="s">
        <v>55</v>
      </c>
      <c r="C14" s="8">
        <v>46352.493682095519</v>
      </c>
      <c r="D14" s="29">
        <v>1.1232789999999999</v>
      </c>
      <c r="E14" s="8">
        <f t="shared" si="0"/>
        <v>52066.78</v>
      </c>
      <c r="F14" s="57">
        <v>42</v>
      </c>
      <c r="G14" s="58">
        <f t="shared" si="1"/>
        <v>53672.4</v>
      </c>
      <c r="H14" s="58">
        <v>52920.646722338031</v>
      </c>
      <c r="I14" s="58">
        <f t="shared" si="2"/>
        <v>751.75327766197006</v>
      </c>
      <c r="J14" s="9">
        <f t="shared" si="8"/>
        <v>103.08370064073</v>
      </c>
      <c r="K14" s="10">
        <f t="shared" si="3"/>
        <v>35220258.259999998</v>
      </c>
      <c r="L14" s="10">
        <f>K14-N14</f>
        <v>34928610.259999998</v>
      </c>
      <c r="M14" s="10">
        <v>1898208</v>
      </c>
      <c r="N14" s="18">
        <v>291648</v>
      </c>
      <c r="O14" s="12">
        <f t="shared" si="4"/>
        <v>33030402.259999998</v>
      </c>
      <c r="P14" s="12">
        <v>28527086</v>
      </c>
      <c r="Q14" s="12">
        <v>243768.07999999821</v>
      </c>
      <c r="R14" s="12">
        <f t="shared" si="5"/>
        <v>28770854.079999998</v>
      </c>
      <c r="S14" s="12">
        <v>3766211</v>
      </c>
      <c r="T14" s="59">
        <f t="shared" si="6"/>
        <v>32537065.079999998</v>
      </c>
      <c r="U14" s="12">
        <f t="shared" si="7"/>
        <v>493337.1799999997</v>
      </c>
      <c r="V14" s="12">
        <f t="shared" si="12"/>
        <v>493337.1799999997</v>
      </c>
      <c r="W14" s="63">
        <f t="shared" si="10"/>
        <v>220876.7</v>
      </c>
      <c r="X14" s="64">
        <v>70</v>
      </c>
      <c r="Y14" s="12">
        <f t="shared" si="13"/>
        <v>154614</v>
      </c>
      <c r="Z14" s="12">
        <f t="shared" si="14"/>
        <v>66262.700000000012</v>
      </c>
      <c r="AA14" s="65">
        <f t="shared" si="15"/>
        <v>3920825</v>
      </c>
      <c r="AB14" s="65">
        <f t="shared" si="11"/>
        <v>310030.77999999822</v>
      </c>
      <c r="AC14" s="19"/>
      <c r="AD14" s="15">
        <f t="shared" si="16"/>
        <v>342795.6</v>
      </c>
      <c r="AE14" s="20">
        <f t="shared" si="17"/>
        <v>150541.57999999973</v>
      </c>
      <c r="AF14" s="16"/>
      <c r="AG14" s="17">
        <v>34435273.100000001</v>
      </c>
      <c r="AH14" s="30">
        <f t="shared" si="18"/>
        <v>34585814.68</v>
      </c>
    </row>
    <row r="15" spans="1:34" s="1" customFormat="1" ht="15.75" customHeight="1">
      <c r="A15" s="6">
        <v>7</v>
      </c>
      <c r="B15" s="7" t="s">
        <v>56</v>
      </c>
      <c r="C15" s="8">
        <v>45657.736804791894</v>
      </c>
      <c r="D15" s="29">
        <v>1.1391819999999999</v>
      </c>
      <c r="E15" s="8">
        <f t="shared" si="0"/>
        <v>52012.47</v>
      </c>
      <c r="F15" s="57">
        <v>22.9</v>
      </c>
      <c r="G15" s="58">
        <f t="shared" si="1"/>
        <v>53616.4</v>
      </c>
      <c r="H15" s="58">
        <v>52865.350444060619</v>
      </c>
      <c r="I15" s="58">
        <f t="shared" si="2"/>
        <v>751.04955593938212</v>
      </c>
      <c r="J15" s="9">
        <f t="shared" si="8"/>
        <v>103.08370064073</v>
      </c>
      <c r="K15" s="10">
        <f t="shared" si="3"/>
        <v>19183390.309999999</v>
      </c>
      <c r="L15" s="10">
        <f t="shared" si="9"/>
        <v>18724695.709999997</v>
      </c>
      <c r="M15" s="10">
        <v>789984</v>
      </c>
      <c r="N15" s="18">
        <v>458694.60000000003</v>
      </c>
      <c r="O15" s="12">
        <f t="shared" si="4"/>
        <v>17934711.709999997</v>
      </c>
      <c r="P15" s="12">
        <v>25340494.496800002</v>
      </c>
      <c r="Q15" s="12">
        <v>0</v>
      </c>
      <c r="R15" s="12">
        <f t="shared" si="5"/>
        <v>25340494.496800002</v>
      </c>
      <c r="S15" s="12">
        <v>0</v>
      </c>
      <c r="T15" s="59">
        <f t="shared" si="6"/>
        <v>25340494.496800002</v>
      </c>
      <c r="U15" s="12">
        <f t="shared" si="7"/>
        <v>-7405782.7868000045</v>
      </c>
      <c r="V15" s="12"/>
      <c r="W15" s="63">
        <f t="shared" si="10"/>
        <v>0</v>
      </c>
      <c r="X15" s="64">
        <v>70</v>
      </c>
      <c r="Y15" s="12"/>
      <c r="Z15" s="12">
        <f t="shared" si="14"/>
        <v>0</v>
      </c>
      <c r="AA15" s="65">
        <f t="shared" si="15"/>
        <v>0</v>
      </c>
      <c r="AB15" s="65">
        <f t="shared" si="11"/>
        <v>0</v>
      </c>
      <c r="AC15" s="19"/>
      <c r="AD15" s="15"/>
      <c r="AE15" s="20">
        <f t="shared" si="17"/>
        <v>0</v>
      </c>
      <c r="AF15" s="16"/>
      <c r="AG15" s="17">
        <v>25340494.5</v>
      </c>
      <c r="AH15" s="30">
        <f t="shared" si="18"/>
        <v>25340494.5</v>
      </c>
    </row>
    <row r="16" spans="1:34" s="1" customFormat="1" ht="15.75" customHeight="1">
      <c r="A16" s="6">
        <v>8</v>
      </c>
      <c r="B16" s="7" t="s">
        <v>57</v>
      </c>
      <c r="C16" s="8">
        <v>45912.137660675602</v>
      </c>
      <c r="D16" s="29">
        <v>1.1125315338340689</v>
      </c>
      <c r="E16" s="8">
        <f t="shared" si="0"/>
        <v>51078.7</v>
      </c>
      <c r="F16" s="57">
        <v>7</v>
      </c>
      <c r="G16" s="58">
        <f t="shared" si="1"/>
        <v>52653.8</v>
      </c>
      <c r="H16" s="58">
        <v>51916.357150414238</v>
      </c>
      <c r="I16" s="58">
        <f t="shared" si="2"/>
        <v>737.44284958576463</v>
      </c>
      <c r="J16" s="9">
        <f t="shared" si="8"/>
        <v>103.08370064073</v>
      </c>
      <c r="K16" s="10">
        <f t="shared" si="3"/>
        <v>5758640.7999999998</v>
      </c>
      <c r="L16" s="10">
        <f t="shared" si="9"/>
        <v>5569069.5999999996</v>
      </c>
      <c r="M16" s="10">
        <v>456560</v>
      </c>
      <c r="N16" s="18">
        <v>189571.20000000001</v>
      </c>
      <c r="O16" s="12">
        <f t="shared" si="4"/>
        <v>5112509.5999999996</v>
      </c>
      <c r="P16" s="12">
        <v>5792287.2000000011</v>
      </c>
      <c r="Q16" s="12">
        <v>0</v>
      </c>
      <c r="R16" s="12">
        <f t="shared" si="5"/>
        <v>5792287.2000000011</v>
      </c>
      <c r="S16" s="12">
        <v>0</v>
      </c>
      <c r="T16" s="59">
        <f t="shared" si="6"/>
        <v>5792287.2000000011</v>
      </c>
      <c r="U16" s="12">
        <f t="shared" si="7"/>
        <v>-679777.60000000149</v>
      </c>
      <c r="V16" s="12"/>
      <c r="W16" s="63">
        <f t="shared" si="10"/>
        <v>0</v>
      </c>
      <c r="X16" s="64">
        <v>70</v>
      </c>
      <c r="Y16" s="12"/>
      <c r="Z16" s="12">
        <f t="shared" si="14"/>
        <v>0</v>
      </c>
      <c r="AA16" s="65">
        <f t="shared" si="15"/>
        <v>0</v>
      </c>
      <c r="AB16" s="65">
        <f t="shared" si="11"/>
        <v>0</v>
      </c>
      <c r="AC16" s="19"/>
      <c r="AD16" s="15"/>
      <c r="AE16" s="20">
        <f t="shared" si="17"/>
        <v>0</v>
      </c>
      <c r="AF16" s="16"/>
      <c r="AG16" s="17">
        <v>5792287.2000000002</v>
      </c>
      <c r="AH16" s="30">
        <f t="shared" si="18"/>
        <v>5792287.2000000002</v>
      </c>
    </row>
    <row r="17" spans="1:34" s="1" customFormat="1" ht="15.75" customHeight="1">
      <c r="A17" s="6">
        <v>9</v>
      </c>
      <c r="B17" s="7" t="s">
        <v>58</v>
      </c>
      <c r="C17" s="8">
        <v>53582.224997652411</v>
      </c>
      <c r="D17" s="29">
        <v>1.1080617823531684</v>
      </c>
      <c r="E17" s="8">
        <f t="shared" si="0"/>
        <v>59372.42</v>
      </c>
      <c r="F17" s="57">
        <v>19.2</v>
      </c>
      <c r="G17" s="58">
        <f t="shared" si="1"/>
        <v>61203.3</v>
      </c>
      <c r="H17" s="58">
        <v>60346.083274993514</v>
      </c>
      <c r="I17" s="58">
        <f t="shared" si="2"/>
        <v>857.21672500648856</v>
      </c>
      <c r="J17" s="9">
        <f t="shared" si="8"/>
        <v>103.08370064073</v>
      </c>
      <c r="K17" s="10">
        <f t="shared" si="3"/>
        <v>18359814.899999999</v>
      </c>
      <c r="L17" s="10">
        <f t="shared" si="9"/>
        <v>18359814.899999999</v>
      </c>
      <c r="M17" s="10">
        <v>442728</v>
      </c>
      <c r="N17" s="18">
        <v>0</v>
      </c>
      <c r="O17" s="12">
        <f t="shared" si="4"/>
        <v>17917086.899999999</v>
      </c>
      <c r="P17" s="12">
        <v>21370428.800000001</v>
      </c>
      <c r="Q17" s="12">
        <v>0</v>
      </c>
      <c r="R17" s="12">
        <f t="shared" si="5"/>
        <v>21370428.800000001</v>
      </c>
      <c r="S17" s="12">
        <v>0</v>
      </c>
      <c r="T17" s="59">
        <f t="shared" si="6"/>
        <v>21370428.800000001</v>
      </c>
      <c r="U17" s="12">
        <f t="shared" si="7"/>
        <v>-3453341.9000000022</v>
      </c>
      <c r="V17" s="12"/>
      <c r="W17" s="63">
        <f t="shared" si="10"/>
        <v>0</v>
      </c>
      <c r="X17" s="64">
        <v>70</v>
      </c>
      <c r="Y17" s="12"/>
      <c r="Z17" s="12">
        <f t="shared" si="14"/>
        <v>0</v>
      </c>
      <c r="AA17" s="65">
        <f t="shared" si="15"/>
        <v>0</v>
      </c>
      <c r="AB17" s="65">
        <f t="shared" si="11"/>
        <v>0</v>
      </c>
      <c r="AC17" s="19"/>
      <c r="AD17" s="15"/>
      <c r="AE17" s="20">
        <f t="shared" si="17"/>
        <v>0</v>
      </c>
      <c r="AF17" s="16"/>
      <c r="AG17" s="17">
        <v>21370428.800000001</v>
      </c>
      <c r="AH17" s="30">
        <f t="shared" si="18"/>
        <v>21370428.800000001</v>
      </c>
    </row>
    <row r="18" spans="1:34" s="23" customFormat="1" ht="15.75">
      <c r="A18" s="6">
        <v>10</v>
      </c>
      <c r="B18" s="7" t="s">
        <v>59</v>
      </c>
      <c r="C18" s="8">
        <v>57351.435107788537</v>
      </c>
      <c r="D18" s="29">
        <v>1.1089975255035378</v>
      </c>
      <c r="E18" s="8">
        <f t="shared" si="0"/>
        <v>63602.6</v>
      </c>
      <c r="F18" s="57">
        <v>3</v>
      </c>
      <c r="G18" s="58">
        <f t="shared" si="1"/>
        <v>65563.899999999994</v>
      </c>
      <c r="H18" s="58">
        <v>64645.639320604743</v>
      </c>
      <c r="I18" s="58">
        <f t="shared" si="2"/>
        <v>918.26067939525092</v>
      </c>
      <c r="J18" s="9">
        <f t="shared" si="8"/>
        <v>103.08370064073</v>
      </c>
      <c r="K18" s="10">
        <f t="shared" si="3"/>
        <v>3073111.12</v>
      </c>
      <c r="L18" s="10">
        <f t="shared" si="9"/>
        <v>3045248.3200000003</v>
      </c>
      <c r="M18" s="10">
        <v>0</v>
      </c>
      <c r="N18" s="18">
        <v>27862.799999999999</v>
      </c>
      <c r="O18" s="12">
        <f t="shared" si="4"/>
        <v>3045248.3200000003</v>
      </c>
      <c r="P18" s="12">
        <v>3175251.8</v>
      </c>
      <c r="Q18" s="12">
        <v>-34798</v>
      </c>
      <c r="R18" s="12">
        <f t="shared" si="5"/>
        <v>3140453.8</v>
      </c>
      <c r="S18" s="12">
        <v>55268</v>
      </c>
      <c r="T18" s="59">
        <f t="shared" si="6"/>
        <v>3195721.8</v>
      </c>
      <c r="U18" s="12">
        <f t="shared" si="7"/>
        <v>-150473.47999999952</v>
      </c>
      <c r="V18" s="12"/>
      <c r="W18" s="63">
        <f t="shared" si="10"/>
        <v>0</v>
      </c>
      <c r="X18" s="64">
        <v>70</v>
      </c>
      <c r="Y18" s="12"/>
      <c r="Z18" s="12">
        <f t="shared" si="14"/>
        <v>0</v>
      </c>
      <c r="AA18" s="65">
        <f t="shared" si="15"/>
        <v>55268</v>
      </c>
      <c r="AB18" s="65">
        <f t="shared" si="11"/>
        <v>-34798</v>
      </c>
      <c r="AC18" s="19"/>
      <c r="AD18" s="15"/>
      <c r="AE18" s="20">
        <f t="shared" si="17"/>
        <v>0</v>
      </c>
      <c r="AF18" s="21"/>
      <c r="AG18" s="22">
        <v>3195721.8</v>
      </c>
      <c r="AH18" s="30">
        <f t="shared" si="18"/>
        <v>3195721.8</v>
      </c>
    </row>
    <row r="19" spans="1:34" s="1" customFormat="1" ht="15.75">
      <c r="A19" s="6">
        <v>11</v>
      </c>
      <c r="B19" s="7" t="s">
        <v>60</v>
      </c>
      <c r="C19" s="8">
        <v>53417.425279641524</v>
      </c>
      <c r="D19" s="29">
        <v>1.1355232095931</v>
      </c>
      <c r="E19" s="8">
        <f t="shared" si="0"/>
        <v>60656.73</v>
      </c>
      <c r="F19" s="57">
        <v>12.5</v>
      </c>
      <c r="G19" s="58">
        <f t="shared" si="1"/>
        <v>62527.199999999997</v>
      </c>
      <c r="H19" s="58">
        <v>61651.455568156474</v>
      </c>
      <c r="I19" s="58">
        <f t="shared" si="2"/>
        <v>875.74443184352276</v>
      </c>
      <c r="J19" s="9">
        <f t="shared" si="8"/>
        <v>103.08370064073</v>
      </c>
      <c r="K19" s="10">
        <f t="shared" si="3"/>
        <v>12211562.16</v>
      </c>
      <c r="L19" s="10">
        <f t="shared" si="9"/>
        <v>11987357.76</v>
      </c>
      <c r="M19" s="10">
        <v>136968</v>
      </c>
      <c r="N19" s="18">
        <v>224204.4</v>
      </c>
      <c r="O19" s="12">
        <f t="shared" si="4"/>
        <v>11850389.76</v>
      </c>
      <c r="P19" s="12">
        <v>10531301.199999999</v>
      </c>
      <c r="Q19" s="12">
        <v>140795.29999999999</v>
      </c>
      <c r="R19" s="12">
        <f t="shared" si="5"/>
        <v>10672096.5</v>
      </c>
      <c r="S19" s="12">
        <v>505270</v>
      </c>
      <c r="T19" s="59">
        <f t="shared" si="6"/>
        <v>11177366.5</v>
      </c>
      <c r="U19" s="12">
        <f t="shared" si="7"/>
        <v>673023.25999999978</v>
      </c>
      <c r="V19" s="12">
        <f>O19-T19</f>
        <v>673023.25999999978</v>
      </c>
      <c r="W19" s="63">
        <f t="shared" si="10"/>
        <v>301325.59999999998</v>
      </c>
      <c r="X19" s="64">
        <v>70</v>
      </c>
      <c r="Y19" s="12">
        <f t="shared" ref="Y19:Y21" si="19">ROUND(W19*X19/100,0)</f>
        <v>210928</v>
      </c>
      <c r="Z19" s="12">
        <f t="shared" si="14"/>
        <v>90397.599999999977</v>
      </c>
      <c r="AA19" s="65">
        <f t="shared" si="15"/>
        <v>716198</v>
      </c>
      <c r="AB19" s="65">
        <f t="shared" si="11"/>
        <v>231192.89999999997</v>
      </c>
      <c r="AC19" s="19"/>
      <c r="AD19" s="15">
        <f t="shared" ref="AD19:AD21" si="20">ROUND(W19/0.644339374,1)</f>
        <v>467650.5</v>
      </c>
      <c r="AE19" s="20">
        <f t="shared" si="17"/>
        <v>205372.75999999978</v>
      </c>
      <c r="AF19" s="16"/>
      <c r="AG19" s="17">
        <v>11314334.5</v>
      </c>
      <c r="AH19" s="30">
        <f t="shared" si="18"/>
        <v>11519707.26</v>
      </c>
    </row>
    <row r="20" spans="1:34" s="1" customFormat="1" ht="15.75">
      <c r="A20" s="6">
        <v>12</v>
      </c>
      <c r="B20" s="7" t="s">
        <v>61</v>
      </c>
      <c r="C20" s="8">
        <v>42221.1460991071</v>
      </c>
      <c r="D20" s="29">
        <v>1.1483159418432798</v>
      </c>
      <c r="E20" s="8">
        <f t="shared" si="0"/>
        <v>48483.22</v>
      </c>
      <c r="F20" s="57">
        <v>37</v>
      </c>
      <c r="G20" s="58">
        <f t="shared" si="1"/>
        <v>49978.3</v>
      </c>
      <c r="H20" s="58">
        <v>49278.307150764049</v>
      </c>
      <c r="I20" s="58">
        <f t="shared" si="2"/>
        <v>699.99284923595405</v>
      </c>
      <c r="J20" s="9">
        <f t="shared" si="8"/>
        <v>103.08370064073</v>
      </c>
      <c r="K20" s="10">
        <f t="shared" si="3"/>
        <v>28891855.489999998</v>
      </c>
      <c r="L20" s="10">
        <f t="shared" si="9"/>
        <v>28136435.09</v>
      </c>
      <c r="M20" s="10">
        <v>95576</v>
      </c>
      <c r="N20" s="18">
        <v>755420.40000000014</v>
      </c>
      <c r="O20" s="12">
        <f t="shared" si="4"/>
        <v>28040859.09</v>
      </c>
      <c r="P20" s="12">
        <v>27819146.600000005</v>
      </c>
      <c r="Q20" s="12">
        <v>0</v>
      </c>
      <c r="R20" s="12">
        <f>P20+Q20</f>
        <v>27819146.600000005</v>
      </c>
      <c r="S20" s="12">
        <v>0</v>
      </c>
      <c r="T20" s="59">
        <f t="shared" si="6"/>
        <v>27819146.600000005</v>
      </c>
      <c r="U20" s="12">
        <f t="shared" si="7"/>
        <v>221712.48999999464</v>
      </c>
      <c r="V20" s="12">
        <f t="shared" ref="V20:V21" si="21">O20-T20</f>
        <v>221712.48999999464</v>
      </c>
      <c r="W20" s="63">
        <f t="shared" si="10"/>
        <v>99265</v>
      </c>
      <c r="X20" s="64">
        <v>70</v>
      </c>
      <c r="Y20" s="12">
        <f t="shared" si="19"/>
        <v>69486</v>
      </c>
      <c r="Z20" s="12">
        <f t="shared" si="14"/>
        <v>29779</v>
      </c>
      <c r="AA20" s="65">
        <f t="shared" si="15"/>
        <v>69486</v>
      </c>
      <c r="AB20" s="65">
        <f t="shared" si="11"/>
        <v>29779</v>
      </c>
      <c r="AC20" s="19"/>
      <c r="AD20" s="15">
        <f t="shared" si="20"/>
        <v>154057</v>
      </c>
      <c r="AE20" s="20">
        <f t="shared" si="17"/>
        <v>67655.489999994636</v>
      </c>
      <c r="AF20" s="16"/>
      <c r="AG20" s="17">
        <v>27914722.600000001</v>
      </c>
      <c r="AH20" s="30">
        <f t="shared" si="18"/>
        <v>27982378.089999996</v>
      </c>
    </row>
    <row r="21" spans="1:34" s="26" customFormat="1" ht="15.75">
      <c r="A21" s="66">
        <v>13</v>
      </c>
      <c r="B21" s="7" t="s">
        <v>62</v>
      </c>
      <c r="C21" s="8">
        <v>41749.041384764801</v>
      </c>
      <c r="D21" s="67">
        <v>1.1504730700012604</v>
      </c>
      <c r="E21" s="8">
        <f t="shared" si="0"/>
        <v>48031.15</v>
      </c>
      <c r="F21" s="68">
        <f>10.3+11</f>
        <v>21.3</v>
      </c>
      <c r="G21" s="69">
        <f t="shared" si="1"/>
        <v>49512.3</v>
      </c>
      <c r="H21" s="69">
        <v>48818.826214624518</v>
      </c>
      <c r="I21" s="58">
        <f t="shared" si="2"/>
        <v>693.47378537548502</v>
      </c>
      <c r="J21" s="70">
        <f t="shared" si="8"/>
        <v>103.08370064073</v>
      </c>
      <c r="K21" s="71">
        <f t="shared" si="3"/>
        <v>16477257.73</v>
      </c>
      <c r="L21" s="71">
        <f t="shared" si="9"/>
        <v>16347857.73</v>
      </c>
      <c r="M21" s="71">
        <v>0</v>
      </c>
      <c r="N21" s="72">
        <v>129400</v>
      </c>
      <c r="O21" s="12">
        <f t="shared" si="4"/>
        <v>16347857.73</v>
      </c>
      <c r="P21" s="63">
        <v>10669373.4</v>
      </c>
      <c r="Q21" s="63">
        <v>402491</v>
      </c>
      <c r="R21" s="12">
        <f t="shared" si="5"/>
        <v>11071864.4</v>
      </c>
      <c r="S21" s="63">
        <v>939147</v>
      </c>
      <c r="T21" s="59">
        <f t="shared" si="6"/>
        <v>12011011.4</v>
      </c>
      <c r="U21" s="12">
        <f t="shared" si="7"/>
        <v>4336846.33</v>
      </c>
      <c r="V21" s="12">
        <f t="shared" si="21"/>
        <v>4336846.33</v>
      </c>
      <c r="W21" s="63">
        <f t="shared" si="10"/>
        <v>1941690.7</v>
      </c>
      <c r="X21" s="64">
        <v>70</v>
      </c>
      <c r="Y21" s="12">
        <f t="shared" si="19"/>
        <v>1359183</v>
      </c>
      <c r="Z21" s="12">
        <f t="shared" si="14"/>
        <v>582507.69999999995</v>
      </c>
      <c r="AA21" s="65">
        <f t="shared" si="15"/>
        <v>2298330</v>
      </c>
      <c r="AB21" s="65">
        <f t="shared" si="11"/>
        <v>984998.7</v>
      </c>
      <c r="AC21" s="19"/>
      <c r="AD21" s="15">
        <f t="shared" si="20"/>
        <v>3013459.6</v>
      </c>
      <c r="AE21" s="20">
        <f t="shared" si="17"/>
        <v>1323386.73</v>
      </c>
      <c r="AF21" s="24"/>
      <c r="AG21" s="25">
        <v>12011011.4</v>
      </c>
      <c r="AH21" s="30">
        <f t="shared" si="18"/>
        <v>13334398.130000001</v>
      </c>
    </row>
    <row r="22" spans="1:34" s="1" customFormat="1" ht="15.75">
      <c r="A22" s="6">
        <v>14</v>
      </c>
      <c r="B22" s="7" t="s">
        <v>63</v>
      </c>
      <c r="C22" s="8">
        <v>53073.722432523333</v>
      </c>
      <c r="D22" s="29">
        <v>1.1065152694769902</v>
      </c>
      <c r="E22" s="8">
        <f t="shared" si="0"/>
        <v>58726.879999999997</v>
      </c>
      <c r="F22" s="57">
        <v>29</v>
      </c>
      <c r="G22" s="58">
        <f t="shared" si="1"/>
        <v>60537.8</v>
      </c>
      <c r="H22" s="58">
        <v>59689.965541108613</v>
      </c>
      <c r="I22" s="58">
        <f t="shared" si="2"/>
        <v>847.83445889138966</v>
      </c>
      <c r="J22" s="9">
        <f>$J$35</f>
        <v>103.08370064073</v>
      </c>
      <c r="K22" s="10">
        <f t="shared" si="3"/>
        <v>27429435.030000001</v>
      </c>
      <c r="L22" s="10">
        <f t="shared" si="9"/>
        <v>27429435.030000001</v>
      </c>
      <c r="M22" s="10">
        <v>1306791.2</v>
      </c>
      <c r="N22" s="18">
        <v>0</v>
      </c>
      <c r="O22" s="12">
        <f t="shared" si="4"/>
        <v>26122643.830000002</v>
      </c>
      <c r="P22" s="12">
        <v>29795183.600000001</v>
      </c>
      <c r="Q22" s="12">
        <v>0</v>
      </c>
      <c r="R22" s="12">
        <f t="shared" si="5"/>
        <v>29795183.600000001</v>
      </c>
      <c r="S22" s="12">
        <v>0</v>
      </c>
      <c r="T22" s="59">
        <f t="shared" si="6"/>
        <v>29795183.600000001</v>
      </c>
      <c r="U22" s="12">
        <f t="shared" si="7"/>
        <v>-3672539.7699999996</v>
      </c>
      <c r="V22" s="12"/>
      <c r="W22" s="63">
        <f t="shared" si="10"/>
        <v>0</v>
      </c>
      <c r="X22" s="64">
        <v>70</v>
      </c>
      <c r="Y22" s="12"/>
      <c r="Z22" s="12">
        <f t="shared" si="14"/>
        <v>0</v>
      </c>
      <c r="AA22" s="65">
        <f t="shared" si="15"/>
        <v>0</v>
      </c>
      <c r="AB22" s="65">
        <f t="shared" si="11"/>
        <v>0</v>
      </c>
      <c r="AC22" s="19"/>
      <c r="AD22" s="15"/>
      <c r="AE22" s="20">
        <f t="shared" si="17"/>
        <v>0</v>
      </c>
      <c r="AF22" s="16"/>
      <c r="AG22" s="17">
        <v>29795183.600000001</v>
      </c>
      <c r="AH22" s="30">
        <f t="shared" si="18"/>
        <v>29795183.600000001</v>
      </c>
    </row>
    <row r="23" spans="1:34" s="27" customFormat="1" ht="15.75">
      <c r="A23" s="6">
        <v>15</v>
      </c>
      <c r="B23" s="7" t="s">
        <v>64</v>
      </c>
      <c r="C23" s="8">
        <v>47358.569922890303</v>
      </c>
      <c r="D23" s="29">
        <v>1.1420063974427723</v>
      </c>
      <c r="E23" s="8">
        <f t="shared" si="0"/>
        <v>54083.79</v>
      </c>
      <c r="F23" s="57">
        <v>0</v>
      </c>
      <c r="G23" s="58">
        <f t="shared" si="1"/>
        <v>55751.6</v>
      </c>
      <c r="H23" s="58">
        <v>54970.72747226464</v>
      </c>
      <c r="I23" s="58">
        <f t="shared" si="2"/>
        <v>780.87252773535874</v>
      </c>
      <c r="J23" s="9">
        <f t="shared" si="8"/>
        <v>103.08370064073</v>
      </c>
      <c r="K23" s="10">
        <f t="shared" si="3"/>
        <v>0</v>
      </c>
      <c r="L23" s="10">
        <f t="shared" si="9"/>
        <v>0</v>
      </c>
      <c r="M23" s="10">
        <v>0</v>
      </c>
      <c r="N23" s="18">
        <v>0</v>
      </c>
      <c r="O23" s="12">
        <f t="shared" si="4"/>
        <v>0</v>
      </c>
      <c r="P23" s="12">
        <v>0</v>
      </c>
      <c r="Q23" s="12">
        <v>0</v>
      </c>
      <c r="R23" s="12">
        <f t="shared" si="5"/>
        <v>0</v>
      </c>
      <c r="S23" s="12">
        <v>0</v>
      </c>
      <c r="T23" s="59">
        <f t="shared" si="6"/>
        <v>0</v>
      </c>
      <c r="U23" s="12">
        <f t="shared" si="7"/>
        <v>0</v>
      </c>
      <c r="V23" s="12">
        <f>O23-T23</f>
        <v>0</v>
      </c>
      <c r="W23" s="63">
        <f t="shared" si="10"/>
        <v>0</v>
      </c>
      <c r="X23" s="64">
        <v>70</v>
      </c>
      <c r="Y23" s="12"/>
      <c r="Z23" s="12">
        <f t="shared" si="14"/>
        <v>0</v>
      </c>
      <c r="AA23" s="65">
        <f t="shared" si="15"/>
        <v>0</v>
      </c>
      <c r="AB23" s="65">
        <f t="shared" si="11"/>
        <v>0</v>
      </c>
      <c r="AC23" s="19"/>
      <c r="AD23" s="15">
        <f t="shared" ref="AD23" si="22">L23-U23</f>
        <v>0</v>
      </c>
      <c r="AE23" s="20">
        <f t="shared" si="17"/>
        <v>0</v>
      </c>
      <c r="AF23" s="14"/>
      <c r="AG23" s="17">
        <v>0</v>
      </c>
      <c r="AH23" s="30">
        <f t="shared" si="18"/>
        <v>0</v>
      </c>
    </row>
    <row r="24" spans="1:34" s="1" customFormat="1" ht="15.75">
      <c r="A24" s="6">
        <v>16</v>
      </c>
      <c r="B24" s="7" t="s">
        <v>65</v>
      </c>
      <c r="C24" s="8">
        <v>46917.725580936763</v>
      </c>
      <c r="D24" s="29">
        <v>1.1189536648817757</v>
      </c>
      <c r="E24" s="8">
        <f t="shared" si="0"/>
        <v>52498.76</v>
      </c>
      <c r="F24" s="57">
        <v>22.1</v>
      </c>
      <c r="G24" s="58">
        <f t="shared" si="1"/>
        <v>54117.7</v>
      </c>
      <c r="H24" s="58">
        <v>53359.70523022495</v>
      </c>
      <c r="I24" s="58">
        <f t="shared" si="2"/>
        <v>757.99476977504673</v>
      </c>
      <c r="J24" s="9">
        <f t="shared" si="8"/>
        <v>103.08370064073</v>
      </c>
      <c r="K24" s="10">
        <f t="shared" si="3"/>
        <v>18686322.280000001</v>
      </c>
      <c r="L24" s="10">
        <f t="shared" si="9"/>
        <v>18553648.48</v>
      </c>
      <c r="M24" s="10">
        <v>742560</v>
      </c>
      <c r="N24" s="18">
        <v>132673.79999999999</v>
      </c>
      <c r="O24" s="12">
        <f t="shared" si="4"/>
        <v>17811088.48</v>
      </c>
      <c r="P24" s="12">
        <v>16507037.4</v>
      </c>
      <c r="Q24" s="12">
        <v>135394.96000000089</v>
      </c>
      <c r="R24" s="12">
        <f t="shared" si="5"/>
        <v>16642432.360000001</v>
      </c>
      <c r="S24" s="12">
        <v>906926</v>
      </c>
      <c r="T24" s="59">
        <f t="shared" si="6"/>
        <v>17549358.359999999</v>
      </c>
      <c r="U24" s="12">
        <f t="shared" si="7"/>
        <v>261730.12000000104</v>
      </c>
      <c r="V24" s="12">
        <f t="shared" ref="V24:V32" si="23">O24-T24</f>
        <v>261730.12000000104</v>
      </c>
      <c r="W24" s="63">
        <f t="shared" si="10"/>
        <v>117181.7</v>
      </c>
      <c r="X24" s="64">
        <v>70</v>
      </c>
      <c r="Y24" s="12">
        <f t="shared" ref="Y24:Y32" si="24">ROUND(W24*X24/100,0)</f>
        <v>82027</v>
      </c>
      <c r="Z24" s="12">
        <f t="shared" si="14"/>
        <v>35154.699999999997</v>
      </c>
      <c r="AA24" s="65">
        <f t="shared" si="15"/>
        <v>988953</v>
      </c>
      <c r="AB24" s="65">
        <f t="shared" si="11"/>
        <v>170549.66000000091</v>
      </c>
      <c r="AC24" s="19"/>
      <c r="AD24" s="15">
        <f t="shared" ref="AD24:AD31" si="25">ROUND(W24/0.644339374,1)</f>
        <v>181863.3</v>
      </c>
      <c r="AE24" s="20">
        <f t="shared" si="17"/>
        <v>79866.820000001055</v>
      </c>
      <c r="AF24" s="16"/>
      <c r="AG24" s="17">
        <v>18291918.399999999</v>
      </c>
      <c r="AH24" s="30">
        <f t="shared" si="18"/>
        <v>18371785.219999999</v>
      </c>
    </row>
    <row r="25" spans="1:34" s="1" customFormat="1" ht="15.75">
      <c r="A25" s="6">
        <v>17</v>
      </c>
      <c r="B25" s="7" t="s">
        <v>66</v>
      </c>
      <c r="C25" s="8">
        <v>49455.915814610606</v>
      </c>
      <c r="D25" s="29">
        <v>1.1124561308122503</v>
      </c>
      <c r="E25" s="8">
        <f t="shared" si="0"/>
        <v>55017.54</v>
      </c>
      <c r="F25" s="57">
        <v>24</v>
      </c>
      <c r="G25" s="58">
        <f t="shared" si="1"/>
        <v>56714.1</v>
      </c>
      <c r="H25" s="58">
        <v>55919.787218808313</v>
      </c>
      <c r="I25" s="58">
        <f t="shared" si="2"/>
        <v>794.31278119168564</v>
      </c>
      <c r="J25" s="9">
        <f t="shared" si="8"/>
        <v>103.08370064073</v>
      </c>
      <c r="K25" s="10">
        <f t="shared" si="3"/>
        <v>21266426.359999999</v>
      </c>
      <c r="L25" s="10">
        <f t="shared" si="9"/>
        <v>20774140.16</v>
      </c>
      <c r="M25" s="71">
        <v>1603576</v>
      </c>
      <c r="N25" s="72">
        <v>492286.20000000007</v>
      </c>
      <c r="O25" s="12">
        <f t="shared" si="4"/>
        <v>19170564.16</v>
      </c>
      <c r="P25" s="12">
        <v>16557763.348000001</v>
      </c>
      <c r="Q25" s="12">
        <v>321048.37200000137</v>
      </c>
      <c r="R25" s="12">
        <f t="shared" si="5"/>
        <v>16878811.720000003</v>
      </c>
      <c r="S25" s="12">
        <v>1993909</v>
      </c>
      <c r="T25" s="59">
        <f t="shared" si="6"/>
        <v>18872720.720000003</v>
      </c>
      <c r="U25" s="12">
        <f t="shared" si="7"/>
        <v>297843.43999999762</v>
      </c>
      <c r="V25" s="12">
        <f t="shared" si="23"/>
        <v>297843.43999999762</v>
      </c>
      <c r="W25" s="63">
        <f t="shared" si="10"/>
        <v>133350.29999999999</v>
      </c>
      <c r="X25" s="64">
        <v>70</v>
      </c>
      <c r="Y25" s="12">
        <f t="shared" si="24"/>
        <v>93345</v>
      </c>
      <c r="Z25" s="12">
        <f t="shared" si="14"/>
        <v>40005.299999999988</v>
      </c>
      <c r="AA25" s="65">
        <f t="shared" si="15"/>
        <v>2087254</v>
      </c>
      <c r="AB25" s="65">
        <f t="shared" si="11"/>
        <v>361053.67200000136</v>
      </c>
      <c r="AC25" s="19"/>
      <c r="AD25" s="15">
        <f t="shared" si="25"/>
        <v>206956.6</v>
      </c>
      <c r="AE25" s="20">
        <f t="shared" si="17"/>
        <v>90886.83999999761</v>
      </c>
      <c r="AF25" s="16"/>
      <c r="AG25" s="17">
        <v>20476296.699999999</v>
      </c>
      <c r="AH25" s="30">
        <f t="shared" si="18"/>
        <v>20567183.539999995</v>
      </c>
    </row>
    <row r="26" spans="1:34" s="1" customFormat="1" ht="15.75">
      <c r="A26" s="6">
        <v>18</v>
      </c>
      <c r="B26" s="7" t="s">
        <v>67</v>
      </c>
      <c r="C26" s="8">
        <v>52845.096804245411</v>
      </c>
      <c r="D26" s="29">
        <v>1.1084449999999999</v>
      </c>
      <c r="E26" s="8">
        <f t="shared" si="0"/>
        <v>58575.88</v>
      </c>
      <c r="F26" s="57">
        <v>4</v>
      </c>
      <c r="G26" s="58">
        <f t="shared" si="1"/>
        <v>60382.2</v>
      </c>
      <c r="H26" s="58">
        <v>59536.450599074044</v>
      </c>
      <c r="I26" s="58">
        <f t="shared" si="2"/>
        <v>845.74940092595352</v>
      </c>
      <c r="J26" s="9">
        <f t="shared" si="8"/>
        <v>103.08370064073</v>
      </c>
      <c r="K26" s="10">
        <f t="shared" si="3"/>
        <v>3773645.97</v>
      </c>
      <c r="L26" s="10">
        <f t="shared" si="9"/>
        <v>3773645.97</v>
      </c>
      <c r="M26" s="10">
        <v>166920</v>
      </c>
      <c r="N26" s="18">
        <v>0</v>
      </c>
      <c r="O26" s="12">
        <f t="shared" si="4"/>
        <v>3606725.97</v>
      </c>
      <c r="P26" s="12">
        <v>3348480.8000000003</v>
      </c>
      <c r="Q26" s="12">
        <v>4954.2999999998137</v>
      </c>
      <c r="R26" s="12">
        <f t="shared" si="5"/>
        <v>3353435.1</v>
      </c>
      <c r="S26" s="12">
        <v>200438</v>
      </c>
      <c r="T26" s="59">
        <f t="shared" si="6"/>
        <v>3553873.1</v>
      </c>
      <c r="U26" s="12">
        <f t="shared" si="7"/>
        <v>52852.870000000112</v>
      </c>
      <c r="V26" s="12">
        <f t="shared" si="23"/>
        <v>52852.870000000112</v>
      </c>
      <c r="W26" s="63">
        <f t="shared" si="10"/>
        <v>23663.3</v>
      </c>
      <c r="X26" s="64">
        <v>70</v>
      </c>
      <c r="Y26" s="12">
        <f t="shared" si="24"/>
        <v>16564</v>
      </c>
      <c r="Z26" s="12">
        <f t="shared" si="14"/>
        <v>7099.2999999999993</v>
      </c>
      <c r="AA26" s="65">
        <f t="shared" si="15"/>
        <v>217002</v>
      </c>
      <c r="AB26" s="65">
        <f t="shared" si="11"/>
        <v>12053.599999999813</v>
      </c>
      <c r="AC26" s="19"/>
      <c r="AD26" s="15">
        <f t="shared" si="25"/>
        <v>36724.9</v>
      </c>
      <c r="AE26" s="20">
        <f t="shared" si="17"/>
        <v>16127.97000000011</v>
      </c>
      <c r="AF26" s="16"/>
      <c r="AG26" s="17">
        <v>3720793.1</v>
      </c>
      <c r="AH26" s="30">
        <f t="shared" si="18"/>
        <v>3736921.0700000003</v>
      </c>
    </row>
    <row r="27" spans="1:34" s="23" customFormat="1" ht="15.75">
      <c r="A27" s="6">
        <v>19</v>
      </c>
      <c r="B27" s="7" t="s">
        <v>68</v>
      </c>
      <c r="C27" s="8">
        <v>45268.053846062263</v>
      </c>
      <c r="D27" s="29">
        <v>1.1257154582148967</v>
      </c>
      <c r="E27" s="8">
        <f t="shared" si="0"/>
        <v>50958.95</v>
      </c>
      <c r="F27" s="57">
        <v>17</v>
      </c>
      <c r="G27" s="58">
        <f t="shared" si="1"/>
        <v>52530.400000000001</v>
      </c>
      <c r="H27" s="58">
        <v>51794.640327362911</v>
      </c>
      <c r="I27" s="58">
        <f t="shared" si="2"/>
        <v>735.75967263709026</v>
      </c>
      <c r="J27" s="9">
        <f t="shared" si="8"/>
        <v>103.08370064073</v>
      </c>
      <c r="K27" s="10">
        <f t="shared" si="3"/>
        <v>13952494.48</v>
      </c>
      <c r="L27" s="10">
        <f t="shared" si="9"/>
        <v>13952494.48</v>
      </c>
      <c r="M27" s="10">
        <v>0</v>
      </c>
      <c r="N27" s="18">
        <v>0</v>
      </c>
      <c r="O27" s="12">
        <f t="shared" si="4"/>
        <v>13952494.48</v>
      </c>
      <c r="P27" s="12">
        <v>13184617.6</v>
      </c>
      <c r="Q27" s="12">
        <v>42294</v>
      </c>
      <c r="R27" s="12">
        <f t="shared" si="5"/>
        <v>13226911.6</v>
      </c>
      <c r="S27" s="12">
        <v>98685</v>
      </c>
      <c r="T27" s="59">
        <f t="shared" si="6"/>
        <v>13325596.6</v>
      </c>
      <c r="U27" s="12">
        <f t="shared" si="7"/>
        <v>626897.88000000082</v>
      </c>
      <c r="V27" s="12">
        <f t="shared" si="23"/>
        <v>626897.88000000082</v>
      </c>
      <c r="W27" s="63">
        <f>ROUND(V27*0.44771951,1)</f>
        <v>280674.40000000002</v>
      </c>
      <c r="X27" s="64">
        <v>70</v>
      </c>
      <c r="Y27" s="12">
        <f t="shared" si="24"/>
        <v>196472</v>
      </c>
      <c r="Z27" s="12">
        <f t="shared" si="14"/>
        <v>84202.400000000023</v>
      </c>
      <c r="AA27" s="65">
        <f t="shared" si="15"/>
        <v>295157</v>
      </c>
      <c r="AB27" s="65">
        <f t="shared" si="11"/>
        <v>126496.40000000002</v>
      </c>
      <c r="AC27" s="19"/>
      <c r="AD27" s="15">
        <f t="shared" si="25"/>
        <v>435600.3</v>
      </c>
      <c r="AE27" s="20">
        <f t="shared" si="17"/>
        <v>191297.58000000083</v>
      </c>
      <c r="AF27" s="21"/>
      <c r="AG27" s="22">
        <v>13325596.6</v>
      </c>
      <c r="AH27" s="30">
        <f t="shared" si="18"/>
        <v>13516894.18</v>
      </c>
    </row>
    <row r="28" spans="1:34" s="1" customFormat="1" ht="15.75">
      <c r="A28" s="6">
        <v>20</v>
      </c>
      <c r="B28" s="7" t="s">
        <v>69</v>
      </c>
      <c r="C28" s="8">
        <v>39662.250224645679</v>
      </c>
      <c r="D28" s="29">
        <v>1.1519256776757327</v>
      </c>
      <c r="E28" s="8">
        <f t="shared" si="0"/>
        <v>45687.96</v>
      </c>
      <c r="F28" s="57">
        <v>318.7</v>
      </c>
      <c r="G28" s="58">
        <f t="shared" si="1"/>
        <v>47096.800000000003</v>
      </c>
      <c r="H28" s="58">
        <v>46437.216246071417</v>
      </c>
      <c r="I28" s="58">
        <f t="shared" si="2"/>
        <v>659.58375392858579</v>
      </c>
      <c r="J28" s="9">
        <f t="shared" si="8"/>
        <v>103.08370064073</v>
      </c>
      <c r="K28" s="10">
        <f t="shared" si="3"/>
        <v>234512336.5</v>
      </c>
      <c r="L28" s="10">
        <f t="shared" si="9"/>
        <v>225930984.69999999</v>
      </c>
      <c r="M28" s="10">
        <v>0</v>
      </c>
      <c r="N28" s="18">
        <v>8581351.8000000007</v>
      </c>
      <c r="O28" s="12">
        <f t="shared" si="4"/>
        <v>225930984.69999999</v>
      </c>
      <c r="P28" s="12">
        <v>194373556.58000001</v>
      </c>
      <c r="Q28" s="12">
        <v>3407464.6</v>
      </c>
      <c r="R28" s="12">
        <f t="shared" si="5"/>
        <v>197781021.18000001</v>
      </c>
      <c r="S28" s="12">
        <v>16612216</v>
      </c>
      <c r="T28" s="59">
        <f t="shared" si="6"/>
        <v>214393237.18000001</v>
      </c>
      <c r="U28" s="12">
        <f t="shared" si="7"/>
        <v>11537747.519999981</v>
      </c>
      <c r="V28" s="12">
        <f t="shared" si="23"/>
        <v>11537747.519999981</v>
      </c>
      <c r="W28" s="63">
        <f t="shared" si="10"/>
        <v>5165674.7</v>
      </c>
      <c r="X28" s="64">
        <v>70</v>
      </c>
      <c r="Y28" s="12">
        <f t="shared" si="24"/>
        <v>3615972</v>
      </c>
      <c r="Z28" s="12">
        <f t="shared" si="14"/>
        <v>1549702.7000000002</v>
      </c>
      <c r="AA28" s="65">
        <f t="shared" si="15"/>
        <v>20228188</v>
      </c>
      <c r="AB28" s="65">
        <f t="shared" si="11"/>
        <v>4957167.3000000007</v>
      </c>
      <c r="AC28" s="19"/>
      <c r="AD28" s="15">
        <f t="shared" si="25"/>
        <v>8017009.2000000002</v>
      </c>
      <c r="AE28" s="20">
        <f t="shared" si="17"/>
        <v>3520738.3199999807</v>
      </c>
      <c r="AF28" s="16"/>
      <c r="AG28" s="17">
        <v>214393237.19999999</v>
      </c>
      <c r="AH28" s="30">
        <f t="shared" si="18"/>
        <v>217913975.51999998</v>
      </c>
    </row>
    <row r="29" spans="1:34" s="1" customFormat="1" ht="15.75">
      <c r="A29" s="6">
        <v>21</v>
      </c>
      <c r="B29" s="7" t="s">
        <v>70</v>
      </c>
      <c r="C29" s="8">
        <v>47205</v>
      </c>
      <c r="D29" s="29">
        <v>1.125763748180393</v>
      </c>
      <c r="E29" s="8">
        <f t="shared" si="0"/>
        <v>53141.68</v>
      </c>
      <c r="F29" s="57">
        <v>365.70000000000005</v>
      </c>
      <c r="G29" s="58">
        <f t="shared" si="1"/>
        <v>54780.4</v>
      </c>
      <c r="H29" s="58">
        <v>54013.16537704182</v>
      </c>
      <c r="I29" s="58">
        <f t="shared" si="2"/>
        <v>767.23462295818172</v>
      </c>
      <c r="J29" s="9">
        <f t="shared" si="8"/>
        <v>103.08370064073</v>
      </c>
      <c r="K29" s="10">
        <f t="shared" si="3"/>
        <v>312998596.18000001</v>
      </c>
      <c r="L29" s="10">
        <f t="shared" si="9"/>
        <v>306229628.38</v>
      </c>
      <c r="M29" s="10">
        <v>0</v>
      </c>
      <c r="N29" s="18">
        <v>6768967.7999999998</v>
      </c>
      <c r="O29" s="12">
        <f t="shared" si="4"/>
        <v>306229628.38</v>
      </c>
      <c r="P29" s="12">
        <v>293175927.80000001</v>
      </c>
      <c r="Q29" s="12">
        <v>1985262.3999999762</v>
      </c>
      <c r="R29" s="12">
        <f t="shared" si="5"/>
        <v>295161190.19999999</v>
      </c>
      <c r="S29" s="12">
        <v>6684890</v>
      </c>
      <c r="T29" s="59">
        <f t="shared" si="6"/>
        <v>301846080.19999999</v>
      </c>
      <c r="U29" s="12">
        <f t="shared" si="7"/>
        <v>4383548.1800000072</v>
      </c>
      <c r="V29" s="12">
        <f t="shared" si="23"/>
        <v>4383548.1800000072</v>
      </c>
      <c r="W29" s="63">
        <f t="shared" si="10"/>
        <v>1962600</v>
      </c>
      <c r="X29" s="64">
        <v>70</v>
      </c>
      <c r="Y29" s="12">
        <f t="shared" si="24"/>
        <v>1373820</v>
      </c>
      <c r="Z29" s="12">
        <f t="shared" si="14"/>
        <v>588780</v>
      </c>
      <c r="AA29" s="65">
        <f t="shared" si="15"/>
        <v>8058710</v>
      </c>
      <c r="AB29" s="65">
        <f t="shared" si="11"/>
        <v>2574042.3999999762</v>
      </c>
      <c r="AC29" s="19"/>
      <c r="AD29" s="15">
        <f t="shared" si="25"/>
        <v>3045910.4</v>
      </c>
      <c r="AE29" s="20">
        <f t="shared" si="17"/>
        <v>1337637.7800000072</v>
      </c>
      <c r="AF29" s="16"/>
      <c r="AG29" s="17">
        <v>301846080.19999999</v>
      </c>
      <c r="AH29" s="30">
        <f t="shared" si="18"/>
        <v>303183717.98000002</v>
      </c>
    </row>
    <row r="30" spans="1:34" s="1" customFormat="1" ht="15.75">
      <c r="A30" s="6">
        <v>22</v>
      </c>
      <c r="B30" s="7" t="s">
        <v>71</v>
      </c>
      <c r="C30" s="8">
        <v>38468.4722018842</v>
      </c>
      <c r="D30" s="29">
        <v>1.1578288068301841</v>
      </c>
      <c r="E30" s="8">
        <f t="shared" si="0"/>
        <v>44539.91</v>
      </c>
      <c r="F30" s="57">
        <v>103.8</v>
      </c>
      <c r="G30" s="58">
        <f t="shared" si="1"/>
        <v>45913.4</v>
      </c>
      <c r="H30" s="58">
        <v>45270.329652081076</v>
      </c>
      <c r="I30" s="58">
        <f t="shared" si="2"/>
        <v>643.07034791892511</v>
      </c>
      <c r="J30" s="9">
        <f>$J$35</f>
        <v>103.08370064073</v>
      </c>
      <c r="K30" s="10">
        <f t="shared" si="3"/>
        <v>74461029.810000002</v>
      </c>
      <c r="L30" s="10">
        <f>K30-N30</f>
        <v>70614140.609999999</v>
      </c>
      <c r="M30" s="10">
        <v>972920</v>
      </c>
      <c r="N30" s="18">
        <v>3846889.2</v>
      </c>
      <c r="O30" s="12">
        <f t="shared" si="4"/>
        <v>69641220.609999999</v>
      </c>
      <c r="P30" s="12">
        <v>62409043.200000003</v>
      </c>
      <c r="Q30" s="12">
        <v>660390.40000000002</v>
      </c>
      <c r="R30" s="12">
        <f t="shared" si="5"/>
        <v>63069433.600000001</v>
      </c>
      <c r="S30" s="12">
        <v>4183481</v>
      </c>
      <c r="T30" s="59">
        <f t="shared" si="6"/>
        <v>67252914.599999994</v>
      </c>
      <c r="U30" s="12">
        <f t="shared" si="7"/>
        <v>2388306.0100000054</v>
      </c>
      <c r="V30" s="12">
        <f t="shared" si="23"/>
        <v>2388306.0100000054</v>
      </c>
      <c r="W30" s="63">
        <f t="shared" si="10"/>
        <v>1069291.2</v>
      </c>
      <c r="X30" s="64">
        <v>70</v>
      </c>
      <c r="Y30" s="12">
        <f>ROUND(W30*X30/100,0)</f>
        <v>748504</v>
      </c>
      <c r="Z30" s="12">
        <f t="shared" si="14"/>
        <v>320787.19999999995</v>
      </c>
      <c r="AA30" s="65">
        <f t="shared" si="15"/>
        <v>4931985</v>
      </c>
      <c r="AB30" s="65">
        <f t="shared" si="11"/>
        <v>981177.6</v>
      </c>
      <c r="AC30" s="19"/>
      <c r="AD30" s="15">
        <f t="shared" si="25"/>
        <v>1659515.5</v>
      </c>
      <c r="AE30" s="20">
        <f t="shared" si="17"/>
        <v>728790.51000000536</v>
      </c>
      <c r="AF30" s="16"/>
      <c r="AG30" s="17">
        <v>68225834.599999994</v>
      </c>
      <c r="AH30" s="30">
        <f t="shared" si="18"/>
        <v>68954625.109999999</v>
      </c>
    </row>
    <row r="31" spans="1:34" s="23" customFormat="1" ht="15.75">
      <c r="A31" s="6">
        <v>23</v>
      </c>
      <c r="B31" s="7" t="s">
        <v>72</v>
      </c>
      <c r="C31" s="8">
        <v>41933.315215391493</v>
      </c>
      <c r="D31" s="29">
        <v>1.1274371948919546</v>
      </c>
      <c r="E31" s="8">
        <f t="shared" si="0"/>
        <v>47277.18</v>
      </c>
      <c r="F31" s="57">
        <v>73.3</v>
      </c>
      <c r="G31" s="58">
        <f t="shared" si="1"/>
        <v>48735.1</v>
      </c>
      <c r="H31" s="58">
        <v>48052.493107040049</v>
      </c>
      <c r="I31" s="58">
        <f t="shared" si="2"/>
        <v>682.60689295994962</v>
      </c>
      <c r="J31" s="9">
        <f>$J$35</f>
        <v>103.08370064073</v>
      </c>
      <c r="K31" s="10">
        <f t="shared" si="3"/>
        <v>55813346.939999998</v>
      </c>
      <c r="L31" s="10">
        <f t="shared" si="9"/>
        <v>55233696.539999999</v>
      </c>
      <c r="M31" s="10">
        <v>0</v>
      </c>
      <c r="N31" s="18">
        <v>579650.4</v>
      </c>
      <c r="O31" s="12">
        <f t="shared" si="4"/>
        <v>55233696.539999999</v>
      </c>
      <c r="P31" s="12">
        <v>48261185</v>
      </c>
      <c r="Q31" s="12">
        <v>457392.5</v>
      </c>
      <c r="R31" s="12">
        <f t="shared" si="5"/>
        <v>48718577.5</v>
      </c>
      <c r="S31" s="12">
        <v>1067248</v>
      </c>
      <c r="T31" s="59">
        <f t="shared" si="6"/>
        <v>49785825.5</v>
      </c>
      <c r="U31" s="12">
        <f t="shared" si="7"/>
        <v>5447871.0399999991</v>
      </c>
      <c r="V31" s="12">
        <f t="shared" si="23"/>
        <v>5447871.0399999991</v>
      </c>
      <c r="W31" s="63">
        <f>ROUND(V31*0.44771951,1)</f>
        <v>2439118.2000000002</v>
      </c>
      <c r="X31" s="64">
        <v>70</v>
      </c>
      <c r="Y31" s="12">
        <f t="shared" si="24"/>
        <v>1707383</v>
      </c>
      <c r="Z31" s="12">
        <f t="shared" si="14"/>
        <v>731735.20000000019</v>
      </c>
      <c r="AA31" s="65">
        <f t="shared" si="15"/>
        <v>2774631</v>
      </c>
      <c r="AB31" s="65">
        <f t="shared" si="11"/>
        <v>1189127.7000000002</v>
      </c>
      <c r="AC31" s="19"/>
      <c r="AD31" s="15">
        <f t="shared" si="25"/>
        <v>3785455.8</v>
      </c>
      <c r="AE31" s="20">
        <f t="shared" si="17"/>
        <v>1662415.2399999993</v>
      </c>
      <c r="AF31" s="21"/>
      <c r="AG31" s="22">
        <v>49785825.5</v>
      </c>
      <c r="AH31" s="30">
        <f t="shared" si="18"/>
        <v>51448240.740000002</v>
      </c>
    </row>
    <row r="32" spans="1:34" s="1" customFormat="1" ht="15.75">
      <c r="A32" s="6">
        <v>24</v>
      </c>
      <c r="B32" s="7" t="s">
        <v>73</v>
      </c>
      <c r="C32" s="8">
        <v>37139.090852613626</v>
      </c>
      <c r="D32" s="29">
        <v>1.1523077858652293</v>
      </c>
      <c r="E32" s="8">
        <f t="shared" si="0"/>
        <v>42795.66</v>
      </c>
      <c r="F32" s="57">
        <v>50.7</v>
      </c>
      <c r="G32" s="58">
        <f t="shared" si="1"/>
        <v>44115.4</v>
      </c>
      <c r="H32" s="58">
        <v>43497.48354456044</v>
      </c>
      <c r="I32" s="58">
        <f t="shared" si="2"/>
        <v>617.9164554395611</v>
      </c>
      <c r="J32" s="9">
        <f t="shared" si="8"/>
        <v>103.08370064073</v>
      </c>
      <c r="K32" s="10">
        <f t="shared" si="3"/>
        <v>34945431.789999999</v>
      </c>
      <c r="L32" s="10">
        <f t="shared" si="9"/>
        <v>31276786.390000001</v>
      </c>
      <c r="M32" s="10">
        <v>0</v>
      </c>
      <c r="N32" s="18">
        <v>3668645.4</v>
      </c>
      <c r="O32" s="12">
        <f t="shared" si="4"/>
        <v>31276786.390000001</v>
      </c>
      <c r="P32" s="12">
        <v>28269133.199999999</v>
      </c>
      <c r="Q32" s="12">
        <v>241580.40000000002</v>
      </c>
      <c r="R32" s="12">
        <f>P32+Q32</f>
        <v>28510713.599999998</v>
      </c>
      <c r="S32" s="12">
        <v>1011616</v>
      </c>
      <c r="T32" s="59">
        <f>R32+S32</f>
        <v>29522329.599999998</v>
      </c>
      <c r="U32" s="12">
        <f t="shared" si="7"/>
        <v>1754456.7900000028</v>
      </c>
      <c r="V32" s="12">
        <f t="shared" si="23"/>
        <v>1754456.7900000028</v>
      </c>
      <c r="W32" s="63">
        <f>ROUND(V32*0.44771951,1)</f>
        <v>785504.5</v>
      </c>
      <c r="X32" s="64">
        <v>70</v>
      </c>
      <c r="Y32" s="12">
        <f t="shared" si="24"/>
        <v>549853</v>
      </c>
      <c r="Z32" s="12">
        <f t="shared" si="14"/>
        <v>235651.5</v>
      </c>
      <c r="AA32" s="65">
        <f t="shared" si="15"/>
        <v>1561469</v>
      </c>
      <c r="AB32" s="65">
        <f t="shared" si="11"/>
        <v>477231.9</v>
      </c>
      <c r="AC32" s="19"/>
      <c r="AD32" s="15">
        <f>ROUND(W32/0.644339374,1)</f>
        <v>1219085.1000000001</v>
      </c>
      <c r="AE32" s="20">
        <f t="shared" si="17"/>
        <v>535371.69000000274</v>
      </c>
      <c r="AF32" s="16"/>
      <c r="AG32" s="17">
        <v>44427.1</v>
      </c>
      <c r="AH32" s="30">
        <f t="shared" si="18"/>
        <v>579798.79000000271</v>
      </c>
    </row>
    <row r="33" spans="1:47" s="1" customFormat="1" ht="15.75">
      <c r="A33" s="6">
        <v>25</v>
      </c>
      <c r="B33" s="7" t="s">
        <v>74</v>
      </c>
      <c r="C33" s="8">
        <v>33294.017647200155</v>
      </c>
      <c r="D33" s="29">
        <v>1.1602978988036572</v>
      </c>
      <c r="E33" s="8">
        <f t="shared" si="0"/>
        <v>38630.980000000003</v>
      </c>
      <c r="F33" s="57">
        <v>50.7</v>
      </c>
      <c r="G33" s="58">
        <f t="shared" si="1"/>
        <v>39822.199999999997</v>
      </c>
      <c r="H33" s="58">
        <v>39264.500693855553</v>
      </c>
      <c r="I33" s="58">
        <f t="shared" si="2"/>
        <v>557.69930614444456</v>
      </c>
      <c r="J33" s="9">
        <f t="shared" si="8"/>
        <v>103.08370064073</v>
      </c>
      <c r="K33" s="10">
        <f>ROUND(F33*G33*12*1.302,2)</f>
        <v>31544630.079999998</v>
      </c>
      <c r="L33" s="10">
        <f t="shared" si="9"/>
        <v>31544630.079999998</v>
      </c>
      <c r="M33" s="10">
        <v>0</v>
      </c>
      <c r="N33" s="18">
        <v>0</v>
      </c>
      <c r="O33" s="12">
        <f t="shared" si="4"/>
        <v>31544630.079999998</v>
      </c>
      <c r="P33" s="12">
        <v>34487390</v>
      </c>
      <c r="Q33" s="12">
        <v>0</v>
      </c>
      <c r="R33" s="12">
        <f t="shared" si="5"/>
        <v>34487390</v>
      </c>
      <c r="S33" s="59">
        <v>0</v>
      </c>
      <c r="T33" s="59">
        <f t="shared" si="6"/>
        <v>34487390</v>
      </c>
      <c r="U33" s="12">
        <f t="shared" si="7"/>
        <v>-2942759.9200000018</v>
      </c>
      <c r="V33" s="12"/>
      <c r="W33" s="13"/>
      <c r="X33" s="64">
        <v>70</v>
      </c>
      <c r="Y33" s="61"/>
      <c r="Z33" s="61"/>
      <c r="AA33" s="65">
        <f>S33+W33</f>
        <v>0</v>
      </c>
      <c r="AB33" s="65">
        <f t="shared" si="11"/>
        <v>0</v>
      </c>
      <c r="AC33" s="15"/>
      <c r="AD33" s="15"/>
      <c r="AE33" s="17"/>
      <c r="AF33" s="16"/>
      <c r="AG33" s="17"/>
    </row>
    <row r="34" spans="1:47" s="1" customFormat="1" ht="15.75">
      <c r="A34" s="6">
        <v>26</v>
      </c>
      <c r="B34" s="28" t="s">
        <v>75</v>
      </c>
      <c r="C34" s="8"/>
      <c r="D34" s="29"/>
      <c r="E34" s="8">
        <f>C34*D34</f>
        <v>0</v>
      </c>
      <c r="F34" s="57">
        <v>7.3</v>
      </c>
      <c r="G34" s="58">
        <v>52159</v>
      </c>
      <c r="H34" s="58"/>
      <c r="I34" s="58"/>
      <c r="J34" s="9">
        <f t="shared" si="8"/>
        <v>103.08370064073</v>
      </c>
      <c r="K34" s="10">
        <f t="shared" si="3"/>
        <v>5949005.1799999997</v>
      </c>
      <c r="L34" s="10">
        <f t="shared" si="9"/>
        <v>5949005.1799999997</v>
      </c>
      <c r="M34" s="10">
        <v>0</v>
      </c>
      <c r="N34" s="18">
        <v>0</v>
      </c>
      <c r="O34" s="12">
        <f t="shared" si="4"/>
        <v>5949005.1799999997</v>
      </c>
      <c r="P34" s="12"/>
      <c r="Q34" s="12"/>
      <c r="R34" s="12">
        <f t="shared" si="5"/>
        <v>0</v>
      </c>
      <c r="S34" s="59"/>
      <c r="T34" s="59">
        <f t="shared" si="6"/>
        <v>0</v>
      </c>
      <c r="U34" s="12">
        <f t="shared" si="7"/>
        <v>5949005.1799999997</v>
      </c>
      <c r="V34" s="12"/>
      <c r="W34" s="13"/>
      <c r="X34" s="64"/>
      <c r="Y34" s="61"/>
      <c r="Z34" s="61"/>
      <c r="AA34" s="65"/>
      <c r="AB34" s="65"/>
      <c r="AC34" s="15"/>
      <c r="AD34" s="15"/>
      <c r="AE34" s="30"/>
    </row>
    <row r="35" spans="1:47" s="1" customFormat="1" ht="15.75">
      <c r="A35" s="31"/>
      <c r="B35" s="32" t="s">
        <v>76</v>
      </c>
      <c r="C35" s="33">
        <v>44052</v>
      </c>
      <c r="D35" s="29">
        <v>1.1208823000000001</v>
      </c>
      <c r="E35" s="34"/>
      <c r="F35" s="35">
        <f>SUM(F9:F34)</f>
        <v>1380</v>
      </c>
      <c r="G35" s="33">
        <f>K35/F35/12/1.302</f>
        <v>50759.081735086118</v>
      </c>
      <c r="H35" s="73"/>
      <c r="I35" s="73"/>
      <c r="J35" s="9">
        <f>106.485*0.968058418</f>
        <v>103.08370064073</v>
      </c>
      <c r="K35" s="33">
        <f t="shared" ref="K35:Z35" si="26">SUM(K9:K34)</f>
        <v>1094422652.3800001</v>
      </c>
      <c r="L35" s="33">
        <f t="shared" si="26"/>
        <v>1066293759.1799999</v>
      </c>
      <c r="M35" s="33">
        <f t="shared" si="26"/>
        <v>11735079.199999999</v>
      </c>
      <c r="N35" s="33">
        <f t="shared" si="26"/>
        <v>28128893.199999999</v>
      </c>
      <c r="O35" s="33">
        <f t="shared" si="26"/>
        <v>1054558679.98</v>
      </c>
      <c r="P35" s="33">
        <f t="shared" si="26"/>
        <v>986705151.22480011</v>
      </c>
      <c r="Q35" s="33">
        <f t="shared" si="26"/>
        <v>8528982.9319999758</v>
      </c>
      <c r="R35" s="33">
        <f>SUM(R9:R34)</f>
        <v>995234134.15680015</v>
      </c>
      <c r="S35" s="33">
        <f t="shared" si="26"/>
        <v>44079823</v>
      </c>
      <c r="T35" s="33">
        <f t="shared" si="26"/>
        <v>1039313957.1568003</v>
      </c>
      <c r="U35" s="33">
        <f>SUM(U9:U34)</f>
        <v>15244722.823199974</v>
      </c>
      <c r="V35" s="33">
        <f>SUM(V9:V34)</f>
        <v>34049717.309999987</v>
      </c>
      <c r="W35" s="36">
        <f>SUM(W9:W34)</f>
        <v>15244722.699999999</v>
      </c>
      <c r="X35" s="64">
        <v>70</v>
      </c>
      <c r="Y35" s="33">
        <f>SUM(Y9:Y34)</f>
        <v>10671305</v>
      </c>
      <c r="Z35" s="37">
        <f t="shared" si="26"/>
        <v>4573417.7</v>
      </c>
      <c r="AA35" s="33">
        <f>SUM(AA9:AA34)</f>
        <v>54751128</v>
      </c>
      <c r="AB35" s="33">
        <f>SUM(AB9:AB34)</f>
        <v>13102400.631999975</v>
      </c>
      <c r="AC35" s="19"/>
      <c r="AD35" s="38"/>
    </row>
    <row r="36" spans="1:47" s="1" customFormat="1" ht="15.75" hidden="1">
      <c r="A36" s="75"/>
      <c r="B36" s="75"/>
      <c r="C36" s="76"/>
      <c r="D36" s="77"/>
      <c r="E36" s="76">
        <v>52211</v>
      </c>
      <c r="F36" s="75"/>
      <c r="G36" s="75">
        <v>47699</v>
      </c>
      <c r="H36" s="75"/>
      <c r="I36" s="75"/>
      <c r="J36" s="75"/>
      <c r="K36" s="11">
        <f>ROUND(F35*G35*12*1.302/1000,2)</f>
        <v>1094422.6499999999</v>
      </c>
      <c r="L36" s="78"/>
      <c r="M36" s="78"/>
      <c r="N36" s="78"/>
      <c r="O36" s="78">
        <v>1035855</v>
      </c>
      <c r="P36" s="78"/>
      <c r="Q36" s="78"/>
      <c r="R36" s="78"/>
      <c r="S36" s="78"/>
      <c r="T36" s="78"/>
      <c r="U36" s="78"/>
      <c r="V36" s="79">
        <v>45141.168629999942</v>
      </c>
      <c r="W36" s="78"/>
      <c r="X36" s="78"/>
      <c r="Y36" s="80">
        <v>39724.22839439995</v>
      </c>
      <c r="Z36" s="81">
        <v>5416.9402355999919</v>
      </c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</row>
    <row r="37" spans="1:47" s="1" customFormat="1" ht="15.75" hidden="1">
      <c r="A37" s="75"/>
      <c r="B37" s="75" t="s">
        <v>77</v>
      </c>
      <c r="C37" s="82">
        <v>1.0510083658965148</v>
      </c>
      <c r="D37" s="83"/>
      <c r="E37" s="82" t="e">
        <f>E35/#REF!</f>
        <v>#REF!</v>
      </c>
      <c r="F37" s="84"/>
      <c r="G37" s="75">
        <v>41011.279999999999</v>
      </c>
      <c r="H37" s="75"/>
      <c r="I37" s="75"/>
      <c r="J37" s="75"/>
      <c r="K37" s="78" t="e">
        <f>G35*#REF!*1.302*12</f>
        <v>#REF!</v>
      </c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81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</row>
    <row r="38" spans="1:47" s="1" customFormat="1" ht="15.75" hidden="1">
      <c r="A38" s="75"/>
      <c r="B38" s="75" t="s">
        <v>78</v>
      </c>
      <c r="C38" s="82">
        <v>1.023337685874129</v>
      </c>
      <c r="D38" s="83"/>
      <c r="E38" s="85" t="e">
        <f>C36/E37</f>
        <v>#REF!</v>
      </c>
      <c r="F38" s="75"/>
      <c r="G38" s="75"/>
      <c r="H38" s="75"/>
      <c r="I38" s="75"/>
      <c r="J38" s="75"/>
      <c r="K38" s="86" t="e">
        <f>K37/#REF!/1.302/12</f>
        <v>#REF!</v>
      </c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1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</row>
    <row r="39" spans="1:47" s="1" customFormat="1" ht="15.75" hidden="1">
      <c r="A39" s="75"/>
      <c r="B39" s="75"/>
      <c r="C39" s="75"/>
      <c r="D39" s="87"/>
      <c r="E39" s="75"/>
      <c r="F39" s="75"/>
      <c r="G39" s="75"/>
      <c r="H39" s="75"/>
      <c r="I39" s="75"/>
      <c r="J39" s="75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88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</row>
    <row r="40" spans="1:47" s="1" customFormat="1" ht="15.75" hidden="1">
      <c r="A40" s="75"/>
      <c r="B40" s="75"/>
      <c r="C40" s="75"/>
      <c r="D40" s="87"/>
      <c r="E40" s="75"/>
      <c r="F40" s="75"/>
      <c r="G40" s="75"/>
      <c r="H40" s="75"/>
      <c r="I40" s="75"/>
      <c r="J40" s="75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88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</row>
    <row r="41" spans="1:47" s="1" customFormat="1" ht="84.75" hidden="1" customHeight="1">
      <c r="A41" s="75"/>
      <c r="B41" s="75"/>
      <c r="C41" s="75"/>
      <c r="D41" s="87"/>
      <c r="E41" s="75"/>
      <c r="F41" s="75"/>
      <c r="G41" s="75"/>
      <c r="H41" s="75"/>
      <c r="I41" s="75"/>
      <c r="J41" s="75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88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</row>
    <row r="42" spans="1:47" s="1" customFormat="1" ht="18.75" hidden="1">
      <c r="A42" s="75"/>
      <c r="B42" s="89" t="s">
        <v>79</v>
      </c>
      <c r="C42" s="75"/>
      <c r="D42" s="87"/>
      <c r="E42" s="75"/>
      <c r="F42" s="75"/>
      <c r="G42" s="75"/>
      <c r="H42" s="75"/>
      <c r="I42" s="75"/>
      <c r="J42" s="90"/>
      <c r="K42" s="91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88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</row>
    <row r="43" spans="1:47" s="1" customFormat="1" ht="16.5" hidden="1" customHeight="1">
      <c r="A43" s="75"/>
      <c r="B43" s="75"/>
      <c r="C43" s="75"/>
      <c r="D43" s="87"/>
      <c r="E43" s="75"/>
      <c r="F43" s="75"/>
      <c r="G43" s="75"/>
      <c r="H43" s="75"/>
      <c r="I43" s="75"/>
      <c r="J43" s="75" t="s">
        <v>80</v>
      </c>
      <c r="K43" s="92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88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</row>
    <row r="44" spans="1:47" s="1" customFormat="1" ht="15.75" hidden="1">
      <c r="A44" s="75"/>
      <c r="B44" s="75"/>
      <c r="C44" s="75"/>
      <c r="D44" s="87"/>
      <c r="E44" s="75"/>
      <c r="F44" s="93" t="e">
        <f>#REF!-F35</f>
        <v>#REF!</v>
      </c>
      <c r="G44" s="94">
        <v>44780</v>
      </c>
      <c r="H44" s="95"/>
      <c r="I44" s="95"/>
      <c r="J44" s="75"/>
      <c r="K44" s="78">
        <f>K35/F35/1.302/12</f>
        <v>50759.081735086125</v>
      </c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>
        <f>V36-V35</f>
        <v>-34004576.141369991</v>
      </c>
      <c r="W44" s="78"/>
      <c r="X44" s="78"/>
      <c r="Y44" s="96">
        <f t="shared" ref="Y44:Z44" si="27">Y36-Y35</f>
        <v>-10631580.7716056</v>
      </c>
      <c r="Z44" s="78">
        <f t="shared" si="27"/>
        <v>-4568000.7597644003</v>
      </c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</row>
    <row r="45" spans="1:47" s="1" customFormat="1" ht="15.75" hidden="1">
      <c r="A45" s="75"/>
      <c r="B45" s="75"/>
      <c r="C45" s="75"/>
      <c r="D45" s="87"/>
      <c r="E45" s="75"/>
      <c r="F45" s="97" t="e">
        <f>#REF!-F28</f>
        <v>#REF!</v>
      </c>
      <c r="G45" s="94">
        <f>G35-G44</f>
        <v>5979.081735086118</v>
      </c>
      <c r="H45" s="95"/>
      <c r="I45" s="95"/>
      <c r="J45" s="75">
        <v>105.5412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>
        <f>Y44-Y35</f>
        <v>-21302885.7716056</v>
      </c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</row>
    <row r="46" spans="1:47" hidden="1">
      <c r="A46" s="98"/>
      <c r="B46" s="98"/>
      <c r="C46" s="98"/>
      <c r="D46" s="99"/>
      <c r="E46" s="98"/>
      <c r="F46" s="100" t="e">
        <f>F30-#REF!</f>
        <v>#REF!</v>
      </c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101"/>
      <c r="V46" s="98"/>
      <c r="W46" s="98"/>
      <c r="X46" s="98"/>
      <c r="Y46" s="101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</row>
    <row r="47" spans="1:47" hidden="1">
      <c r="A47" s="98"/>
      <c r="B47" s="98"/>
      <c r="C47" s="98"/>
      <c r="D47" s="99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101"/>
      <c r="V47" s="98"/>
      <c r="W47" s="98"/>
      <c r="X47" s="98"/>
      <c r="Y47" s="101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</row>
    <row r="48" spans="1:47" hidden="1">
      <c r="A48" s="98"/>
      <c r="B48" s="98"/>
      <c r="C48" s="98"/>
      <c r="D48" s="99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101"/>
      <c r="V48" s="98"/>
      <c r="W48" s="98"/>
      <c r="X48" s="98"/>
      <c r="Y48" s="101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</row>
    <row r="49" spans="1:47" s="1" customFormat="1" ht="15.75" hidden="1">
      <c r="A49" s="102">
        <v>23</v>
      </c>
      <c r="B49" s="7" t="s">
        <v>72</v>
      </c>
      <c r="C49" s="103">
        <v>39147.4019360409</v>
      </c>
      <c r="D49" s="104"/>
      <c r="E49" s="103">
        <f>C49</f>
        <v>39147.4019360409</v>
      </c>
      <c r="F49" s="105"/>
      <c r="G49" s="94">
        <f>ROUND(E49*J49/100,1)</f>
        <v>40354.6</v>
      </c>
      <c r="H49" s="94"/>
      <c r="I49" s="94"/>
      <c r="J49" s="106">
        <f>$J$35</f>
        <v>103.08370064073</v>
      </c>
      <c r="K49" s="11" t="e">
        <f>ROUND(#REF!*G49*12*1.302/1000,2)</f>
        <v>#REF!</v>
      </c>
      <c r="L49" s="11" t="e">
        <f t="shared" ref="L49" si="28">K49-N49</f>
        <v>#REF!</v>
      </c>
      <c r="M49" s="11">
        <v>0</v>
      </c>
      <c r="N49" s="107">
        <v>372</v>
      </c>
      <c r="O49" s="108" t="e">
        <f t="shared" ref="O49" si="29">K49-M49-N49</f>
        <v>#REF!</v>
      </c>
      <c r="P49" s="108">
        <v>49753.599999999999</v>
      </c>
      <c r="Q49" s="108"/>
      <c r="R49" s="108"/>
      <c r="S49" s="108"/>
      <c r="T49" s="108"/>
      <c r="U49" s="109"/>
      <c r="V49" s="108" t="e">
        <f>O49-P49</f>
        <v>#REF!</v>
      </c>
      <c r="W49" s="110"/>
      <c r="X49" s="110"/>
      <c r="Y49" s="111" t="e">
        <f>V49*#REF!</f>
        <v>#REF!</v>
      </c>
      <c r="Z49" s="112" t="e">
        <f>V49-Y49</f>
        <v>#REF!</v>
      </c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</row>
    <row r="50" spans="1:47" hidden="1">
      <c r="A50" s="98"/>
      <c r="B50" s="98"/>
      <c r="C50" s="98"/>
      <c r="D50" s="99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101"/>
      <c r="V50" s="98"/>
      <c r="W50" s="98"/>
      <c r="X50" s="98"/>
      <c r="Y50" s="101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</row>
    <row r="51" spans="1:47" ht="22.5" hidden="1" customHeight="1">
      <c r="A51" s="98"/>
      <c r="B51" s="74" t="s">
        <v>81</v>
      </c>
      <c r="C51" s="74"/>
      <c r="D51" s="74"/>
      <c r="E51" s="74"/>
      <c r="F51" s="74"/>
      <c r="G51" s="98">
        <v>52159</v>
      </c>
      <c r="H51" s="98"/>
      <c r="I51" s="98"/>
      <c r="J51" s="113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101"/>
      <c r="V51" s="98"/>
      <c r="W51" s="98"/>
      <c r="X51" s="98"/>
      <c r="Y51" s="101"/>
      <c r="Z51" s="98"/>
      <c r="AA51" s="114">
        <f>R35+AB35</f>
        <v>1008336534.7888001</v>
      </c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</row>
    <row r="52" spans="1:47" hidden="1">
      <c r="A52" s="98"/>
      <c r="B52" s="98"/>
      <c r="C52" s="98"/>
      <c r="D52" s="99"/>
      <c r="E52" s="98"/>
      <c r="F52" s="98"/>
      <c r="G52" s="98">
        <f>G35/52159</f>
        <v>0.97316056164968878</v>
      </c>
      <c r="H52" s="98"/>
      <c r="I52" s="98"/>
      <c r="J52" s="98"/>
      <c r="K52" s="98"/>
      <c r="L52" s="114">
        <f>K35-N35</f>
        <v>1066293759.1800001</v>
      </c>
      <c r="M52" s="98"/>
      <c r="N52" s="98"/>
      <c r="O52" s="98"/>
      <c r="P52" s="98"/>
      <c r="Q52" s="98"/>
      <c r="R52" s="114">
        <f>R35+M35</f>
        <v>1006969213.3568002</v>
      </c>
      <c r="S52" s="115"/>
      <c r="T52" s="98"/>
      <c r="U52" s="116">
        <v>15244700</v>
      </c>
      <c r="V52" s="117">
        <f>U35/V35</f>
        <v>0.44771951215943823</v>
      </c>
      <c r="W52" s="118">
        <f>7200500/W35</f>
        <v>0.47232738447908929</v>
      </c>
      <c r="X52" s="98"/>
      <c r="Y52" s="119">
        <f>Y35+197049600</f>
        <v>207720905</v>
      </c>
      <c r="Z52" s="114"/>
      <c r="AA52" s="115"/>
      <c r="AB52" s="115"/>
      <c r="AC52" s="115"/>
      <c r="AD52" s="115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</row>
    <row r="53" spans="1:47" hidden="1">
      <c r="A53" s="98"/>
      <c r="B53" s="98"/>
      <c r="C53" s="98"/>
      <c r="D53" s="99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101"/>
      <c r="V53" s="98"/>
      <c r="W53" s="98"/>
      <c r="X53" s="98"/>
      <c r="Y53" s="116"/>
      <c r="Z53" s="114"/>
      <c r="AA53" s="98"/>
      <c r="AB53" s="114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</row>
    <row r="54" spans="1:47" hidden="1">
      <c r="A54" s="98"/>
      <c r="B54" s="98"/>
      <c r="C54" s="98"/>
      <c r="D54" s="99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115"/>
      <c r="T54" s="98"/>
      <c r="U54" s="101"/>
      <c r="V54" s="98"/>
      <c r="W54" s="115"/>
      <c r="X54" s="98"/>
      <c r="Y54" s="119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</row>
    <row r="55" spans="1:47" hidden="1">
      <c r="A55" s="98"/>
      <c r="B55" s="98"/>
      <c r="C55" s="98"/>
      <c r="D55" s="99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101"/>
      <c r="V55" s="98"/>
      <c r="W55" s="98"/>
      <c r="X55" s="98"/>
      <c r="Y55" s="101"/>
      <c r="Z55" s="98"/>
      <c r="AA55" s="114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</row>
    <row r="56" spans="1:47" hidden="1">
      <c r="A56" s="98"/>
      <c r="B56" s="98"/>
      <c r="C56" s="98"/>
      <c r="D56" s="99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101"/>
      <c r="V56" s="98"/>
      <c r="W56" s="98"/>
      <c r="X56" s="98"/>
      <c r="Y56" s="101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</row>
    <row r="57" spans="1:47" hidden="1">
      <c r="A57" s="98"/>
      <c r="B57" s="98"/>
      <c r="C57" s="98"/>
      <c r="D57" s="99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101"/>
      <c r="V57" s="98"/>
      <c r="W57" s="98"/>
      <c r="X57" s="98"/>
      <c r="Y57" s="101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</row>
    <row r="58" spans="1:47" hidden="1">
      <c r="A58" s="98"/>
      <c r="B58" s="98"/>
      <c r="C58" s="98"/>
      <c r="D58" s="99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101"/>
      <c r="V58" s="98"/>
      <c r="W58" s="98"/>
      <c r="X58" s="98"/>
      <c r="Y58" s="101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</row>
    <row r="59" spans="1:47" hidden="1">
      <c r="A59" s="98"/>
      <c r="B59" s="98"/>
      <c r="C59" s="98"/>
      <c r="D59" s="99"/>
      <c r="E59" s="98"/>
      <c r="F59" s="98"/>
      <c r="G59" s="98"/>
      <c r="H59" s="98"/>
      <c r="I59" s="98"/>
      <c r="J59" s="98">
        <v>101.6399325</v>
      </c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101"/>
      <c r="V59" s="98"/>
      <c r="W59" s="98"/>
      <c r="X59" s="98"/>
      <c r="Y59" s="101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</row>
    <row r="60" spans="1:47" hidden="1">
      <c r="A60" s="98"/>
      <c r="B60" s="98"/>
      <c r="C60" s="98"/>
      <c r="D60" s="99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101"/>
      <c r="V60" s="98"/>
      <c r="W60" s="98"/>
      <c r="X60" s="98"/>
      <c r="Y60" s="101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</row>
    <row r="61" spans="1:47" hidden="1">
      <c r="A61" s="98"/>
      <c r="B61" s="98"/>
      <c r="C61" s="98"/>
      <c r="D61" s="99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101"/>
      <c r="V61" s="98"/>
      <c r="W61" s="98"/>
      <c r="X61" s="98"/>
      <c r="Y61" s="101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</row>
    <row r="62" spans="1:47" hidden="1">
      <c r="A62" s="98"/>
      <c r="B62" s="98"/>
      <c r="C62" s="98"/>
      <c r="D62" s="99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101"/>
      <c r="V62" s="98"/>
      <c r="W62" s="98"/>
      <c r="X62" s="98"/>
      <c r="Y62" s="101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</row>
    <row r="63" spans="1:47" hidden="1">
      <c r="A63" s="98"/>
      <c r="B63" s="98"/>
      <c r="C63" s="98"/>
      <c r="D63" s="99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101"/>
      <c r="V63" s="98"/>
      <c r="W63" s="98"/>
      <c r="X63" s="98"/>
      <c r="Y63" s="101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</row>
    <row r="64" spans="1:47" hidden="1">
      <c r="A64" s="98"/>
      <c r="B64" s="98"/>
      <c r="C64" s="98"/>
      <c r="D64" s="99"/>
      <c r="E64" s="98"/>
      <c r="F64" s="98"/>
      <c r="G64" s="98"/>
      <c r="H64" s="98"/>
      <c r="I64" s="98"/>
      <c r="J64" s="98">
        <v>103.08370064073</v>
      </c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101"/>
      <c r="V64" s="98"/>
      <c r="W64" s="98"/>
      <c r="X64" s="98"/>
      <c r="Y64" s="101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</row>
    <row r="65" spans="1:47" hidden="1">
      <c r="A65" s="98"/>
      <c r="B65" s="98"/>
      <c r="C65" s="98"/>
      <c r="D65" s="99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101"/>
      <c r="V65" s="98"/>
      <c r="W65" s="98"/>
      <c r="X65" s="98"/>
      <c r="Y65" s="101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</row>
    <row r="66" spans="1:47" hidden="1">
      <c r="A66" s="98"/>
      <c r="B66" s="98"/>
      <c r="C66" s="98"/>
      <c r="D66" s="99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101"/>
      <c r="V66" s="98"/>
      <c r="W66" s="98"/>
      <c r="X66" s="98"/>
      <c r="Y66" s="101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</row>
    <row r="67" spans="1:47" hidden="1">
      <c r="A67" s="98"/>
      <c r="B67" s="98"/>
      <c r="C67" s="98"/>
      <c r="D67" s="99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101"/>
      <c r="V67" s="98"/>
      <c r="W67" s="98"/>
      <c r="X67" s="98"/>
      <c r="Y67" s="101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</row>
    <row r="68" spans="1:47" hidden="1">
      <c r="A68" s="98"/>
      <c r="B68" s="98"/>
      <c r="C68" s="98"/>
      <c r="D68" s="99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101"/>
      <c r="V68" s="98"/>
      <c r="W68" s="98"/>
      <c r="X68" s="98"/>
      <c r="Y68" s="101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</row>
    <row r="69" spans="1:47" hidden="1">
      <c r="A69" s="98"/>
      <c r="B69" s="98"/>
      <c r="C69" s="98"/>
      <c r="D69" s="99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101"/>
      <c r="V69" s="98"/>
      <c r="W69" s="98"/>
      <c r="X69" s="98"/>
      <c r="Y69" s="101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</row>
    <row r="70" spans="1:47" hidden="1">
      <c r="A70" s="98"/>
      <c r="B70" s="98"/>
      <c r="C70" s="98"/>
      <c r="D70" s="99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101"/>
      <c r="V70" s="98"/>
      <c r="W70" s="98"/>
      <c r="X70" s="98"/>
      <c r="Y70" s="101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</row>
    <row r="71" spans="1:47" hidden="1">
      <c r="A71" s="98"/>
      <c r="B71" s="98"/>
      <c r="C71" s="98"/>
      <c r="D71" s="99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101"/>
      <c r="V71" s="98"/>
      <c r="W71" s="98"/>
      <c r="X71" s="98"/>
      <c r="Y71" s="101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</row>
    <row r="72" spans="1:47" hidden="1">
      <c r="A72" s="98"/>
      <c r="B72" s="98"/>
      <c r="C72" s="98"/>
      <c r="D72" s="99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101"/>
      <c r="V72" s="98"/>
      <c r="W72" s="98"/>
      <c r="X72" s="98"/>
      <c r="Y72" s="101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</row>
    <row r="73" spans="1:47" hidden="1">
      <c r="A73" s="98"/>
      <c r="B73" s="98"/>
      <c r="C73" s="98"/>
      <c r="D73" s="99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101"/>
      <c r="V73" s="98"/>
      <c r="W73" s="98"/>
      <c r="X73" s="98"/>
      <c r="Y73" s="101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</row>
    <row r="74" spans="1:47" hidden="1">
      <c r="A74" s="98"/>
      <c r="B74" s="98"/>
      <c r="C74" s="98"/>
      <c r="D74" s="99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101"/>
      <c r="V74" s="98"/>
      <c r="W74" s="98"/>
      <c r="X74" s="98"/>
      <c r="Y74" s="101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</row>
    <row r="75" spans="1:47" hidden="1">
      <c r="A75" s="98"/>
      <c r="B75" s="98"/>
      <c r="C75" s="98"/>
      <c r="D75" s="99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101"/>
      <c r="V75" s="98"/>
      <c r="W75" s="98"/>
      <c r="X75" s="98"/>
      <c r="Y75" s="101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</row>
    <row r="76" spans="1:47" hidden="1">
      <c r="A76" s="98"/>
      <c r="B76" s="98"/>
      <c r="C76" s="98"/>
      <c r="D76" s="99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101"/>
      <c r="V76" s="98"/>
      <c r="W76" s="98"/>
      <c r="X76" s="98"/>
      <c r="Y76" s="101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</row>
    <row r="77" spans="1:47" hidden="1">
      <c r="A77" s="98"/>
      <c r="B77" s="98"/>
      <c r="C77" s="98"/>
      <c r="D77" s="99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101"/>
      <c r="V77" s="98"/>
      <c r="W77" s="98"/>
      <c r="X77" s="98"/>
      <c r="Y77" s="101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</row>
    <row r="78" spans="1:47" hidden="1">
      <c r="A78" s="98"/>
      <c r="B78" s="98"/>
      <c r="C78" s="98"/>
      <c r="D78" s="99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101"/>
      <c r="V78" s="98"/>
      <c r="W78" s="98"/>
      <c r="X78" s="98"/>
      <c r="Y78" s="101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</row>
    <row r="79" spans="1:47" hidden="1">
      <c r="A79" s="98"/>
      <c r="B79" s="98"/>
      <c r="C79" s="98"/>
      <c r="D79" s="99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>
        <f t="shared" ref="R79:R80" si="30">R36/100</f>
        <v>0</v>
      </c>
      <c r="S79" s="98"/>
      <c r="T79" s="98">
        <v>0</v>
      </c>
      <c r="U79" s="101"/>
      <c r="V79" s="98"/>
      <c r="W79" s="98"/>
      <c r="X79" s="98"/>
      <c r="Y79" s="101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</row>
    <row r="80" spans="1:47" hidden="1">
      <c r="A80" s="98"/>
      <c r="B80" s="98"/>
      <c r="C80" s="98"/>
      <c r="D80" s="99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>
        <f t="shared" si="30"/>
        <v>0</v>
      </c>
      <c r="S80" s="98"/>
      <c r="T80" s="98"/>
      <c r="U80" s="101"/>
      <c r="V80" s="98"/>
      <c r="W80" s="98"/>
      <c r="X80" s="98"/>
      <c r="Y80" s="101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</row>
    <row r="81" spans="1:47">
      <c r="A81" s="98"/>
      <c r="B81" s="98"/>
      <c r="C81" s="98"/>
      <c r="D81" s="99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101"/>
      <c r="V81" s="98"/>
      <c r="W81" s="98"/>
      <c r="X81" s="98"/>
      <c r="Y81" s="101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</row>
    <row r="82" spans="1:47">
      <c r="A82" s="98"/>
      <c r="B82" s="98"/>
      <c r="C82" s="98"/>
      <c r="D82" s="99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101"/>
      <c r="V82" s="98"/>
      <c r="W82" s="98"/>
      <c r="X82" s="98"/>
      <c r="Y82" s="101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</row>
    <row r="83" spans="1:47">
      <c r="A83" s="98"/>
      <c r="B83" s="98"/>
      <c r="C83" s="98"/>
      <c r="D83" s="99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101"/>
      <c r="V83" s="98"/>
      <c r="W83" s="98"/>
      <c r="X83" s="98"/>
      <c r="Y83" s="101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</row>
    <row r="84" spans="1:47">
      <c r="A84" s="98"/>
      <c r="B84" s="98"/>
      <c r="C84" s="98"/>
      <c r="D84" s="99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101"/>
      <c r="V84" s="98"/>
      <c r="W84" s="98"/>
      <c r="X84" s="98"/>
      <c r="Y84" s="101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</row>
    <row r="85" spans="1:47">
      <c r="A85" s="98"/>
      <c r="B85" s="98"/>
      <c r="C85" s="98"/>
      <c r="D85" s="99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101"/>
      <c r="V85" s="98"/>
      <c r="W85" s="98"/>
      <c r="X85" s="98"/>
      <c r="Y85" s="101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</row>
    <row r="86" spans="1:47">
      <c r="A86" s="98"/>
      <c r="B86" s="98"/>
      <c r="C86" s="98"/>
      <c r="D86" s="99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101"/>
      <c r="V86" s="98"/>
      <c r="W86" s="98"/>
      <c r="X86" s="98"/>
      <c r="Y86" s="101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</row>
    <row r="87" spans="1:47">
      <c r="A87" s="98"/>
      <c r="B87" s="98"/>
      <c r="C87" s="98"/>
      <c r="D87" s="99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101"/>
      <c r="V87" s="98"/>
      <c r="W87" s="98"/>
      <c r="X87" s="98"/>
      <c r="Y87" s="101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</row>
    <row r="88" spans="1:47">
      <c r="A88" s="98"/>
      <c r="B88" s="98"/>
      <c r="C88" s="98"/>
      <c r="D88" s="99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101"/>
      <c r="V88" s="98"/>
      <c r="W88" s="98"/>
      <c r="X88" s="98"/>
      <c r="Y88" s="101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</row>
    <row r="89" spans="1:47">
      <c r="A89" s="98"/>
      <c r="B89" s="98"/>
      <c r="C89" s="98"/>
      <c r="D89" s="99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101"/>
      <c r="V89" s="98"/>
      <c r="W89" s="98"/>
      <c r="X89" s="98"/>
      <c r="Y89" s="101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</row>
    <row r="90" spans="1:47">
      <c r="A90" s="98"/>
      <c r="B90" s="98"/>
      <c r="C90" s="98"/>
      <c r="D90" s="99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101"/>
      <c r="V90" s="98"/>
      <c r="W90" s="98"/>
      <c r="X90" s="98"/>
      <c r="Y90" s="101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</row>
    <row r="91" spans="1:47">
      <c r="A91" s="98"/>
      <c r="B91" s="98"/>
      <c r="C91" s="98"/>
      <c r="D91" s="99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101"/>
      <c r="V91" s="98"/>
      <c r="W91" s="98"/>
      <c r="X91" s="98"/>
      <c r="Y91" s="101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</row>
    <row r="92" spans="1:47">
      <c r="A92" s="98"/>
      <c r="B92" s="98"/>
      <c r="C92" s="98"/>
      <c r="D92" s="99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101"/>
      <c r="V92" s="98"/>
      <c r="W92" s="98"/>
      <c r="X92" s="98"/>
      <c r="Y92" s="101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</row>
    <row r="93" spans="1:47">
      <c r="A93" s="98"/>
      <c r="B93" s="98"/>
      <c r="C93" s="98"/>
      <c r="D93" s="99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101"/>
      <c r="V93" s="98"/>
      <c r="W93" s="98"/>
      <c r="X93" s="98"/>
      <c r="Y93" s="101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</row>
    <row r="94" spans="1:47">
      <c r="A94" s="98"/>
      <c r="B94" s="98"/>
      <c r="C94" s="98"/>
      <c r="D94" s="99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101"/>
      <c r="V94" s="98"/>
      <c r="W94" s="98"/>
      <c r="X94" s="98"/>
      <c r="Y94" s="101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</row>
    <row r="95" spans="1:47">
      <c r="A95" s="98"/>
      <c r="B95" s="98"/>
      <c r="C95" s="98"/>
      <c r="D95" s="99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101"/>
      <c r="V95" s="98"/>
      <c r="W95" s="98"/>
      <c r="X95" s="98"/>
      <c r="Y95" s="101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</row>
    <row r="96" spans="1:47">
      <c r="A96" s="98"/>
      <c r="B96" s="98"/>
      <c r="C96" s="98"/>
      <c r="D96" s="99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101"/>
      <c r="V96" s="98"/>
      <c r="W96" s="98"/>
      <c r="X96" s="98"/>
      <c r="Y96" s="101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</row>
    <row r="97" spans="1:47">
      <c r="A97" s="98"/>
      <c r="B97" s="98"/>
      <c r="C97" s="98"/>
      <c r="D97" s="99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101"/>
      <c r="V97" s="98"/>
      <c r="W97" s="98"/>
      <c r="X97" s="98"/>
      <c r="Y97" s="101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</row>
    <row r="98" spans="1:47">
      <c r="A98" s="98"/>
      <c r="B98" s="98"/>
      <c r="C98" s="98"/>
      <c r="D98" s="99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101"/>
      <c r="V98" s="98"/>
      <c r="W98" s="98"/>
      <c r="X98" s="98"/>
      <c r="Y98" s="101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</row>
    <row r="99" spans="1:47">
      <c r="A99" s="98"/>
      <c r="B99" s="98"/>
      <c r="C99" s="98"/>
      <c r="D99" s="99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101"/>
      <c r="V99" s="98"/>
      <c r="W99" s="98"/>
      <c r="X99" s="98"/>
      <c r="Y99" s="101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</row>
    <row r="100" spans="1:47">
      <c r="A100" s="98"/>
      <c r="B100" s="98"/>
      <c r="C100" s="98"/>
      <c r="D100" s="99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101"/>
      <c r="V100" s="98"/>
      <c r="W100" s="98"/>
      <c r="X100" s="98"/>
      <c r="Y100" s="101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</row>
    <row r="101" spans="1:47">
      <c r="A101" s="98"/>
      <c r="B101" s="98"/>
      <c r="C101" s="98"/>
      <c r="D101" s="99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101"/>
      <c r="V101" s="98"/>
      <c r="W101" s="98"/>
      <c r="X101" s="98"/>
      <c r="Y101" s="101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</row>
    <row r="102" spans="1:47">
      <c r="A102" s="98"/>
      <c r="B102" s="98"/>
      <c r="C102" s="98"/>
      <c r="D102" s="99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101"/>
      <c r="V102" s="98"/>
      <c r="W102" s="98"/>
      <c r="X102" s="98"/>
      <c r="Y102" s="101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</row>
    <row r="103" spans="1:47">
      <c r="A103" s="98"/>
      <c r="B103" s="98"/>
      <c r="C103" s="98"/>
      <c r="D103" s="99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101"/>
      <c r="V103" s="98"/>
      <c r="W103" s="98"/>
      <c r="X103" s="98"/>
      <c r="Y103" s="101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</row>
    <row r="104" spans="1:47">
      <c r="A104" s="98"/>
      <c r="B104" s="98"/>
      <c r="C104" s="98"/>
      <c r="D104" s="99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101"/>
      <c r="V104" s="98"/>
      <c r="W104" s="98"/>
      <c r="X104" s="98"/>
      <c r="Y104" s="101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</row>
    <row r="105" spans="1:47">
      <c r="A105" s="98"/>
      <c r="B105" s="98"/>
      <c r="C105" s="98"/>
      <c r="D105" s="99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101"/>
      <c r="V105" s="98"/>
      <c r="W105" s="98"/>
      <c r="X105" s="98"/>
      <c r="Y105" s="101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</row>
    <row r="106" spans="1:47">
      <c r="A106" s="98"/>
      <c r="B106" s="98"/>
      <c r="C106" s="98"/>
      <c r="D106" s="99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101"/>
      <c r="V106" s="98"/>
      <c r="W106" s="98"/>
      <c r="X106" s="98"/>
      <c r="Y106" s="101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</row>
    <row r="107" spans="1:47">
      <c r="A107" s="98"/>
      <c r="B107" s="98"/>
      <c r="C107" s="98"/>
      <c r="D107" s="99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101"/>
      <c r="V107" s="98"/>
      <c r="W107" s="98"/>
      <c r="X107" s="98"/>
      <c r="Y107" s="101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</row>
    <row r="108" spans="1:47">
      <c r="A108" s="98"/>
      <c r="B108" s="98"/>
      <c r="C108" s="98"/>
      <c r="D108" s="99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101"/>
      <c r="V108" s="98"/>
      <c r="W108" s="98"/>
      <c r="X108" s="98"/>
      <c r="Y108" s="101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</row>
    <row r="109" spans="1:47">
      <c r="A109" s="98"/>
      <c r="B109" s="98"/>
      <c r="C109" s="98"/>
      <c r="D109" s="99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101"/>
      <c r="V109" s="98"/>
      <c r="W109" s="98"/>
      <c r="X109" s="98"/>
      <c r="Y109" s="101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</row>
    <row r="110" spans="1:47">
      <c r="A110" s="98"/>
      <c r="B110" s="98"/>
      <c r="C110" s="98"/>
      <c r="D110" s="99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101"/>
      <c r="V110" s="98"/>
      <c r="W110" s="98"/>
      <c r="X110" s="98"/>
      <c r="Y110" s="101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  <c r="AU110" s="98"/>
    </row>
    <row r="111" spans="1:47">
      <c r="A111" s="98"/>
      <c r="B111" s="98"/>
      <c r="C111" s="98"/>
      <c r="D111" s="99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101"/>
      <c r="V111" s="98"/>
      <c r="W111" s="98"/>
      <c r="X111" s="98"/>
      <c r="Y111" s="101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  <c r="AU111" s="98"/>
    </row>
    <row r="112" spans="1:47">
      <c r="A112" s="98"/>
      <c r="B112" s="98"/>
      <c r="C112" s="98"/>
      <c r="D112" s="99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101"/>
      <c r="V112" s="98"/>
      <c r="W112" s="98"/>
      <c r="X112" s="98"/>
      <c r="Y112" s="101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</row>
    <row r="113" spans="1:47">
      <c r="A113" s="98"/>
      <c r="B113" s="98"/>
      <c r="C113" s="98"/>
      <c r="D113" s="99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101"/>
      <c r="V113" s="98"/>
      <c r="W113" s="98"/>
      <c r="X113" s="98"/>
      <c r="Y113" s="101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</row>
    <row r="114" spans="1:47">
      <c r="A114" s="98"/>
      <c r="B114" s="98"/>
      <c r="C114" s="98"/>
      <c r="D114" s="99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101"/>
      <c r="V114" s="98"/>
      <c r="W114" s="98"/>
      <c r="X114" s="98"/>
      <c r="Y114" s="101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</row>
    <row r="115" spans="1:47">
      <c r="A115" s="98"/>
      <c r="B115" s="98"/>
      <c r="C115" s="98"/>
      <c r="D115" s="99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101"/>
      <c r="V115" s="98"/>
      <c r="W115" s="98"/>
      <c r="X115" s="98"/>
      <c r="Y115" s="101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</row>
    <row r="116" spans="1:47">
      <c r="A116" s="98"/>
      <c r="B116" s="98"/>
      <c r="C116" s="98"/>
      <c r="D116" s="99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101"/>
      <c r="V116" s="98"/>
      <c r="W116" s="98"/>
      <c r="X116" s="98"/>
      <c r="Y116" s="101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</row>
    <row r="117" spans="1:47">
      <c r="A117" s="98"/>
      <c r="B117" s="98"/>
      <c r="C117" s="98"/>
      <c r="D117" s="99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101"/>
      <c r="V117" s="98"/>
      <c r="W117" s="98"/>
      <c r="X117" s="98"/>
      <c r="Y117" s="101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</row>
    <row r="118" spans="1:47">
      <c r="A118" s="98"/>
      <c r="B118" s="98"/>
      <c r="C118" s="98"/>
      <c r="D118" s="99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101"/>
      <c r="V118" s="98"/>
      <c r="W118" s="98"/>
      <c r="X118" s="98"/>
      <c r="Y118" s="101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</row>
    <row r="119" spans="1:47">
      <c r="A119" s="98"/>
      <c r="B119" s="98"/>
      <c r="C119" s="98"/>
      <c r="D119" s="99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101"/>
      <c r="V119" s="98"/>
      <c r="W119" s="98"/>
      <c r="X119" s="98"/>
      <c r="Y119" s="101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</row>
    <row r="120" spans="1:47">
      <c r="A120" s="98"/>
      <c r="B120" s="98"/>
      <c r="C120" s="98"/>
      <c r="D120" s="99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101"/>
      <c r="V120" s="98"/>
      <c r="W120" s="98"/>
      <c r="X120" s="98"/>
      <c r="Y120" s="101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98"/>
      <c r="AU120" s="98"/>
    </row>
    <row r="121" spans="1:47">
      <c r="A121" s="98"/>
      <c r="B121" s="98"/>
      <c r="C121" s="98"/>
      <c r="D121" s="99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101"/>
      <c r="V121" s="98"/>
      <c r="W121" s="98"/>
      <c r="X121" s="98"/>
      <c r="Y121" s="101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  <c r="AU121" s="98"/>
    </row>
    <row r="122" spans="1:47">
      <c r="A122" s="98"/>
      <c r="B122" s="98"/>
      <c r="C122" s="98"/>
      <c r="D122" s="99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101"/>
      <c r="V122" s="98"/>
      <c r="W122" s="98"/>
      <c r="X122" s="98"/>
      <c r="Y122" s="101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</row>
    <row r="123" spans="1:47">
      <c r="A123" s="98"/>
      <c r="B123" s="98"/>
      <c r="C123" s="98"/>
      <c r="D123" s="99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101"/>
      <c r="V123" s="98"/>
      <c r="W123" s="98"/>
      <c r="X123" s="98"/>
      <c r="Y123" s="101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</row>
    <row r="124" spans="1:47">
      <c r="A124" s="98"/>
      <c r="B124" s="98"/>
      <c r="C124" s="98"/>
      <c r="D124" s="99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101"/>
      <c r="V124" s="98"/>
      <c r="W124" s="98"/>
      <c r="X124" s="98"/>
      <c r="Y124" s="101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</row>
    <row r="125" spans="1:47">
      <c r="A125" s="98"/>
      <c r="B125" s="98"/>
      <c r="C125" s="98"/>
      <c r="D125" s="99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101"/>
      <c r="V125" s="98"/>
      <c r="W125" s="98"/>
      <c r="X125" s="98"/>
      <c r="Y125" s="101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</row>
    <row r="126" spans="1:47">
      <c r="A126" s="98"/>
      <c r="B126" s="98"/>
      <c r="C126" s="98"/>
      <c r="D126" s="99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101"/>
      <c r="V126" s="98"/>
      <c r="W126" s="98"/>
      <c r="X126" s="98"/>
      <c r="Y126" s="101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</row>
    <row r="127" spans="1:47">
      <c r="A127" s="98"/>
      <c r="B127" s="98"/>
      <c r="C127" s="98"/>
      <c r="D127" s="99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101"/>
      <c r="V127" s="98"/>
      <c r="W127" s="98"/>
      <c r="X127" s="98"/>
      <c r="Y127" s="101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</row>
    <row r="128" spans="1:47">
      <c r="A128" s="98"/>
      <c r="B128" s="98"/>
      <c r="C128" s="98"/>
      <c r="D128" s="99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101"/>
      <c r="V128" s="98"/>
      <c r="W128" s="98"/>
      <c r="X128" s="98"/>
      <c r="Y128" s="101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</row>
    <row r="129" spans="1:47">
      <c r="A129" s="98"/>
      <c r="B129" s="98"/>
      <c r="C129" s="98"/>
      <c r="D129" s="99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101"/>
      <c r="V129" s="98"/>
      <c r="W129" s="98"/>
      <c r="X129" s="98"/>
      <c r="Y129" s="101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</row>
    <row r="130" spans="1:47">
      <c r="A130" s="98"/>
      <c r="B130" s="98"/>
      <c r="C130" s="98"/>
      <c r="D130" s="99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101"/>
      <c r="V130" s="98"/>
      <c r="W130" s="98"/>
      <c r="X130" s="98"/>
      <c r="Y130" s="101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</row>
    <row r="131" spans="1:47">
      <c r="A131" s="98"/>
      <c r="B131" s="98"/>
      <c r="C131" s="98"/>
      <c r="D131" s="99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101"/>
      <c r="V131" s="98"/>
      <c r="W131" s="98"/>
      <c r="X131" s="98"/>
      <c r="Y131" s="101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</row>
    <row r="132" spans="1:47">
      <c r="A132" s="98"/>
      <c r="B132" s="98"/>
      <c r="C132" s="98"/>
      <c r="D132" s="99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101"/>
      <c r="V132" s="98"/>
      <c r="W132" s="98"/>
      <c r="X132" s="98"/>
      <c r="Y132" s="101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</row>
    <row r="133" spans="1:47">
      <c r="A133" s="98"/>
      <c r="B133" s="98"/>
      <c r="C133" s="98"/>
      <c r="D133" s="99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101"/>
      <c r="V133" s="98"/>
      <c r="W133" s="98"/>
      <c r="X133" s="98"/>
      <c r="Y133" s="101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</row>
    <row r="134" spans="1:47">
      <c r="A134" s="98"/>
      <c r="B134" s="98"/>
      <c r="C134" s="98"/>
      <c r="D134" s="99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101"/>
      <c r="V134" s="98"/>
      <c r="W134" s="98"/>
      <c r="X134" s="98"/>
      <c r="Y134" s="101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</row>
    <row r="135" spans="1:47">
      <c r="A135" s="98"/>
      <c r="B135" s="98"/>
      <c r="C135" s="98"/>
      <c r="D135" s="99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101"/>
      <c r="V135" s="98"/>
      <c r="W135" s="98"/>
      <c r="X135" s="98"/>
      <c r="Y135" s="101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</row>
    <row r="136" spans="1:47">
      <c r="A136" s="98"/>
      <c r="B136" s="98"/>
      <c r="C136" s="98"/>
      <c r="D136" s="99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101"/>
      <c r="V136" s="98"/>
      <c r="W136" s="98"/>
      <c r="X136" s="98"/>
      <c r="Y136" s="101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</row>
    <row r="137" spans="1:47">
      <c r="A137" s="98"/>
      <c r="B137" s="98"/>
      <c r="C137" s="98"/>
      <c r="D137" s="99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101"/>
      <c r="V137" s="98"/>
      <c r="W137" s="98"/>
      <c r="X137" s="98"/>
      <c r="Y137" s="101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</row>
    <row r="138" spans="1:47">
      <c r="A138" s="98"/>
      <c r="B138" s="98"/>
      <c r="C138" s="98"/>
      <c r="D138" s="99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101"/>
      <c r="V138" s="98"/>
      <c r="W138" s="98"/>
      <c r="X138" s="98"/>
      <c r="Y138" s="101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</row>
    <row r="139" spans="1:47">
      <c r="A139" s="98"/>
      <c r="B139" s="98"/>
      <c r="C139" s="98"/>
      <c r="D139" s="99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101"/>
      <c r="V139" s="98"/>
      <c r="W139" s="98"/>
      <c r="X139" s="98"/>
      <c r="Y139" s="101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</row>
    <row r="140" spans="1:47">
      <c r="A140" s="98"/>
      <c r="B140" s="98"/>
      <c r="C140" s="98"/>
      <c r="D140" s="99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101"/>
      <c r="V140" s="98"/>
      <c r="W140" s="98"/>
      <c r="X140" s="98"/>
      <c r="Y140" s="101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</row>
    <row r="141" spans="1:47">
      <c r="A141" s="98"/>
      <c r="B141" s="98"/>
      <c r="C141" s="98"/>
      <c r="D141" s="99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101"/>
      <c r="V141" s="98"/>
      <c r="W141" s="98"/>
      <c r="X141" s="98"/>
      <c r="Y141" s="101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</row>
    <row r="142" spans="1:47">
      <c r="A142" s="98"/>
      <c r="B142" s="98"/>
      <c r="C142" s="98"/>
      <c r="D142" s="99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101"/>
      <c r="V142" s="98"/>
      <c r="W142" s="98"/>
      <c r="X142" s="98"/>
      <c r="Y142" s="101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/>
    </row>
    <row r="143" spans="1:47">
      <c r="A143" s="98"/>
      <c r="B143" s="98"/>
      <c r="C143" s="98"/>
      <c r="D143" s="99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101"/>
      <c r="V143" s="98"/>
      <c r="W143" s="98"/>
      <c r="X143" s="98"/>
      <c r="Y143" s="101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</row>
    <row r="144" spans="1:47">
      <c r="A144" s="98"/>
      <c r="B144" s="98"/>
      <c r="C144" s="98"/>
      <c r="D144" s="99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101"/>
      <c r="V144" s="98"/>
      <c r="W144" s="98"/>
      <c r="X144" s="98"/>
      <c r="Y144" s="101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  <c r="AU144" s="98"/>
    </row>
    <row r="145" spans="1:47">
      <c r="A145" s="98"/>
      <c r="B145" s="98"/>
      <c r="C145" s="98"/>
      <c r="D145" s="99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101"/>
      <c r="V145" s="98"/>
      <c r="W145" s="98"/>
      <c r="X145" s="98"/>
      <c r="Y145" s="101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</row>
    <row r="146" spans="1:47">
      <c r="A146" s="98"/>
      <c r="B146" s="98"/>
      <c r="C146" s="98"/>
      <c r="D146" s="99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101"/>
      <c r="V146" s="98"/>
      <c r="W146" s="98"/>
      <c r="X146" s="98"/>
      <c r="Y146" s="101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8"/>
    </row>
    <row r="147" spans="1:47">
      <c r="A147" s="98"/>
      <c r="B147" s="98"/>
      <c r="C147" s="98"/>
      <c r="D147" s="99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101"/>
      <c r="V147" s="98"/>
      <c r="W147" s="98"/>
      <c r="X147" s="98"/>
      <c r="Y147" s="101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</row>
    <row r="148" spans="1:47">
      <c r="A148" s="98"/>
      <c r="B148" s="98"/>
      <c r="C148" s="98"/>
      <c r="D148" s="99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101"/>
      <c r="V148" s="98"/>
      <c r="W148" s="98"/>
      <c r="X148" s="98"/>
      <c r="Y148" s="101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</row>
    <row r="149" spans="1:47">
      <c r="A149" s="98"/>
      <c r="B149" s="98"/>
      <c r="C149" s="98"/>
      <c r="D149" s="99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101"/>
      <c r="V149" s="98"/>
      <c r="W149" s="98"/>
      <c r="X149" s="98"/>
      <c r="Y149" s="101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8"/>
      <c r="AT149" s="98"/>
      <c r="AU149" s="98"/>
    </row>
    <row r="150" spans="1:47">
      <c r="A150" s="98"/>
      <c r="B150" s="98"/>
      <c r="C150" s="98"/>
      <c r="D150" s="99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101"/>
      <c r="V150" s="98"/>
      <c r="W150" s="98"/>
      <c r="X150" s="98"/>
      <c r="Y150" s="101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</row>
    <row r="151" spans="1:47">
      <c r="A151" s="98"/>
      <c r="B151" s="98"/>
      <c r="C151" s="98"/>
      <c r="D151" s="99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101"/>
      <c r="V151" s="98"/>
      <c r="W151" s="98"/>
      <c r="X151" s="98"/>
      <c r="Y151" s="101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  <c r="AQ151" s="98"/>
      <c r="AR151" s="98"/>
      <c r="AS151" s="98"/>
      <c r="AT151" s="98"/>
      <c r="AU151" s="98"/>
    </row>
    <row r="152" spans="1:47">
      <c r="A152" s="98"/>
      <c r="B152" s="98"/>
      <c r="C152" s="98"/>
      <c r="D152" s="99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101"/>
      <c r="V152" s="98"/>
      <c r="W152" s="98"/>
      <c r="X152" s="98"/>
      <c r="Y152" s="101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</row>
    <row r="153" spans="1:47">
      <c r="A153" s="98"/>
      <c r="B153" s="98"/>
      <c r="C153" s="98"/>
      <c r="D153" s="99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101"/>
      <c r="V153" s="98"/>
      <c r="W153" s="98"/>
      <c r="X153" s="98"/>
      <c r="Y153" s="101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98"/>
      <c r="AQ153" s="98"/>
      <c r="AR153" s="98"/>
      <c r="AS153" s="98"/>
      <c r="AT153" s="98"/>
      <c r="AU153" s="98"/>
    </row>
    <row r="154" spans="1:47">
      <c r="A154" s="98"/>
      <c r="B154" s="98"/>
      <c r="C154" s="98"/>
      <c r="D154" s="99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101"/>
      <c r="V154" s="98"/>
      <c r="W154" s="98"/>
      <c r="X154" s="98"/>
      <c r="Y154" s="101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  <c r="AU154" s="98"/>
    </row>
    <row r="155" spans="1:47">
      <c r="A155" s="98"/>
      <c r="B155" s="98"/>
      <c r="C155" s="98"/>
      <c r="D155" s="99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101"/>
      <c r="V155" s="98"/>
      <c r="W155" s="98"/>
      <c r="X155" s="98"/>
      <c r="Y155" s="101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</row>
    <row r="156" spans="1:47">
      <c r="A156" s="98"/>
      <c r="B156" s="98"/>
      <c r="C156" s="98"/>
      <c r="D156" s="99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101"/>
      <c r="V156" s="98"/>
      <c r="W156" s="98"/>
      <c r="X156" s="98"/>
      <c r="Y156" s="101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</row>
    <row r="157" spans="1:47">
      <c r="A157" s="98"/>
      <c r="B157" s="98"/>
      <c r="C157" s="98"/>
      <c r="D157" s="99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101"/>
      <c r="V157" s="98"/>
      <c r="W157" s="98"/>
      <c r="X157" s="98"/>
      <c r="Y157" s="101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</row>
    <row r="158" spans="1:47">
      <c r="A158" s="98"/>
      <c r="B158" s="98"/>
      <c r="C158" s="98"/>
      <c r="D158" s="99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101"/>
      <c r="V158" s="98"/>
      <c r="W158" s="98"/>
      <c r="X158" s="98"/>
      <c r="Y158" s="101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  <c r="AS158" s="98"/>
      <c r="AT158" s="98"/>
      <c r="AU158" s="98"/>
    </row>
    <row r="159" spans="1:47">
      <c r="A159" s="98"/>
      <c r="B159" s="98"/>
      <c r="C159" s="98"/>
      <c r="D159" s="99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101"/>
      <c r="V159" s="98"/>
      <c r="W159" s="98"/>
      <c r="X159" s="98"/>
      <c r="Y159" s="101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  <c r="AU159" s="98"/>
    </row>
    <row r="160" spans="1:47">
      <c r="A160" s="98"/>
      <c r="B160" s="98"/>
      <c r="C160" s="98"/>
      <c r="D160" s="99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101"/>
      <c r="V160" s="98"/>
      <c r="W160" s="98"/>
      <c r="X160" s="98"/>
      <c r="Y160" s="101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</row>
    <row r="161" spans="1:47">
      <c r="A161" s="98"/>
      <c r="B161" s="98"/>
      <c r="C161" s="98"/>
      <c r="D161" s="99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101"/>
      <c r="V161" s="98"/>
      <c r="W161" s="98"/>
      <c r="X161" s="98"/>
      <c r="Y161" s="101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98"/>
      <c r="AQ161" s="98"/>
      <c r="AR161" s="98"/>
      <c r="AS161" s="98"/>
      <c r="AT161" s="98"/>
      <c r="AU161" s="98"/>
    </row>
    <row r="162" spans="1:47">
      <c r="A162" s="98"/>
      <c r="B162" s="98"/>
      <c r="C162" s="98"/>
      <c r="D162" s="99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101"/>
      <c r="V162" s="98"/>
      <c r="W162" s="98"/>
      <c r="X162" s="98"/>
      <c r="Y162" s="101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98"/>
      <c r="AP162" s="98"/>
      <c r="AQ162" s="98"/>
      <c r="AR162" s="98"/>
      <c r="AS162" s="98"/>
      <c r="AT162" s="98"/>
      <c r="AU162" s="98"/>
    </row>
    <row r="163" spans="1:47">
      <c r="A163" s="98"/>
      <c r="B163" s="98"/>
      <c r="C163" s="98"/>
      <c r="D163" s="99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101"/>
      <c r="V163" s="98"/>
      <c r="W163" s="98"/>
      <c r="X163" s="98"/>
      <c r="Y163" s="101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98"/>
      <c r="AU163" s="98"/>
    </row>
    <row r="164" spans="1:47">
      <c r="A164" s="98"/>
      <c r="B164" s="98"/>
      <c r="C164" s="98"/>
      <c r="D164" s="99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101"/>
      <c r="V164" s="98"/>
      <c r="W164" s="98"/>
      <c r="X164" s="98"/>
      <c r="Y164" s="101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8"/>
      <c r="AU164" s="98"/>
    </row>
    <row r="165" spans="1:47">
      <c r="A165" s="98"/>
      <c r="B165" s="98"/>
      <c r="C165" s="98"/>
      <c r="D165" s="99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101"/>
      <c r="V165" s="98"/>
      <c r="W165" s="98"/>
      <c r="X165" s="98"/>
      <c r="Y165" s="101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  <c r="AS165" s="98"/>
      <c r="AT165" s="98"/>
      <c r="AU165" s="98"/>
    </row>
    <row r="166" spans="1:47">
      <c r="A166" s="98"/>
      <c r="B166" s="98"/>
      <c r="C166" s="98"/>
      <c r="D166" s="99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101"/>
      <c r="V166" s="98"/>
      <c r="W166" s="98"/>
      <c r="X166" s="98"/>
      <c r="Y166" s="101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98"/>
      <c r="AP166" s="98"/>
      <c r="AQ166" s="98"/>
      <c r="AR166" s="98"/>
      <c r="AS166" s="98"/>
      <c r="AT166" s="98"/>
      <c r="AU166" s="98"/>
    </row>
    <row r="167" spans="1:47">
      <c r="A167" s="98"/>
      <c r="B167" s="98"/>
      <c r="C167" s="98"/>
      <c r="D167" s="99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101"/>
      <c r="V167" s="98"/>
      <c r="W167" s="98"/>
      <c r="X167" s="98"/>
      <c r="Y167" s="101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</row>
    <row r="168" spans="1:47">
      <c r="A168" s="98"/>
      <c r="B168" s="98"/>
      <c r="C168" s="98"/>
      <c r="D168" s="99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101"/>
      <c r="V168" s="98"/>
      <c r="W168" s="98"/>
      <c r="X168" s="98"/>
      <c r="Y168" s="101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  <c r="AS168" s="98"/>
      <c r="AT168" s="98"/>
      <c r="AU168" s="98"/>
    </row>
    <row r="169" spans="1:47">
      <c r="A169" s="98"/>
      <c r="B169" s="98"/>
      <c r="C169" s="98"/>
      <c r="D169" s="99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101"/>
      <c r="V169" s="98"/>
      <c r="W169" s="98"/>
      <c r="X169" s="98"/>
      <c r="Y169" s="101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98"/>
      <c r="AU169" s="98"/>
    </row>
    <row r="170" spans="1:47">
      <c r="A170" s="98"/>
      <c r="B170" s="98"/>
      <c r="C170" s="98"/>
      <c r="D170" s="99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101"/>
      <c r="V170" s="98"/>
      <c r="W170" s="98"/>
      <c r="X170" s="98"/>
      <c r="Y170" s="101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98"/>
      <c r="AP170" s="98"/>
      <c r="AQ170" s="98"/>
      <c r="AR170" s="98"/>
      <c r="AS170" s="98"/>
      <c r="AT170" s="98"/>
      <c r="AU170" s="98"/>
    </row>
    <row r="171" spans="1:47">
      <c r="A171" s="98"/>
      <c r="B171" s="98"/>
      <c r="C171" s="98"/>
      <c r="D171" s="99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101"/>
      <c r="V171" s="98"/>
      <c r="W171" s="98"/>
      <c r="X171" s="98"/>
      <c r="Y171" s="101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  <c r="AS171" s="98"/>
      <c r="AT171" s="98"/>
      <c r="AU171" s="98"/>
    </row>
    <row r="172" spans="1:47">
      <c r="A172" s="98"/>
      <c r="B172" s="98"/>
      <c r="C172" s="98"/>
      <c r="D172" s="99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101"/>
      <c r="V172" s="98"/>
      <c r="W172" s="98"/>
      <c r="X172" s="98"/>
      <c r="Y172" s="101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98"/>
      <c r="AP172" s="98"/>
      <c r="AQ172" s="98"/>
      <c r="AR172" s="98"/>
      <c r="AS172" s="98"/>
      <c r="AT172" s="98"/>
      <c r="AU172" s="98"/>
    </row>
    <row r="173" spans="1:47">
      <c r="A173" s="98"/>
      <c r="B173" s="98"/>
      <c r="C173" s="98"/>
      <c r="D173" s="99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101"/>
      <c r="V173" s="98"/>
      <c r="W173" s="98"/>
      <c r="X173" s="98"/>
      <c r="Y173" s="101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  <c r="AS173" s="98"/>
      <c r="AT173" s="98"/>
      <c r="AU173" s="98"/>
    </row>
    <row r="174" spans="1:47">
      <c r="A174" s="98"/>
      <c r="B174" s="98"/>
      <c r="C174" s="98"/>
      <c r="D174" s="99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101"/>
      <c r="V174" s="98"/>
      <c r="W174" s="98"/>
      <c r="X174" s="98"/>
      <c r="Y174" s="101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98"/>
      <c r="AU174" s="98"/>
    </row>
    <row r="175" spans="1:47">
      <c r="A175" s="98"/>
      <c r="B175" s="98"/>
      <c r="C175" s="98"/>
      <c r="D175" s="99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101"/>
      <c r="V175" s="98"/>
      <c r="W175" s="98"/>
      <c r="X175" s="98"/>
      <c r="Y175" s="101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8"/>
      <c r="AT175" s="98"/>
      <c r="AU175" s="98"/>
    </row>
    <row r="176" spans="1:47">
      <c r="A176" s="98"/>
      <c r="B176" s="98"/>
      <c r="C176" s="98"/>
      <c r="D176" s="99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101"/>
      <c r="V176" s="98"/>
      <c r="W176" s="98"/>
      <c r="X176" s="98"/>
      <c r="Y176" s="101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8"/>
      <c r="AT176" s="98"/>
      <c r="AU176" s="98"/>
    </row>
    <row r="177" spans="1:47">
      <c r="A177" s="98"/>
      <c r="B177" s="98"/>
      <c r="C177" s="98"/>
      <c r="D177" s="99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101"/>
      <c r="V177" s="98"/>
      <c r="W177" s="98"/>
      <c r="X177" s="98"/>
      <c r="Y177" s="101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8"/>
      <c r="AT177" s="98"/>
      <c r="AU177" s="98"/>
    </row>
    <row r="178" spans="1:47">
      <c r="A178" s="98"/>
      <c r="B178" s="98"/>
      <c r="C178" s="98"/>
      <c r="D178" s="99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101"/>
      <c r="V178" s="98"/>
      <c r="W178" s="98"/>
      <c r="X178" s="98"/>
      <c r="Y178" s="101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8"/>
      <c r="AT178" s="98"/>
      <c r="AU178" s="98"/>
    </row>
    <row r="179" spans="1:47">
      <c r="A179" s="98"/>
      <c r="B179" s="98"/>
      <c r="C179" s="98"/>
      <c r="D179" s="99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101"/>
      <c r="V179" s="98"/>
      <c r="W179" s="98"/>
      <c r="X179" s="98"/>
      <c r="Y179" s="101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  <c r="AS179" s="98"/>
      <c r="AT179" s="98"/>
      <c r="AU179" s="98"/>
    </row>
    <row r="180" spans="1:47">
      <c r="A180" s="98"/>
      <c r="B180" s="98"/>
      <c r="C180" s="98"/>
      <c r="D180" s="99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101"/>
      <c r="V180" s="98"/>
      <c r="W180" s="98"/>
      <c r="X180" s="98"/>
      <c r="Y180" s="101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98"/>
      <c r="AQ180" s="98"/>
      <c r="AR180" s="98"/>
      <c r="AS180" s="98"/>
      <c r="AT180" s="98"/>
      <c r="AU180" s="98"/>
    </row>
    <row r="181" spans="1:47">
      <c r="A181" s="98"/>
      <c r="B181" s="98"/>
      <c r="C181" s="98"/>
      <c r="D181" s="99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101"/>
      <c r="V181" s="98"/>
      <c r="W181" s="98"/>
      <c r="X181" s="98"/>
      <c r="Y181" s="101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98"/>
      <c r="AP181" s="98"/>
      <c r="AQ181" s="98"/>
      <c r="AR181" s="98"/>
      <c r="AS181" s="98"/>
      <c r="AT181" s="98"/>
      <c r="AU181" s="98"/>
    </row>
    <row r="182" spans="1:47">
      <c r="A182" s="98"/>
      <c r="B182" s="98"/>
      <c r="C182" s="98"/>
      <c r="D182" s="99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101"/>
      <c r="V182" s="98"/>
      <c r="W182" s="98"/>
      <c r="X182" s="98"/>
      <c r="Y182" s="101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  <c r="AS182" s="98"/>
      <c r="AT182" s="98"/>
      <c r="AU182" s="98"/>
    </row>
    <row r="183" spans="1:47">
      <c r="A183" s="98"/>
      <c r="B183" s="98"/>
      <c r="C183" s="98"/>
      <c r="D183" s="99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101"/>
      <c r="V183" s="98"/>
      <c r="W183" s="98"/>
      <c r="X183" s="98"/>
      <c r="Y183" s="101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98"/>
      <c r="AQ183" s="98"/>
      <c r="AR183" s="98"/>
      <c r="AS183" s="98"/>
      <c r="AT183" s="98"/>
      <c r="AU183" s="98"/>
    </row>
    <row r="184" spans="1:47">
      <c r="A184" s="98"/>
      <c r="B184" s="98"/>
      <c r="C184" s="98"/>
      <c r="D184" s="99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101"/>
      <c r="V184" s="98"/>
      <c r="W184" s="98"/>
      <c r="X184" s="98"/>
      <c r="Y184" s="101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  <c r="AT184" s="98"/>
      <c r="AU184" s="98"/>
    </row>
    <row r="185" spans="1:47">
      <c r="A185" s="98"/>
      <c r="B185" s="98"/>
      <c r="C185" s="98"/>
      <c r="D185" s="99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101"/>
      <c r="V185" s="98"/>
      <c r="W185" s="98"/>
      <c r="X185" s="98"/>
      <c r="Y185" s="101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</row>
    <row r="186" spans="1:47">
      <c r="A186" s="98"/>
      <c r="B186" s="98"/>
      <c r="C186" s="98"/>
      <c r="D186" s="99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101"/>
      <c r="V186" s="98"/>
      <c r="W186" s="98"/>
      <c r="X186" s="98"/>
      <c r="Y186" s="101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98"/>
    </row>
    <row r="187" spans="1:47">
      <c r="A187" s="98"/>
      <c r="B187" s="98"/>
      <c r="C187" s="98"/>
      <c r="D187" s="99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101"/>
      <c r="V187" s="98"/>
      <c r="W187" s="98"/>
      <c r="X187" s="98"/>
      <c r="Y187" s="101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/>
    </row>
    <row r="188" spans="1:47">
      <c r="A188" s="98"/>
      <c r="B188" s="98"/>
      <c r="C188" s="98"/>
      <c r="D188" s="99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101"/>
      <c r="V188" s="98"/>
      <c r="W188" s="98"/>
      <c r="X188" s="98"/>
      <c r="Y188" s="101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98"/>
    </row>
    <row r="189" spans="1:47">
      <c r="A189" s="98"/>
      <c r="B189" s="98"/>
      <c r="C189" s="98"/>
      <c r="D189" s="99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101"/>
      <c r="V189" s="98"/>
      <c r="W189" s="98"/>
      <c r="X189" s="98"/>
      <c r="Y189" s="101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  <c r="AS189" s="98"/>
      <c r="AT189" s="98"/>
      <c r="AU189" s="98"/>
    </row>
    <row r="190" spans="1:47">
      <c r="A190" s="98"/>
      <c r="B190" s="98"/>
      <c r="C190" s="98"/>
      <c r="D190" s="99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101"/>
      <c r="V190" s="98"/>
      <c r="W190" s="98"/>
      <c r="X190" s="98"/>
      <c r="Y190" s="101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98"/>
      <c r="AQ190" s="98"/>
      <c r="AR190" s="98"/>
      <c r="AS190" s="98"/>
      <c r="AT190" s="98"/>
      <c r="AU190" s="98"/>
    </row>
    <row r="191" spans="1:47">
      <c r="A191" s="98"/>
      <c r="B191" s="98"/>
      <c r="C191" s="98"/>
      <c r="D191" s="99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101"/>
      <c r="V191" s="98"/>
      <c r="W191" s="98"/>
      <c r="X191" s="98"/>
      <c r="Y191" s="101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  <c r="AS191" s="98"/>
      <c r="AT191" s="98"/>
      <c r="AU191" s="98"/>
    </row>
    <row r="192" spans="1:47">
      <c r="A192" s="98"/>
      <c r="B192" s="98"/>
      <c r="C192" s="98"/>
      <c r="D192" s="99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101"/>
      <c r="V192" s="98"/>
      <c r="W192" s="98"/>
      <c r="X192" s="98"/>
      <c r="Y192" s="101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98"/>
      <c r="AQ192" s="98"/>
      <c r="AR192" s="98"/>
      <c r="AS192" s="98"/>
      <c r="AT192" s="98"/>
      <c r="AU192" s="98"/>
    </row>
    <row r="193" spans="1:47">
      <c r="A193" s="98"/>
      <c r="B193" s="98"/>
      <c r="C193" s="98"/>
      <c r="D193" s="99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101"/>
      <c r="V193" s="98"/>
      <c r="W193" s="98"/>
      <c r="X193" s="98"/>
      <c r="Y193" s="101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98"/>
    </row>
    <row r="194" spans="1:47">
      <c r="A194" s="98"/>
      <c r="B194" s="98"/>
      <c r="C194" s="98"/>
      <c r="D194" s="99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101"/>
      <c r="V194" s="98"/>
      <c r="W194" s="98"/>
      <c r="X194" s="98"/>
      <c r="Y194" s="101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98"/>
      <c r="AS194" s="98"/>
      <c r="AT194" s="98"/>
      <c r="AU194" s="98"/>
    </row>
    <row r="195" spans="1:47">
      <c r="A195" s="98"/>
      <c r="B195" s="98"/>
      <c r="C195" s="98"/>
      <c r="D195" s="99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101"/>
      <c r="V195" s="98"/>
      <c r="W195" s="98"/>
      <c r="X195" s="98"/>
      <c r="Y195" s="101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98"/>
      <c r="AQ195" s="98"/>
      <c r="AR195" s="98"/>
      <c r="AS195" s="98"/>
      <c r="AT195" s="98"/>
      <c r="AU195" s="98"/>
    </row>
    <row r="196" spans="1:47">
      <c r="A196" s="98"/>
      <c r="B196" s="98"/>
      <c r="C196" s="98"/>
      <c r="D196" s="99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101"/>
      <c r="V196" s="98"/>
      <c r="W196" s="98"/>
      <c r="X196" s="98"/>
      <c r="Y196" s="101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98"/>
      <c r="AP196" s="98"/>
      <c r="AQ196" s="98"/>
      <c r="AR196" s="98"/>
      <c r="AS196" s="98"/>
      <c r="AT196" s="98"/>
      <c r="AU196" s="98"/>
    </row>
    <row r="197" spans="1:47">
      <c r="A197" s="98"/>
      <c r="B197" s="98"/>
      <c r="C197" s="98"/>
      <c r="D197" s="99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101"/>
      <c r="V197" s="98"/>
      <c r="W197" s="98"/>
      <c r="X197" s="98"/>
      <c r="Y197" s="101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</row>
    <row r="198" spans="1:47">
      <c r="A198" s="98"/>
      <c r="B198" s="98"/>
      <c r="C198" s="98"/>
      <c r="D198" s="99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101"/>
      <c r="V198" s="98"/>
      <c r="W198" s="98"/>
      <c r="X198" s="98"/>
      <c r="Y198" s="101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98"/>
      <c r="AQ198" s="98"/>
      <c r="AR198" s="98"/>
      <c r="AS198" s="98"/>
      <c r="AT198" s="98"/>
      <c r="AU198" s="98"/>
    </row>
    <row r="199" spans="1:47">
      <c r="A199" s="98"/>
      <c r="B199" s="98"/>
      <c r="C199" s="98"/>
      <c r="D199" s="99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101"/>
      <c r="V199" s="98"/>
      <c r="W199" s="98"/>
      <c r="X199" s="98"/>
      <c r="Y199" s="101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98"/>
      <c r="AQ199" s="98"/>
      <c r="AR199" s="98"/>
      <c r="AS199" s="98"/>
      <c r="AT199" s="98"/>
      <c r="AU199" s="98"/>
    </row>
    <row r="200" spans="1:47">
      <c r="A200" s="98"/>
      <c r="B200" s="98"/>
      <c r="C200" s="98"/>
      <c r="D200" s="99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101"/>
      <c r="V200" s="98"/>
      <c r="W200" s="98"/>
      <c r="X200" s="98"/>
      <c r="Y200" s="101"/>
      <c r="Z200" s="98"/>
      <c r="AA200" s="98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8"/>
      <c r="AM200" s="98"/>
      <c r="AN200" s="98"/>
      <c r="AO200" s="98"/>
      <c r="AP200" s="98"/>
      <c r="AQ200" s="98"/>
      <c r="AR200" s="98"/>
      <c r="AS200" s="98"/>
      <c r="AT200" s="98"/>
      <c r="AU200" s="98"/>
    </row>
    <row r="201" spans="1:47">
      <c r="A201" s="98"/>
      <c r="B201" s="98"/>
      <c r="C201" s="98"/>
      <c r="D201" s="99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101"/>
      <c r="V201" s="98"/>
      <c r="W201" s="98"/>
      <c r="X201" s="98"/>
      <c r="Y201" s="101"/>
      <c r="Z201" s="98"/>
      <c r="AA201" s="98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  <c r="AN201" s="98"/>
      <c r="AO201" s="98"/>
      <c r="AP201" s="98"/>
      <c r="AQ201" s="98"/>
      <c r="AR201" s="98"/>
      <c r="AS201" s="98"/>
      <c r="AT201" s="98"/>
      <c r="AU201" s="98"/>
    </row>
  </sheetData>
  <mergeCells count="26">
    <mergeCell ref="Y5:Y7"/>
    <mergeCell ref="Z5:Z7"/>
    <mergeCell ref="C1:O1"/>
    <mergeCell ref="AA5:AB6"/>
    <mergeCell ref="R5:R7"/>
    <mergeCell ref="S5:S7"/>
    <mergeCell ref="T5:T7"/>
    <mergeCell ref="U5:U7"/>
    <mergeCell ref="V5:V7"/>
    <mergeCell ref="W5:W7"/>
    <mergeCell ref="L5:L7"/>
    <mergeCell ref="M5:M7"/>
    <mergeCell ref="N5:N7"/>
    <mergeCell ref="O5:O7"/>
    <mergeCell ref="P5:P7"/>
    <mergeCell ref="F5:F7"/>
    <mergeCell ref="G5:G7"/>
    <mergeCell ref="J5:J7"/>
    <mergeCell ref="K5:K7"/>
    <mergeCell ref="X5:X7"/>
    <mergeCell ref="Q5:Q7"/>
    <mergeCell ref="A5:A7"/>
    <mergeCell ref="B5:B7"/>
    <mergeCell ref="C5:C7"/>
    <mergeCell ref="D5:D7"/>
    <mergeCell ref="E5:E7"/>
  </mergeCells>
  <pageMargins left="0.39370078740157483" right="0.39370078740157483" top="0.74803149606299213" bottom="0.59055118110236227" header="0.31496062992125984" footer="0.31496062992125984"/>
  <pageSetup paperSize="9" scale="65" fitToWidth="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98 % (15244,7)</vt:lpstr>
      <vt:lpstr>'98 % (15244,7)'!Заголовки_для_печати</vt:lpstr>
      <vt:lpstr>'98 % (15244,7)'!Область_печати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2021-09-15T11:38:55Z</cp:lastPrinted>
  <dcterms:created xsi:type="dcterms:W3CDTF">2021-09-03T13:56:58Z</dcterms:created>
  <dcterms:modified xsi:type="dcterms:W3CDTF">2021-09-23T08:30:26Z</dcterms:modified>
</cp:coreProperties>
</file>