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900" windowWidth="28800" windowHeight="11235"/>
  </bookViews>
  <sheets>
    <sheet name="2021 (07.09.2021)" sheetId="13" r:id="rId1"/>
  </sheets>
  <definedNames>
    <definedName name="_xlnm.Print_Area" localSheetId="0">'2021 (07.09.2021)'!$A$1:$Q$69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" i="13"/>
  <c r="R54"/>
  <c r="R39"/>
  <c r="R28"/>
  <c r="R27"/>
  <c r="R26"/>
  <c r="R25"/>
  <c r="R24"/>
  <c r="R23"/>
  <c r="R22"/>
  <c r="R21"/>
  <c r="R20"/>
  <c r="L66" l="1"/>
  <c r="L63"/>
  <c r="L61"/>
  <c r="L59"/>
  <c r="L58"/>
  <c r="L57"/>
  <c r="L56"/>
  <c r="L55"/>
  <c r="L54"/>
  <c r="L53"/>
  <c r="L52"/>
  <c r="L51"/>
  <c r="L50"/>
  <c r="L40"/>
  <c r="L39"/>
  <c r="L38"/>
  <c r="L37"/>
  <c r="L36"/>
  <c r="L35"/>
  <c r="L34"/>
  <c r="L29"/>
  <c r="L26"/>
  <c r="L23"/>
  <c r="L22"/>
  <c r="L21"/>
  <c r="L20"/>
  <c r="L19"/>
  <c r="L17"/>
  <c r="L12"/>
  <c r="L11"/>
  <c r="L10"/>
  <c r="L9"/>
  <c r="L8"/>
  <c r="L7"/>
  <c r="K63"/>
  <c r="K59"/>
  <c r="K58"/>
  <c r="K56"/>
  <c r="K55"/>
  <c r="K54"/>
  <c r="K53"/>
  <c r="K52"/>
  <c r="K50"/>
  <c r="K49"/>
  <c r="K48"/>
  <c r="K46"/>
  <c r="K44"/>
  <c r="K43"/>
  <c r="K42"/>
  <c r="K41"/>
  <c r="K40"/>
  <c r="K39"/>
  <c r="K37"/>
  <c r="K35"/>
  <c r="K34"/>
  <c r="K29"/>
  <c r="K26"/>
  <c r="K21" l="1"/>
  <c r="K20"/>
  <c r="K17"/>
  <c r="K12"/>
  <c r="K11"/>
  <c r="K10"/>
  <c r="K9"/>
  <c r="K7"/>
  <c r="I65" l="1"/>
  <c r="I63"/>
  <c r="I62"/>
  <c r="I61"/>
  <c r="I60"/>
  <c r="I58"/>
  <c r="I57"/>
  <c r="I56"/>
  <c r="I55"/>
  <c r="I54"/>
  <c r="I50"/>
  <c r="I45"/>
  <c r="I40"/>
  <c r="I38"/>
  <c r="I37"/>
  <c r="I36"/>
  <c r="I34"/>
  <c r="I29"/>
  <c r="I23"/>
  <c r="I21"/>
  <c r="I20"/>
  <c r="I19"/>
  <c r="I7"/>
  <c r="J39"/>
  <c r="D39" s="1"/>
  <c r="H39" s="1"/>
  <c r="D20"/>
  <c r="F11" l="1"/>
  <c r="J62"/>
  <c r="D62" s="1"/>
  <c r="H62" l="1"/>
  <c r="F29" l="1"/>
  <c r="F41" l="1"/>
  <c r="M41"/>
  <c r="F50"/>
  <c r="M50"/>
  <c r="M55"/>
  <c r="F56"/>
  <c r="M56"/>
  <c r="M59"/>
  <c r="M60"/>
  <c r="M61"/>
  <c r="C62"/>
  <c r="N62"/>
  <c r="O62" s="1"/>
  <c r="M62"/>
  <c r="M63"/>
  <c r="M64"/>
  <c r="M65"/>
  <c r="I67"/>
  <c r="K67"/>
  <c r="C68"/>
  <c r="D68"/>
  <c r="H68" s="1"/>
  <c r="C69"/>
  <c r="D69" s="1"/>
  <c r="H69" s="1"/>
  <c r="M54" l="1"/>
  <c r="J54"/>
  <c r="D54" s="1"/>
  <c r="H54" s="1"/>
  <c r="H73" s="1"/>
  <c r="D73" s="1"/>
  <c r="F67"/>
  <c r="F73" s="1"/>
  <c r="N54"/>
  <c r="Q62"/>
  <c r="M66"/>
  <c r="D16" l="1"/>
  <c r="D17"/>
  <c r="D12"/>
  <c r="D18"/>
  <c r="D13"/>
  <c r="D14"/>
  <c r="D15"/>
  <c r="D57"/>
  <c r="D59"/>
  <c r="H59" s="1"/>
  <c r="J59" s="1"/>
  <c r="H20"/>
  <c r="J20" s="1"/>
  <c r="D33"/>
  <c r="H33" s="1"/>
  <c r="J33" s="1"/>
  <c r="D36"/>
  <c r="H36" s="1"/>
  <c r="J36" s="1"/>
  <c r="D64"/>
  <c r="H64" s="1"/>
  <c r="J64" s="1"/>
  <c r="N64" s="1"/>
  <c r="O64" s="1"/>
  <c r="D49"/>
  <c r="H49" s="1"/>
  <c r="J49" s="1"/>
  <c r="D63"/>
  <c r="H28"/>
  <c r="J28" s="1"/>
  <c r="D53"/>
  <c r="H53" s="1"/>
  <c r="J53" s="1"/>
  <c r="D58"/>
  <c r="D32"/>
  <c r="H32" s="1"/>
  <c r="J32" s="1"/>
  <c r="D8"/>
  <c r="H8" s="1"/>
  <c r="J8" s="1"/>
  <c r="D44"/>
  <c r="H44" s="1"/>
  <c r="J44" s="1"/>
  <c r="D56"/>
  <c r="D61"/>
  <c r="H61" s="1"/>
  <c r="J61" s="1"/>
  <c r="N61" s="1"/>
  <c r="D35"/>
  <c r="H35" s="1"/>
  <c r="J35" s="1"/>
  <c r="D19"/>
  <c r="H19" s="1"/>
  <c r="J19" s="1"/>
  <c r="D42"/>
  <c r="H42" s="1"/>
  <c r="J42" s="1"/>
  <c r="D38"/>
  <c r="H38" s="1"/>
  <c r="J38" s="1"/>
  <c r="H21"/>
  <c r="J21" s="1"/>
  <c r="D50"/>
  <c r="H50" s="1"/>
  <c r="J50" s="1"/>
  <c r="D46"/>
  <c r="H46" s="1"/>
  <c r="J46" s="1"/>
  <c r="D45"/>
  <c r="H45" s="1"/>
  <c r="J45" s="1"/>
  <c r="D55"/>
  <c r="H55" s="1"/>
  <c r="J55" s="1"/>
  <c r="N55" s="1"/>
  <c r="O55" s="1"/>
  <c r="H25"/>
  <c r="J25" s="1"/>
  <c r="D48"/>
  <c r="H48" s="1"/>
  <c r="J48" s="1"/>
  <c r="D65"/>
  <c r="H27"/>
  <c r="J27" s="1"/>
  <c r="D9"/>
  <c r="H9" s="1"/>
  <c r="J9" s="1"/>
  <c r="D11"/>
  <c r="H11" s="1"/>
  <c r="J11" s="1"/>
  <c r="D51"/>
  <c r="H51" s="1"/>
  <c r="J51" s="1"/>
  <c r="D52"/>
  <c r="H52" s="1"/>
  <c r="J52" s="1"/>
  <c r="D31"/>
  <c r="H31" s="1"/>
  <c r="J31" s="1"/>
  <c r="D40"/>
  <c r="H40" s="1"/>
  <c r="J40" s="1"/>
  <c r="D7"/>
  <c r="H22"/>
  <c r="J22" s="1"/>
  <c r="D30"/>
  <c r="H30" s="1"/>
  <c r="J30" s="1"/>
  <c r="D10"/>
  <c r="H10" s="1"/>
  <c r="J10" s="1"/>
  <c r="H24"/>
  <c r="J24" s="1"/>
  <c r="D41"/>
  <c r="H41" s="1"/>
  <c r="J41" s="1"/>
  <c r="D37"/>
  <c r="H37" s="1"/>
  <c r="J37" s="1"/>
  <c r="D43"/>
  <c r="D66"/>
  <c r="H23"/>
  <c r="J23" s="1"/>
  <c r="D47"/>
  <c r="H47" s="1"/>
  <c r="J47" s="1"/>
  <c r="H26"/>
  <c r="J26" s="1"/>
  <c r="D60"/>
  <c r="H60" s="1"/>
  <c r="J60" s="1"/>
  <c r="N60" s="1"/>
  <c r="D34"/>
  <c r="H34" s="1"/>
  <c r="J34" s="1"/>
  <c r="D29"/>
  <c r="H29" s="1"/>
  <c r="J29" s="1"/>
  <c r="C54"/>
  <c r="O54"/>
  <c r="Q54" s="1"/>
  <c r="Q64" l="1"/>
  <c r="R64"/>
  <c r="Q55"/>
  <c r="R55"/>
  <c r="H43"/>
  <c r="J43" s="1"/>
  <c r="C18"/>
  <c r="H18"/>
  <c r="J18" s="1"/>
  <c r="N18" s="1"/>
  <c r="O18" s="1"/>
  <c r="C17"/>
  <c r="H17"/>
  <c r="J17" s="1"/>
  <c r="N17" s="1"/>
  <c r="C16"/>
  <c r="H16"/>
  <c r="J16" s="1"/>
  <c r="N16" s="1"/>
  <c r="C15"/>
  <c r="H15"/>
  <c r="J15" s="1"/>
  <c r="N15" s="1"/>
  <c r="O15" s="1"/>
  <c r="C14"/>
  <c r="H14"/>
  <c r="J14" s="1"/>
  <c r="N14" s="1"/>
  <c r="C55"/>
  <c r="C13"/>
  <c r="H13"/>
  <c r="J13" s="1"/>
  <c r="N13" s="1"/>
  <c r="O13" s="1"/>
  <c r="H58"/>
  <c r="J58" s="1"/>
  <c r="N58" s="1"/>
  <c r="O58" s="1"/>
  <c r="C58"/>
  <c r="C64"/>
  <c r="H65"/>
  <c r="J65" s="1"/>
  <c r="N65" s="1"/>
  <c r="O65" s="1"/>
  <c r="C65"/>
  <c r="H56"/>
  <c r="J56" s="1"/>
  <c r="N56" s="1"/>
  <c r="C56"/>
  <c r="H63"/>
  <c r="J63" s="1"/>
  <c r="N63" s="1"/>
  <c r="O63" s="1"/>
  <c r="C63"/>
  <c r="H12"/>
  <c r="J12" s="1"/>
  <c r="N12" s="1"/>
  <c r="O12" s="1"/>
  <c r="C12"/>
  <c r="H66"/>
  <c r="J66" s="1"/>
  <c r="C66"/>
  <c r="H57"/>
  <c r="J57" s="1"/>
  <c r="N57" s="1"/>
  <c r="O57" s="1"/>
  <c r="R57" s="1"/>
  <c r="C57"/>
  <c r="Q15" l="1"/>
  <c r="R15"/>
  <c r="Q63"/>
  <c r="R63"/>
  <c r="Q65"/>
  <c r="R65"/>
  <c r="Q13"/>
  <c r="R13"/>
  <c r="Q58"/>
  <c r="R58"/>
  <c r="Q18"/>
  <c r="R18"/>
  <c r="Q12"/>
  <c r="R12"/>
  <c r="O16"/>
  <c r="O14"/>
  <c r="O17"/>
  <c r="N66"/>
  <c r="O66" s="1"/>
  <c r="O56"/>
  <c r="Q57"/>
  <c r="C41"/>
  <c r="N41"/>
  <c r="C49"/>
  <c r="N49"/>
  <c r="C48"/>
  <c r="N48"/>
  <c r="N45"/>
  <c r="C45"/>
  <c r="N47"/>
  <c r="C47"/>
  <c r="N42"/>
  <c r="C42"/>
  <c r="C46"/>
  <c r="N46"/>
  <c r="N44"/>
  <c r="C44"/>
  <c r="C43"/>
  <c r="N43"/>
  <c r="Q17" l="1"/>
  <c r="R17"/>
  <c r="Q66"/>
  <c r="R66"/>
  <c r="Q56"/>
  <c r="R56"/>
  <c r="Q16"/>
  <c r="R16"/>
  <c r="Q14"/>
  <c r="R14"/>
  <c r="O42"/>
  <c r="O49"/>
  <c r="O44"/>
  <c r="O47"/>
  <c r="O46"/>
  <c r="O41"/>
  <c r="O45"/>
  <c r="O43"/>
  <c r="O48"/>
  <c r="Q47" l="1"/>
  <c r="R47"/>
  <c r="Q45"/>
  <c r="R45"/>
  <c r="Q44"/>
  <c r="R44"/>
  <c r="Q43"/>
  <c r="R43"/>
  <c r="Q48"/>
  <c r="R48"/>
  <c r="Q46"/>
  <c r="R46"/>
  <c r="Q42"/>
  <c r="R42"/>
  <c r="Q41"/>
  <c r="R41"/>
  <c r="Q49"/>
  <c r="R49"/>
  <c r="L67"/>
  <c r="F7"/>
  <c r="F20" l="1"/>
  <c r="M40" l="1"/>
  <c r="M39"/>
  <c r="M38"/>
  <c r="M36"/>
  <c r="M34"/>
  <c r="M29"/>
  <c r="M22"/>
  <c r="M21"/>
  <c r="M20"/>
  <c r="M19"/>
  <c r="F19"/>
  <c r="M11"/>
  <c r="M10"/>
  <c r="M9"/>
  <c r="M7"/>
  <c r="M67" l="1"/>
  <c r="C39"/>
  <c r="C11"/>
  <c r="C33" l="1"/>
  <c r="N33"/>
  <c r="N39"/>
  <c r="O39" s="1"/>
  <c r="Q39" s="1"/>
  <c r="N11"/>
  <c r="O11" s="1"/>
  <c r="Q11" l="1"/>
  <c r="R11"/>
  <c r="O33"/>
  <c r="N52"/>
  <c r="O52" s="1"/>
  <c r="C52"/>
  <c r="C50"/>
  <c r="N50"/>
  <c r="O50" s="1"/>
  <c r="C51"/>
  <c r="N51"/>
  <c r="C61"/>
  <c r="C60"/>
  <c r="C59"/>
  <c r="N59"/>
  <c r="N53"/>
  <c r="O53" s="1"/>
  <c r="C53"/>
  <c r="Q50" l="1"/>
  <c r="R50"/>
  <c r="Q33"/>
  <c r="R33"/>
  <c r="Q53"/>
  <c r="R53"/>
  <c r="Q52"/>
  <c r="R52"/>
  <c r="O61"/>
  <c r="O51"/>
  <c r="O59"/>
  <c r="O60"/>
  <c r="C10"/>
  <c r="N10"/>
  <c r="O10" s="1"/>
  <c r="N25"/>
  <c r="O25" s="1"/>
  <c r="Q25" s="1"/>
  <c r="C25"/>
  <c r="C20"/>
  <c r="N20"/>
  <c r="O20" s="1"/>
  <c r="Q20" s="1"/>
  <c r="N9"/>
  <c r="O9" s="1"/>
  <c r="C9"/>
  <c r="N30"/>
  <c r="C30"/>
  <c r="N23"/>
  <c r="O23" s="1"/>
  <c r="Q23" s="1"/>
  <c r="C23"/>
  <c r="H7"/>
  <c r="H67" s="1"/>
  <c r="C7"/>
  <c r="C29"/>
  <c r="N31"/>
  <c r="C31"/>
  <c r="C19"/>
  <c r="N19"/>
  <c r="C34"/>
  <c r="N34"/>
  <c r="O34" s="1"/>
  <c r="C27"/>
  <c r="N27"/>
  <c r="O27" s="1"/>
  <c r="Q27" s="1"/>
  <c r="N22"/>
  <c r="O22" s="1"/>
  <c r="Q22" s="1"/>
  <c r="C22"/>
  <c r="N40"/>
  <c r="O40" s="1"/>
  <c r="C40"/>
  <c r="C24"/>
  <c r="O24"/>
  <c r="Q24" s="1"/>
  <c r="C28"/>
  <c r="O28"/>
  <c r="Q28" s="1"/>
  <c r="N35"/>
  <c r="O35" s="1"/>
  <c r="C35"/>
  <c r="N21"/>
  <c r="O21" s="1"/>
  <c r="Q21" s="1"/>
  <c r="C21"/>
  <c r="N8"/>
  <c r="O8" s="1"/>
  <c r="C8"/>
  <c r="N32"/>
  <c r="C32"/>
  <c r="N26"/>
  <c r="O26" s="1"/>
  <c r="Q26" s="1"/>
  <c r="C26"/>
  <c r="N37"/>
  <c r="O37" s="1"/>
  <c r="C37"/>
  <c r="N36"/>
  <c r="O36" s="1"/>
  <c r="C36"/>
  <c r="N38"/>
  <c r="O38" s="1"/>
  <c r="C38"/>
  <c r="Q34" l="1"/>
  <c r="R34"/>
  <c r="Q61"/>
  <c r="R61"/>
  <c r="Q40"/>
  <c r="R40"/>
  <c r="Q10"/>
  <c r="R10"/>
  <c r="Q51"/>
  <c r="R51"/>
  <c r="Q37"/>
  <c r="R37"/>
  <c r="Q9"/>
  <c r="R9"/>
  <c r="Q59"/>
  <c r="R59"/>
  <c r="Q38"/>
  <c r="R38"/>
  <c r="Q36"/>
  <c r="R36"/>
  <c r="Q8"/>
  <c r="R8"/>
  <c r="Q35"/>
  <c r="R35"/>
  <c r="Q60"/>
  <c r="R60"/>
  <c r="O19"/>
  <c r="D67"/>
  <c r="C67" s="1"/>
  <c r="N29"/>
  <c r="O29" s="1"/>
  <c r="O31"/>
  <c r="O30"/>
  <c r="O32"/>
  <c r="J7"/>
  <c r="Q32" l="1"/>
  <c r="R32"/>
  <c r="Q29"/>
  <c r="R29"/>
  <c r="Q31"/>
  <c r="R31"/>
  <c r="Q30"/>
  <c r="R30"/>
  <c r="Q19"/>
  <c r="R19"/>
  <c r="J67"/>
  <c r="N7"/>
  <c r="N67" s="1"/>
  <c r="O7" l="1"/>
  <c r="O67" l="1"/>
  <c r="R7"/>
  <c r="Q7"/>
  <c r="Q67" s="1"/>
</calcChain>
</file>

<file path=xl/sharedStrings.xml><?xml version="1.0" encoding="utf-8"?>
<sst xmlns="http://schemas.openxmlformats.org/spreadsheetml/2006/main" count="94" uniqueCount="92">
  <si>
    <t>Наименование муниципального образования</t>
  </si>
  <si>
    <t>Коэффициент соотношения средней заработной платы работников муниципальных учреждений культуры и средней заработной платы в Архангельской области</t>
  </si>
  <si>
    <t>Планируемая в муниципальном образовании средняя заработная  плата работников муниципальных учреждений культуры,  тыс. рублей</t>
  </si>
  <si>
    <t>Коэффициент начислений на выплаты по оплате труда</t>
  </si>
  <si>
    <t>Количество месяцев  
в году</t>
  </si>
  <si>
    <t>4=2*3</t>
  </si>
  <si>
    <t>8=гр.4*гр.5*гр.6*гр.7</t>
  </si>
  <si>
    <t>10=гр.8-гр.9</t>
  </si>
  <si>
    <t>МО "Вельский муниципальный район"</t>
  </si>
  <si>
    <t>МО "Верхнетоемский муниципальный район"</t>
  </si>
  <si>
    <t>МО "Виноградовский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</si>
  <si>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</si>
  <si>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</si>
  <si>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</si>
  <si>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 xml:space="preserve">МО "Ленский муниципальный район" </t>
  </si>
  <si>
    <t xml:space="preserve">МО "Лешуконский муниципальный район" </t>
  </si>
  <si>
    <t xml:space="preserve">МО "Мезенский муниципальный район" 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</si>
  <si>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</si>
  <si>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</si>
  <si>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</si>
  <si>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</si>
  <si>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</si>
  <si>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</si>
  <si>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</si>
  <si>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</si>
  <si>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</si>
  <si>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"Город Северодвинск"</t>
  </si>
  <si>
    <t>МО "Котлас"</t>
  </si>
  <si>
    <t>МО "Город Новодвинск"</t>
  </si>
  <si>
    <t>МО "Город Коряжма"</t>
  </si>
  <si>
    <t>МО "Мирный"</t>
  </si>
  <si>
    <t>Итого</t>
  </si>
  <si>
    <t>Государственные учреждения культуры АО</t>
  </si>
  <si>
    <t>ВСЕГО</t>
  </si>
  <si>
    <t>Средняя заработная плата в Архангельской области на 2020 год (прогноз министерства экономического развития и конкурентной политики Архангельской области, учтенный при подготовке бюджета Архангельской области), тыс. рублей</t>
  </si>
  <si>
    <t>Н.В. Бакшеева</t>
  </si>
  <si>
    <t xml:space="preserve">Исполняющий обязанности министра культуры 
Архангельской области </t>
  </si>
  <si>
    <t>Кузнецова Вероника Владимировна</t>
  </si>
  <si>
    <t>+7 (8182) 288-136</t>
  </si>
  <si>
    <t>15=13-14</t>
  </si>
  <si>
    <t xml:space="preserve"> Фонд оплаты труда с начислениями на 2020 год,  предусмотреннвй всего, тыс. руб.</t>
  </si>
  <si>
    <t>12а=гр.9+гр.12</t>
  </si>
  <si>
    <t>Планируемый фонд оплаты труда с начислениями по муниципальным работникам  культуры  на 2021 год, формируемый за счет всех источников финансирования, тыс. руб.</t>
  </si>
  <si>
    <t>Планируемый фонд оплаты труда с начислениями по муниципальным работникам  культуры  на 2021 год, формируемый за счет бюджета, тыс. руб.</t>
  </si>
  <si>
    <t>13=гр.10-гр.12</t>
  </si>
  <si>
    <t>14=13* % софин. (138-пп)</t>
  </si>
  <si>
    <t>Внебюджет 2019 года</t>
  </si>
  <si>
    <t>14а</t>
  </si>
  <si>
    <t>Процент софинансирования муниципальных образований согласн постановлению Правительства от 24.03.2020 № 138-пп</t>
  </si>
  <si>
    <t>МО "Коношское"</t>
  </si>
  <si>
    <t>МО "Волошское"</t>
  </si>
  <si>
    <t>МО "Вохтомское"</t>
  </si>
  <si>
    <t>МО "Ерцевское"</t>
  </si>
  <si>
    <t>МО "Климовское"</t>
  </si>
  <si>
    <t>МО "Подюжское"</t>
  </si>
  <si>
    <t>МО "Тавреньгское"</t>
  </si>
  <si>
    <t>МО "Урдомское"</t>
  </si>
  <si>
    <t>МО "Черевковское"</t>
  </si>
  <si>
    <t>МО "Пинежское"</t>
  </si>
  <si>
    <t>МО Шилегское"</t>
  </si>
  <si>
    <t>МО "Березницкое"</t>
  </si>
  <si>
    <t>МО "Октябрьское"</t>
  </si>
  <si>
    <t>сельское поселение "Кодинское"</t>
  </si>
  <si>
    <t>городское поселение "Малошуйское"</t>
  </si>
  <si>
    <t>сельское поселение "Нименьгское"</t>
  </si>
  <si>
    <t>городское поселение "Онежское"</t>
  </si>
  <si>
    <t>сельское поселение "Покровское"</t>
  </si>
  <si>
    <t>сельское поселение "Порожское"</t>
  </si>
  <si>
    <t>сельское поселение "Чекуевское"</t>
  </si>
  <si>
    <t>сельское поселение "Золотухское"</t>
  </si>
  <si>
    <t>городское поселение "Вельское"</t>
  </si>
  <si>
    <t>МО Сольвычегодское"</t>
  </si>
  <si>
    <t>МО "Черемушское"</t>
  </si>
  <si>
    <t>МО "Шипицынское"</t>
  </si>
  <si>
    <t>Меры социальной поддержки, тыс. рублей</t>
  </si>
  <si>
    <t xml:space="preserve"> Фонд оплаты труда с начислениями на 2021 год,  предусмотреннвй в бюджете с учетом мер социальной поддержки, тыс. руб.</t>
  </si>
  <si>
    <t>МО "Карпогорское"</t>
  </si>
  <si>
    <t>МО "Приводинское"</t>
  </si>
  <si>
    <t>МО "Вилегодский муниципальный округ"</t>
  </si>
  <si>
    <t>МО "Каргопольский муниципальный округ"</t>
  </si>
  <si>
    <t>МО "Березниковское"</t>
  </si>
  <si>
    <t>МО "Борецкое"</t>
  </si>
  <si>
    <t>МО "Заостровское"</t>
  </si>
  <si>
    <t>МО Можегорское"</t>
  </si>
  <si>
    <t>МО "Рочегодское"</t>
  </si>
  <si>
    <t>МО "Осиновское"</t>
  </si>
  <si>
    <t>МО "Устьваеньгское"</t>
  </si>
  <si>
    <t>Численность работников муниципальных учреждений культуры, работающих на территории муниципального образования (за 7 месяцев 2021 года), человек</t>
  </si>
  <si>
    <t>Объем субсидии на повышение средней заработной платы работников муниципальных учреждений культуры до уровня 97,2 процентов к средней заработной плате в Архангельской области, тыс. рублей</t>
  </si>
  <si>
    <t xml:space="preserve">Объем субсидии на повышение средней заработной платы работников муниципальных учреждений культуры до уровня 97,2 процентов к средней заработной плате в Архангельской области, тыс. рублей за счет средств субсидии субъекта  </t>
  </si>
  <si>
    <t xml:space="preserve">Расчет дополнительной потребности средств на предоставление субсидий бюджетам муниципальных образований на повышение средней заработной платы работников муниципальных учреждений культуры на 2021 год
</t>
  </si>
  <si>
    <t xml:space="preserve">                                          Приложение № 38
                                          к пояснительной записке</t>
  </si>
</sst>
</file>

<file path=xl/styles.xml><?xml version="1.0" encoding="utf-8"?>
<styleSheet xmlns="http://schemas.openxmlformats.org/spreadsheetml/2006/main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0_р_._-;\-* #,##0.0000_р_._-;_-* &quot;-&quot;??_р_._-;_-@_-"/>
    <numFmt numFmtId="166" formatCode="_-* #,##0.000_р_._-;\-* #,##0.000_р_._-;_-* &quot;-&quot;??_р_._-;_-@_-"/>
    <numFmt numFmtId="167" formatCode="_-* #,##0.000_р_._-;\-* #,##0.000_р_._-;_-* &quot;-&quot;?_р_._-;_-@_-"/>
    <numFmt numFmtId="168" formatCode="_-* #,##0.0_р_._-;\-* #,##0.0_р_._-;_-* &quot;-&quot;??_р_._-;_-@_-"/>
    <numFmt numFmtId="169" formatCode="#,##0.0"/>
    <numFmt numFmtId="170" formatCode="_-* #,##0.0_р_._-;\-* #,##0.0_р_._-;_-* &quot;-&quot;?_р_._-;_-@_-"/>
    <numFmt numFmtId="171" formatCode="_-* #,##0.00_р_._-;\-* #,##0.00_р_._-;_-* &quot;-&quot;?_р_._-;_-@_-"/>
    <numFmt numFmtId="172" formatCode="_-* #,##0.0\ _₽_-;\-* #,##0.0\ _₽_-;_-* &quot;-&quot;?\ _₽_-;_-@_-"/>
    <numFmt numFmtId="173" formatCode="_-* #,##0.000\ _₽_-;\-* #,##0.000\ _₽_-;_-* &quot;-&quot;???\ _₽_-;_-@_-"/>
    <numFmt numFmtId="174" formatCode="&quot;Да&quot;;&quot;Да&quot;;&quot;Нет&quot;"/>
    <numFmt numFmtId="175" formatCode="_-* #,##0.0_р_._-;\-* #,##0.0_р_._-;_-* \-??_р_._-;_-@_-"/>
    <numFmt numFmtId="176" formatCode="_-* #,##0.00000\ _₽_-;\-* #,##0.00000\ _₽_-;_-* &quot;-&quot;??\ _₽_-;_-@_-"/>
    <numFmt numFmtId="177" formatCode="_-* #,##0.0000_р_._-;\-* #,##0.0000_р_._-;_-* &quot;-&quot;?_р_._-;_-@_-"/>
  </numFmts>
  <fonts count="2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</font>
    <font>
      <sz val="12"/>
      <color theme="0"/>
      <name val="Calibri"/>
      <family val="2"/>
      <charset val="204"/>
    </font>
    <font>
      <sz val="12"/>
      <name val="Calibri"/>
      <family val="2"/>
      <charset val="204"/>
    </font>
    <font>
      <sz val="16"/>
      <name val="Times New Roman"/>
      <family val="1"/>
      <charset val="204"/>
    </font>
    <font>
      <sz val="11"/>
      <name val="Times New Roman CYR"/>
      <family val="1"/>
      <charset val="204"/>
    </font>
    <font>
      <b/>
      <sz val="12"/>
      <name val="Times New Roman"/>
      <family val="1"/>
      <charset val="204"/>
    </font>
    <font>
      <sz val="14"/>
      <color theme="0"/>
      <name val="Calibri"/>
      <family val="2"/>
      <charset val="204"/>
    </font>
    <font>
      <sz val="16"/>
      <color theme="0"/>
      <name val="Times New Roman"/>
      <family val="1"/>
      <charset val="204"/>
    </font>
    <font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174" fontId="16" fillId="0" borderId="0" applyBorder="0" applyProtection="0"/>
    <xf numFmtId="0" fontId="17" fillId="0" borderId="0"/>
  </cellStyleXfs>
  <cellXfs count="85">
    <xf numFmtId="0" fontId="0" fillId="0" borderId="0" xfId="0"/>
    <xf numFmtId="0" fontId="2" fillId="0" borderId="0" xfId="2" applyFont="1"/>
    <xf numFmtId="0" fontId="1" fillId="0" borderId="0" xfId="2"/>
    <xf numFmtId="0" fontId="4" fillId="0" borderId="0" xfId="2" applyFont="1" applyAlignment="1">
      <alignment horizontal="left" wrapText="1"/>
    </xf>
    <xf numFmtId="0" fontId="4" fillId="0" borderId="0" xfId="2" applyFont="1" applyAlignment="1">
      <alignment horizontal="left"/>
    </xf>
    <xf numFmtId="0" fontId="1" fillId="2" borderId="0" xfId="2" applyFill="1"/>
    <xf numFmtId="0" fontId="9" fillId="2" borderId="0" xfId="2" applyFont="1" applyFill="1"/>
    <xf numFmtId="0" fontId="14" fillId="2" borderId="0" xfId="2" applyFont="1" applyFill="1"/>
    <xf numFmtId="0" fontId="3" fillId="0" borderId="0" xfId="2" applyFont="1" applyAlignment="1">
      <alignment wrapText="1"/>
    </xf>
    <xf numFmtId="0" fontId="20" fillId="2" borderId="0" xfId="2" applyFont="1" applyFill="1"/>
    <xf numFmtId="0" fontId="6" fillId="2" borderId="0" xfId="2" applyFont="1" applyFill="1"/>
    <xf numFmtId="0" fontId="9" fillId="2" borderId="0" xfId="2" applyFont="1" applyFill="1" applyBorder="1"/>
    <xf numFmtId="49" fontId="6" fillId="2" borderId="0" xfId="2" applyNumberFormat="1" applyFont="1" applyFill="1"/>
    <xf numFmtId="0" fontId="9" fillId="0" borderId="0" xfId="2" applyFont="1"/>
    <xf numFmtId="0" fontId="18" fillId="2" borderId="0" xfId="2" applyFont="1" applyFill="1"/>
    <xf numFmtId="0" fontId="19" fillId="2" borderId="0" xfId="2" applyFont="1" applyFill="1"/>
    <xf numFmtId="0" fontId="18" fillId="0" borderId="0" xfId="2" applyFont="1"/>
    <xf numFmtId="173" fontId="20" fillId="2" borderId="0" xfId="2" applyNumberFormat="1" applyFont="1" applyFill="1"/>
    <xf numFmtId="0" fontId="9" fillId="0" borderId="6" xfId="2" applyFont="1" applyBorder="1"/>
    <xf numFmtId="172" fontId="20" fillId="2" borderId="0" xfId="2" applyNumberFormat="1" applyFont="1" applyFill="1"/>
    <xf numFmtId="0" fontId="24" fillId="2" borderId="0" xfId="2" applyFont="1" applyFill="1" applyBorder="1"/>
    <xf numFmtId="169" fontId="24" fillId="2" borderId="0" xfId="2" applyNumberFormat="1" applyFont="1" applyFill="1" applyBorder="1"/>
    <xf numFmtId="169" fontId="18" fillId="2" borderId="0" xfId="2" applyNumberFormat="1" applyFont="1" applyFill="1" applyBorder="1"/>
    <xf numFmtId="0" fontId="18" fillId="2" borderId="0" xfId="2" applyFont="1" applyFill="1" applyBorder="1"/>
    <xf numFmtId="176" fontId="24" fillId="2" borderId="0" xfId="2" applyNumberFormat="1" applyFont="1" applyFill="1" applyBorder="1"/>
    <xf numFmtId="43" fontId="24" fillId="2" borderId="0" xfId="2" applyNumberFormat="1" applyFont="1" applyFill="1" applyBorder="1"/>
    <xf numFmtId="0" fontId="4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21" fillId="0" borderId="0" xfId="2" applyFont="1" applyAlignment="1">
      <alignment horizontal="left" wrapText="1"/>
    </xf>
    <xf numFmtId="0" fontId="25" fillId="0" borderId="0" xfId="2" applyFont="1" applyAlignment="1">
      <alignment horizontal="left"/>
    </xf>
    <xf numFmtId="0" fontId="3" fillId="0" borderId="0" xfId="2" applyFont="1" applyAlignment="1">
      <alignment horizontal="left" wrapText="1"/>
    </xf>
    <xf numFmtId="0" fontId="5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3" fillId="0" borderId="2" xfId="2" applyFont="1" applyFill="1" applyBorder="1" applyAlignment="1">
      <alignment horizontal="left" vertical="center" indent="1"/>
    </xf>
    <xf numFmtId="164" fontId="3" fillId="0" borderId="2" xfId="1" applyNumberFormat="1" applyFont="1" applyFill="1" applyBorder="1" applyAlignment="1">
      <alignment horizontal="center"/>
    </xf>
    <xf numFmtId="166" fontId="6" fillId="0" borderId="2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7" fontId="3" fillId="0" borderId="2" xfId="2" applyNumberFormat="1" applyFont="1" applyFill="1" applyBorder="1" applyAlignment="1">
      <alignment horizontal="center" vertical="center"/>
    </xf>
    <xf numFmtId="168" fontId="15" fillId="0" borderId="2" xfId="1" applyNumberFormat="1" applyFont="1" applyFill="1" applyBorder="1" applyAlignment="1">
      <alignment horizontal="center"/>
    </xf>
    <xf numFmtId="168" fontId="6" fillId="0" borderId="2" xfId="1" applyNumberFormat="1" applyFont="1" applyFill="1" applyBorder="1" applyAlignment="1">
      <alignment horizontal="center"/>
    </xf>
    <xf numFmtId="169" fontId="6" fillId="0" borderId="2" xfId="0" applyNumberFormat="1" applyFont="1" applyFill="1" applyBorder="1" applyAlignment="1">
      <alignment horizontal="center"/>
    </xf>
    <xf numFmtId="168" fontId="3" fillId="0" borderId="2" xfId="1" applyNumberFormat="1" applyFont="1" applyFill="1" applyBorder="1"/>
    <xf numFmtId="170" fontId="3" fillId="0" borderId="2" xfId="2" applyNumberFormat="1" applyFont="1" applyFill="1" applyBorder="1" applyAlignment="1">
      <alignment horizontal="center" vertical="center"/>
    </xf>
    <xf numFmtId="177" fontId="26" fillId="0" borderId="0" xfId="2" applyNumberFormat="1" applyFont="1" applyFill="1"/>
    <xf numFmtId="0" fontId="1" fillId="0" borderId="0" xfId="2" applyFill="1"/>
    <xf numFmtId="0" fontId="6" fillId="0" borderId="2" xfId="2" applyFont="1" applyFill="1" applyBorder="1" applyAlignment="1">
      <alignment horizontal="left" vertical="center" indent="1"/>
    </xf>
    <xf numFmtId="167" fontId="6" fillId="0" borderId="2" xfId="2" applyNumberFormat="1" applyFont="1" applyFill="1" applyBorder="1" applyAlignment="1">
      <alignment horizontal="center" vertical="center"/>
    </xf>
    <xf numFmtId="168" fontId="6" fillId="0" borderId="2" xfId="1" applyNumberFormat="1" applyFont="1" applyFill="1" applyBorder="1"/>
    <xf numFmtId="170" fontId="6" fillId="0" borderId="2" xfId="2" applyNumberFormat="1" applyFont="1" applyFill="1" applyBorder="1" applyAlignment="1">
      <alignment horizontal="center" vertical="center"/>
    </xf>
    <xf numFmtId="0" fontId="9" fillId="0" borderId="0" xfId="2" applyFont="1" applyFill="1"/>
    <xf numFmtId="0" fontId="10" fillId="0" borderId="2" xfId="2" applyFont="1" applyFill="1" applyBorder="1" applyAlignment="1">
      <alignment horizontal="left" vertical="center" indent="1"/>
    </xf>
    <xf numFmtId="164" fontId="10" fillId="0" borderId="2" xfId="1" applyNumberFormat="1" applyFont="1" applyFill="1" applyBorder="1" applyAlignment="1">
      <alignment horizontal="center"/>
    </xf>
    <xf numFmtId="166" fontId="5" fillId="0" borderId="2" xfId="1" applyNumberFormat="1" applyFont="1" applyFill="1" applyBorder="1" applyAlignment="1">
      <alignment horizontal="center"/>
    </xf>
    <xf numFmtId="167" fontId="10" fillId="0" borderId="2" xfId="2" applyNumberFormat="1" applyFont="1" applyFill="1" applyBorder="1" applyAlignment="1">
      <alignment horizontal="center" vertical="center"/>
    </xf>
    <xf numFmtId="168" fontId="23" fillId="0" borderId="2" xfId="1" applyNumberFormat="1" applyFont="1" applyFill="1" applyBorder="1" applyAlignment="1">
      <alignment horizontal="center"/>
    </xf>
    <xf numFmtId="168" fontId="5" fillId="0" borderId="2" xfId="1" applyNumberFormat="1" applyFont="1" applyFill="1" applyBorder="1" applyAlignment="1">
      <alignment horizontal="center"/>
    </xf>
    <xf numFmtId="169" fontId="5" fillId="0" borderId="2" xfId="0" applyNumberFormat="1" applyFont="1" applyFill="1" applyBorder="1" applyAlignment="1">
      <alignment horizontal="center"/>
    </xf>
    <xf numFmtId="168" fontId="10" fillId="0" borderId="2" xfId="1" applyNumberFormat="1" applyFont="1" applyFill="1" applyBorder="1"/>
    <xf numFmtId="170" fontId="10" fillId="0" borderId="2" xfId="2" applyNumberFormat="1" applyFont="1" applyFill="1" applyBorder="1" applyAlignment="1">
      <alignment horizontal="center" vertical="center"/>
    </xf>
    <xf numFmtId="175" fontId="6" fillId="0" borderId="7" xfId="1" applyNumberFormat="1" applyFont="1" applyFill="1" applyBorder="1" applyAlignment="1" applyProtection="1">
      <alignment horizontal="center"/>
    </xf>
    <xf numFmtId="164" fontId="15" fillId="0" borderId="2" xfId="1" applyNumberFormat="1" applyFont="1" applyFill="1" applyBorder="1" applyAlignment="1">
      <alignment horizontal="center"/>
    </xf>
    <xf numFmtId="171" fontId="3" fillId="0" borderId="2" xfId="2" applyNumberFormat="1" applyFont="1" applyFill="1" applyBorder="1" applyAlignment="1">
      <alignment horizontal="center" vertical="center"/>
    </xf>
    <xf numFmtId="171" fontId="10" fillId="0" borderId="2" xfId="2" applyNumberFormat="1" applyFont="1" applyFill="1" applyBorder="1" applyAlignment="1">
      <alignment horizontal="center" vertical="center"/>
    </xf>
    <xf numFmtId="169" fontId="10" fillId="0" borderId="2" xfId="2" applyNumberFormat="1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left" vertical="center" indent="1"/>
    </xf>
    <xf numFmtId="167" fontId="11" fillId="0" borderId="5" xfId="2" applyNumberFormat="1" applyFont="1" applyFill="1" applyBorder="1" applyAlignment="1">
      <alignment horizontal="center" vertical="center"/>
    </xf>
    <xf numFmtId="165" fontId="12" fillId="0" borderId="5" xfId="1" applyNumberFormat="1" applyFont="1" applyFill="1" applyBorder="1" applyAlignment="1">
      <alignment horizontal="center"/>
    </xf>
    <xf numFmtId="171" fontId="11" fillId="0" borderId="5" xfId="2" applyNumberFormat="1" applyFont="1" applyFill="1" applyBorder="1" applyAlignment="1">
      <alignment horizontal="center" vertical="center"/>
    </xf>
    <xf numFmtId="170" fontId="11" fillId="0" borderId="5" xfId="2" applyNumberFormat="1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left" vertical="center" indent="1"/>
    </xf>
    <xf numFmtId="166" fontId="13" fillId="0" borderId="2" xfId="1" applyNumberFormat="1" applyFont="1" applyFill="1" applyBorder="1" applyAlignment="1">
      <alignment horizontal="left" vertical="center" indent="1"/>
    </xf>
    <xf numFmtId="165" fontId="13" fillId="0" borderId="2" xfId="1" applyNumberFormat="1" applyFont="1" applyFill="1" applyBorder="1" applyAlignment="1">
      <alignment horizontal="left" vertical="center" indent="1"/>
    </xf>
    <xf numFmtId="165" fontId="13" fillId="0" borderId="1" xfId="1" applyNumberFormat="1" applyFont="1" applyFill="1" applyBorder="1" applyAlignment="1">
      <alignment horizontal="left" vertical="center" indent="1"/>
    </xf>
    <xf numFmtId="171" fontId="13" fillId="0" borderId="5" xfId="2" applyNumberFormat="1" applyFont="1" applyFill="1" applyBorder="1" applyAlignment="1">
      <alignment horizontal="center" vertical="center"/>
    </xf>
    <xf numFmtId="171" fontId="13" fillId="0" borderId="1" xfId="2" applyNumberFormat="1" applyFont="1" applyFill="1" applyBorder="1" applyAlignment="1">
      <alignment horizontal="center" vertical="center"/>
    </xf>
    <xf numFmtId="172" fontId="13" fillId="0" borderId="2" xfId="2" applyNumberFormat="1" applyFont="1" applyFill="1" applyBorder="1" applyAlignment="1">
      <alignment horizontal="left" vertical="center" indent="1"/>
    </xf>
    <xf numFmtId="0" fontId="22" fillId="0" borderId="0" xfId="2" applyFont="1" applyFill="1"/>
    <xf numFmtId="0" fontId="18" fillId="0" borderId="0" xfId="2" applyFont="1" applyFill="1"/>
  </cellXfs>
  <cellStyles count="5">
    <cellStyle name="Excel Built-in Normal" xfId="3"/>
    <cellStyle name="Обычный" xfId="0" builtinId="0"/>
    <cellStyle name="Обычный 2" xfId="4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3"/>
  <sheetViews>
    <sheetView tabSelected="1" view="pageBreakPreview"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RowHeight="15"/>
  <cols>
    <col min="1" max="1" width="68.7109375" style="2" customWidth="1"/>
    <col min="2" max="2" width="27.85546875" style="2" customWidth="1"/>
    <col min="3" max="3" width="19.85546875" style="2" customWidth="1"/>
    <col min="4" max="4" width="19.140625" style="2" customWidth="1"/>
    <col min="5" max="5" width="12" style="2" customWidth="1"/>
    <col min="6" max="6" width="21.140625" style="2" customWidth="1"/>
    <col min="7" max="7" width="12.140625" style="2" customWidth="1"/>
    <col min="8" max="8" width="25.42578125" style="2" customWidth="1"/>
    <col min="9" max="9" width="20" style="2" customWidth="1"/>
    <col min="10" max="10" width="23.28515625" style="2" customWidth="1"/>
    <col min="11" max="11" width="16.85546875" style="2" customWidth="1"/>
    <col min="12" max="12" width="25.7109375" style="2" customWidth="1"/>
    <col min="13" max="13" width="4.28515625" style="2" hidden="1" customWidth="1"/>
    <col min="14" max="14" width="28.42578125" style="2" customWidth="1"/>
    <col min="15" max="15" width="26.7109375" style="2" customWidth="1"/>
    <col min="16" max="16" width="17.140625" style="2" customWidth="1"/>
    <col min="17" max="17" width="25.28515625" style="5" customWidth="1"/>
    <col min="18" max="18" width="23.85546875" style="2" hidden="1" customWidth="1"/>
    <col min="19" max="16384" width="9.140625" style="2"/>
  </cols>
  <sheetData>
    <row r="1" spans="1:18" ht="57.75" customHeight="1">
      <c r="A1" s="1"/>
      <c r="B1" s="1"/>
      <c r="C1" s="1"/>
      <c r="D1" s="1"/>
      <c r="E1" s="1"/>
      <c r="F1" s="1"/>
      <c r="G1" s="1"/>
      <c r="H1" s="8"/>
      <c r="I1" s="8"/>
      <c r="J1" s="8"/>
      <c r="K1" s="8"/>
      <c r="L1" s="30"/>
      <c r="M1" s="30"/>
      <c r="N1" s="30"/>
      <c r="O1" s="36" t="s">
        <v>91</v>
      </c>
      <c r="P1" s="36"/>
      <c r="Q1" s="37"/>
    </row>
    <row r="2" spans="1:18" ht="15.75">
      <c r="A2" s="1"/>
      <c r="B2" s="1"/>
      <c r="C2" s="1"/>
      <c r="D2" s="1"/>
      <c r="E2" s="1"/>
      <c r="F2" s="1"/>
      <c r="G2" s="1"/>
      <c r="H2" s="3"/>
      <c r="I2" s="3"/>
      <c r="J2" s="3"/>
      <c r="K2" s="3"/>
      <c r="L2" s="4"/>
    </row>
    <row r="3" spans="1:18" ht="39" customHeight="1">
      <c r="A3" s="31" t="s">
        <v>90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8" ht="37.5" customHeight="1">
      <c r="A4" s="32" t="s">
        <v>0</v>
      </c>
      <c r="B4" s="26" t="s">
        <v>34</v>
      </c>
      <c r="C4" s="26" t="s">
        <v>1</v>
      </c>
      <c r="D4" s="26" t="s">
        <v>2</v>
      </c>
      <c r="E4" s="33" t="s">
        <v>3</v>
      </c>
      <c r="F4" s="26" t="s">
        <v>87</v>
      </c>
      <c r="G4" s="26" t="s">
        <v>4</v>
      </c>
      <c r="H4" s="26" t="s">
        <v>42</v>
      </c>
      <c r="I4" s="26" t="s">
        <v>46</v>
      </c>
      <c r="J4" s="26" t="s">
        <v>43</v>
      </c>
      <c r="K4" s="26" t="s">
        <v>74</v>
      </c>
      <c r="L4" s="26" t="s">
        <v>75</v>
      </c>
      <c r="M4" s="26" t="s">
        <v>40</v>
      </c>
      <c r="N4" s="35" t="s">
        <v>88</v>
      </c>
      <c r="O4" s="35" t="s">
        <v>89</v>
      </c>
      <c r="P4" s="33" t="s">
        <v>48</v>
      </c>
      <c r="Q4" s="35" t="s">
        <v>88</v>
      </c>
    </row>
    <row r="5" spans="1:18" ht="161.25" customHeight="1">
      <c r="A5" s="32"/>
      <c r="B5" s="27"/>
      <c r="C5" s="27"/>
      <c r="D5" s="27"/>
      <c r="E5" s="34"/>
      <c r="F5" s="27"/>
      <c r="G5" s="27"/>
      <c r="H5" s="27"/>
      <c r="I5" s="27"/>
      <c r="J5" s="27"/>
      <c r="K5" s="27"/>
      <c r="L5" s="27"/>
      <c r="M5" s="27"/>
      <c r="N5" s="35"/>
      <c r="O5" s="35"/>
      <c r="P5" s="34"/>
      <c r="Q5" s="35"/>
    </row>
    <row r="6" spans="1:18" s="39" customFormat="1" ht="39" customHeight="1">
      <c r="A6" s="38">
        <v>1</v>
      </c>
      <c r="B6" s="38">
        <v>2</v>
      </c>
      <c r="C6" s="38">
        <v>3</v>
      </c>
      <c r="D6" s="38" t="s">
        <v>5</v>
      </c>
      <c r="E6" s="38">
        <v>5</v>
      </c>
      <c r="F6" s="38">
        <v>6</v>
      </c>
      <c r="G6" s="38">
        <v>7</v>
      </c>
      <c r="H6" s="38" t="s">
        <v>6</v>
      </c>
      <c r="I6" s="38">
        <v>9</v>
      </c>
      <c r="J6" s="38" t="s">
        <v>7</v>
      </c>
      <c r="K6" s="38">
        <v>11</v>
      </c>
      <c r="L6" s="38">
        <v>12</v>
      </c>
      <c r="M6" s="38" t="s">
        <v>41</v>
      </c>
      <c r="N6" s="38" t="s">
        <v>44</v>
      </c>
      <c r="O6" s="38" t="s">
        <v>45</v>
      </c>
      <c r="P6" s="38" t="s">
        <v>47</v>
      </c>
      <c r="Q6" s="38" t="s">
        <v>39</v>
      </c>
    </row>
    <row r="7" spans="1:18" s="51" customFormat="1" ht="21" customHeight="1">
      <c r="A7" s="40" t="s">
        <v>8</v>
      </c>
      <c r="B7" s="41">
        <v>48434.03</v>
      </c>
      <c r="C7" s="42">
        <f>D7/B7</f>
        <v>0.97060891970750185</v>
      </c>
      <c r="D7" s="43">
        <f>$D$73</f>
        <v>47010.501535380732</v>
      </c>
      <c r="E7" s="44">
        <v>1.302</v>
      </c>
      <c r="F7" s="45">
        <f>172.1-11.6</f>
        <v>160.5</v>
      </c>
      <c r="G7" s="46">
        <v>12</v>
      </c>
      <c r="H7" s="47">
        <f>ROUND(D7*E7*F7*G7,3)</f>
        <v>117885978.19599999</v>
      </c>
      <c r="I7" s="47">
        <f>60.15*1000</f>
        <v>60150</v>
      </c>
      <c r="J7" s="47">
        <f>H7-I7</f>
        <v>117825828.19599999</v>
      </c>
      <c r="K7" s="47">
        <f>38.28*1000</f>
        <v>38280</v>
      </c>
      <c r="L7" s="46">
        <f>120945421.8+K7-8291600</f>
        <v>112692101.8</v>
      </c>
      <c r="M7" s="48">
        <f>L7+I7</f>
        <v>112752251.8</v>
      </c>
      <c r="N7" s="49">
        <f t="shared" ref="N7:N65" si="0">J7-L7</f>
        <v>5133726.3959999979</v>
      </c>
      <c r="O7" s="49">
        <f>N7*0.93</f>
        <v>4774365.5482799979</v>
      </c>
      <c r="P7" s="49">
        <v>93</v>
      </c>
      <c r="Q7" s="49">
        <f>N7-O7</f>
        <v>359360.84771999996</v>
      </c>
      <c r="R7" s="50">
        <f>ROUND(O7,2)</f>
        <v>4774365.55</v>
      </c>
    </row>
    <row r="8" spans="1:18" s="51" customFormat="1" ht="21" customHeight="1">
      <c r="A8" s="40" t="s">
        <v>70</v>
      </c>
      <c r="B8" s="41">
        <v>48434.03</v>
      </c>
      <c r="C8" s="42">
        <f t="shared" ref="C8:C9" si="1">D8/B8</f>
        <v>0.97060891970750185</v>
      </c>
      <c r="D8" s="43">
        <f>$D$73</f>
        <v>47010.501535380732</v>
      </c>
      <c r="E8" s="44">
        <v>1.302</v>
      </c>
      <c r="F8" s="45">
        <v>11.6</v>
      </c>
      <c r="G8" s="46">
        <v>12</v>
      </c>
      <c r="H8" s="47">
        <f t="shared" ref="H8:H66" si="2">ROUND(D8*E8*F8*G8,3)</f>
        <v>8520108.0810000002</v>
      </c>
      <c r="I8" s="47">
        <v>0</v>
      </c>
      <c r="J8" s="47">
        <f t="shared" ref="J8:J66" si="3">H8-I8</f>
        <v>8520108.0810000002</v>
      </c>
      <c r="K8" s="47">
        <v>0</v>
      </c>
      <c r="L8" s="46">
        <f>8291.6*1000</f>
        <v>8291600</v>
      </c>
      <c r="M8" s="48"/>
      <c r="N8" s="49">
        <f t="shared" ref="N8" si="4">J8-L8</f>
        <v>228508.08100000024</v>
      </c>
      <c r="O8" s="49">
        <f>N8*0.93</f>
        <v>212512.51533000023</v>
      </c>
      <c r="P8" s="49">
        <v>93</v>
      </c>
      <c r="Q8" s="49">
        <f>N8-O8</f>
        <v>15995.565670000011</v>
      </c>
      <c r="R8" s="50">
        <f t="shared" ref="R8:R66" si="5">ROUND(O8,2)</f>
        <v>212512.52</v>
      </c>
    </row>
    <row r="9" spans="1:18" s="51" customFormat="1" ht="21" customHeight="1">
      <c r="A9" s="40" t="s">
        <v>9</v>
      </c>
      <c r="B9" s="41">
        <v>48434.03</v>
      </c>
      <c r="C9" s="42">
        <f t="shared" si="1"/>
        <v>0.97060891970750185</v>
      </c>
      <c r="D9" s="43">
        <f>$D$73</f>
        <v>47010.501535380732</v>
      </c>
      <c r="E9" s="44">
        <v>1.302</v>
      </c>
      <c r="F9" s="45">
        <v>65.599999999999994</v>
      </c>
      <c r="G9" s="46">
        <v>12</v>
      </c>
      <c r="H9" s="47">
        <f t="shared" si="2"/>
        <v>48182680.185000002</v>
      </c>
      <c r="I9" s="47">
        <v>0</v>
      </c>
      <c r="J9" s="47">
        <f t="shared" si="3"/>
        <v>48182680.185000002</v>
      </c>
      <c r="K9" s="47">
        <f>956.71*1000</f>
        <v>956710</v>
      </c>
      <c r="L9" s="46">
        <f>44995389.6+K9</f>
        <v>45952099.600000001</v>
      </c>
      <c r="M9" s="48">
        <f t="shared" ref="M9:M66" si="6">L9+I9</f>
        <v>45952099.600000001</v>
      </c>
      <c r="N9" s="49">
        <f t="shared" si="0"/>
        <v>2230580.5850000009</v>
      </c>
      <c r="O9" s="49">
        <f t="shared" ref="O9:O35" si="7">N9*0.95</f>
        <v>2119051.5557500008</v>
      </c>
      <c r="P9" s="49">
        <v>95</v>
      </c>
      <c r="Q9" s="49">
        <f t="shared" ref="Q9:Q66" si="8">N9-O9</f>
        <v>111529.02925000014</v>
      </c>
      <c r="R9" s="50">
        <f t="shared" si="5"/>
        <v>2119051.56</v>
      </c>
    </row>
    <row r="10" spans="1:18" s="56" customFormat="1" ht="21" customHeight="1">
      <c r="A10" s="52" t="s">
        <v>78</v>
      </c>
      <c r="B10" s="43">
        <v>48434.03</v>
      </c>
      <c r="C10" s="42">
        <f t="shared" ref="C10:C66" si="9">D10/B10</f>
        <v>0.97060891970750185</v>
      </c>
      <c r="D10" s="43">
        <f>$D$73</f>
        <v>47010.501535380732</v>
      </c>
      <c r="E10" s="53">
        <v>1.302</v>
      </c>
      <c r="F10" s="45">
        <v>101.2</v>
      </c>
      <c r="G10" s="46">
        <v>12</v>
      </c>
      <c r="H10" s="47">
        <f t="shared" si="2"/>
        <v>74330598.090000004</v>
      </c>
      <c r="I10" s="47">
        <v>0</v>
      </c>
      <c r="J10" s="47">
        <f t="shared" si="3"/>
        <v>74330598.090000004</v>
      </c>
      <c r="K10" s="47">
        <f>1103.31*1000</f>
        <v>1103310</v>
      </c>
      <c r="L10" s="46">
        <f>65122453.2+K10+5644700</f>
        <v>71870463.200000003</v>
      </c>
      <c r="M10" s="54">
        <f t="shared" si="6"/>
        <v>71870463.200000003</v>
      </c>
      <c r="N10" s="55">
        <f t="shared" si="0"/>
        <v>2460134.8900000006</v>
      </c>
      <c r="O10" s="55">
        <f t="shared" si="7"/>
        <v>2337128.1455000006</v>
      </c>
      <c r="P10" s="55">
        <v>95</v>
      </c>
      <c r="Q10" s="55">
        <f t="shared" si="8"/>
        <v>123006.74450000003</v>
      </c>
      <c r="R10" s="50">
        <f t="shared" si="5"/>
        <v>2337128.15</v>
      </c>
    </row>
    <row r="11" spans="1:18" s="56" customFormat="1" ht="21" customHeight="1">
      <c r="A11" s="52" t="s">
        <v>10</v>
      </c>
      <c r="B11" s="41">
        <v>48434.03</v>
      </c>
      <c r="C11" s="42">
        <f t="shared" si="9"/>
        <v>0.97060891970750185</v>
      </c>
      <c r="D11" s="43">
        <f>$D$73</f>
        <v>47010.501535380732</v>
      </c>
      <c r="E11" s="53">
        <v>1.302</v>
      </c>
      <c r="F11" s="45">
        <f>4.5+44.2</f>
        <v>48.7</v>
      </c>
      <c r="G11" s="46">
        <v>12</v>
      </c>
      <c r="H11" s="47">
        <f t="shared" si="2"/>
        <v>35769764.101000004</v>
      </c>
      <c r="I11" s="47">
        <v>0</v>
      </c>
      <c r="J11" s="47">
        <f t="shared" si="3"/>
        <v>35769764.101000004</v>
      </c>
      <c r="K11" s="47">
        <f>(81.38+64.19)*1000</f>
        <v>145570</v>
      </c>
      <c r="L11" s="46">
        <f>34721200+K11</f>
        <v>34866770</v>
      </c>
      <c r="M11" s="54">
        <f t="shared" si="6"/>
        <v>34866770</v>
      </c>
      <c r="N11" s="55">
        <f t="shared" si="0"/>
        <v>902994.10100000352</v>
      </c>
      <c r="O11" s="55">
        <f>N11*0.91</f>
        <v>821724.63191000326</v>
      </c>
      <c r="P11" s="55">
        <v>91</v>
      </c>
      <c r="Q11" s="55">
        <f t="shared" si="8"/>
        <v>81269.469090000261</v>
      </c>
      <c r="R11" s="50">
        <f t="shared" si="5"/>
        <v>821724.63</v>
      </c>
    </row>
    <row r="12" spans="1:18" s="56" customFormat="1" ht="21" customHeight="1">
      <c r="A12" s="52" t="s">
        <v>80</v>
      </c>
      <c r="B12" s="41">
        <v>48434.03</v>
      </c>
      <c r="C12" s="42">
        <f t="shared" si="9"/>
        <v>0.97060891970750185</v>
      </c>
      <c r="D12" s="43">
        <f t="shared" ref="D12:D18" si="10">$D$73</f>
        <v>47010.501535380732</v>
      </c>
      <c r="E12" s="53">
        <v>1.302</v>
      </c>
      <c r="F12" s="45">
        <v>17.399999999999999</v>
      </c>
      <c r="G12" s="46">
        <v>12</v>
      </c>
      <c r="H12" s="47">
        <f t="shared" si="2"/>
        <v>12780162.122</v>
      </c>
      <c r="I12" s="47">
        <v>0</v>
      </c>
      <c r="J12" s="47">
        <f t="shared" si="3"/>
        <v>12780162.122</v>
      </c>
      <c r="K12" s="47">
        <f>216.13*1000</f>
        <v>216130</v>
      </c>
      <c r="L12" s="46">
        <f>12405500+K12</f>
        <v>12621630</v>
      </c>
      <c r="M12" s="54"/>
      <c r="N12" s="55">
        <f t="shared" si="0"/>
        <v>158532.12199999951</v>
      </c>
      <c r="O12" s="55">
        <f t="shared" ref="O12:O18" si="11">N12*0.91</f>
        <v>144264.23101999957</v>
      </c>
      <c r="P12" s="55">
        <v>91</v>
      </c>
      <c r="Q12" s="55">
        <f t="shared" si="8"/>
        <v>14267.890979999938</v>
      </c>
      <c r="R12" s="50">
        <f t="shared" si="5"/>
        <v>144264.23000000001</v>
      </c>
    </row>
    <row r="13" spans="1:18" s="56" customFormat="1" ht="21" customHeight="1">
      <c r="A13" s="52" t="s">
        <v>81</v>
      </c>
      <c r="B13" s="41">
        <v>48434.03</v>
      </c>
      <c r="C13" s="42">
        <f t="shared" si="9"/>
        <v>0.97060891970750185</v>
      </c>
      <c r="D13" s="43">
        <f t="shared" si="10"/>
        <v>47010.501535380732</v>
      </c>
      <c r="E13" s="53">
        <v>1.302</v>
      </c>
      <c r="F13" s="45">
        <v>6</v>
      </c>
      <c r="G13" s="46">
        <v>12</v>
      </c>
      <c r="H13" s="47">
        <f t="shared" si="2"/>
        <v>4406952.4560000002</v>
      </c>
      <c r="I13" s="47">
        <v>0</v>
      </c>
      <c r="J13" s="47">
        <f t="shared" si="3"/>
        <v>4406952.4560000002</v>
      </c>
      <c r="K13" s="47">
        <v>0</v>
      </c>
      <c r="L13" s="46">
        <v>4277800</v>
      </c>
      <c r="M13" s="54"/>
      <c r="N13" s="55">
        <f t="shared" si="0"/>
        <v>129152.45600000024</v>
      </c>
      <c r="O13" s="55">
        <f t="shared" si="11"/>
        <v>117528.73496000022</v>
      </c>
      <c r="P13" s="55">
        <v>91</v>
      </c>
      <c r="Q13" s="55">
        <f t="shared" si="8"/>
        <v>11623.721040000019</v>
      </c>
      <c r="R13" s="50">
        <f t="shared" si="5"/>
        <v>117528.73</v>
      </c>
    </row>
    <row r="14" spans="1:18" s="56" customFormat="1" ht="21" customHeight="1">
      <c r="A14" s="52" t="s">
        <v>82</v>
      </c>
      <c r="B14" s="41">
        <v>48434.03</v>
      </c>
      <c r="C14" s="42">
        <f t="shared" si="9"/>
        <v>0.97060891970750185</v>
      </c>
      <c r="D14" s="43">
        <f t="shared" si="10"/>
        <v>47010.501535380732</v>
      </c>
      <c r="E14" s="53">
        <v>1.302</v>
      </c>
      <c r="F14" s="45">
        <v>1.7</v>
      </c>
      <c r="G14" s="46">
        <v>12</v>
      </c>
      <c r="H14" s="47">
        <f t="shared" si="2"/>
        <v>1248636.5290000001</v>
      </c>
      <c r="I14" s="47">
        <v>0</v>
      </c>
      <c r="J14" s="47">
        <f t="shared" si="3"/>
        <v>1248636.5290000001</v>
      </c>
      <c r="K14" s="47">
        <v>0</v>
      </c>
      <c r="L14" s="46">
        <v>1212000</v>
      </c>
      <c r="M14" s="54"/>
      <c r="N14" s="55">
        <f t="shared" si="0"/>
        <v>36636.529000000097</v>
      </c>
      <c r="O14" s="55">
        <f t="shared" si="11"/>
        <v>33339.24139000009</v>
      </c>
      <c r="P14" s="55">
        <v>91</v>
      </c>
      <c r="Q14" s="55">
        <f t="shared" si="8"/>
        <v>3297.2876100000067</v>
      </c>
      <c r="R14" s="50">
        <f t="shared" si="5"/>
        <v>33339.24</v>
      </c>
    </row>
    <row r="15" spans="1:18" s="56" customFormat="1" ht="21" customHeight="1">
      <c r="A15" s="52" t="s">
        <v>83</v>
      </c>
      <c r="B15" s="41">
        <v>48434.03</v>
      </c>
      <c r="C15" s="42">
        <f t="shared" si="9"/>
        <v>0.97060891970750185</v>
      </c>
      <c r="D15" s="43">
        <f t="shared" si="10"/>
        <v>47010.501535380732</v>
      </c>
      <c r="E15" s="53">
        <v>1.302</v>
      </c>
      <c r="F15" s="45">
        <v>3.5</v>
      </c>
      <c r="G15" s="46">
        <v>12</v>
      </c>
      <c r="H15" s="47">
        <f t="shared" si="2"/>
        <v>2570722.2659999998</v>
      </c>
      <c r="I15" s="47">
        <v>0</v>
      </c>
      <c r="J15" s="47">
        <f t="shared" si="3"/>
        <v>2570722.2659999998</v>
      </c>
      <c r="K15" s="47">
        <v>0</v>
      </c>
      <c r="L15" s="46">
        <v>2495300</v>
      </c>
      <c r="M15" s="54"/>
      <c r="N15" s="55">
        <f t="shared" si="0"/>
        <v>75422.265999999829</v>
      </c>
      <c r="O15" s="55">
        <f t="shared" si="11"/>
        <v>68634.262059999848</v>
      </c>
      <c r="P15" s="55">
        <v>91</v>
      </c>
      <c r="Q15" s="55">
        <f t="shared" si="8"/>
        <v>6788.0039399999805</v>
      </c>
      <c r="R15" s="50">
        <f t="shared" si="5"/>
        <v>68634.259999999995</v>
      </c>
    </row>
    <row r="16" spans="1:18" s="56" customFormat="1" ht="21" customHeight="1">
      <c r="A16" s="52" t="s">
        <v>85</v>
      </c>
      <c r="B16" s="41">
        <v>48434.03</v>
      </c>
      <c r="C16" s="42">
        <f t="shared" si="9"/>
        <v>0.97060891970750185</v>
      </c>
      <c r="D16" s="43">
        <f t="shared" si="10"/>
        <v>47010.501535380732</v>
      </c>
      <c r="E16" s="53">
        <v>1.302</v>
      </c>
      <c r="F16" s="45">
        <v>2.8</v>
      </c>
      <c r="G16" s="46">
        <v>12</v>
      </c>
      <c r="H16" s="47">
        <f t="shared" si="2"/>
        <v>2056577.8130000001</v>
      </c>
      <c r="I16" s="47">
        <v>0</v>
      </c>
      <c r="J16" s="47">
        <f t="shared" si="3"/>
        <v>2056577.8130000001</v>
      </c>
      <c r="K16" s="47">
        <v>0</v>
      </c>
      <c r="L16" s="46">
        <v>1996300</v>
      </c>
      <c r="M16" s="54"/>
      <c r="N16" s="55">
        <f t="shared" si="0"/>
        <v>60277.813000000082</v>
      </c>
      <c r="O16" s="55">
        <f t="shared" si="11"/>
        <v>54852.809830000078</v>
      </c>
      <c r="P16" s="55">
        <v>91</v>
      </c>
      <c r="Q16" s="55">
        <f t="shared" si="8"/>
        <v>5425.0031700000036</v>
      </c>
      <c r="R16" s="50">
        <f t="shared" si="5"/>
        <v>54852.81</v>
      </c>
    </row>
    <row r="17" spans="1:18" s="56" customFormat="1" ht="21" customHeight="1">
      <c r="A17" s="52" t="s">
        <v>84</v>
      </c>
      <c r="B17" s="41">
        <v>48434.03</v>
      </c>
      <c r="C17" s="42">
        <f t="shared" si="9"/>
        <v>0.97060891970750185</v>
      </c>
      <c r="D17" s="43">
        <f t="shared" si="10"/>
        <v>47010.501535380732</v>
      </c>
      <c r="E17" s="53">
        <v>1.302</v>
      </c>
      <c r="F17" s="45">
        <v>7.3</v>
      </c>
      <c r="G17" s="46">
        <v>12</v>
      </c>
      <c r="H17" s="47">
        <f t="shared" si="2"/>
        <v>5361792.1550000003</v>
      </c>
      <c r="I17" s="47">
        <v>0</v>
      </c>
      <c r="J17" s="47">
        <f t="shared" si="3"/>
        <v>5361792.1550000003</v>
      </c>
      <c r="K17" s="47">
        <f>88.15*1000</f>
        <v>88150</v>
      </c>
      <c r="L17" s="46">
        <f>5204600+K17</f>
        <v>5292750</v>
      </c>
      <c r="M17" s="54"/>
      <c r="N17" s="55">
        <f t="shared" si="0"/>
        <v>69042.155000000261</v>
      </c>
      <c r="O17" s="55">
        <f t="shared" si="11"/>
        <v>62828.36105000024</v>
      </c>
      <c r="P17" s="55">
        <v>91</v>
      </c>
      <c r="Q17" s="55">
        <f t="shared" si="8"/>
        <v>6213.7939500000211</v>
      </c>
      <c r="R17" s="50">
        <f t="shared" si="5"/>
        <v>62828.36</v>
      </c>
    </row>
    <row r="18" spans="1:18" s="56" customFormat="1" ht="21" customHeight="1">
      <c r="A18" s="52" t="s">
        <v>86</v>
      </c>
      <c r="B18" s="41">
        <v>48434.03</v>
      </c>
      <c r="C18" s="42">
        <f t="shared" si="9"/>
        <v>0.97060891970750185</v>
      </c>
      <c r="D18" s="43">
        <f t="shared" si="10"/>
        <v>47010.501535380732</v>
      </c>
      <c r="E18" s="53">
        <v>1.302</v>
      </c>
      <c r="F18" s="45">
        <v>2.2000000000000002</v>
      </c>
      <c r="G18" s="46">
        <v>12</v>
      </c>
      <c r="H18" s="47">
        <f t="shared" si="2"/>
        <v>1615882.567</v>
      </c>
      <c r="I18" s="47">
        <v>0</v>
      </c>
      <c r="J18" s="47">
        <f t="shared" si="3"/>
        <v>1615882.567</v>
      </c>
      <c r="K18" s="47">
        <v>0</v>
      </c>
      <c r="L18" s="46">
        <v>1568600</v>
      </c>
      <c r="M18" s="54"/>
      <c r="N18" s="55">
        <f t="shared" si="0"/>
        <v>47282.567000000039</v>
      </c>
      <c r="O18" s="55">
        <f t="shared" si="11"/>
        <v>43027.135970000039</v>
      </c>
      <c r="P18" s="55">
        <v>91</v>
      </c>
      <c r="Q18" s="55">
        <f t="shared" si="8"/>
        <v>4255.4310299999997</v>
      </c>
      <c r="R18" s="50">
        <f t="shared" si="5"/>
        <v>43027.14</v>
      </c>
    </row>
    <row r="19" spans="1:18" s="51" customFormat="1" ht="21" customHeight="1">
      <c r="A19" s="40" t="s">
        <v>79</v>
      </c>
      <c r="B19" s="43">
        <v>48434.03</v>
      </c>
      <c r="C19" s="42">
        <f t="shared" si="9"/>
        <v>0.97060891970750185</v>
      </c>
      <c r="D19" s="43">
        <f t="shared" ref="D19:D38" si="12">$D$73</f>
        <v>47010.501535380732</v>
      </c>
      <c r="E19" s="44">
        <v>1.302</v>
      </c>
      <c r="F19" s="45">
        <f>112+2</f>
        <v>114</v>
      </c>
      <c r="G19" s="46">
        <v>12</v>
      </c>
      <c r="H19" s="47">
        <f t="shared" si="2"/>
        <v>83732096.663000003</v>
      </c>
      <c r="I19" s="47">
        <f>1339.37*1000</f>
        <v>1339370</v>
      </c>
      <c r="J19" s="47">
        <f t="shared" si="3"/>
        <v>82392726.663000003</v>
      </c>
      <c r="K19" s="47">
        <v>0</v>
      </c>
      <c r="L19" s="46">
        <f>76444986.8+1854900</f>
        <v>78299886.799999997</v>
      </c>
      <c r="M19" s="48">
        <f t="shared" si="6"/>
        <v>79639256.799999997</v>
      </c>
      <c r="N19" s="49">
        <f t="shared" si="0"/>
        <v>4092839.8630000055</v>
      </c>
      <c r="O19" s="49">
        <f>N19*0.95</f>
        <v>3888197.869850005</v>
      </c>
      <c r="P19" s="49">
        <v>95</v>
      </c>
      <c r="Q19" s="49">
        <f t="shared" si="8"/>
        <v>204641.99315000046</v>
      </c>
      <c r="R19" s="50">
        <f t="shared" si="5"/>
        <v>3888197.87</v>
      </c>
    </row>
    <row r="20" spans="1:18" s="51" customFormat="1" ht="21" customHeight="1">
      <c r="A20" s="57" t="s">
        <v>11</v>
      </c>
      <c r="B20" s="58">
        <v>48434.03</v>
      </c>
      <c r="C20" s="59">
        <f t="shared" si="9"/>
        <v>0.97019822632971064</v>
      </c>
      <c r="D20" s="43">
        <f>46.99061*1000</f>
        <v>46990.609999999993</v>
      </c>
      <c r="E20" s="60">
        <v>1.302</v>
      </c>
      <c r="F20" s="61">
        <f>55+6.4+9.7</f>
        <v>71.099999999999994</v>
      </c>
      <c r="G20" s="62">
        <v>12</v>
      </c>
      <c r="H20" s="47">
        <f t="shared" si="2"/>
        <v>52200289.765000001</v>
      </c>
      <c r="I20" s="63">
        <f>147.6*1000</f>
        <v>147600</v>
      </c>
      <c r="J20" s="47">
        <f t="shared" si="3"/>
        <v>52052689.765000001</v>
      </c>
      <c r="K20" s="63">
        <f>1458.2*1000</f>
        <v>1458200</v>
      </c>
      <c r="L20" s="62">
        <f>47565800+1782900+K20</f>
        <v>50806900</v>
      </c>
      <c r="M20" s="64">
        <f t="shared" si="6"/>
        <v>50954500</v>
      </c>
      <c r="N20" s="65">
        <f t="shared" si="0"/>
        <v>1245789.7650000006</v>
      </c>
      <c r="O20" s="65">
        <f>N20*0.93</f>
        <v>1158584.4814500005</v>
      </c>
      <c r="P20" s="65">
        <v>93</v>
      </c>
      <c r="Q20" s="65">
        <f>N20-O20</f>
        <v>87205.283550000051</v>
      </c>
      <c r="R20" s="50">
        <f t="shared" si="5"/>
        <v>1158584.48</v>
      </c>
    </row>
    <row r="21" spans="1:18" s="51" customFormat="1" ht="21" customHeight="1">
      <c r="A21" s="40" t="s">
        <v>49</v>
      </c>
      <c r="B21" s="41">
        <v>48434.03</v>
      </c>
      <c r="C21" s="42">
        <f t="shared" si="9"/>
        <v>0.97019822632971076</v>
      </c>
      <c r="D21" s="43">
        <v>46990.61</v>
      </c>
      <c r="E21" s="44">
        <v>1.302</v>
      </c>
      <c r="F21" s="45">
        <v>14.3</v>
      </c>
      <c r="G21" s="46">
        <v>12</v>
      </c>
      <c r="H21" s="47">
        <f t="shared" si="2"/>
        <v>10498792.456</v>
      </c>
      <c r="I21" s="47">
        <f>265.36*1000</f>
        <v>265360</v>
      </c>
      <c r="J21" s="47">
        <f t="shared" si="3"/>
        <v>10233432.456</v>
      </c>
      <c r="K21" s="47">
        <f>83.8*1000</f>
        <v>83800</v>
      </c>
      <c r="L21" s="46">
        <f>9377500+228600+K21</f>
        <v>9689900</v>
      </c>
      <c r="M21" s="48">
        <f t="shared" si="6"/>
        <v>9955260</v>
      </c>
      <c r="N21" s="49">
        <f>J21-L21</f>
        <v>543532.45600000024</v>
      </c>
      <c r="O21" s="49">
        <f>N21*93%</f>
        <v>505485.18408000027</v>
      </c>
      <c r="P21" s="49">
        <v>93</v>
      </c>
      <c r="Q21" s="49">
        <f>N21-O21</f>
        <v>38047.27191999997</v>
      </c>
      <c r="R21" s="50">
        <f t="shared" si="5"/>
        <v>505485.18</v>
      </c>
    </row>
    <row r="22" spans="1:18" s="51" customFormat="1" ht="21" customHeight="1">
      <c r="A22" s="40" t="s">
        <v>50</v>
      </c>
      <c r="B22" s="41">
        <v>48434.03</v>
      </c>
      <c r="C22" s="42">
        <f t="shared" si="9"/>
        <v>0.97019822632971076</v>
      </c>
      <c r="D22" s="43">
        <v>46990.61</v>
      </c>
      <c r="E22" s="44">
        <v>1.302</v>
      </c>
      <c r="F22" s="45">
        <v>2.2000000000000002</v>
      </c>
      <c r="G22" s="46">
        <v>12</v>
      </c>
      <c r="H22" s="47">
        <f t="shared" si="2"/>
        <v>1615198.8389999999</v>
      </c>
      <c r="I22" s="47">
        <v>0</v>
      </c>
      <c r="J22" s="47">
        <f t="shared" si="3"/>
        <v>1615198.8389999999</v>
      </c>
      <c r="K22" s="47">
        <v>0</v>
      </c>
      <c r="L22" s="46">
        <f>1321100+69200</f>
        <v>1390300</v>
      </c>
      <c r="M22" s="48">
        <f t="shared" si="6"/>
        <v>1390300</v>
      </c>
      <c r="N22" s="49">
        <f t="shared" ref="N22:N27" si="13">J22-L22</f>
        <v>224898.83899999992</v>
      </c>
      <c r="O22" s="49">
        <f t="shared" ref="O22:O28" si="14">N22*93%</f>
        <v>209155.92026999994</v>
      </c>
      <c r="P22" s="49">
        <v>93</v>
      </c>
      <c r="Q22" s="49">
        <f t="shared" ref="Q22:Q28" si="15">N22-O22</f>
        <v>15742.918729999976</v>
      </c>
      <c r="R22" s="50">
        <f t="shared" si="5"/>
        <v>209155.92</v>
      </c>
    </row>
    <row r="23" spans="1:18" s="51" customFormat="1" ht="21" customHeight="1">
      <c r="A23" s="40" t="s">
        <v>51</v>
      </c>
      <c r="B23" s="41">
        <v>48434.03</v>
      </c>
      <c r="C23" s="42">
        <f t="shared" si="9"/>
        <v>0.97019822632971076</v>
      </c>
      <c r="D23" s="43">
        <v>46990.61</v>
      </c>
      <c r="E23" s="44">
        <v>1.302</v>
      </c>
      <c r="F23" s="45">
        <v>3</v>
      </c>
      <c r="G23" s="46">
        <v>12</v>
      </c>
      <c r="H23" s="47">
        <f t="shared" si="2"/>
        <v>2202543.872</v>
      </c>
      <c r="I23" s="47">
        <f>15.4*1000</f>
        <v>15400</v>
      </c>
      <c r="J23" s="47">
        <f t="shared" si="3"/>
        <v>2187143.872</v>
      </c>
      <c r="K23" s="47">
        <v>0</v>
      </c>
      <c r="L23" s="46">
        <f>1994000+6600</f>
        <v>2000600</v>
      </c>
      <c r="M23" s="48"/>
      <c r="N23" s="49">
        <f t="shared" si="13"/>
        <v>186543.87199999997</v>
      </c>
      <c r="O23" s="49">
        <f t="shared" si="14"/>
        <v>173485.80095999999</v>
      </c>
      <c r="P23" s="49">
        <v>93</v>
      </c>
      <c r="Q23" s="49">
        <f t="shared" si="15"/>
        <v>13058.071039999981</v>
      </c>
      <c r="R23" s="50">
        <f t="shared" si="5"/>
        <v>173485.8</v>
      </c>
    </row>
    <row r="24" spans="1:18" s="51" customFormat="1" ht="21" customHeight="1">
      <c r="A24" s="40" t="s">
        <v>52</v>
      </c>
      <c r="B24" s="41">
        <v>48434.03</v>
      </c>
      <c r="C24" s="42">
        <f t="shared" si="9"/>
        <v>0.97815172514036108</v>
      </c>
      <c r="D24" s="43">
        <v>47375.83</v>
      </c>
      <c r="E24" s="44">
        <v>1.302</v>
      </c>
      <c r="F24" s="45">
        <v>3</v>
      </c>
      <c r="G24" s="46">
        <v>12</v>
      </c>
      <c r="H24" s="47">
        <f t="shared" si="2"/>
        <v>2220599.9040000001</v>
      </c>
      <c r="I24" s="47">
        <v>0</v>
      </c>
      <c r="J24" s="47">
        <f t="shared" si="3"/>
        <v>2220599.9040000001</v>
      </c>
      <c r="K24" s="47">
        <v>0</v>
      </c>
      <c r="L24" s="46">
        <v>2220600</v>
      </c>
      <c r="M24" s="48"/>
      <c r="N24" s="49">
        <v>0</v>
      </c>
      <c r="O24" s="49">
        <f t="shared" si="14"/>
        <v>0</v>
      </c>
      <c r="P24" s="49">
        <v>93</v>
      </c>
      <c r="Q24" s="49">
        <f t="shared" si="15"/>
        <v>0</v>
      </c>
      <c r="R24" s="50">
        <f t="shared" si="5"/>
        <v>0</v>
      </c>
    </row>
    <row r="25" spans="1:18" s="51" customFormat="1" ht="21" customHeight="1">
      <c r="A25" s="40" t="s">
        <v>53</v>
      </c>
      <c r="B25" s="41">
        <v>48434.03</v>
      </c>
      <c r="C25" s="42">
        <f t="shared" si="9"/>
        <v>0.97019822632971076</v>
      </c>
      <c r="D25" s="43">
        <v>46990.61</v>
      </c>
      <c r="E25" s="44">
        <v>1.302</v>
      </c>
      <c r="F25" s="45">
        <v>1</v>
      </c>
      <c r="G25" s="46">
        <v>12</v>
      </c>
      <c r="H25" s="47">
        <f t="shared" si="2"/>
        <v>734181.29099999997</v>
      </c>
      <c r="I25" s="47">
        <v>0</v>
      </c>
      <c r="J25" s="47">
        <f t="shared" si="3"/>
        <v>734181.29099999997</v>
      </c>
      <c r="K25" s="47">
        <v>0</v>
      </c>
      <c r="L25" s="46">
        <v>695500</v>
      </c>
      <c r="M25" s="48"/>
      <c r="N25" s="49">
        <f t="shared" si="13"/>
        <v>38681.290999999968</v>
      </c>
      <c r="O25" s="49">
        <f t="shared" si="14"/>
        <v>35973.600629999972</v>
      </c>
      <c r="P25" s="49">
        <v>93</v>
      </c>
      <c r="Q25" s="49">
        <f t="shared" si="15"/>
        <v>2707.6903699999966</v>
      </c>
      <c r="R25" s="50">
        <f t="shared" si="5"/>
        <v>35973.599999999999</v>
      </c>
    </row>
    <row r="26" spans="1:18" s="51" customFormat="1" ht="21" customHeight="1">
      <c r="A26" s="40" t="s">
        <v>30</v>
      </c>
      <c r="B26" s="41">
        <v>48434.03</v>
      </c>
      <c r="C26" s="42">
        <f t="shared" si="9"/>
        <v>0.97019822632971076</v>
      </c>
      <c r="D26" s="43">
        <v>46990.61</v>
      </c>
      <c r="E26" s="44">
        <v>1.302</v>
      </c>
      <c r="F26" s="45">
        <v>2.5</v>
      </c>
      <c r="G26" s="46">
        <v>12</v>
      </c>
      <c r="H26" s="47">
        <f t="shared" si="2"/>
        <v>1835453.227</v>
      </c>
      <c r="I26" s="47">
        <v>0</v>
      </c>
      <c r="J26" s="47">
        <f t="shared" si="3"/>
        <v>1835453.227</v>
      </c>
      <c r="K26" s="47">
        <f>29.6*1000</f>
        <v>29600</v>
      </c>
      <c r="L26" s="46">
        <f>1751900+K26</f>
        <v>1781500</v>
      </c>
      <c r="M26" s="48"/>
      <c r="N26" s="49">
        <f t="shared" si="13"/>
        <v>53953.226999999955</v>
      </c>
      <c r="O26" s="49">
        <f t="shared" si="14"/>
        <v>50176.501109999961</v>
      </c>
      <c r="P26" s="49">
        <v>93</v>
      </c>
      <c r="Q26" s="49">
        <f t="shared" si="15"/>
        <v>3776.7258899999943</v>
      </c>
      <c r="R26" s="50">
        <f t="shared" si="5"/>
        <v>50176.5</v>
      </c>
    </row>
    <row r="27" spans="1:18" s="51" customFormat="1" ht="21" customHeight="1">
      <c r="A27" s="40" t="s">
        <v>54</v>
      </c>
      <c r="B27" s="41">
        <v>48434.03</v>
      </c>
      <c r="C27" s="42">
        <f t="shared" si="9"/>
        <v>0.97019822632971076</v>
      </c>
      <c r="D27" s="43">
        <v>46990.61</v>
      </c>
      <c r="E27" s="44">
        <v>1.302</v>
      </c>
      <c r="F27" s="45">
        <v>5.3</v>
      </c>
      <c r="G27" s="46">
        <v>12</v>
      </c>
      <c r="H27" s="47">
        <f t="shared" si="2"/>
        <v>3891160.84</v>
      </c>
      <c r="I27" s="47">
        <v>0</v>
      </c>
      <c r="J27" s="47">
        <f t="shared" si="3"/>
        <v>3891160.84</v>
      </c>
      <c r="K27" s="47">
        <v>0</v>
      </c>
      <c r="L27" s="46">
        <v>3717800</v>
      </c>
      <c r="M27" s="48"/>
      <c r="N27" s="49">
        <f t="shared" si="13"/>
        <v>173360.83999999985</v>
      </c>
      <c r="O27" s="49">
        <f t="shared" si="14"/>
        <v>161225.58119999987</v>
      </c>
      <c r="P27" s="49">
        <v>93</v>
      </c>
      <c r="Q27" s="49">
        <f t="shared" si="15"/>
        <v>12135.258799999981</v>
      </c>
      <c r="R27" s="50">
        <f t="shared" si="5"/>
        <v>161225.57999999999</v>
      </c>
    </row>
    <row r="28" spans="1:18" s="51" customFormat="1" ht="21" customHeight="1">
      <c r="A28" s="40" t="s">
        <v>55</v>
      </c>
      <c r="B28" s="41">
        <v>48434.03</v>
      </c>
      <c r="C28" s="42">
        <f t="shared" si="9"/>
        <v>0.97851944180568906</v>
      </c>
      <c r="D28" s="43">
        <v>47393.64</v>
      </c>
      <c r="E28" s="44">
        <v>1.302</v>
      </c>
      <c r="F28" s="45">
        <v>2.2999999999999998</v>
      </c>
      <c r="G28" s="46">
        <v>12</v>
      </c>
      <c r="H28" s="47">
        <f t="shared" si="2"/>
        <v>1703099.932</v>
      </c>
      <c r="I28" s="47">
        <v>0</v>
      </c>
      <c r="J28" s="47">
        <f t="shared" si="3"/>
        <v>1703099.932</v>
      </c>
      <c r="K28" s="47">
        <v>0</v>
      </c>
      <c r="L28" s="46">
        <v>1703100</v>
      </c>
      <c r="M28" s="48"/>
      <c r="N28" s="49">
        <v>0</v>
      </c>
      <c r="O28" s="49">
        <f t="shared" si="14"/>
        <v>0</v>
      </c>
      <c r="P28" s="49">
        <v>93</v>
      </c>
      <c r="Q28" s="49">
        <f t="shared" si="15"/>
        <v>0</v>
      </c>
      <c r="R28" s="50">
        <f t="shared" si="5"/>
        <v>0</v>
      </c>
    </row>
    <row r="29" spans="1:18" s="51" customFormat="1" ht="21" customHeight="1">
      <c r="A29" s="40" t="s">
        <v>12</v>
      </c>
      <c r="B29" s="41">
        <v>48434.03</v>
      </c>
      <c r="C29" s="42">
        <f t="shared" si="9"/>
        <v>0.97060891970750185</v>
      </c>
      <c r="D29" s="43">
        <f t="shared" si="12"/>
        <v>47010.501535380732</v>
      </c>
      <c r="E29" s="44">
        <v>1.302</v>
      </c>
      <c r="F29" s="45">
        <f>33.7</f>
        <v>33.700000000000003</v>
      </c>
      <c r="G29" s="46">
        <v>12</v>
      </c>
      <c r="H29" s="47">
        <f t="shared" si="2"/>
        <v>24752382.960999999</v>
      </c>
      <c r="I29" s="47">
        <f>336.96*1000</f>
        <v>336960</v>
      </c>
      <c r="J29" s="47">
        <f t="shared" si="3"/>
        <v>24415422.960999999</v>
      </c>
      <c r="K29" s="47">
        <f>480.96*1000</f>
        <v>480960</v>
      </c>
      <c r="L29" s="46">
        <f>23488400+K29</f>
        <v>23969360</v>
      </c>
      <c r="M29" s="48">
        <f t="shared" si="6"/>
        <v>24306320</v>
      </c>
      <c r="N29" s="49">
        <f>J29-L29</f>
        <v>446062.9609999992</v>
      </c>
      <c r="O29" s="49">
        <f>N29*0.94</f>
        <v>419299.18333999923</v>
      </c>
      <c r="P29" s="49">
        <v>94</v>
      </c>
      <c r="Q29" s="49">
        <f t="shared" si="8"/>
        <v>26763.777659999963</v>
      </c>
      <c r="R29" s="50">
        <f t="shared" si="5"/>
        <v>419299.18</v>
      </c>
    </row>
    <row r="30" spans="1:18" s="51" customFormat="1" ht="21" customHeight="1">
      <c r="A30" s="40" t="s">
        <v>71</v>
      </c>
      <c r="B30" s="41">
        <v>48434.03</v>
      </c>
      <c r="C30" s="42">
        <f t="shared" si="9"/>
        <v>0.97060891970750185</v>
      </c>
      <c r="D30" s="43">
        <f t="shared" si="12"/>
        <v>47010.501535380732</v>
      </c>
      <c r="E30" s="44">
        <v>1.302</v>
      </c>
      <c r="F30" s="45">
        <v>16</v>
      </c>
      <c r="G30" s="46">
        <v>12</v>
      </c>
      <c r="H30" s="47">
        <f t="shared" si="2"/>
        <v>11751873.216</v>
      </c>
      <c r="I30" s="47">
        <v>0</v>
      </c>
      <c r="J30" s="47">
        <f t="shared" si="3"/>
        <v>11751873.216</v>
      </c>
      <c r="K30" s="47">
        <v>0</v>
      </c>
      <c r="L30" s="46">
        <v>11151800</v>
      </c>
      <c r="M30" s="48"/>
      <c r="N30" s="49">
        <f t="shared" ref="N30:N33" si="16">J30-L30</f>
        <v>600073.21600000001</v>
      </c>
      <c r="O30" s="49">
        <f t="shared" ref="O30:O33" si="17">N30*0.94</f>
        <v>564068.82303999993</v>
      </c>
      <c r="P30" s="49">
        <v>94</v>
      </c>
      <c r="Q30" s="49">
        <f t="shared" ref="Q30:Q33" si="18">N30-O30</f>
        <v>36004.392960000085</v>
      </c>
      <c r="R30" s="50">
        <f t="shared" si="5"/>
        <v>564068.81999999995</v>
      </c>
    </row>
    <row r="31" spans="1:18" s="51" customFormat="1" ht="21" customHeight="1">
      <c r="A31" s="40" t="s">
        <v>72</v>
      </c>
      <c r="B31" s="41">
        <v>48434.03</v>
      </c>
      <c r="C31" s="42">
        <f t="shared" si="9"/>
        <v>0.97060891970750185</v>
      </c>
      <c r="D31" s="43">
        <f t="shared" si="12"/>
        <v>47010.501535380732</v>
      </c>
      <c r="E31" s="44">
        <v>1.302</v>
      </c>
      <c r="F31" s="45">
        <v>5.4</v>
      </c>
      <c r="G31" s="46">
        <v>12</v>
      </c>
      <c r="H31" s="47">
        <f t="shared" si="2"/>
        <v>3966257.21</v>
      </c>
      <c r="I31" s="47">
        <v>0</v>
      </c>
      <c r="J31" s="47">
        <f t="shared" si="3"/>
        <v>3966257.21</v>
      </c>
      <c r="K31" s="47">
        <v>0</v>
      </c>
      <c r="L31" s="46">
        <v>3833400</v>
      </c>
      <c r="M31" s="48"/>
      <c r="N31" s="49">
        <f t="shared" si="16"/>
        <v>132857.20999999996</v>
      </c>
      <c r="O31" s="49">
        <f t="shared" si="17"/>
        <v>124885.77739999996</v>
      </c>
      <c r="P31" s="49">
        <v>94</v>
      </c>
      <c r="Q31" s="49">
        <f t="shared" si="18"/>
        <v>7971.4326000000001</v>
      </c>
      <c r="R31" s="50">
        <f t="shared" si="5"/>
        <v>124885.78</v>
      </c>
    </row>
    <row r="32" spans="1:18" s="51" customFormat="1" ht="21" customHeight="1">
      <c r="A32" s="40" t="s">
        <v>73</v>
      </c>
      <c r="B32" s="41">
        <v>48434.03</v>
      </c>
      <c r="C32" s="42">
        <f t="shared" si="9"/>
        <v>0.97060891970750185</v>
      </c>
      <c r="D32" s="43">
        <f t="shared" si="12"/>
        <v>47010.501535380732</v>
      </c>
      <c r="E32" s="44">
        <v>1.302</v>
      </c>
      <c r="F32" s="45">
        <v>11.4</v>
      </c>
      <c r="G32" s="46">
        <v>12</v>
      </c>
      <c r="H32" s="47">
        <f t="shared" si="2"/>
        <v>8373209.6660000002</v>
      </c>
      <c r="I32" s="47">
        <v>0</v>
      </c>
      <c r="J32" s="47">
        <f t="shared" si="3"/>
        <v>8373209.6660000002</v>
      </c>
      <c r="K32" s="47">
        <v>0</v>
      </c>
      <c r="L32" s="46">
        <v>7527400</v>
      </c>
      <c r="M32" s="48"/>
      <c r="N32" s="49">
        <f t="shared" si="16"/>
        <v>845809.6660000002</v>
      </c>
      <c r="O32" s="49">
        <f t="shared" si="17"/>
        <v>795061.0860400002</v>
      </c>
      <c r="P32" s="49">
        <v>94</v>
      </c>
      <c r="Q32" s="49">
        <f t="shared" si="18"/>
        <v>50748.579960000003</v>
      </c>
      <c r="R32" s="50">
        <f t="shared" si="5"/>
        <v>795061.09</v>
      </c>
    </row>
    <row r="33" spans="1:18" s="51" customFormat="1" ht="21" customHeight="1">
      <c r="A33" s="40" t="s">
        <v>77</v>
      </c>
      <c r="B33" s="41">
        <v>48434.03</v>
      </c>
      <c r="C33" s="42">
        <f t="shared" si="9"/>
        <v>0.97060891970750185</v>
      </c>
      <c r="D33" s="43">
        <f t="shared" si="12"/>
        <v>47010.501535380732</v>
      </c>
      <c r="E33" s="44">
        <v>1.302</v>
      </c>
      <c r="F33" s="45">
        <v>19.2</v>
      </c>
      <c r="G33" s="46">
        <v>12</v>
      </c>
      <c r="H33" s="47">
        <f t="shared" si="2"/>
        <v>14102247.858999999</v>
      </c>
      <c r="I33" s="47">
        <v>0</v>
      </c>
      <c r="J33" s="47">
        <f t="shared" si="3"/>
        <v>14102247.858999999</v>
      </c>
      <c r="K33" s="47">
        <v>0</v>
      </c>
      <c r="L33" s="46">
        <v>13521500</v>
      </c>
      <c r="M33" s="48"/>
      <c r="N33" s="49">
        <f t="shared" si="16"/>
        <v>580747.85899999924</v>
      </c>
      <c r="O33" s="49">
        <f t="shared" si="17"/>
        <v>545902.98745999928</v>
      </c>
      <c r="P33" s="49">
        <v>94</v>
      </c>
      <c r="Q33" s="49">
        <f t="shared" si="18"/>
        <v>34844.871539999964</v>
      </c>
      <c r="R33" s="50">
        <f t="shared" si="5"/>
        <v>545902.99</v>
      </c>
    </row>
    <row r="34" spans="1:18" s="51" customFormat="1" ht="21" customHeight="1">
      <c r="A34" s="57" t="s">
        <v>13</v>
      </c>
      <c r="B34" s="58">
        <v>48434.03</v>
      </c>
      <c r="C34" s="59">
        <f t="shared" si="9"/>
        <v>0.97060891970750185</v>
      </c>
      <c r="D34" s="43">
        <f t="shared" si="12"/>
        <v>47010.501535380732</v>
      </c>
      <c r="E34" s="60">
        <v>1.302</v>
      </c>
      <c r="F34" s="61">
        <v>105.1</v>
      </c>
      <c r="G34" s="62">
        <v>12</v>
      </c>
      <c r="H34" s="47">
        <f t="shared" si="2"/>
        <v>77195117.186000004</v>
      </c>
      <c r="I34" s="63">
        <f>43.49*1000</f>
        <v>43490</v>
      </c>
      <c r="J34" s="47">
        <f t="shared" si="3"/>
        <v>77151627.186000004</v>
      </c>
      <c r="K34" s="63">
        <f>1294.35*1000</f>
        <v>1294350</v>
      </c>
      <c r="L34" s="62">
        <f>73379400+K34+68800</f>
        <v>74742550</v>
      </c>
      <c r="M34" s="64">
        <f t="shared" si="6"/>
        <v>74786040</v>
      </c>
      <c r="N34" s="65">
        <f t="shared" si="0"/>
        <v>2409077.1860000044</v>
      </c>
      <c r="O34" s="65">
        <f>N34*0.95</f>
        <v>2288623.3267000043</v>
      </c>
      <c r="P34" s="65">
        <v>95</v>
      </c>
      <c r="Q34" s="65">
        <f t="shared" si="8"/>
        <v>120453.85930000013</v>
      </c>
      <c r="R34" s="50">
        <f t="shared" si="5"/>
        <v>2288623.33</v>
      </c>
    </row>
    <row r="35" spans="1:18" s="51" customFormat="1" ht="21" customHeight="1">
      <c r="A35" s="40" t="s">
        <v>57</v>
      </c>
      <c r="B35" s="41">
        <v>48434.03</v>
      </c>
      <c r="C35" s="42">
        <f t="shared" si="9"/>
        <v>0.97060891970750185</v>
      </c>
      <c r="D35" s="43">
        <f t="shared" si="12"/>
        <v>47010.501535380732</v>
      </c>
      <c r="E35" s="44">
        <v>1.302</v>
      </c>
      <c r="F35" s="45">
        <v>19.899999999999999</v>
      </c>
      <c r="G35" s="46">
        <v>12</v>
      </c>
      <c r="H35" s="47">
        <f t="shared" si="2"/>
        <v>14616392.312000001</v>
      </c>
      <c r="I35" s="47">
        <v>0</v>
      </c>
      <c r="J35" s="47">
        <f t="shared" si="3"/>
        <v>14616392.312000001</v>
      </c>
      <c r="K35" s="47">
        <f>117.8*1000</f>
        <v>117800</v>
      </c>
      <c r="L35" s="46">
        <f>13538500+K35+363400</f>
        <v>14019700</v>
      </c>
      <c r="M35" s="48"/>
      <c r="N35" s="49">
        <f t="shared" si="0"/>
        <v>596692.31200000085</v>
      </c>
      <c r="O35" s="49">
        <f t="shared" si="7"/>
        <v>566857.69640000083</v>
      </c>
      <c r="P35" s="49">
        <v>95</v>
      </c>
      <c r="Q35" s="49">
        <f t="shared" si="8"/>
        <v>29834.615600000019</v>
      </c>
      <c r="R35" s="50">
        <f t="shared" si="5"/>
        <v>566857.69999999995</v>
      </c>
    </row>
    <row r="36" spans="1:18" s="51" customFormat="1" ht="21" customHeight="1">
      <c r="A36" s="57" t="s">
        <v>14</v>
      </c>
      <c r="B36" s="58">
        <v>48434.03</v>
      </c>
      <c r="C36" s="59">
        <f>D36/B36</f>
        <v>0.97060891970750185</v>
      </c>
      <c r="D36" s="43">
        <f t="shared" si="12"/>
        <v>47010.501535380732</v>
      </c>
      <c r="E36" s="60">
        <v>1.302</v>
      </c>
      <c r="F36" s="61">
        <v>71.7</v>
      </c>
      <c r="G36" s="62">
        <v>12</v>
      </c>
      <c r="H36" s="47">
        <f t="shared" si="2"/>
        <v>52663081.847999997</v>
      </c>
      <c r="I36" s="63">
        <f>330.17*1000</f>
        <v>330170</v>
      </c>
      <c r="J36" s="47">
        <f t="shared" si="3"/>
        <v>52332911.847999997</v>
      </c>
      <c r="K36" s="63">
        <v>0</v>
      </c>
      <c r="L36" s="62">
        <f>48029700+1379800</f>
        <v>49409500</v>
      </c>
      <c r="M36" s="64">
        <f t="shared" si="6"/>
        <v>49739670</v>
      </c>
      <c r="N36" s="65">
        <f t="shared" si="0"/>
        <v>2923411.8479999974</v>
      </c>
      <c r="O36" s="65">
        <f>N36*0.91</f>
        <v>2660304.7816799977</v>
      </c>
      <c r="P36" s="65">
        <v>91</v>
      </c>
      <c r="Q36" s="65">
        <f t="shared" si="8"/>
        <v>263107.06631999975</v>
      </c>
      <c r="R36" s="50">
        <f t="shared" si="5"/>
        <v>2660304.7799999998</v>
      </c>
    </row>
    <row r="37" spans="1:18" s="51" customFormat="1" ht="21" customHeight="1">
      <c r="A37" s="40" t="s">
        <v>56</v>
      </c>
      <c r="B37" s="41">
        <v>48434.03</v>
      </c>
      <c r="C37" s="42">
        <f>D37/B37</f>
        <v>0.97060891970750185</v>
      </c>
      <c r="D37" s="43">
        <f t="shared" si="12"/>
        <v>47010.501535380732</v>
      </c>
      <c r="E37" s="44">
        <v>1.302</v>
      </c>
      <c r="F37" s="45">
        <v>15.9</v>
      </c>
      <c r="G37" s="46">
        <v>12</v>
      </c>
      <c r="H37" s="47">
        <f t="shared" si="2"/>
        <v>11678424.007999999</v>
      </c>
      <c r="I37" s="47">
        <f>225*1000</f>
        <v>225000</v>
      </c>
      <c r="J37" s="47">
        <f t="shared" si="3"/>
        <v>11453424.007999999</v>
      </c>
      <c r="K37" s="47">
        <f>245.8*1000</f>
        <v>245800</v>
      </c>
      <c r="L37" s="46">
        <f>10641300+101600+K37</f>
        <v>10988700</v>
      </c>
      <c r="M37" s="48"/>
      <c r="N37" s="49">
        <f t="shared" si="0"/>
        <v>464724.00799999945</v>
      </c>
      <c r="O37" s="49">
        <f>N37*0.91</f>
        <v>422898.84727999952</v>
      </c>
      <c r="P37" s="49">
        <v>91</v>
      </c>
      <c r="Q37" s="49">
        <f t="shared" si="8"/>
        <v>41825.160719999927</v>
      </c>
      <c r="R37" s="50">
        <f t="shared" si="5"/>
        <v>422898.85</v>
      </c>
    </row>
    <row r="38" spans="1:18" s="51" customFormat="1" ht="22.5" customHeight="1">
      <c r="A38" s="40" t="s">
        <v>15</v>
      </c>
      <c r="B38" s="43">
        <v>48434.03</v>
      </c>
      <c r="C38" s="42">
        <f t="shared" si="9"/>
        <v>0.97060891970750185</v>
      </c>
      <c r="D38" s="43">
        <f t="shared" si="12"/>
        <v>47010.501535380732</v>
      </c>
      <c r="E38" s="44">
        <v>1.302</v>
      </c>
      <c r="F38" s="45">
        <v>59.3</v>
      </c>
      <c r="G38" s="46">
        <v>12</v>
      </c>
      <c r="H38" s="47">
        <f t="shared" si="2"/>
        <v>43555380.105999999</v>
      </c>
      <c r="I38" s="47">
        <f>29.16*1000</f>
        <v>29160</v>
      </c>
      <c r="J38" s="47">
        <f t="shared" si="3"/>
        <v>43526220.105999999</v>
      </c>
      <c r="K38" s="47">
        <v>0</v>
      </c>
      <c r="L38" s="46">
        <f>41130696.6+196700</f>
        <v>41327396.600000001</v>
      </c>
      <c r="M38" s="48">
        <f t="shared" si="6"/>
        <v>41356556.600000001</v>
      </c>
      <c r="N38" s="49">
        <f t="shared" si="0"/>
        <v>2198823.5059999973</v>
      </c>
      <c r="O38" s="49">
        <f>N38*0.9</f>
        <v>1978941.1553999975</v>
      </c>
      <c r="P38" s="49">
        <v>90</v>
      </c>
      <c r="Q38" s="49">
        <f t="shared" si="8"/>
        <v>219882.35059999977</v>
      </c>
      <c r="R38" s="50">
        <f t="shared" si="5"/>
        <v>1978941.16</v>
      </c>
    </row>
    <row r="39" spans="1:18" s="56" customFormat="1" ht="21" customHeight="1">
      <c r="A39" s="52" t="s">
        <v>16</v>
      </c>
      <c r="B39" s="43">
        <v>48434.03</v>
      </c>
      <c r="C39" s="42">
        <f t="shared" si="9"/>
        <v>1.0090832064257871</v>
      </c>
      <c r="D39" s="43">
        <f>J39/G39/F39/E39</f>
        <v>48873.966292522768</v>
      </c>
      <c r="E39" s="53">
        <v>1.302</v>
      </c>
      <c r="F39" s="45">
        <v>69.7</v>
      </c>
      <c r="G39" s="46">
        <v>12</v>
      </c>
      <c r="H39" s="47">
        <f>ROUND(D39*E39*F39*G39,3)</f>
        <v>53223397.399999999</v>
      </c>
      <c r="I39" s="47">
        <v>0</v>
      </c>
      <c r="J39" s="47">
        <f>L39</f>
        <v>53223397.399999999</v>
      </c>
      <c r="K39" s="47">
        <f>1038.74*1000</f>
        <v>1038740</v>
      </c>
      <c r="L39" s="46">
        <f>51265257.4+919400+K39</f>
        <v>53223397.399999999</v>
      </c>
      <c r="M39" s="54">
        <f t="shared" si="6"/>
        <v>53223397.399999999</v>
      </c>
      <c r="N39" s="55">
        <f t="shared" si="0"/>
        <v>0</v>
      </c>
      <c r="O39" s="55">
        <f>N39*0.81</f>
        <v>0</v>
      </c>
      <c r="P39" s="55">
        <v>81</v>
      </c>
      <c r="Q39" s="55">
        <f t="shared" si="8"/>
        <v>0</v>
      </c>
      <c r="R39" s="50">
        <f t="shared" si="5"/>
        <v>0</v>
      </c>
    </row>
    <row r="40" spans="1:18" s="51" customFormat="1" ht="21" customHeight="1">
      <c r="A40" s="40" t="s">
        <v>17</v>
      </c>
      <c r="B40" s="43">
        <v>48434.03</v>
      </c>
      <c r="C40" s="42">
        <f t="shared" si="9"/>
        <v>0.97060891970750185</v>
      </c>
      <c r="D40" s="43">
        <f t="shared" ref="D40:D53" si="19">$D$73</f>
        <v>47010.501535380732</v>
      </c>
      <c r="E40" s="44">
        <v>1.302</v>
      </c>
      <c r="F40" s="45">
        <v>106.8</v>
      </c>
      <c r="G40" s="46">
        <v>12</v>
      </c>
      <c r="H40" s="47">
        <f t="shared" si="2"/>
        <v>78443753.716000006</v>
      </c>
      <c r="I40" s="47">
        <f>965.95*1000</f>
        <v>965950</v>
      </c>
      <c r="J40" s="47">
        <f t="shared" si="3"/>
        <v>77477803.716000006</v>
      </c>
      <c r="K40" s="47">
        <f>192.05*1000</f>
        <v>192050</v>
      </c>
      <c r="L40" s="46">
        <f>68856228+3879100+K40</f>
        <v>72927378</v>
      </c>
      <c r="M40" s="48">
        <f t="shared" si="6"/>
        <v>73893328</v>
      </c>
      <c r="N40" s="49">
        <f t="shared" si="0"/>
        <v>4550425.7160000056</v>
      </c>
      <c r="O40" s="49">
        <f>N40*0.93</f>
        <v>4231895.9158800058</v>
      </c>
      <c r="P40" s="49">
        <v>93</v>
      </c>
      <c r="Q40" s="49">
        <f t="shared" si="8"/>
        <v>318529.8001199998</v>
      </c>
      <c r="R40" s="50">
        <f t="shared" si="5"/>
        <v>4231895.92</v>
      </c>
    </row>
    <row r="41" spans="1:18" s="51" customFormat="1" ht="21" customHeight="1">
      <c r="A41" s="40" t="s">
        <v>18</v>
      </c>
      <c r="B41" s="41">
        <v>48434.03</v>
      </c>
      <c r="C41" s="42">
        <f t="shared" si="9"/>
        <v>0.97060891970750185</v>
      </c>
      <c r="D41" s="43">
        <f t="shared" si="19"/>
        <v>47010.501535380732</v>
      </c>
      <c r="E41" s="44">
        <v>1.302</v>
      </c>
      <c r="F41" s="45">
        <f>36.3+10.3</f>
        <v>46.599999999999994</v>
      </c>
      <c r="G41" s="46">
        <v>12</v>
      </c>
      <c r="H41" s="47">
        <f t="shared" si="2"/>
        <v>34227330.740999997</v>
      </c>
      <c r="I41" s="47">
        <v>0</v>
      </c>
      <c r="J41" s="47">
        <f t="shared" si="3"/>
        <v>34227330.740999997</v>
      </c>
      <c r="K41" s="47">
        <f>449.97*1000</f>
        <v>449970</v>
      </c>
      <c r="L41" s="66">
        <v>33933008.200000003</v>
      </c>
      <c r="M41" s="48">
        <f t="shared" si="6"/>
        <v>33933008.200000003</v>
      </c>
      <c r="N41" s="49">
        <f t="shared" si="0"/>
        <v>294322.54099999368</v>
      </c>
      <c r="O41" s="49">
        <f>N41*0.92</f>
        <v>270776.73771999421</v>
      </c>
      <c r="P41" s="49">
        <v>92</v>
      </c>
      <c r="Q41" s="49">
        <f t="shared" si="8"/>
        <v>23545.803279999469</v>
      </c>
      <c r="R41" s="50">
        <f t="shared" si="5"/>
        <v>270776.74</v>
      </c>
    </row>
    <row r="42" spans="1:18" s="51" customFormat="1" ht="21" customHeight="1">
      <c r="A42" s="40" t="s">
        <v>62</v>
      </c>
      <c r="B42" s="41">
        <v>48434.03</v>
      </c>
      <c r="C42" s="42">
        <f t="shared" si="9"/>
        <v>0.97060891970750185</v>
      </c>
      <c r="D42" s="43">
        <f t="shared" si="19"/>
        <v>47010.501535380732</v>
      </c>
      <c r="E42" s="44">
        <v>1.302</v>
      </c>
      <c r="F42" s="45">
        <v>6.2</v>
      </c>
      <c r="G42" s="46">
        <v>12</v>
      </c>
      <c r="H42" s="47">
        <f t="shared" si="2"/>
        <v>4553850.8710000003</v>
      </c>
      <c r="I42" s="47">
        <v>0</v>
      </c>
      <c r="J42" s="47">
        <f t="shared" si="3"/>
        <v>4553850.8710000003</v>
      </c>
      <c r="K42" s="47">
        <f>325.5*1000</f>
        <v>325500</v>
      </c>
      <c r="L42" s="66">
        <v>4414995</v>
      </c>
      <c r="M42" s="48"/>
      <c r="N42" s="49">
        <f t="shared" ref="N42:N49" si="20">J42-L42</f>
        <v>138855.87100000028</v>
      </c>
      <c r="O42" s="49">
        <f t="shared" ref="O42:O49" si="21">N42*0.92</f>
        <v>127747.40132000027</v>
      </c>
      <c r="P42" s="49">
        <v>92</v>
      </c>
      <c r="Q42" s="49">
        <f t="shared" ref="Q42:Q49" si="22">N42-O42</f>
        <v>11108.469680000009</v>
      </c>
      <c r="R42" s="50">
        <f t="shared" si="5"/>
        <v>127747.4</v>
      </c>
    </row>
    <row r="43" spans="1:18" s="51" customFormat="1" ht="21" customHeight="1">
      <c r="A43" s="40" t="s">
        <v>63</v>
      </c>
      <c r="B43" s="41">
        <v>48434.03</v>
      </c>
      <c r="C43" s="42">
        <f t="shared" si="9"/>
        <v>0.97060891970750185</v>
      </c>
      <c r="D43" s="43">
        <f t="shared" si="19"/>
        <v>47010.501535380732</v>
      </c>
      <c r="E43" s="44">
        <v>1.302</v>
      </c>
      <c r="F43" s="45">
        <v>3.6</v>
      </c>
      <c r="G43" s="46">
        <v>12</v>
      </c>
      <c r="H43" s="47">
        <f>ROUND(D43*E43*F43*G43,3)</f>
        <v>2644171.4739999999</v>
      </c>
      <c r="I43" s="47">
        <v>0</v>
      </c>
      <c r="J43" s="47">
        <f t="shared" si="3"/>
        <v>2644171.4739999999</v>
      </c>
      <c r="K43" s="47">
        <f>61.71*1000</f>
        <v>61710</v>
      </c>
      <c r="L43" s="66">
        <v>2622305</v>
      </c>
      <c r="M43" s="48"/>
      <c r="N43" s="49">
        <f t="shared" si="20"/>
        <v>21866.473999999929</v>
      </c>
      <c r="O43" s="49">
        <f t="shared" si="21"/>
        <v>20117.156079999935</v>
      </c>
      <c r="P43" s="49">
        <v>92</v>
      </c>
      <c r="Q43" s="49">
        <f t="shared" si="22"/>
        <v>1749.317919999994</v>
      </c>
      <c r="R43" s="50">
        <f t="shared" si="5"/>
        <v>20117.16</v>
      </c>
    </row>
    <row r="44" spans="1:18" s="51" customFormat="1" ht="21" customHeight="1">
      <c r="A44" s="40" t="s">
        <v>64</v>
      </c>
      <c r="B44" s="41">
        <v>48434.03</v>
      </c>
      <c r="C44" s="42">
        <f t="shared" si="9"/>
        <v>0.97060891970750185</v>
      </c>
      <c r="D44" s="43">
        <f t="shared" si="19"/>
        <v>47010.501535380732</v>
      </c>
      <c r="E44" s="44">
        <v>1.302</v>
      </c>
      <c r="F44" s="45">
        <v>5.0999999999999996</v>
      </c>
      <c r="G44" s="46">
        <v>12</v>
      </c>
      <c r="H44" s="47">
        <f t="shared" si="2"/>
        <v>3745909.588</v>
      </c>
      <c r="I44" s="47">
        <v>0</v>
      </c>
      <c r="J44" s="47">
        <f t="shared" si="3"/>
        <v>3745909.588</v>
      </c>
      <c r="K44" s="47">
        <f>89.97*1000</f>
        <v>89970</v>
      </c>
      <c r="L44" s="66">
        <v>3475901</v>
      </c>
      <c r="M44" s="48"/>
      <c r="N44" s="49">
        <f t="shared" si="20"/>
        <v>270008.58799999999</v>
      </c>
      <c r="O44" s="49">
        <f t="shared" si="21"/>
        <v>248407.90096</v>
      </c>
      <c r="P44" s="49">
        <v>92</v>
      </c>
      <c r="Q44" s="49">
        <f t="shared" si="22"/>
        <v>21600.68703999999</v>
      </c>
      <c r="R44" s="50">
        <f t="shared" si="5"/>
        <v>248407.9</v>
      </c>
    </row>
    <row r="45" spans="1:18" s="51" customFormat="1" ht="21" customHeight="1">
      <c r="A45" s="40" t="s">
        <v>65</v>
      </c>
      <c r="B45" s="41">
        <v>48434.03</v>
      </c>
      <c r="C45" s="42">
        <f t="shared" si="9"/>
        <v>0.97060891970750185</v>
      </c>
      <c r="D45" s="43">
        <f t="shared" si="19"/>
        <v>47010.501535380732</v>
      </c>
      <c r="E45" s="44">
        <v>1.302</v>
      </c>
      <c r="F45" s="45">
        <v>37.9</v>
      </c>
      <c r="G45" s="46">
        <v>12</v>
      </c>
      <c r="H45" s="47">
        <f t="shared" si="2"/>
        <v>27837249.68</v>
      </c>
      <c r="I45" s="47">
        <f>755.94*1000</f>
        <v>755940</v>
      </c>
      <c r="J45" s="47">
        <f t="shared" si="3"/>
        <v>27081309.68</v>
      </c>
      <c r="K45" s="47">
        <v>0</v>
      </c>
      <c r="L45" s="66">
        <v>24981434</v>
      </c>
      <c r="M45" s="48"/>
      <c r="N45" s="49">
        <f t="shared" si="20"/>
        <v>2099875.6799999997</v>
      </c>
      <c r="O45" s="49">
        <f t="shared" si="21"/>
        <v>1931885.6255999999</v>
      </c>
      <c r="P45" s="49">
        <v>92</v>
      </c>
      <c r="Q45" s="49">
        <f t="shared" si="22"/>
        <v>167990.05439999979</v>
      </c>
      <c r="R45" s="50">
        <f t="shared" si="5"/>
        <v>1931885.63</v>
      </c>
    </row>
    <row r="46" spans="1:18" s="51" customFormat="1" ht="21" customHeight="1">
      <c r="A46" s="40" t="s">
        <v>66</v>
      </c>
      <c r="B46" s="41">
        <v>48434.03</v>
      </c>
      <c r="C46" s="42">
        <f t="shared" si="9"/>
        <v>0.97060891970750185</v>
      </c>
      <c r="D46" s="43">
        <f t="shared" si="19"/>
        <v>47010.501535380732</v>
      </c>
      <c r="E46" s="44">
        <v>1.302</v>
      </c>
      <c r="F46" s="45">
        <v>13.4</v>
      </c>
      <c r="G46" s="46">
        <v>12</v>
      </c>
      <c r="H46" s="47">
        <f t="shared" si="2"/>
        <v>9842193.818</v>
      </c>
      <c r="I46" s="47">
        <v>0</v>
      </c>
      <c r="J46" s="47">
        <f t="shared" si="3"/>
        <v>9842193.818</v>
      </c>
      <c r="K46" s="47">
        <f>221.73*1000</f>
        <v>221730</v>
      </c>
      <c r="L46" s="66">
        <v>9524474</v>
      </c>
      <c r="M46" s="48"/>
      <c r="N46" s="49">
        <f t="shared" si="20"/>
        <v>317719.81799999997</v>
      </c>
      <c r="O46" s="49">
        <f t="shared" si="21"/>
        <v>292302.23255999997</v>
      </c>
      <c r="P46" s="49">
        <v>92</v>
      </c>
      <c r="Q46" s="49">
        <f t="shared" si="22"/>
        <v>25417.585439999995</v>
      </c>
      <c r="R46" s="50">
        <f t="shared" si="5"/>
        <v>292302.23</v>
      </c>
    </row>
    <row r="47" spans="1:18" s="51" customFormat="1" ht="21" customHeight="1">
      <c r="A47" s="40" t="s">
        <v>67</v>
      </c>
      <c r="B47" s="41">
        <v>48434.03</v>
      </c>
      <c r="C47" s="42">
        <f t="shared" si="9"/>
        <v>0.97060891970750185</v>
      </c>
      <c r="D47" s="43">
        <f t="shared" si="19"/>
        <v>47010.501535380732</v>
      </c>
      <c r="E47" s="44">
        <v>1.302</v>
      </c>
      <c r="F47" s="45">
        <v>8.4</v>
      </c>
      <c r="G47" s="46">
        <v>12</v>
      </c>
      <c r="H47" s="47">
        <f t="shared" si="2"/>
        <v>6169733.4380000001</v>
      </c>
      <c r="I47" s="47">
        <v>0</v>
      </c>
      <c r="J47" s="47">
        <f t="shared" si="3"/>
        <v>6169733.4380000001</v>
      </c>
      <c r="K47" s="47">
        <v>0</v>
      </c>
      <c r="L47" s="66">
        <v>5828231</v>
      </c>
      <c r="M47" s="48"/>
      <c r="N47" s="49">
        <f t="shared" si="20"/>
        <v>341502.43800000008</v>
      </c>
      <c r="O47" s="49">
        <f t="shared" si="21"/>
        <v>314182.24296000006</v>
      </c>
      <c r="P47" s="49">
        <v>92</v>
      </c>
      <c r="Q47" s="49">
        <f t="shared" si="22"/>
        <v>27320.195040000021</v>
      </c>
      <c r="R47" s="50">
        <f t="shared" si="5"/>
        <v>314182.24</v>
      </c>
    </row>
    <row r="48" spans="1:18" s="51" customFormat="1" ht="21" customHeight="1">
      <c r="A48" s="40" t="s">
        <v>68</v>
      </c>
      <c r="B48" s="41">
        <v>48434.03</v>
      </c>
      <c r="C48" s="42">
        <f t="shared" si="9"/>
        <v>0.97060891970750185</v>
      </c>
      <c r="D48" s="43">
        <f t="shared" si="19"/>
        <v>47010.501535380732</v>
      </c>
      <c r="E48" s="44">
        <v>1.302</v>
      </c>
      <c r="F48" s="45">
        <v>8</v>
      </c>
      <c r="G48" s="46">
        <v>12</v>
      </c>
      <c r="H48" s="47">
        <f t="shared" si="2"/>
        <v>5875936.608</v>
      </c>
      <c r="I48" s="47">
        <v>0</v>
      </c>
      <c r="J48" s="47">
        <f t="shared" si="3"/>
        <v>5875936.608</v>
      </c>
      <c r="K48" s="47">
        <f>41.92*1000</f>
        <v>41920</v>
      </c>
      <c r="L48" s="66">
        <v>5731492</v>
      </c>
      <c r="M48" s="48"/>
      <c r="N48" s="49">
        <f t="shared" si="20"/>
        <v>144444.60800000001</v>
      </c>
      <c r="O48" s="49">
        <f t="shared" si="21"/>
        <v>132889.03936000002</v>
      </c>
      <c r="P48" s="49">
        <v>92</v>
      </c>
      <c r="Q48" s="49">
        <f t="shared" si="22"/>
        <v>11555.568639999983</v>
      </c>
      <c r="R48" s="50">
        <f t="shared" si="5"/>
        <v>132889.04</v>
      </c>
    </row>
    <row r="49" spans="1:18" s="51" customFormat="1" ht="21" customHeight="1">
      <c r="A49" s="40" t="s">
        <v>69</v>
      </c>
      <c r="B49" s="41">
        <v>48434.03</v>
      </c>
      <c r="C49" s="42">
        <f t="shared" si="9"/>
        <v>0.97060891970750185</v>
      </c>
      <c r="D49" s="43">
        <f t="shared" si="19"/>
        <v>47010.501535380732</v>
      </c>
      <c r="E49" s="44">
        <v>1.302</v>
      </c>
      <c r="F49" s="45">
        <v>4.8</v>
      </c>
      <c r="G49" s="46">
        <v>12</v>
      </c>
      <c r="H49" s="47">
        <f t="shared" si="2"/>
        <v>3525561.9649999999</v>
      </c>
      <c r="I49" s="47">
        <v>0</v>
      </c>
      <c r="J49" s="47">
        <f t="shared" si="3"/>
        <v>3525561.9649999999</v>
      </c>
      <c r="K49" s="47">
        <f>65.1*1000</f>
        <v>65099.999999999993</v>
      </c>
      <c r="L49" s="66">
        <v>3411945</v>
      </c>
      <c r="M49" s="48"/>
      <c r="N49" s="49">
        <f t="shared" si="20"/>
        <v>113616.96499999985</v>
      </c>
      <c r="O49" s="49">
        <f t="shared" si="21"/>
        <v>104527.60779999987</v>
      </c>
      <c r="P49" s="49">
        <v>92</v>
      </c>
      <c r="Q49" s="49">
        <f t="shared" si="22"/>
        <v>9089.357199999984</v>
      </c>
      <c r="R49" s="50">
        <f t="shared" si="5"/>
        <v>104527.61</v>
      </c>
    </row>
    <row r="50" spans="1:18" s="51" customFormat="1" ht="21" customHeight="1">
      <c r="A50" s="57" t="s">
        <v>19</v>
      </c>
      <c r="B50" s="58">
        <v>48434.03</v>
      </c>
      <c r="C50" s="59">
        <f t="shared" si="9"/>
        <v>0.97060891970750185</v>
      </c>
      <c r="D50" s="43">
        <f t="shared" si="19"/>
        <v>47010.501535380732</v>
      </c>
      <c r="E50" s="60">
        <v>1.302</v>
      </c>
      <c r="F50" s="61">
        <f>41+68.4+0.6</f>
        <v>110</v>
      </c>
      <c r="G50" s="62">
        <v>12</v>
      </c>
      <c r="H50" s="47">
        <f t="shared" si="2"/>
        <v>80794128.358999997</v>
      </c>
      <c r="I50" s="63">
        <f>32.94*1000</f>
        <v>32940</v>
      </c>
      <c r="J50" s="47">
        <f t="shared" si="3"/>
        <v>80761188.358999997</v>
      </c>
      <c r="K50" s="63">
        <f>(878.9+47.8)*1000</f>
        <v>926699.99999999988</v>
      </c>
      <c r="L50" s="62">
        <f>73669700+1884700+K50+1956100</f>
        <v>78437200</v>
      </c>
      <c r="M50" s="64">
        <f t="shared" si="6"/>
        <v>78470140</v>
      </c>
      <c r="N50" s="65">
        <f>J50-L50-0.1</f>
        <v>2323988.2589999973</v>
      </c>
      <c r="O50" s="65">
        <f>N50*0.94</f>
        <v>2184548.9634599974</v>
      </c>
      <c r="P50" s="65">
        <v>94</v>
      </c>
      <c r="Q50" s="65">
        <f t="shared" si="8"/>
        <v>139439.29553999985</v>
      </c>
      <c r="R50" s="50">
        <f t="shared" si="5"/>
        <v>2184548.96</v>
      </c>
    </row>
    <row r="51" spans="1:18" s="51" customFormat="1" ht="21" customHeight="1">
      <c r="A51" s="40" t="s">
        <v>76</v>
      </c>
      <c r="B51" s="41">
        <v>48434.03</v>
      </c>
      <c r="C51" s="42">
        <f t="shared" si="9"/>
        <v>0.97060891970750185</v>
      </c>
      <c r="D51" s="43">
        <f t="shared" si="19"/>
        <v>47010.501535380732</v>
      </c>
      <c r="E51" s="44">
        <v>1.302</v>
      </c>
      <c r="F51" s="61">
        <v>10.3</v>
      </c>
      <c r="G51" s="62">
        <v>12</v>
      </c>
      <c r="H51" s="47">
        <f t="shared" si="2"/>
        <v>7565268.3830000004</v>
      </c>
      <c r="I51" s="47">
        <v>0</v>
      </c>
      <c r="J51" s="47">
        <f t="shared" si="3"/>
        <v>7565268.3830000004</v>
      </c>
      <c r="K51" s="47">
        <v>0</v>
      </c>
      <c r="L51" s="46">
        <f>6975900+219600</f>
        <v>7195500</v>
      </c>
      <c r="M51" s="64"/>
      <c r="N51" s="49">
        <f>J51-L51-0.1</f>
        <v>369768.2830000004</v>
      </c>
      <c r="O51" s="49">
        <f t="shared" ref="O51:O53" si="23">N51*0.94</f>
        <v>347582.18602000037</v>
      </c>
      <c r="P51" s="49">
        <v>94</v>
      </c>
      <c r="Q51" s="49">
        <f t="shared" si="8"/>
        <v>22186.096980000031</v>
      </c>
      <c r="R51" s="50">
        <f t="shared" si="5"/>
        <v>347582.19</v>
      </c>
    </row>
    <row r="52" spans="1:18" s="51" customFormat="1" ht="21" customHeight="1">
      <c r="A52" s="40" t="s">
        <v>58</v>
      </c>
      <c r="B52" s="41">
        <v>48434.03</v>
      </c>
      <c r="C52" s="42">
        <f t="shared" si="9"/>
        <v>0.97060891970750185</v>
      </c>
      <c r="D52" s="43">
        <f t="shared" si="19"/>
        <v>47010.501535380732</v>
      </c>
      <c r="E52" s="44">
        <v>1.302</v>
      </c>
      <c r="F52" s="45">
        <v>26.6</v>
      </c>
      <c r="G52" s="46">
        <v>12</v>
      </c>
      <c r="H52" s="47">
        <f t="shared" si="2"/>
        <v>19537489.221000001</v>
      </c>
      <c r="I52" s="47">
        <v>0</v>
      </c>
      <c r="J52" s="47">
        <f t="shared" si="3"/>
        <v>19537489.221000001</v>
      </c>
      <c r="K52" s="47">
        <f>229*1000</f>
        <v>229000</v>
      </c>
      <c r="L52" s="46">
        <f>18341800+240700+K52</f>
        <v>18811500</v>
      </c>
      <c r="M52" s="48"/>
      <c r="N52" s="49">
        <f t="shared" si="0"/>
        <v>725989.22100000083</v>
      </c>
      <c r="O52" s="49">
        <f t="shared" si="23"/>
        <v>682429.86774000071</v>
      </c>
      <c r="P52" s="49">
        <v>94</v>
      </c>
      <c r="Q52" s="49">
        <f t="shared" si="8"/>
        <v>43559.35326000012</v>
      </c>
      <c r="R52" s="50">
        <f t="shared" si="5"/>
        <v>682429.87</v>
      </c>
    </row>
    <row r="53" spans="1:18" s="51" customFormat="1" ht="21" customHeight="1">
      <c r="A53" s="40" t="s">
        <v>59</v>
      </c>
      <c r="B53" s="41">
        <v>48434.03</v>
      </c>
      <c r="C53" s="42">
        <f t="shared" si="9"/>
        <v>0.97060891970750185</v>
      </c>
      <c r="D53" s="43">
        <f t="shared" si="19"/>
        <v>47010.501535380732</v>
      </c>
      <c r="E53" s="44">
        <v>1.302</v>
      </c>
      <c r="F53" s="45">
        <v>5.8</v>
      </c>
      <c r="G53" s="46">
        <v>12</v>
      </c>
      <c r="H53" s="47">
        <f t="shared" si="2"/>
        <v>4260054.0410000002</v>
      </c>
      <c r="I53" s="47">
        <v>0</v>
      </c>
      <c r="J53" s="47">
        <f t="shared" si="3"/>
        <v>4260054.0410000002</v>
      </c>
      <c r="K53" s="47">
        <f>36*1000</f>
        <v>36000</v>
      </c>
      <c r="L53" s="46">
        <f>4031900+19900+K53</f>
        <v>4087800</v>
      </c>
      <c r="M53" s="48"/>
      <c r="N53" s="49">
        <f t="shared" si="0"/>
        <v>172254.0410000002</v>
      </c>
      <c r="O53" s="49">
        <f t="shared" si="23"/>
        <v>161918.79854000019</v>
      </c>
      <c r="P53" s="49">
        <v>94</v>
      </c>
      <c r="Q53" s="49">
        <f t="shared" si="8"/>
        <v>10335.242460000009</v>
      </c>
      <c r="R53" s="50">
        <f t="shared" si="5"/>
        <v>161918.79999999999</v>
      </c>
    </row>
    <row r="54" spans="1:18" s="56" customFormat="1" ht="21" customHeight="1">
      <c r="A54" s="52" t="s">
        <v>20</v>
      </c>
      <c r="B54" s="43">
        <v>48434.03</v>
      </c>
      <c r="C54" s="42">
        <f t="shared" si="9"/>
        <v>0.98497401660693751</v>
      </c>
      <c r="D54" s="43">
        <f>(J54+I54)/G54/F54/E54</f>
        <v>47706.261069560911</v>
      </c>
      <c r="E54" s="53">
        <v>1.302</v>
      </c>
      <c r="F54" s="45">
        <v>61</v>
      </c>
      <c r="G54" s="46">
        <v>12</v>
      </c>
      <c r="H54" s="47">
        <f t="shared" si="2"/>
        <v>45467120</v>
      </c>
      <c r="I54" s="47">
        <f>25.52*1000</f>
        <v>25520</v>
      </c>
      <c r="J54" s="47">
        <f>L54</f>
        <v>45441600</v>
      </c>
      <c r="K54" s="47">
        <f>1456*1000</f>
        <v>1456000</v>
      </c>
      <c r="L54" s="46">
        <f>12289700+1612200+K54+1117700+2584800+5912500+698600+9011800+3423100+558900+6636600+139700</f>
        <v>45441600</v>
      </c>
      <c r="M54" s="54">
        <f t="shared" si="6"/>
        <v>45467120</v>
      </c>
      <c r="N54" s="55">
        <f t="shared" si="0"/>
        <v>0</v>
      </c>
      <c r="O54" s="55">
        <f>N54*0.89</f>
        <v>0</v>
      </c>
      <c r="P54" s="55">
        <v>89</v>
      </c>
      <c r="Q54" s="55">
        <f t="shared" si="8"/>
        <v>0</v>
      </c>
      <c r="R54" s="50">
        <f t="shared" si="5"/>
        <v>0</v>
      </c>
    </row>
    <row r="55" spans="1:18" s="56" customFormat="1" ht="21" customHeight="1">
      <c r="A55" s="52" t="s">
        <v>21</v>
      </c>
      <c r="B55" s="43">
        <v>48434.03</v>
      </c>
      <c r="C55" s="42">
        <f t="shared" si="9"/>
        <v>0.97060891970750185</v>
      </c>
      <c r="D55" s="43">
        <f t="shared" ref="D55:D61" si="24">$D$73</f>
        <v>47010.501535380732</v>
      </c>
      <c r="E55" s="53">
        <v>1.302</v>
      </c>
      <c r="F55" s="67">
        <v>148</v>
      </c>
      <c r="G55" s="46">
        <v>12</v>
      </c>
      <c r="H55" s="47">
        <f t="shared" si="2"/>
        <v>108704827.24600001</v>
      </c>
      <c r="I55" s="47">
        <f>553.35*1000</f>
        <v>553350</v>
      </c>
      <c r="J55" s="47">
        <f t="shared" si="3"/>
        <v>108151477.24600001</v>
      </c>
      <c r="K55" s="47">
        <f>2590.46*1000</f>
        <v>2590460</v>
      </c>
      <c r="L55" s="46">
        <f>96420753.52+7290500+K55</f>
        <v>106301713.52</v>
      </c>
      <c r="M55" s="54">
        <f t="shared" si="6"/>
        <v>106855063.52</v>
      </c>
      <c r="N55" s="55">
        <f t="shared" si="0"/>
        <v>1849763.726000011</v>
      </c>
      <c r="O55" s="55">
        <f>N55*0.83</f>
        <v>1535303.8925800091</v>
      </c>
      <c r="P55" s="55">
        <v>83</v>
      </c>
      <c r="Q55" s="55">
        <f t="shared" si="8"/>
        <v>314459.8334200019</v>
      </c>
      <c r="R55" s="50">
        <f t="shared" si="5"/>
        <v>1535303.89</v>
      </c>
    </row>
    <row r="56" spans="1:18" s="51" customFormat="1" ht="21" customHeight="1">
      <c r="A56" s="40" t="s">
        <v>22</v>
      </c>
      <c r="B56" s="41">
        <v>48434.03</v>
      </c>
      <c r="C56" s="42">
        <f t="shared" si="9"/>
        <v>0.97060891970750185</v>
      </c>
      <c r="D56" s="43">
        <f t="shared" si="24"/>
        <v>47010.501535380732</v>
      </c>
      <c r="E56" s="44">
        <v>1.302</v>
      </c>
      <c r="F56" s="45">
        <f>49.4+10+18+59</f>
        <v>136.4</v>
      </c>
      <c r="G56" s="46">
        <v>12</v>
      </c>
      <c r="H56" s="47">
        <f t="shared" si="2"/>
        <v>100184719.16500001</v>
      </c>
      <c r="I56" s="47">
        <f>415.6*1000</f>
        <v>415600</v>
      </c>
      <c r="J56" s="47">
        <f t="shared" si="3"/>
        <v>99769119.165000007</v>
      </c>
      <c r="K56" s="47">
        <f>1142.1*1000</f>
        <v>1142100</v>
      </c>
      <c r="L56" s="46">
        <f>94277300+639500+K56</f>
        <v>96058900</v>
      </c>
      <c r="M56" s="48">
        <f t="shared" si="6"/>
        <v>96474500</v>
      </c>
      <c r="N56" s="49">
        <f>J56-L56</f>
        <v>3710219.1650000066</v>
      </c>
      <c r="O56" s="49">
        <f>N56*0.85</f>
        <v>3153686.2902500057</v>
      </c>
      <c r="P56" s="49">
        <v>85</v>
      </c>
      <c r="Q56" s="49">
        <f t="shared" si="8"/>
        <v>556532.87475000089</v>
      </c>
      <c r="R56" s="50">
        <f t="shared" si="5"/>
        <v>3153686.29</v>
      </c>
    </row>
    <row r="57" spans="1:18" s="51" customFormat="1" ht="21" customHeight="1">
      <c r="A57" s="40" t="s">
        <v>60</v>
      </c>
      <c r="B57" s="41">
        <v>48434.03</v>
      </c>
      <c r="C57" s="42">
        <f t="shared" si="9"/>
        <v>0.97060891970750185</v>
      </c>
      <c r="D57" s="43">
        <f t="shared" si="24"/>
        <v>47010.501535380732</v>
      </c>
      <c r="E57" s="44">
        <v>1.302</v>
      </c>
      <c r="F57" s="45">
        <v>9.3000000000000007</v>
      </c>
      <c r="G57" s="46">
        <v>12</v>
      </c>
      <c r="H57" s="47">
        <f t="shared" si="2"/>
        <v>6830776.307</v>
      </c>
      <c r="I57" s="47">
        <f>31*1000</f>
        <v>31000</v>
      </c>
      <c r="J57" s="47">
        <f t="shared" si="3"/>
        <v>6799776.307</v>
      </c>
      <c r="K57" s="47">
        <v>0</v>
      </c>
      <c r="L57" s="46">
        <f>5562400+222900</f>
        <v>5785300</v>
      </c>
      <c r="M57" s="48"/>
      <c r="N57" s="49">
        <f t="shared" si="0"/>
        <v>1014476.307</v>
      </c>
      <c r="O57" s="49">
        <f>N57*0.85+100</f>
        <v>862404.86095</v>
      </c>
      <c r="P57" s="49">
        <v>85</v>
      </c>
      <c r="Q57" s="49">
        <f t="shared" si="8"/>
        <v>152071.44605000003</v>
      </c>
      <c r="R57" s="50">
        <f t="shared" si="5"/>
        <v>862404.86</v>
      </c>
    </row>
    <row r="58" spans="1:18" s="51" customFormat="1" ht="21" customHeight="1">
      <c r="A58" s="40" t="s">
        <v>61</v>
      </c>
      <c r="B58" s="41">
        <v>48434.03</v>
      </c>
      <c r="C58" s="42">
        <f t="shared" si="9"/>
        <v>0.97060891970750185</v>
      </c>
      <c r="D58" s="43">
        <f t="shared" si="24"/>
        <v>47010.501535380732</v>
      </c>
      <c r="E58" s="44">
        <v>1.302</v>
      </c>
      <c r="F58" s="45">
        <v>21.6</v>
      </c>
      <c r="G58" s="46">
        <v>12</v>
      </c>
      <c r="H58" s="47">
        <f t="shared" si="2"/>
        <v>15865028.841</v>
      </c>
      <c r="I58" s="47">
        <f>288.4*1000</f>
        <v>288400</v>
      </c>
      <c r="J58" s="47">
        <f t="shared" si="3"/>
        <v>15576628.841</v>
      </c>
      <c r="K58" s="47">
        <f>120.6*1000</f>
        <v>120600</v>
      </c>
      <c r="L58" s="46">
        <f>15087800+K58</f>
        <v>15208400</v>
      </c>
      <c r="M58" s="48"/>
      <c r="N58" s="49">
        <f t="shared" si="0"/>
        <v>368228.84100000001</v>
      </c>
      <c r="O58" s="49">
        <f t="shared" ref="O58" si="25">N58*0.85</f>
        <v>312994.51484999998</v>
      </c>
      <c r="P58" s="49">
        <v>85</v>
      </c>
      <c r="Q58" s="49">
        <f t="shared" si="8"/>
        <v>55234.326150000037</v>
      </c>
      <c r="R58" s="50">
        <f t="shared" si="5"/>
        <v>312994.51</v>
      </c>
    </row>
    <row r="59" spans="1:18" s="51" customFormat="1" ht="21" customHeight="1">
      <c r="A59" s="40" t="s">
        <v>23</v>
      </c>
      <c r="B59" s="43">
        <v>48434.03</v>
      </c>
      <c r="C59" s="42">
        <f t="shared" si="9"/>
        <v>0.97060891970750185</v>
      </c>
      <c r="D59" s="43">
        <f t="shared" si="24"/>
        <v>47010.501535380732</v>
      </c>
      <c r="E59" s="44">
        <v>1.302</v>
      </c>
      <c r="F59" s="45">
        <v>106.4</v>
      </c>
      <c r="G59" s="46">
        <v>12</v>
      </c>
      <c r="H59" s="47">
        <f t="shared" si="2"/>
        <v>78149956.885000005</v>
      </c>
      <c r="I59" s="47">
        <v>0</v>
      </c>
      <c r="J59" s="47">
        <f t="shared" si="3"/>
        <v>78149956.885000005</v>
      </c>
      <c r="K59" s="47">
        <f>1579.8*1000</f>
        <v>1579800</v>
      </c>
      <c r="L59" s="46">
        <f>72512433+1677900+K59</f>
        <v>75770133</v>
      </c>
      <c r="M59" s="48">
        <f t="shared" si="6"/>
        <v>75770133</v>
      </c>
      <c r="N59" s="49">
        <f t="shared" si="0"/>
        <v>2379823.8850000054</v>
      </c>
      <c r="O59" s="49">
        <f>N59*0.89</f>
        <v>2118043.2576500047</v>
      </c>
      <c r="P59" s="49">
        <v>89</v>
      </c>
      <c r="Q59" s="49">
        <f t="shared" si="8"/>
        <v>261780.62735000066</v>
      </c>
      <c r="R59" s="50">
        <f t="shared" si="5"/>
        <v>2118043.2599999998</v>
      </c>
    </row>
    <row r="60" spans="1:18" s="51" customFormat="1" ht="21" customHeight="1">
      <c r="A60" s="40" t="s">
        <v>24</v>
      </c>
      <c r="B60" s="41">
        <v>48434.03</v>
      </c>
      <c r="C60" s="42">
        <f t="shared" si="9"/>
        <v>0.97060891970750185</v>
      </c>
      <c r="D60" s="43">
        <f t="shared" si="24"/>
        <v>47010.501535380732</v>
      </c>
      <c r="E60" s="44">
        <v>1.302</v>
      </c>
      <c r="F60" s="45">
        <v>67.099999999999994</v>
      </c>
      <c r="G60" s="46">
        <v>12</v>
      </c>
      <c r="H60" s="47">
        <f t="shared" si="2"/>
        <v>49284418.299000002</v>
      </c>
      <c r="I60" s="47">
        <f>153.38*1000</f>
        <v>153380</v>
      </c>
      <c r="J60" s="47">
        <f t="shared" si="3"/>
        <v>49131038.299000002</v>
      </c>
      <c r="K60" s="47">
        <v>0</v>
      </c>
      <c r="L60" s="46">
        <v>46345247.200000003</v>
      </c>
      <c r="M60" s="48">
        <f t="shared" si="6"/>
        <v>46498627.200000003</v>
      </c>
      <c r="N60" s="68">
        <f>J60-L60</f>
        <v>2785791.0989999995</v>
      </c>
      <c r="O60" s="49">
        <f>N60*0.94</f>
        <v>2618643.6330599994</v>
      </c>
      <c r="P60" s="49">
        <v>94</v>
      </c>
      <c r="Q60" s="49">
        <f t="shared" si="8"/>
        <v>167147.46594000002</v>
      </c>
      <c r="R60" s="50">
        <f t="shared" si="5"/>
        <v>2618643.63</v>
      </c>
    </row>
    <row r="61" spans="1:18" s="51" customFormat="1" ht="21" customHeight="1">
      <c r="A61" s="40" t="s">
        <v>25</v>
      </c>
      <c r="B61" s="43">
        <v>48434.03</v>
      </c>
      <c r="C61" s="42">
        <f t="shared" si="9"/>
        <v>0.97060891970750185</v>
      </c>
      <c r="D61" s="43">
        <f t="shared" si="24"/>
        <v>47010.501535380732</v>
      </c>
      <c r="E61" s="44">
        <v>1.302</v>
      </c>
      <c r="F61" s="45">
        <v>579.9</v>
      </c>
      <c r="G61" s="46">
        <v>12</v>
      </c>
      <c r="H61" s="47">
        <f>ROUND(D61*E61*F61*G61,3)</f>
        <v>425931954.866</v>
      </c>
      <c r="I61" s="47">
        <f>67720.28*1000</f>
        <v>67720280</v>
      </c>
      <c r="J61" s="47">
        <f t="shared" si="3"/>
        <v>358211674.866</v>
      </c>
      <c r="K61" s="47">
        <v>0</v>
      </c>
      <c r="L61" s="46">
        <f>323089356.8+10391000</f>
        <v>333480356.80000001</v>
      </c>
      <c r="M61" s="48">
        <f t="shared" si="6"/>
        <v>401200636.80000001</v>
      </c>
      <c r="N61" s="49">
        <f>J61-L61+140</f>
        <v>24731458.065999985</v>
      </c>
      <c r="O61" s="49">
        <f>N61*0.85</f>
        <v>21021739.356099986</v>
      </c>
      <c r="P61" s="49">
        <v>85</v>
      </c>
      <c r="Q61" s="49">
        <f t="shared" si="8"/>
        <v>3709718.7098999992</v>
      </c>
      <c r="R61" s="50">
        <f t="shared" si="5"/>
        <v>21021739.359999999</v>
      </c>
    </row>
    <row r="62" spans="1:18" s="51" customFormat="1" ht="21" customHeight="1">
      <c r="A62" s="40" t="s">
        <v>26</v>
      </c>
      <c r="B62" s="43">
        <v>48434.03</v>
      </c>
      <c r="C62" s="42">
        <f t="shared" si="9"/>
        <v>0.9720674993804187</v>
      </c>
      <c r="D62" s="43">
        <f>(J62+I62)/G62/F62/E62</f>
        <v>47081.146427016181</v>
      </c>
      <c r="E62" s="44">
        <v>1.302</v>
      </c>
      <c r="F62" s="45">
        <v>353.1</v>
      </c>
      <c r="G62" s="46">
        <v>12</v>
      </c>
      <c r="H62" s="47">
        <f t="shared" si="2"/>
        <v>259738888.19999999</v>
      </c>
      <c r="I62" s="47">
        <f>40179.46*1000</f>
        <v>40179460</v>
      </c>
      <c r="J62" s="47">
        <f>L62</f>
        <v>219559428.19999999</v>
      </c>
      <c r="K62" s="47">
        <v>0</v>
      </c>
      <c r="L62" s="46">
        <v>219559428.19999999</v>
      </c>
      <c r="M62" s="48">
        <f t="shared" si="6"/>
        <v>259738888.19999999</v>
      </c>
      <c r="N62" s="49">
        <f t="shared" si="0"/>
        <v>0</v>
      </c>
      <c r="O62" s="49">
        <f>N62*0.75</f>
        <v>0</v>
      </c>
      <c r="P62" s="49">
        <v>75</v>
      </c>
      <c r="Q62" s="49">
        <f t="shared" si="8"/>
        <v>0</v>
      </c>
      <c r="R62" s="50">
        <f t="shared" si="5"/>
        <v>0</v>
      </c>
    </row>
    <row r="63" spans="1:18" s="56" customFormat="1" ht="21" customHeight="1">
      <c r="A63" s="52" t="s">
        <v>27</v>
      </c>
      <c r="B63" s="41">
        <v>48434.03</v>
      </c>
      <c r="C63" s="42">
        <f t="shared" si="9"/>
        <v>0.97060891970750185</v>
      </c>
      <c r="D63" s="43">
        <f>$D$73</f>
        <v>47010.501535380732</v>
      </c>
      <c r="E63" s="53">
        <v>1.302</v>
      </c>
      <c r="F63" s="45">
        <v>226</v>
      </c>
      <c r="G63" s="46">
        <v>12</v>
      </c>
      <c r="H63" s="47">
        <f t="shared" si="2"/>
        <v>165995209.17300001</v>
      </c>
      <c r="I63" s="47">
        <f>10079.82*1000</f>
        <v>10079820</v>
      </c>
      <c r="J63" s="47">
        <f t="shared" si="3"/>
        <v>155915389.17300001</v>
      </c>
      <c r="K63" s="47">
        <f>1241.59*1000</f>
        <v>1241590</v>
      </c>
      <c r="L63" s="46">
        <f>151015114.6+K63</f>
        <v>152256704.59999999</v>
      </c>
      <c r="M63" s="54">
        <f t="shared" si="6"/>
        <v>162336524.59999999</v>
      </c>
      <c r="N63" s="55">
        <f t="shared" si="0"/>
        <v>3658684.5730000138</v>
      </c>
      <c r="O63" s="55">
        <f>N63*0.88</f>
        <v>3219642.4242400122</v>
      </c>
      <c r="P63" s="55">
        <v>88</v>
      </c>
      <c r="Q63" s="55">
        <f t="shared" si="8"/>
        <v>439042.14876000164</v>
      </c>
      <c r="R63" s="50">
        <f t="shared" si="5"/>
        <v>3219642.42</v>
      </c>
    </row>
    <row r="64" spans="1:18" s="56" customFormat="1" ht="21" customHeight="1">
      <c r="A64" s="52" t="s">
        <v>28</v>
      </c>
      <c r="B64" s="41">
        <v>48434.03</v>
      </c>
      <c r="C64" s="42">
        <f t="shared" si="9"/>
        <v>0.97060891970750185</v>
      </c>
      <c r="D64" s="43">
        <f>$D$73</f>
        <v>47010.501535380732</v>
      </c>
      <c r="E64" s="53">
        <v>1.302</v>
      </c>
      <c r="F64" s="45">
        <v>56.2</v>
      </c>
      <c r="G64" s="46">
        <v>12</v>
      </c>
      <c r="H64" s="47">
        <f t="shared" si="2"/>
        <v>41278454.670999996</v>
      </c>
      <c r="I64" s="47">
        <v>0</v>
      </c>
      <c r="J64" s="47">
        <f t="shared" si="3"/>
        <v>41278454.670999996</v>
      </c>
      <c r="K64" s="47">
        <v>0</v>
      </c>
      <c r="L64" s="46">
        <v>40329039.799999997</v>
      </c>
      <c r="M64" s="54">
        <f t="shared" si="6"/>
        <v>40329039.799999997</v>
      </c>
      <c r="N64" s="55">
        <f>J64-L64</f>
        <v>949414.87099999934</v>
      </c>
      <c r="O64" s="55">
        <f>N64*0.87</f>
        <v>825990.93776999938</v>
      </c>
      <c r="P64" s="55">
        <v>87</v>
      </c>
      <c r="Q64" s="55">
        <f t="shared" si="8"/>
        <v>123423.93322999997</v>
      </c>
      <c r="R64" s="50">
        <f t="shared" si="5"/>
        <v>825990.94</v>
      </c>
    </row>
    <row r="65" spans="1:22" s="56" customFormat="1" ht="21" customHeight="1">
      <c r="A65" s="52" t="s">
        <v>29</v>
      </c>
      <c r="B65" s="41">
        <v>48434.03</v>
      </c>
      <c r="C65" s="42">
        <f t="shared" si="9"/>
        <v>0.97060891970750185</v>
      </c>
      <c r="D65" s="43">
        <f>$D$73</f>
        <v>47010.501535380732</v>
      </c>
      <c r="E65" s="53">
        <v>1.302</v>
      </c>
      <c r="F65" s="45">
        <v>120.8</v>
      </c>
      <c r="G65" s="46">
        <v>12</v>
      </c>
      <c r="H65" s="47">
        <f t="shared" si="2"/>
        <v>88726642.778999999</v>
      </c>
      <c r="I65" s="47">
        <f>985.7*1000</f>
        <v>985700</v>
      </c>
      <c r="J65" s="47">
        <f t="shared" si="3"/>
        <v>87740942.778999999</v>
      </c>
      <c r="K65" s="47">
        <v>0</v>
      </c>
      <c r="L65" s="46">
        <v>85463012.599999994</v>
      </c>
      <c r="M65" s="54">
        <f t="shared" si="6"/>
        <v>86448712.599999994</v>
      </c>
      <c r="N65" s="55">
        <f t="shared" si="0"/>
        <v>2277930.1790000051</v>
      </c>
      <c r="O65" s="55">
        <f>N65*0.86</f>
        <v>1959019.9539400043</v>
      </c>
      <c r="P65" s="55">
        <v>86</v>
      </c>
      <c r="Q65" s="55">
        <f t="shared" si="8"/>
        <v>318910.22506000078</v>
      </c>
      <c r="R65" s="50">
        <f t="shared" si="5"/>
        <v>1959019.95</v>
      </c>
    </row>
    <row r="66" spans="1:22" s="56" customFormat="1" ht="21" customHeight="1">
      <c r="A66" s="52" t="s">
        <v>30</v>
      </c>
      <c r="B66" s="43">
        <v>48434.03</v>
      </c>
      <c r="C66" s="42">
        <f t="shared" si="9"/>
        <v>0.97060891970750185</v>
      </c>
      <c r="D66" s="43">
        <f>$D$73</f>
        <v>47010.501535380732</v>
      </c>
      <c r="E66" s="53">
        <v>1.302</v>
      </c>
      <c r="F66" s="45">
        <v>19.899999999999999</v>
      </c>
      <c r="G66" s="46">
        <v>12</v>
      </c>
      <c r="H66" s="47">
        <f t="shared" si="2"/>
        <v>14616392.312000001</v>
      </c>
      <c r="I66" s="47">
        <v>0</v>
      </c>
      <c r="J66" s="47">
        <f t="shared" si="3"/>
        <v>14616392.312000001</v>
      </c>
      <c r="K66" s="47">
        <v>0</v>
      </c>
      <c r="L66" s="46">
        <f>14295531.6+95400</f>
        <v>14390931.6</v>
      </c>
      <c r="M66" s="54">
        <f t="shared" si="6"/>
        <v>14390931.6</v>
      </c>
      <c r="N66" s="55">
        <f>J66-L66</f>
        <v>225460.71200000122</v>
      </c>
      <c r="O66" s="55">
        <f>N66*0.78</f>
        <v>175859.35536000095</v>
      </c>
      <c r="P66" s="55">
        <v>78</v>
      </c>
      <c r="Q66" s="55">
        <f t="shared" si="8"/>
        <v>49601.356640000275</v>
      </c>
      <c r="R66" s="50">
        <f t="shared" si="5"/>
        <v>175859.36</v>
      </c>
    </row>
    <row r="67" spans="1:22" s="51" customFormat="1" ht="27" customHeight="1">
      <c r="A67" s="57" t="s">
        <v>31</v>
      </c>
      <c r="B67" s="69">
        <v>48434.03</v>
      </c>
      <c r="C67" s="60">
        <f>D67/B67</f>
        <v>0.97181618557950467</v>
      </c>
      <c r="D67" s="69">
        <f>H67/G67/F67/E67</f>
        <v>47068.974286843295</v>
      </c>
      <c r="E67" s="60">
        <v>1.302</v>
      </c>
      <c r="F67" s="69">
        <f>SUM(F7:F66)</f>
        <v>3373.7</v>
      </c>
      <c r="G67" s="65">
        <v>12</v>
      </c>
      <c r="H67" s="70">
        <f>SUM(H7:H66)</f>
        <v>2481038055.7689991</v>
      </c>
      <c r="I67" s="70">
        <f t="shared" ref="I67:O67" si="26">SUM(I7:I66)</f>
        <v>124980000</v>
      </c>
      <c r="J67" s="70">
        <f t="shared" si="26"/>
        <v>2356058055.7689991</v>
      </c>
      <c r="K67" s="70">
        <f t="shared" si="26"/>
        <v>18067600</v>
      </c>
      <c r="L67" s="70">
        <f t="shared" si="26"/>
        <v>2270932135.9200001</v>
      </c>
      <c r="M67" s="70">
        <f t="shared" si="26"/>
        <v>2172599538.9200001</v>
      </c>
      <c r="N67" s="65">
        <f t="shared" si="26"/>
        <v>85126059.813000023</v>
      </c>
      <c r="O67" s="65">
        <f t="shared" si="26"/>
        <v>76192925.93009001</v>
      </c>
      <c r="P67" s="65"/>
      <c r="Q67" s="65">
        <f>SUM(Q7:Q66)</f>
        <v>8933133.8829100039</v>
      </c>
    </row>
    <row r="68" spans="1:22" s="51" customFormat="1" ht="21.75" hidden="1" customHeight="1">
      <c r="A68" s="71" t="s">
        <v>32</v>
      </c>
      <c r="B68" s="72">
        <v>34.557000000000002</v>
      </c>
      <c r="C68" s="42">
        <f t="shared" ref="C68:C69" si="27">99.335827535/100</f>
        <v>0.9933582753500001</v>
      </c>
      <c r="D68" s="73">
        <f t="shared" ref="D68:D69" si="28">ROUND(B68*C68,5)</f>
        <v>34.327480000000001</v>
      </c>
      <c r="E68" s="73"/>
      <c r="F68" s="73"/>
      <c r="G68" s="73"/>
      <c r="H68" s="74" t="e">
        <f>ROUND(D68*#REF!*#REF!*12,2)</f>
        <v>#REF!</v>
      </c>
      <c r="I68" s="74"/>
      <c r="J68" s="74"/>
      <c r="K68" s="74"/>
      <c r="L68" s="75">
        <v>85463.012600000002</v>
      </c>
    </row>
    <row r="69" spans="1:22" s="51" customFormat="1" ht="22.5" hidden="1" customHeight="1">
      <c r="A69" s="76" t="s">
        <v>33</v>
      </c>
      <c r="B69" s="77">
        <v>34.557000000000002</v>
      </c>
      <c r="C69" s="42">
        <f t="shared" si="27"/>
        <v>0.9933582753500001</v>
      </c>
      <c r="D69" s="78">
        <f t="shared" si="28"/>
        <v>34.327480000000001</v>
      </c>
      <c r="E69" s="79"/>
      <c r="F69" s="79"/>
      <c r="G69" s="79"/>
      <c r="H69" s="80" t="e">
        <f>ROUND(D69*#REF!*#REF!*12,2)</f>
        <v>#REF!</v>
      </c>
      <c r="I69" s="81"/>
      <c r="J69" s="81"/>
      <c r="K69" s="81"/>
      <c r="L69" s="82">
        <v>14295.5316</v>
      </c>
    </row>
    <row r="70" spans="1:22" s="51" customFormat="1" ht="13.5" customHeight="1">
      <c r="A70" s="83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84"/>
      <c r="T70" s="84"/>
    </row>
    <row r="71" spans="1:22" s="7" customFormat="1" ht="15.75">
      <c r="A71" s="9"/>
      <c r="B71" s="9"/>
      <c r="C71" s="9"/>
      <c r="D71" s="9"/>
      <c r="E71" s="9"/>
      <c r="F71" s="9"/>
      <c r="G71" s="9"/>
      <c r="H71" s="17"/>
      <c r="I71" s="17"/>
      <c r="J71" s="17"/>
      <c r="K71" s="17"/>
      <c r="L71" s="9"/>
      <c r="M71" s="9"/>
      <c r="N71" s="9"/>
      <c r="O71" s="9"/>
      <c r="P71" s="9"/>
      <c r="Q71" s="19"/>
      <c r="R71" s="9"/>
      <c r="S71" s="15"/>
      <c r="T71" s="15"/>
      <c r="U71" s="9"/>
      <c r="V71" s="9"/>
    </row>
    <row r="72" spans="1:22" s="5" customFormat="1" ht="18.75" hidden="1">
      <c r="A72" s="10" t="s">
        <v>37</v>
      </c>
      <c r="B72" s="11"/>
      <c r="C72" s="11"/>
      <c r="D72" s="20"/>
      <c r="E72" s="20"/>
      <c r="F72" s="20"/>
      <c r="G72" s="20"/>
      <c r="H72" s="21">
        <v>2481038056</v>
      </c>
      <c r="I72" s="22"/>
      <c r="J72" s="22"/>
      <c r="K72" s="22"/>
      <c r="L72" s="23"/>
      <c r="M72" s="23"/>
      <c r="N72" s="23"/>
      <c r="O72" s="23"/>
      <c r="P72" s="23"/>
      <c r="Q72" s="23"/>
      <c r="R72" s="14"/>
      <c r="S72" s="14"/>
      <c r="T72" s="14"/>
      <c r="U72" s="6"/>
      <c r="V72" s="6"/>
    </row>
    <row r="73" spans="1:22" s="5" customFormat="1" ht="18.75" hidden="1">
      <c r="A73" s="12" t="s">
        <v>38</v>
      </c>
      <c r="B73" s="11"/>
      <c r="C73" s="11"/>
      <c r="D73" s="24">
        <f>H73/F73/G67/E67</f>
        <v>47010.501535380732</v>
      </c>
      <c r="E73" s="20"/>
      <c r="F73" s="25">
        <f>F67-F62-F54-F39</f>
        <v>2889.9</v>
      </c>
      <c r="G73" s="20"/>
      <c r="H73" s="21">
        <f>H72-H62-H54-H39</f>
        <v>2122608650.4000001</v>
      </c>
      <c r="I73" s="22"/>
      <c r="J73" s="22"/>
      <c r="K73" s="22"/>
      <c r="L73" s="23"/>
      <c r="M73" s="23"/>
      <c r="N73" s="23"/>
      <c r="O73" s="23"/>
      <c r="P73" s="23"/>
      <c r="Q73" s="23"/>
      <c r="R73" s="14"/>
      <c r="S73" s="14"/>
      <c r="T73" s="14"/>
      <c r="U73" s="6"/>
      <c r="V73" s="6"/>
    </row>
    <row r="74" spans="1:22" s="5" customFormat="1" ht="25.5" hidden="1" customHeight="1">
      <c r="A74" s="6"/>
      <c r="B74" s="11"/>
      <c r="C74" s="11"/>
      <c r="D74" s="24"/>
      <c r="E74" s="20"/>
      <c r="F74" s="20"/>
      <c r="G74" s="20"/>
      <c r="H74" s="20"/>
      <c r="I74" s="23"/>
      <c r="J74" s="23"/>
      <c r="K74" s="23"/>
      <c r="L74" s="23"/>
      <c r="M74" s="23"/>
      <c r="N74" s="20">
        <v>78039.34</v>
      </c>
      <c r="O74" s="20">
        <v>70036.600000000006</v>
      </c>
      <c r="P74" s="20"/>
      <c r="Q74" s="20">
        <v>8002.78</v>
      </c>
      <c r="R74" s="14"/>
      <c r="S74" s="14"/>
      <c r="T74" s="14"/>
      <c r="U74" s="6"/>
      <c r="V74" s="6"/>
    </row>
    <row r="75" spans="1:22" s="5" customFormat="1" hidden="1">
      <c r="A75" s="6"/>
      <c r="B75" s="11"/>
      <c r="C75" s="11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14"/>
      <c r="S75" s="14"/>
      <c r="T75" s="14"/>
      <c r="U75" s="6"/>
      <c r="V75" s="6"/>
    </row>
    <row r="76" spans="1:22" s="5" customFormat="1" ht="15" hidden="1" customHeight="1">
      <c r="A76" s="6"/>
      <c r="B76" s="6"/>
      <c r="C76" s="6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6"/>
      <c r="V76" s="6"/>
    </row>
    <row r="77" spans="1:22" s="5" customFormat="1" ht="15" hidden="1" customHeight="1">
      <c r="A77" s="6"/>
      <c r="B77" s="6"/>
      <c r="C77" s="6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6"/>
      <c r="V77" s="6"/>
    </row>
    <row r="78" spans="1:22" ht="41.25" hidden="1" customHeight="1">
      <c r="A78" s="28" t="s">
        <v>36</v>
      </c>
      <c r="B78" s="28"/>
      <c r="C78" s="18"/>
      <c r="D78" s="29" t="s">
        <v>35</v>
      </c>
      <c r="E78" s="29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4"/>
      <c r="R78" s="16"/>
      <c r="S78" s="16"/>
      <c r="T78" s="16"/>
      <c r="U78" s="13"/>
      <c r="V78" s="13"/>
    </row>
    <row r="79" spans="1:22" hidden="1">
      <c r="A79" s="13"/>
      <c r="B79" s="13"/>
      <c r="C79" s="13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4"/>
      <c r="R79" s="16"/>
      <c r="S79" s="16"/>
      <c r="T79" s="16"/>
      <c r="U79" s="13"/>
      <c r="V79" s="13"/>
    </row>
    <row r="80" spans="1:22" hidden="1">
      <c r="A80" s="13"/>
      <c r="B80" s="13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4"/>
      <c r="R80" s="16"/>
      <c r="S80" s="16"/>
      <c r="T80" s="16"/>
      <c r="U80" s="13"/>
      <c r="V80" s="13"/>
    </row>
    <row r="81" spans="1:22" hidden="1">
      <c r="A81" s="13"/>
      <c r="B81" s="13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4"/>
      <c r="R81" s="16"/>
      <c r="S81" s="16"/>
      <c r="T81" s="16"/>
      <c r="U81" s="13"/>
      <c r="V81" s="13"/>
    </row>
    <row r="82" spans="1:22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4"/>
      <c r="R82" s="16"/>
      <c r="S82" s="16"/>
      <c r="T82" s="16"/>
    </row>
    <row r="83" spans="1:22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4"/>
      <c r="R83" s="16"/>
      <c r="S83" s="16"/>
      <c r="T83" s="16"/>
    </row>
  </sheetData>
  <mergeCells count="22">
    <mergeCell ref="L1:N1"/>
    <mergeCell ref="O1:Q1"/>
    <mergeCell ref="A3:Q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Q4:Q5"/>
    <mergeCell ref="K4:K5"/>
    <mergeCell ref="L4:L5"/>
    <mergeCell ref="M4:M5"/>
    <mergeCell ref="A78:B78"/>
    <mergeCell ref="D78:E78"/>
    <mergeCell ref="H4:H5"/>
    <mergeCell ref="I4:I5"/>
    <mergeCell ref="J4:J5"/>
  </mergeCells>
  <pageMargins left="0.19685039370078741" right="0" top="0.15748031496062992" bottom="0.15748031496062992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(07.09.2021)</vt:lpstr>
      <vt:lpstr>'2021 (07.09.2021)'!Область_печати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Вероника Владимировна</dc:creator>
  <cp:lastModifiedBy>minfin user</cp:lastModifiedBy>
  <cp:lastPrinted>2021-10-04T07:27:14Z</cp:lastPrinted>
  <dcterms:created xsi:type="dcterms:W3CDTF">2017-09-18T08:19:38Z</dcterms:created>
  <dcterms:modified xsi:type="dcterms:W3CDTF">2021-10-04T07:27:16Z</dcterms:modified>
</cp:coreProperties>
</file>