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8800" windowHeight="12330"/>
  </bookViews>
  <sheets>
    <sheet name="2021" sheetId="2" r:id="rId1"/>
  </sheets>
  <definedNames>
    <definedName name="_xlnm.Print_Titles" localSheetId="0">'2021'!$3:$4</definedName>
    <definedName name="_xlnm.Print_Area" localSheetId="0">'2021'!$A$1:$S$71</definedName>
  </definedNames>
  <calcPr calcId="125725"/>
</workbook>
</file>

<file path=xl/calcChain.xml><?xml version="1.0" encoding="utf-8"?>
<calcChain xmlns="http://schemas.openxmlformats.org/spreadsheetml/2006/main">
  <c r="S68" i="2"/>
  <c r="Q63" l="1"/>
  <c r="N43" l="1"/>
  <c r="E43"/>
  <c r="N39"/>
  <c r="E39"/>
  <c r="N36"/>
  <c r="E36"/>
  <c r="N18" l="1"/>
  <c r="E18"/>
  <c r="N12" l="1"/>
  <c r="E12"/>
  <c r="N17" l="1"/>
  <c r="N5"/>
  <c r="N6"/>
  <c r="N7"/>
  <c r="N8"/>
  <c r="N9"/>
  <c r="N10"/>
  <c r="N11"/>
  <c r="N13"/>
  <c r="N14"/>
  <c r="N16"/>
  <c r="N19"/>
  <c r="N20"/>
  <c r="N22"/>
  <c r="N23"/>
  <c r="N24"/>
  <c r="N25"/>
  <c r="N26"/>
  <c r="N27"/>
  <c r="N28"/>
  <c r="N29"/>
  <c r="N30"/>
  <c r="N31"/>
  <c r="N34"/>
  <c r="N35"/>
  <c r="N37"/>
  <c r="N38"/>
  <c r="N40"/>
  <c r="N41"/>
  <c r="N42"/>
  <c r="N44"/>
  <c r="N45"/>
  <c r="N47"/>
  <c r="N48"/>
  <c r="N49"/>
  <c r="N50"/>
  <c r="N51"/>
  <c r="N52"/>
  <c r="N53"/>
  <c r="N54"/>
  <c r="N55"/>
  <c r="N56"/>
  <c r="N58"/>
  <c r="N59"/>
  <c r="N60"/>
  <c r="N61"/>
  <c r="E62"/>
  <c r="E57"/>
  <c r="E46"/>
  <c r="E33"/>
  <c r="E21"/>
  <c r="E15"/>
  <c r="G14"/>
  <c r="G16"/>
  <c r="G17"/>
  <c r="G18"/>
  <c r="G19"/>
  <c r="G20"/>
  <c r="G22"/>
  <c r="G23"/>
  <c r="G24"/>
  <c r="G25"/>
  <c r="G26"/>
  <c r="G27"/>
  <c r="G28"/>
  <c r="G29"/>
  <c r="G30"/>
  <c r="G31"/>
  <c r="G32"/>
  <c r="G34"/>
  <c r="G35"/>
  <c r="G36"/>
  <c r="G37"/>
  <c r="G38"/>
  <c r="G39"/>
  <c r="G40"/>
  <c r="G41"/>
  <c r="G42"/>
  <c r="G43"/>
  <c r="G44"/>
  <c r="G45"/>
  <c r="G58"/>
  <c r="G59"/>
  <c r="G60"/>
  <c r="G61"/>
  <c r="G6"/>
  <c r="G7"/>
  <c r="G8"/>
  <c r="G9"/>
  <c r="G10"/>
  <c r="G11"/>
  <c r="G12"/>
  <c r="G13"/>
  <c r="G5"/>
  <c r="E63" l="1"/>
  <c r="G46"/>
  <c r="N46"/>
  <c r="G33"/>
  <c r="N62"/>
  <c r="N57"/>
  <c r="G21"/>
  <c r="N21"/>
  <c r="G15"/>
  <c r="N15"/>
  <c r="O59"/>
  <c r="O60"/>
  <c r="O61"/>
  <c r="M59"/>
  <c r="M60"/>
  <c r="M61"/>
  <c r="L59"/>
  <c r="L60"/>
  <c r="L61"/>
  <c r="O58"/>
  <c r="M58"/>
  <c r="L58"/>
  <c r="O35"/>
  <c r="O36"/>
  <c r="O37"/>
  <c r="O38"/>
  <c r="O39"/>
  <c r="O40"/>
  <c r="O41"/>
  <c r="O42"/>
  <c r="O43"/>
  <c r="O44"/>
  <c r="O45"/>
  <c r="M35"/>
  <c r="M36"/>
  <c r="M37"/>
  <c r="M38"/>
  <c r="M39"/>
  <c r="M40"/>
  <c r="M41"/>
  <c r="M42"/>
  <c r="M43"/>
  <c r="M44"/>
  <c r="M45"/>
  <c r="L35"/>
  <c r="L36"/>
  <c r="P36" s="1"/>
  <c r="L37"/>
  <c r="L38"/>
  <c r="L39"/>
  <c r="L40"/>
  <c r="L41"/>
  <c r="L42"/>
  <c r="L43"/>
  <c r="L44"/>
  <c r="P44" s="1"/>
  <c r="L45"/>
  <c r="O34"/>
  <c r="M34"/>
  <c r="L34"/>
  <c r="O23"/>
  <c r="O24"/>
  <c r="O25"/>
  <c r="O26"/>
  <c r="O27"/>
  <c r="O28"/>
  <c r="O29"/>
  <c r="O30"/>
  <c r="O31"/>
  <c r="M23"/>
  <c r="M24"/>
  <c r="M25"/>
  <c r="P25" s="1"/>
  <c r="M26"/>
  <c r="M27"/>
  <c r="M28"/>
  <c r="M29"/>
  <c r="M30"/>
  <c r="M31"/>
  <c r="M32"/>
  <c r="L23"/>
  <c r="P23" s="1"/>
  <c r="L24"/>
  <c r="L25"/>
  <c r="L26"/>
  <c r="L27"/>
  <c r="L28"/>
  <c r="L29"/>
  <c r="L30"/>
  <c r="L31"/>
  <c r="P31" s="1"/>
  <c r="L32"/>
  <c r="O22"/>
  <c r="M22"/>
  <c r="L22"/>
  <c r="O17"/>
  <c r="O18"/>
  <c r="O19"/>
  <c r="O20"/>
  <c r="M17"/>
  <c r="M18"/>
  <c r="M19"/>
  <c r="M20"/>
  <c r="L17"/>
  <c r="L18"/>
  <c r="L19"/>
  <c r="L20"/>
  <c r="P20" s="1"/>
  <c r="O16"/>
  <c r="M16"/>
  <c r="L16"/>
  <c r="O6"/>
  <c r="O7"/>
  <c r="O8"/>
  <c r="O9"/>
  <c r="O10"/>
  <c r="O11"/>
  <c r="O12"/>
  <c r="O13"/>
  <c r="O14"/>
  <c r="O5"/>
  <c r="M6"/>
  <c r="M7"/>
  <c r="M8"/>
  <c r="M9"/>
  <c r="M10"/>
  <c r="M11"/>
  <c r="M12"/>
  <c r="M13"/>
  <c r="M14"/>
  <c r="M5"/>
  <c r="D15"/>
  <c r="F15"/>
  <c r="C15"/>
  <c r="C46"/>
  <c r="P26" l="1"/>
  <c r="P22"/>
  <c r="P27"/>
  <c r="P40"/>
  <c r="P60"/>
  <c r="P17"/>
  <c r="P18"/>
  <c r="O62"/>
  <c r="R62" s="1"/>
  <c r="P19"/>
  <c r="P30"/>
  <c r="P35"/>
  <c r="P59"/>
  <c r="P29"/>
  <c r="P42"/>
  <c r="P38"/>
  <c r="P61"/>
  <c r="P28"/>
  <c r="P24"/>
  <c r="L46"/>
  <c r="P34"/>
  <c r="P45"/>
  <c r="P41"/>
  <c r="P37"/>
  <c r="L62"/>
  <c r="P58"/>
  <c r="M62"/>
  <c r="P16"/>
  <c r="P43"/>
  <c r="P39"/>
  <c r="M15"/>
  <c r="O15"/>
  <c r="R15" s="1"/>
  <c r="D62"/>
  <c r="F62"/>
  <c r="D57"/>
  <c r="D46"/>
  <c r="F46"/>
  <c r="D33"/>
  <c r="F33"/>
  <c r="D21"/>
  <c r="F21"/>
  <c r="P21" l="1"/>
  <c r="P46"/>
  <c r="P62"/>
  <c r="D63"/>
  <c r="F56"/>
  <c r="G56" s="1"/>
  <c r="F55"/>
  <c r="G55" s="1"/>
  <c r="F54"/>
  <c r="G54" s="1"/>
  <c r="F53"/>
  <c r="G53" s="1"/>
  <c r="F52"/>
  <c r="G52" s="1"/>
  <c r="F51"/>
  <c r="G51" s="1"/>
  <c r="F50"/>
  <c r="G50" s="1"/>
  <c r="F49"/>
  <c r="G49" s="1"/>
  <c r="F48"/>
  <c r="G48" s="1"/>
  <c r="F47"/>
  <c r="G47" s="1"/>
  <c r="C21"/>
  <c r="L14"/>
  <c r="P14" s="1"/>
  <c r="L13"/>
  <c r="P13" s="1"/>
  <c r="L12"/>
  <c r="P12" s="1"/>
  <c r="L11"/>
  <c r="P11" s="1"/>
  <c r="L10"/>
  <c r="P10" s="1"/>
  <c r="L9"/>
  <c r="P9" s="1"/>
  <c r="L8"/>
  <c r="P8" s="1"/>
  <c r="L7"/>
  <c r="P7" s="1"/>
  <c r="L6"/>
  <c r="P6" s="1"/>
  <c r="L5"/>
  <c r="P5" s="1"/>
  <c r="M47"/>
  <c r="M48"/>
  <c r="M49"/>
  <c r="M50"/>
  <c r="M51"/>
  <c r="M52"/>
  <c r="M53"/>
  <c r="M54"/>
  <c r="M55"/>
  <c r="M56"/>
  <c r="G57" l="1"/>
  <c r="P15"/>
  <c r="M57"/>
  <c r="M46"/>
  <c r="F57"/>
  <c r="F63" s="1"/>
  <c r="G62"/>
  <c r="G63" s="1"/>
  <c r="M21"/>
  <c r="M33"/>
  <c r="L21"/>
  <c r="O21"/>
  <c r="R21" s="1"/>
  <c r="L15"/>
  <c r="K32"/>
  <c r="N32" s="1"/>
  <c r="M63" l="1"/>
  <c r="N33"/>
  <c r="N63" s="1"/>
  <c r="O32"/>
  <c r="P32" s="1"/>
  <c r="P33" s="1"/>
  <c r="S21"/>
  <c r="S15"/>
  <c r="O47"/>
  <c r="O48"/>
  <c r="O49"/>
  <c r="O50"/>
  <c r="O51"/>
  <c r="O52"/>
  <c r="O53"/>
  <c r="O54"/>
  <c r="O55"/>
  <c r="O56"/>
  <c r="L47"/>
  <c r="L48"/>
  <c r="L49"/>
  <c r="L50"/>
  <c r="L51"/>
  <c r="L52"/>
  <c r="L53"/>
  <c r="P53" s="1"/>
  <c r="L54"/>
  <c r="L55"/>
  <c r="L56"/>
  <c r="P55" l="1"/>
  <c r="P56"/>
  <c r="P48"/>
  <c r="P51"/>
  <c r="P52"/>
  <c r="P50"/>
  <c r="P54"/>
  <c r="P49"/>
  <c r="L57"/>
  <c r="P47"/>
  <c r="O57"/>
  <c r="R57" s="1"/>
  <c r="O46"/>
  <c r="O33"/>
  <c r="R33" s="1"/>
  <c r="L33"/>
  <c r="P57" l="1"/>
  <c r="P63" s="1"/>
  <c r="R46"/>
  <c r="R63" s="1"/>
  <c r="O63"/>
  <c r="L63"/>
  <c r="S33"/>
  <c r="S46"/>
  <c r="C33"/>
  <c r="C57"/>
  <c r="S57" l="1"/>
  <c r="C62"/>
  <c r="C63" s="1"/>
  <c r="S62" l="1"/>
  <c r="S63" s="1"/>
  <c r="S70" s="1"/>
</calcChain>
</file>

<file path=xl/comments1.xml><?xml version="1.0" encoding="utf-8"?>
<comments xmlns="http://schemas.openxmlformats.org/spreadsheetml/2006/main">
  <authors>
    <author>Блинова Екатерина Николаевна</author>
  </authors>
  <commentList>
    <comment ref="K3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28-э/3 от 31.05.2021</t>
        </r>
      </text>
    </comment>
  </commentList>
</comments>
</file>

<file path=xl/sharedStrings.xml><?xml version="1.0" encoding="utf-8"?>
<sst xmlns="http://schemas.openxmlformats.org/spreadsheetml/2006/main" count="94" uniqueCount="63">
  <si>
    <t>4 квартал</t>
  </si>
  <si>
    <t>всего</t>
  </si>
  <si>
    <t>Группы потребителей</t>
  </si>
  <si>
    <t>1 полугодие</t>
  </si>
  <si>
    <t>2 полугодие</t>
  </si>
  <si>
    <t xml:space="preserve">1 полугодие </t>
  </si>
  <si>
    <t>Итого</t>
  </si>
  <si>
    <t>ООО "Поморские электросети"</t>
  </si>
  <si>
    <t>Всего</t>
  </si>
  <si>
    <t>ПАО "ТГК-2"</t>
  </si>
  <si>
    <t>прочие потребители (договор э/сн одност по двум зонам/день СН-2)</t>
  </si>
  <si>
    <t>прочие потребители (договор э/сн одност по двум зонам/ночь СН-2)</t>
  </si>
  <si>
    <t>прочие потребители (договор э/сн одност по двум зонам/день НН)</t>
  </si>
  <si>
    <t>прочие потребители (договор э/сн одност по двум зонам/ночь НН)</t>
  </si>
  <si>
    <t>прочие потребители (договор купли-продажи одност СН-1)</t>
  </si>
  <si>
    <t>прочие потребители (договор купли-продажи одност СН-2)</t>
  </si>
  <si>
    <t>прочие потребители (договор купли-продажи одност НН)</t>
  </si>
  <si>
    <t>сетевые организации, покупающие электрическую энергию для компенсации потерь (одноставочный тариф)</t>
  </si>
  <si>
    <t xml:space="preserve">4 квартал </t>
  </si>
  <si>
    <t>Энергоснабжающая организация /гарантирующий поставщик</t>
  </si>
  <si>
    <t>население (одноставочный тариф на электрическую энергию)</t>
  </si>
  <si>
    <t>население (одноставочный тариф на электрическую энергию по двум зонам суток (день)</t>
  </si>
  <si>
    <t>население (одноставочный тариф на электрическую энергию по двум зонам суток (ночь)</t>
  </si>
  <si>
    <t>покупатели на розничных рынках Архангельской области (прочие потребители)</t>
  </si>
  <si>
    <t>покупатели на розничных рынках Архангельской области (прочие потребители) по договорам энергоснабжения на уровне напряжения СН1</t>
  </si>
  <si>
    <t>покупатели на розничных рынках Архангельской области (прочие потребители) по договорам энергоснабжения на уровне напряжения СН2</t>
  </si>
  <si>
    <t>покупатели на розничных рынках Архангельской области (прочие потребители) по договорам энергоснабжения на уровне напряжения НН</t>
  </si>
  <si>
    <t>городское население с газовыми плитами (одноставочный тариф на электрическую энергию )</t>
  </si>
  <si>
    <t xml:space="preserve"> городское население с газовыми плитами (одноставочный тариф на электрическую энергию по двум зонам суток (день)</t>
  </si>
  <si>
    <t xml:space="preserve">городское население с газовыми плитами (одноставочный тариф на электрическую энергию по двум зонам суток (ночь)  </t>
  </si>
  <si>
    <t xml:space="preserve"> городское население с электроплитами (одноставочный тариф на электрическую энергию по двум зонам суток (день)</t>
  </si>
  <si>
    <t xml:space="preserve">городское население с электроплитами (одноставочный тариф на электрическую энергию по двум зонам суток (ночь) </t>
  </si>
  <si>
    <t>потребители приравненные к категории "население" (садоводческие) одноставочный тариф на электрическую энергию</t>
  </si>
  <si>
    <t>потребители приравненные к категории "население" (осужденные) одноставочный тариф на электрическую энергию</t>
  </si>
  <si>
    <t>потребители приравненные к категории "население" (религиозные) одноставочный тариф на электрическую энергию</t>
  </si>
  <si>
    <t>городское население с электроплитами (одноставочный тариф на электрическую энергию )</t>
  </si>
  <si>
    <t>потребители, приравненные к категории "население" (гаражи, хоз.постройки) одноставочный тариф на электрическую энергию</t>
  </si>
  <si>
    <t xml:space="preserve">потребители, приравненные к категории "население" (гаражи, хоз.постройки)   (одноставочный тариф на электрическую энергию по двум зонам суток (ночь) </t>
  </si>
  <si>
    <t>потребители, приравненные к категории "население" (гаражи, хоз.постройки)  (одноставочный тариф на электрическую энергию по двум зонам суток (день)</t>
  </si>
  <si>
    <t>потребители приравненные к категории "население" (гаражи, хоз.постройки) одноставочный тариф на электрическую энергию по двум зонам суток (день)</t>
  </si>
  <si>
    <t>потребители приравненные к категории "население"(гаражи, хоз.постройки) одноставочный тариф на электрическую энергию по двум зонам суток (ночь)</t>
  </si>
  <si>
    <t>потребители приравненные к категории "население" (религиозные) одноставочный тариф на электрическую энергию по двум зонам суток (день)</t>
  </si>
  <si>
    <t>потребители приравненные к категории "население" (религиозные) одноставочный тариф на электрическую энергию по двум зонам суток (ночь)</t>
  </si>
  <si>
    <t>Экономически обоснованный тариф на эл. Энергию
 (без НДС),
 рублей/кВт*ч</t>
  </si>
  <si>
    <t>Отпускной тариф для населения, потребителей приравленнных к категории "население", иных прочих потребителей
 (без НДС),
 рублей/кВт*ч</t>
  </si>
  <si>
    <t>декабрь
 2020 года,
рублей</t>
  </si>
  <si>
    <t>декабрь
 2021 года,
рублей</t>
  </si>
  <si>
    <t>Потребность в средствах областного бюджета
 всего в 2021 году
(за декабрь 2020
 - ноябрь 2021),
рублей</t>
  </si>
  <si>
    <t>Лимит на 2021 год, 
рублей</t>
  </si>
  <si>
    <t>1 квартал факт</t>
  </si>
  <si>
    <t>ООО "ТГК -2 Энергосбыт" (Каменка, Мезень)</t>
  </si>
  <si>
    <t>ООО "ТГК -2 Энергосбыт" (Коряжма)</t>
  </si>
  <si>
    <t>2 квартал факт</t>
  </si>
  <si>
    <t>АО "АрхоблЭнерго"</t>
  </si>
  <si>
    <t>ООО "МТК"</t>
  </si>
  <si>
    <t>Потребность в средствах областного бюджета, рублей</t>
  </si>
  <si>
    <t>Объем ресурса, кВТ*ч</t>
  </si>
  <si>
    <t>3 квартал факт</t>
  </si>
  <si>
    <t>дополнительно на октябрьской сессии</t>
  </si>
  <si>
    <t xml:space="preserve"> Лимиты "благоустройство территорий г. Архангельск"</t>
  </si>
  <si>
    <t>доп.потребность на предоставление субсидии за декабрь</t>
  </si>
  <si>
    <t>Всего недостаток средств областного бюджета, 
рублей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</si>
  <si>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19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пояснительной записке
Расчет плановой потребности
в средствах областного бюджета для предоставления субсидий на возмещение недополученных доходов, возникающих в результате государственного регулирования тарифов
 на электрическую энергию, поставляемую покупателям на розничных рынках Архангельской области,
 на 2021 год 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</si>
</sst>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ahoma"/>
      <family val="2"/>
      <charset val="204"/>
    </font>
    <font>
      <sz val="12"/>
      <color theme="1"/>
      <name val="Tahoma"/>
      <family val="2"/>
      <charset val="204"/>
    </font>
    <font>
      <sz val="14"/>
      <name val="Tahoma"/>
      <family val="2"/>
      <charset val="204"/>
    </font>
    <font>
      <sz val="18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theme="1"/>
      <name val="Tahoma"/>
      <family val="2"/>
      <charset val="204"/>
    </font>
    <font>
      <sz val="14"/>
      <color rgb="FFFF0000"/>
      <name val="Tahoma"/>
      <family val="2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</cellStyleXfs>
  <cellXfs count="39">
    <xf numFmtId="0" fontId="0" fillId="0" borderId="0" xfId="0"/>
    <xf numFmtId="4" fontId="8" fillId="0" borderId="0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1" xfId="3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1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/>
    <xf numFmtId="49" fontId="14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 shrinkToFit="1"/>
    </xf>
    <xf numFmtId="4" fontId="12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164" fontId="15" fillId="0" borderId="0" xfId="1" applyFont="1" applyFill="1"/>
    <xf numFmtId="0" fontId="15" fillId="0" borderId="0" xfId="0" applyFont="1" applyFill="1" applyBorder="1"/>
    <xf numFmtId="164" fontId="15" fillId="0" borderId="0" xfId="1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164" fontId="5" fillId="0" borderId="0" xfId="1" applyFont="1" applyFill="1" applyBorder="1"/>
    <xf numFmtId="43" fontId="5" fillId="0" borderId="0" xfId="0" applyNumberFormat="1" applyFont="1" applyFill="1" applyBorder="1"/>
    <xf numFmtId="165" fontId="5" fillId="0" borderId="0" xfId="0" applyNumberFormat="1" applyFont="1" applyFill="1"/>
    <xf numFmtId="165" fontId="5" fillId="0" borderId="0" xfId="0" applyNumberFormat="1" applyFont="1" applyFill="1" applyBorder="1"/>
    <xf numFmtId="164" fontId="5" fillId="0" borderId="0" xfId="1" applyFont="1" applyFill="1"/>
  </cellXfs>
  <cellStyles count="7">
    <cellStyle name="Обычный" xfId="0" builtinId="0"/>
    <cellStyle name="Обычный 10 2" xfId="5"/>
    <cellStyle name="Обычный 10 2 4 2" xfId="6"/>
    <cellStyle name="Обычный 2" xfId="3"/>
    <cellStyle name="Обычный 2 2" xfId="4"/>
    <cellStyle name="Обычный 7" xfId="2"/>
    <cellStyle name="Финансовый" xfId="1" builtinId="3"/>
  </cellStyles>
  <dxfs count="0"/>
  <tableStyles count="0" defaultTableStyle="TableStyleMedium9" defaultPivotStyle="PivotStyleLight16"/>
  <colors>
    <mruColors>
      <color rgb="FFFFFFCC"/>
      <color rgb="FFFFCCFF"/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1"/>
  <sheetViews>
    <sheetView tabSelected="1" view="pageBreakPreview" zoomScale="60" zoomScaleNormal="40" workbookViewId="0">
      <pane xSplit="2" ySplit="4" topLeftCell="C9" activePane="bottomRight" state="frozen"/>
      <selection pane="topRight" activeCell="H1" sqref="H1"/>
      <selection pane="bottomLeft" activeCell="A3" sqref="A3"/>
      <selection pane="bottomRight" sqref="A1:XFD1048576"/>
    </sheetView>
  </sheetViews>
  <sheetFormatPr defaultRowHeight="15"/>
  <cols>
    <col min="1" max="1" width="28.7109375" style="9" customWidth="1"/>
    <col min="2" max="2" width="70.42578125" style="32" customWidth="1"/>
    <col min="3" max="7" width="19.7109375" style="9" customWidth="1"/>
    <col min="8" max="11" width="16.140625" style="9" customWidth="1"/>
    <col min="12" max="13" width="20.42578125" style="38" customWidth="1"/>
    <col min="14" max="15" width="20.42578125" style="9" customWidth="1"/>
    <col min="16" max="18" width="24" style="9" customWidth="1"/>
    <col min="19" max="19" width="27.5703125" style="9" customWidth="1"/>
    <col min="20" max="20" width="16.28515625" style="9" bestFit="1" customWidth="1"/>
    <col min="21" max="16384" width="9.140625" style="9"/>
  </cols>
  <sheetData>
    <row r="1" spans="1:19" ht="144.75" customHeight="1">
      <c r="A1" s="5" t="s">
        <v>62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3" spans="1:19" s="17" customFormat="1" ht="122.25" customHeight="1">
      <c r="A3" s="10" t="s">
        <v>19</v>
      </c>
      <c r="B3" s="10" t="s">
        <v>2</v>
      </c>
      <c r="C3" s="11" t="s">
        <v>56</v>
      </c>
      <c r="D3" s="12"/>
      <c r="E3" s="12"/>
      <c r="F3" s="12"/>
      <c r="G3" s="13"/>
      <c r="H3" s="11" t="s">
        <v>43</v>
      </c>
      <c r="I3" s="13"/>
      <c r="J3" s="14" t="s">
        <v>44</v>
      </c>
      <c r="K3" s="14"/>
      <c r="L3" s="15" t="s">
        <v>55</v>
      </c>
      <c r="M3" s="15"/>
      <c r="N3" s="15"/>
      <c r="O3" s="15"/>
      <c r="P3" s="15"/>
      <c r="Q3" s="10" t="s">
        <v>45</v>
      </c>
      <c r="R3" s="16" t="s">
        <v>46</v>
      </c>
      <c r="S3" s="15" t="s">
        <v>47</v>
      </c>
    </row>
    <row r="4" spans="1:19" s="17" customFormat="1" ht="42" customHeight="1">
      <c r="A4" s="10"/>
      <c r="B4" s="10"/>
      <c r="C4" s="18" t="s">
        <v>49</v>
      </c>
      <c r="D4" s="18" t="s">
        <v>52</v>
      </c>
      <c r="E4" s="18" t="s">
        <v>57</v>
      </c>
      <c r="F4" s="18" t="s">
        <v>18</v>
      </c>
      <c r="G4" s="18" t="s">
        <v>1</v>
      </c>
      <c r="H4" s="19" t="s">
        <v>3</v>
      </c>
      <c r="I4" s="19" t="s">
        <v>4</v>
      </c>
      <c r="J4" s="19" t="s">
        <v>5</v>
      </c>
      <c r="K4" s="19" t="s">
        <v>4</v>
      </c>
      <c r="L4" s="18" t="s">
        <v>49</v>
      </c>
      <c r="M4" s="18" t="s">
        <v>52</v>
      </c>
      <c r="N4" s="18" t="s">
        <v>57</v>
      </c>
      <c r="O4" s="18" t="s">
        <v>0</v>
      </c>
      <c r="P4" s="18" t="s">
        <v>1</v>
      </c>
      <c r="Q4" s="10"/>
      <c r="R4" s="16"/>
      <c r="S4" s="15"/>
    </row>
    <row r="5" spans="1:19" ht="68.25" customHeight="1">
      <c r="A5" s="15" t="s">
        <v>53</v>
      </c>
      <c r="B5" s="20" t="s">
        <v>21</v>
      </c>
      <c r="C5" s="2">
        <v>0</v>
      </c>
      <c r="D5" s="4">
        <v>361547</v>
      </c>
      <c r="E5" s="4">
        <v>1144328</v>
      </c>
      <c r="F5" s="4">
        <v>1449644</v>
      </c>
      <c r="G5" s="2">
        <f t="shared" ref="G5:G14" si="0">C5+D5+E5+F5</f>
        <v>2955519</v>
      </c>
      <c r="H5" s="2">
        <v>39.81</v>
      </c>
      <c r="I5" s="2">
        <v>39.81</v>
      </c>
      <c r="J5" s="2">
        <v>3.43</v>
      </c>
      <c r="K5" s="2">
        <v>3.59</v>
      </c>
      <c r="L5" s="2">
        <f t="shared" ref="L5:L14" si="1">(H5-J5)*C5</f>
        <v>0</v>
      </c>
      <c r="M5" s="2">
        <f t="shared" ref="M5:M14" si="2">(H5-J5)*D5</f>
        <v>13153079.860000001</v>
      </c>
      <c r="N5" s="2">
        <f t="shared" ref="N5:O11" si="3">($I5-$K5)*E5</f>
        <v>41447560.159999996</v>
      </c>
      <c r="O5" s="2">
        <f t="shared" si="3"/>
        <v>52506105.68</v>
      </c>
      <c r="P5" s="2">
        <f t="shared" ref="P5:P14" si="4">L5+M5+N5+O5</f>
        <v>107106745.69999999</v>
      </c>
      <c r="Q5" s="2"/>
      <c r="R5" s="2"/>
      <c r="S5" s="2"/>
    </row>
    <row r="6" spans="1:19" ht="68.25" customHeight="1">
      <c r="A6" s="15"/>
      <c r="B6" s="21" t="s">
        <v>22</v>
      </c>
      <c r="C6" s="2">
        <v>0</v>
      </c>
      <c r="D6" s="4">
        <v>158256</v>
      </c>
      <c r="E6" s="4">
        <v>439259</v>
      </c>
      <c r="F6" s="4">
        <v>654408</v>
      </c>
      <c r="G6" s="2">
        <f t="shared" si="0"/>
        <v>1251923</v>
      </c>
      <c r="H6" s="2">
        <v>39.81</v>
      </c>
      <c r="I6" s="2">
        <v>39.81</v>
      </c>
      <c r="J6" s="2">
        <v>1.08</v>
      </c>
      <c r="K6" s="2">
        <v>1.23</v>
      </c>
      <c r="L6" s="2">
        <f t="shared" si="1"/>
        <v>0</v>
      </c>
      <c r="M6" s="2">
        <f t="shared" si="2"/>
        <v>6129254.8800000008</v>
      </c>
      <c r="N6" s="2">
        <f t="shared" si="3"/>
        <v>16946612.220000003</v>
      </c>
      <c r="O6" s="2">
        <f t="shared" si="3"/>
        <v>25247060.640000004</v>
      </c>
      <c r="P6" s="2">
        <f t="shared" si="4"/>
        <v>48322927.74000001</v>
      </c>
      <c r="Q6" s="2"/>
      <c r="R6" s="2"/>
      <c r="S6" s="2"/>
    </row>
    <row r="7" spans="1:19" ht="60.75" customHeight="1">
      <c r="A7" s="15"/>
      <c r="B7" s="20" t="s">
        <v>20</v>
      </c>
      <c r="C7" s="2">
        <v>0</v>
      </c>
      <c r="D7" s="4">
        <v>939790</v>
      </c>
      <c r="E7" s="4">
        <v>3094109</v>
      </c>
      <c r="F7" s="4">
        <v>2843711</v>
      </c>
      <c r="G7" s="2">
        <f t="shared" si="0"/>
        <v>6877610</v>
      </c>
      <c r="H7" s="2">
        <v>39.81</v>
      </c>
      <c r="I7" s="2">
        <v>39.81</v>
      </c>
      <c r="J7" s="2">
        <v>2.98</v>
      </c>
      <c r="K7" s="2">
        <v>3.13</v>
      </c>
      <c r="L7" s="2">
        <f t="shared" si="1"/>
        <v>0</v>
      </c>
      <c r="M7" s="2">
        <f t="shared" si="2"/>
        <v>34612465.700000003</v>
      </c>
      <c r="N7" s="2">
        <f t="shared" si="3"/>
        <v>113491918.12</v>
      </c>
      <c r="O7" s="2">
        <f t="shared" si="3"/>
        <v>104307319.48</v>
      </c>
      <c r="P7" s="2">
        <f t="shared" si="4"/>
        <v>252411703.30000001</v>
      </c>
      <c r="Q7" s="2"/>
      <c r="R7" s="2"/>
      <c r="S7" s="2"/>
    </row>
    <row r="8" spans="1:19" ht="62.25" customHeight="1">
      <c r="A8" s="15"/>
      <c r="B8" s="21" t="s">
        <v>23</v>
      </c>
      <c r="C8" s="2">
        <v>0</v>
      </c>
      <c r="D8" s="4">
        <v>919999</v>
      </c>
      <c r="E8" s="4">
        <v>2102292</v>
      </c>
      <c r="F8" s="4">
        <v>3654068</v>
      </c>
      <c r="G8" s="2">
        <f t="shared" si="0"/>
        <v>6676359</v>
      </c>
      <c r="H8" s="2">
        <v>39.81</v>
      </c>
      <c r="I8" s="2">
        <v>39.81</v>
      </c>
      <c r="J8" s="2">
        <v>7.95</v>
      </c>
      <c r="K8" s="2">
        <v>7.95</v>
      </c>
      <c r="L8" s="2">
        <f t="shared" si="1"/>
        <v>0</v>
      </c>
      <c r="M8" s="2">
        <f t="shared" si="2"/>
        <v>29311168.140000004</v>
      </c>
      <c r="N8" s="2">
        <f t="shared" si="3"/>
        <v>66979023.120000005</v>
      </c>
      <c r="O8" s="2">
        <f t="shared" si="3"/>
        <v>116418606.48</v>
      </c>
      <c r="P8" s="2">
        <f t="shared" si="4"/>
        <v>212708797.74000001</v>
      </c>
      <c r="Q8" s="2"/>
      <c r="R8" s="2"/>
      <c r="S8" s="2"/>
    </row>
    <row r="9" spans="1:19" ht="96.75" customHeight="1">
      <c r="A9" s="15"/>
      <c r="B9" s="21" t="s">
        <v>41</v>
      </c>
      <c r="C9" s="2">
        <v>0</v>
      </c>
      <c r="D9" s="4">
        <v>44758</v>
      </c>
      <c r="E9" s="4">
        <v>137540</v>
      </c>
      <c r="F9" s="4">
        <v>155603</v>
      </c>
      <c r="G9" s="2">
        <f t="shared" si="0"/>
        <v>337901</v>
      </c>
      <c r="H9" s="2">
        <v>39.81</v>
      </c>
      <c r="I9" s="2">
        <v>39.81</v>
      </c>
      <c r="J9" s="2">
        <v>3.67</v>
      </c>
      <c r="K9" s="2">
        <v>3.85</v>
      </c>
      <c r="L9" s="2">
        <f t="shared" si="1"/>
        <v>0</v>
      </c>
      <c r="M9" s="2">
        <f t="shared" si="2"/>
        <v>1617554.12</v>
      </c>
      <c r="N9" s="2">
        <f t="shared" si="3"/>
        <v>4945938.4000000004</v>
      </c>
      <c r="O9" s="2">
        <f t="shared" si="3"/>
        <v>5595483.8799999999</v>
      </c>
      <c r="P9" s="2">
        <f t="shared" si="4"/>
        <v>12158976.4</v>
      </c>
      <c r="Q9" s="2"/>
      <c r="R9" s="2"/>
      <c r="S9" s="2"/>
    </row>
    <row r="10" spans="1:19" ht="96.75" customHeight="1">
      <c r="A10" s="15"/>
      <c r="B10" s="21" t="s">
        <v>42</v>
      </c>
      <c r="C10" s="2">
        <v>0</v>
      </c>
      <c r="D10" s="4">
        <v>17827</v>
      </c>
      <c r="E10" s="4">
        <v>46078</v>
      </c>
      <c r="F10" s="4">
        <v>61839</v>
      </c>
      <c r="G10" s="2">
        <f t="shared" si="0"/>
        <v>125744</v>
      </c>
      <c r="H10" s="2">
        <v>39.81</v>
      </c>
      <c r="I10" s="2">
        <v>39.81</v>
      </c>
      <c r="J10" s="2">
        <v>1.1499999999999999</v>
      </c>
      <c r="K10" s="2">
        <v>1.32</v>
      </c>
      <c r="L10" s="2">
        <f t="shared" si="1"/>
        <v>0</v>
      </c>
      <c r="M10" s="2">
        <f t="shared" si="2"/>
        <v>689191.82000000007</v>
      </c>
      <c r="N10" s="2">
        <f t="shared" si="3"/>
        <v>1773542.2200000002</v>
      </c>
      <c r="O10" s="2">
        <f t="shared" si="3"/>
        <v>2380183.1100000003</v>
      </c>
      <c r="P10" s="2">
        <f t="shared" si="4"/>
        <v>4842917.1500000004</v>
      </c>
      <c r="Q10" s="2"/>
      <c r="R10" s="2"/>
      <c r="S10" s="2"/>
    </row>
    <row r="11" spans="1:19" ht="96.75" customHeight="1">
      <c r="A11" s="15"/>
      <c r="B11" s="21" t="s">
        <v>34</v>
      </c>
      <c r="C11" s="2">
        <v>0</v>
      </c>
      <c r="D11" s="4">
        <v>39075</v>
      </c>
      <c r="E11" s="4">
        <v>112141</v>
      </c>
      <c r="F11" s="4">
        <v>88366</v>
      </c>
      <c r="G11" s="2">
        <f t="shared" si="0"/>
        <v>239582</v>
      </c>
      <c r="H11" s="2">
        <v>39.81</v>
      </c>
      <c r="I11" s="2">
        <v>39.81</v>
      </c>
      <c r="J11" s="2">
        <v>3.19</v>
      </c>
      <c r="K11" s="2">
        <v>3.35</v>
      </c>
      <c r="L11" s="2">
        <f t="shared" si="1"/>
        <v>0</v>
      </c>
      <c r="M11" s="2">
        <f t="shared" si="2"/>
        <v>1430926.5000000002</v>
      </c>
      <c r="N11" s="2">
        <f t="shared" si="3"/>
        <v>4088660.86</v>
      </c>
      <c r="O11" s="2">
        <f t="shared" si="3"/>
        <v>3221824.36</v>
      </c>
      <c r="P11" s="2">
        <f t="shared" si="4"/>
        <v>8741411.7200000007</v>
      </c>
      <c r="Q11" s="2"/>
      <c r="R11" s="2"/>
      <c r="S11" s="2"/>
    </row>
    <row r="12" spans="1:19" ht="96.75" customHeight="1">
      <c r="A12" s="15"/>
      <c r="B12" s="21" t="s">
        <v>36</v>
      </c>
      <c r="C12" s="2">
        <v>0</v>
      </c>
      <c r="D12" s="4">
        <v>6443</v>
      </c>
      <c r="E12" s="4">
        <f>22932-176</f>
        <v>22756</v>
      </c>
      <c r="F12" s="4">
        <v>9980</v>
      </c>
      <c r="G12" s="2">
        <f t="shared" si="0"/>
        <v>39179</v>
      </c>
      <c r="H12" s="2">
        <v>39.81</v>
      </c>
      <c r="I12" s="2">
        <v>39.81</v>
      </c>
      <c r="J12" s="2">
        <v>4.25</v>
      </c>
      <c r="K12" s="2">
        <v>4.47</v>
      </c>
      <c r="L12" s="2">
        <f t="shared" si="1"/>
        <v>0</v>
      </c>
      <c r="M12" s="2">
        <f t="shared" si="2"/>
        <v>229113.08000000002</v>
      </c>
      <c r="N12" s="2">
        <f>($I12-$K12)*22932-176*(H12-J12)</f>
        <v>804158.32000000007</v>
      </c>
      <c r="O12" s="2">
        <f>($I12-$K12)*F12</f>
        <v>352693.2</v>
      </c>
      <c r="P12" s="2">
        <f t="shared" si="4"/>
        <v>1385964.6</v>
      </c>
      <c r="Q12" s="2"/>
      <c r="R12" s="2"/>
      <c r="S12" s="2"/>
    </row>
    <row r="13" spans="1:19" ht="96.75" customHeight="1">
      <c r="A13" s="15"/>
      <c r="B13" s="21" t="s">
        <v>39</v>
      </c>
      <c r="C13" s="2">
        <v>0</v>
      </c>
      <c r="D13" s="4">
        <v>838</v>
      </c>
      <c r="E13" s="4">
        <v>3332</v>
      </c>
      <c r="F13" s="4">
        <v>1250</v>
      </c>
      <c r="G13" s="2">
        <f t="shared" si="0"/>
        <v>5420</v>
      </c>
      <c r="H13" s="2">
        <v>39.81</v>
      </c>
      <c r="I13" s="2">
        <v>39.81</v>
      </c>
      <c r="J13" s="2">
        <v>4.8899999999999997</v>
      </c>
      <c r="K13" s="2">
        <v>5.13</v>
      </c>
      <c r="L13" s="2">
        <f t="shared" si="1"/>
        <v>0</v>
      </c>
      <c r="M13" s="2">
        <f t="shared" si="2"/>
        <v>29262.960000000003</v>
      </c>
      <c r="N13" s="2">
        <f>($I13-$K13)*E13</f>
        <v>115553.76</v>
      </c>
      <c r="O13" s="2">
        <f>($I13-$K13)*F13</f>
        <v>43350</v>
      </c>
      <c r="P13" s="2">
        <f t="shared" si="4"/>
        <v>188166.72</v>
      </c>
      <c r="Q13" s="2"/>
      <c r="R13" s="2"/>
      <c r="S13" s="2"/>
    </row>
    <row r="14" spans="1:19" ht="96.75" customHeight="1">
      <c r="A14" s="15"/>
      <c r="B14" s="21" t="s">
        <v>40</v>
      </c>
      <c r="C14" s="2">
        <v>0</v>
      </c>
      <c r="D14" s="4">
        <v>420</v>
      </c>
      <c r="E14" s="4">
        <v>1601</v>
      </c>
      <c r="F14" s="4">
        <v>450</v>
      </c>
      <c r="G14" s="2">
        <f t="shared" si="0"/>
        <v>2471</v>
      </c>
      <c r="H14" s="2">
        <v>39.81</v>
      </c>
      <c r="I14" s="2">
        <v>39.81</v>
      </c>
      <c r="J14" s="2">
        <v>1.54</v>
      </c>
      <c r="K14" s="2">
        <v>1.77</v>
      </c>
      <c r="L14" s="2">
        <f t="shared" si="1"/>
        <v>0</v>
      </c>
      <c r="M14" s="2">
        <f t="shared" si="2"/>
        <v>16073.400000000001</v>
      </c>
      <c r="N14" s="2">
        <f>($I14-$K14)*E14</f>
        <v>60902.04</v>
      </c>
      <c r="O14" s="2">
        <f>($I14-$K14)*F14</f>
        <v>17118</v>
      </c>
      <c r="P14" s="2">
        <f t="shared" si="4"/>
        <v>94093.440000000002</v>
      </c>
      <c r="Q14" s="2"/>
      <c r="R14" s="2"/>
      <c r="S14" s="2"/>
    </row>
    <row r="15" spans="1:19" ht="46.5" customHeight="1">
      <c r="A15" s="15"/>
      <c r="B15" s="20" t="s">
        <v>6</v>
      </c>
      <c r="C15" s="2">
        <f>SUM(C5:C14)</f>
        <v>0</v>
      </c>
      <c r="D15" s="2">
        <f t="shared" ref="D15:G15" si="5">SUM(D5:D14)</f>
        <v>2488953</v>
      </c>
      <c r="E15" s="2">
        <f t="shared" si="5"/>
        <v>7103436</v>
      </c>
      <c r="F15" s="2">
        <f t="shared" si="5"/>
        <v>8919319</v>
      </c>
      <c r="G15" s="2">
        <f t="shared" si="5"/>
        <v>18511708</v>
      </c>
      <c r="H15" s="2"/>
      <c r="I15" s="2"/>
      <c r="J15" s="2"/>
      <c r="K15" s="2"/>
      <c r="L15" s="2">
        <f>SUM(L5:L14)</f>
        <v>0</v>
      </c>
      <c r="M15" s="2">
        <f>SUM(M5:M14)</f>
        <v>87218090.460000008</v>
      </c>
      <c r="N15" s="2">
        <f t="shared" ref="N15" si="6">SUM(N5:N14)</f>
        <v>250653869.22</v>
      </c>
      <c r="O15" s="2">
        <f t="shared" ref="O15:P15" si="7">SUM(O5:O14)</f>
        <v>310089744.83000004</v>
      </c>
      <c r="P15" s="2">
        <f t="shared" si="7"/>
        <v>647961704.51000011</v>
      </c>
      <c r="Q15" s="2">
        <v>0</v>
      </c>
      <c r="R15" s="2">
        <f>O15/3</f>
        <v>103363248.27666669</v>
      </c>
      <c r="S15" s="2">
        <f>P15+Q15-R15</f>
        <v>544598456.23333347</v>
      </c>
    </row>
    <row r="16" spans="1:19" ht="62.25" customHeight="1">
      <c r="A16" s="15" t="s">
        <v>54</v>
      </c>
      <c r="B16" s="20" t="s">
        <v>21</v>
      </c>
      <c r="C16" s="2">
        <v>0</v>
      </c>
      <c r="D16" s="4">
        <v>6649</v>
      </c>
      <c r="E16" s="4">
        <v>31979</v>
      </c>
      <c r="F16" s="4">
        <v>31330</v>
      </c>
      <c r="G16" s="2">
        <f>C16+D16+E16+F16</f>
        <v>69958</v>
      </c>
      <c r="H16" s="2">
        <v>39.81</v>
      </c>
      <c r="I16" s="2">
        <v>39.81</v>
      </c>
      <c r="J16" s="2">
        <v>3.43</v>
      </c>
      <c r="K16" s="2">
        <v>3.59</v>
      </c>
      <c r="L16" s="2">
        <f>(H16-J16)*C16</f>
        <v>0</v>
      </c>
      <c r="M16" s="2">
        <f>(H16-J16)*D16</f>
        <v>241890.62000000002</v>
      </c>
      <c r="N16" s="2">
        <f>($I16-$K16)*E16</f>
        <v>1158279.3799999999</v>
      </c>
      <c r="O16" s="2">
        <f>($I16-$K16)*F16</f>
        <v>1134772.5999999999</v>
      </c>
      <c r="P16" s="2">
        <f>L16+M16+N16+O16</f>
        <v>2534942.5999999996</v>
      </c>
      <c r="Q16" s="2"/>
      <c r="R16" s="2"/>
      <c r="S16" s="2"/>
    </row>
    <row r="17" spans="1:19" ht="62.25" customHeight="1">
      <c r="A17" s="15"/>
      <c r="B17" s="21" t="s">
        <v>22</v>
      </c>
      <c r="C17" s="2">
        <v>0</v>
      </c>
      <c r="D17" s="4">
        <v>2287</v>
      </c>
      <c r="E17" s="4">
        <v>10278</v>
      </c>
      <c r="F17" s="4">
        <v>10507</v>
      </c>
      <c r="G17" s="2">
        <f>C17+D17+E17+F17</f>
        <v>23072</v>
      </c>
      <c r="H17" s="2">
        <v>39.81</v>
      </c>
      <c r="I17" s="2">
        <v>39.81</v>
      </c>
      <c r="J17" s="2">
        <v>1.08</v>
      </c>
      <c r="K17" s="2">
        <v>1.23</v>
      </c>
      <c r="L17" s="2">
        <f>(H17-J17)*C17</f>
        <v>0</v>
      </c>
      <c r="M17" s="2">
        <f>(H17-J17)*D17</f>
        <v>88575.510000000009</v>
      </c>
      <c r="N17" s="2">
        <f>($I17-$K17)*E17</f>
        <v>396525.24000000005</v>
      </c>
      <c r="O17" s="2">
        <f>($I17-$K17)*F17</f>
        <v>405360.06000000006</v>
      </c>
      <c r="P17" s="2">
        <f>L17+M17+N17+O17</f>
        <v>890460.81</v>
      </c>
      <c r="Q17" s="2"/>
      <c r="R17" s="2"/>
      <c r="S17" s="2"/>
    </row>
    <row r="18" spans="1:19" ht="56.25" customHeight="1">
      <c r="A18" s="15"/>
      <c r="B18" s="20" t="s">
        <v>20</v>
      </c>
      <c r="C18" s="2">
        <v>0</v>
      </c>
      <c r="D18" s="4">
        <v>7920</v>
      </c>
      <c r="E18" s="4">
        <f>38947+191</f>
        <v>39138</v>
      </c>
      <c r="F18" s="4">
        <v>34431</v>
      </c>
      <c r="G18" s="2">
        <f>C18+D18+E18+F18</f>
        <v>81489</v>
      </c>
      <c r="H18" s="2">
        <v>39.81</v>
      </c>
      <c r="I18" s="2">
        <v>39.81</v>
      </c>
      <c r="J18" s="2">
        <v>2.98</v>
      </c>
      <c r="K18" s="2">
        <v>3.13</v>
      </c>
      <c r="L18" s="2">
        <f>(H18-J18)*C18</f>
        <v>0</v>
      </c>
      <c r="M18" s="2">
        <f>(H18-J18)*D18</f>
        <v>291693.60000000003</v>
      </c>
      <c r="N18" s="2">
        <f>($I18-$K18)*38947+191*(H18-J18)</f>
        <v>1435610.49</v>
      </c>
      <c r="O18" s="2">
        <f>($I18-$K18)*F18</f>
        <v>1262929.08</v>
      </c>
      <c r="P18" s="2">
        <f>L18+M18+N18+O18</f>
        <v>2990233.17</v>
      </c>
      <c r="Q18" s="2"/>
      <c r="R18" s="2"/>
      <c r="S18" s="2"/>
    </row>
    <row r="19" spans="1:19" ht="69" customHeight="1">
      <c r="A19" s="15"/>
      <c r="B19" s="21" t="s">
        <v>23</v>
      </c>
      <c r="C19" s="2">
        <v>0</v>
      </c>
      <c r="D19" s="4">
        <v>6029</v>
      </c>
      <c r="E19" s="4">
        <v>28089</v>
      </c>
      <c r="F19" s="4">
        <v>59444</v>
      </c>
      <c r="G19" s="2">
        <f>C19+D19+E19+F19</f>
        <v>93562</v>
      </c>
      <c r="H19" s="2">
        <v>39.81</v>
      </c>
      <c r="I19" s="2">
        <v>39.81</v>
      </c>
      <c r="J19" s="2">
        <v>7.95</v>
      </c>
      <c r="K19" s="2">
        <v>7.95</v>
      </c>
      <c r="L19" s="2">
        <f>(H19-J19)*C19</f>
        <v>0</v>
      </c>
      <c r="M19" s="2">
        <f>(H19-J19)*D19</f>
        <v>192083.94000000003</v>
      </c>
      <c r="N19" s="2">
        <f>($I19-$K19)*E19</f>
        <v>894915.54</v>
      </c>
      <c r="O19" s="2">
        <f>($I19-$K19)*F19</f>
        <v>1893885.84</v>
      </c>
      <c r="P19" s="2">
        <f>L19+M19+N19+O19</f>
        <v>2980885.3200000003</v>
      </c>
      <c r="Q19" s="2"/>
      <c r="R19" s="2"/>
      <c r="S19" s="2"/>
    </row>
    <row r="20" spans="1:19" ht="82.5" customHeight="1">
      <c r="A20" s="15"/>
      <c r="B20" s="21" t="s">
        <v>36</v>
      </c>
      <c r="C20" s="2">
        <v>0</v>
      </c>
      <c r="D20" s="4">
        <v>27</v>
      </c>
      <c r="E20" s="4">
        <v>42</v>
      </c>
      <c r="F20" s="4">
        <v>209</v>
      </c>
      <c r="G20" s="2">
        <f>C20+D20+E20+F20</f>
        <v>278</v>
      </c>
      <c r="H20" s="2">
        <v>39.81</v>
      </c>
      <c r="I20" s="2">
        <v>39.81</v>
      </c>
      <c r="J20" s="2">
        <v>4.25</v>
      </c>
      <c r="K20" s="2">
        <v>4.47</v>
      </c>
      <c r="L20" s="2">
        <f>(H20-J20)*C20</f>
        <v>0</v>
      </c>
      <c r="M20" s="2">
        <f>(H20-J20)*D20</f>
        <v>960.12000000000012</v>
      </c>
      <c r="N20" s="2">
        <f>($I20-$K20)*E20</f>
        <v>1484.2800000000002</v>
      </c>
      <c r="O20" s="2">
        <f>($I20-$K20)*F20</f>
        <v>7386.06</v>
      </c>
      <c r="P20" s="2">
        <f>L20+M20+N20+O20</f>
        <v>9830.4600000000009</v>
      </c>
      <c r="Q20" s="2"/>
      <c r="R20" s="2"/>
      <c r="S20" s="2"/>
    </row>
    <row r="21" spans="1:19" ht="46.5" customHeight="1">
      <c r="A21" s="15"/>
      <c r="B21" s="20" t="s">
        <v>6</v>
      </c>
      <c r="C21" s="2">
        <f>SUM(C16:C20)</f>
        <v>0</v>
      </c>
      <c r="D21" s="2">
        <f t="shared" ref="D21:G21" si="8">SUM(D16:D20)</f>
        <v>22912</v>
      </c>
      <c r="E21" s="2">
        <f t="shared" si="8"/>
        <v>109526</v>
      </c>
      <c r="F21" s="2">
        <f t="shared" si="8"/>
        <v>135921</v>
      </c>
      <c r="G21" s="2">
        <f t="shared" si="8"/>
        <v>268359</v>
      </c>
      <c r="H21" s="2"/>
      <c r="I21" s="2"/>
      <c r="J21" s="2"/>
      <c r="K21" s="2"/>
      <c r="L21" s="2">
        <f t="shared" ref="L21:P21" si="9">SUM(L16:L20)</f>
        <v>0</v>
      </c>
      <c r="M21" s="2">
        <f t="shared" si="9"/>
        <v>815203.79</v>
      </c>
      <c r="N21" s="2">
        <f t="shared" ref="N21" si="10">SUM(N16:N20)</f>
        <v>3886814.9299999997</v>
      </c>
      <c r="O21" s="2">
        <f t="shared" si="9"/>
        <v>4704333.6399999997</v>
      </c>
      <c r="P21" s="2">
        <f t="shared" si="9"/>
        <v>9406352.3600000013</v>
      </c>
      <c r="Q21" s="2">
        <v>0</v>
      </c>
      <c r="R21" s="2">
        <f>O21/3</f>
        <v>1568111.2133333331</v>
      </c>
      <c r="S21" s="2">
        <f>P21+Q21-R21</f>
        <v>7838241.1466666684</v>
      </c>
    </row>
    <row r="22" spans="1:19" ht="58.5" customHeight="1">
      <c r="A22" s="15" t="s">
        <v>50</v>
      </c>
      <c r="B22" s="21" t="s">
        <v>24</v>
      </c>
      <c r="C22" s="2">
        <v>3645</v>
      </c>
      <c r="D22" s="2">
        <v>207</v>
      </c>
      <c r="E22" s="2">
        <v>453</v>
      </c>
      <c r="F22" s="2">
        <v>2832</v>
      </c>
      <c r="G22" s="2">
        <f t="shared" ref="G22:G32" si="11">C22+D22+E22+F22</f>
        <v>7137</v>
      </c>
      <c r="H22" s="2">
        <v>43.48</v>
      </c>
      <c r="I22" s="2">
        <v>42.08</v>
      </c>
      <c r="J22" s="2">
        <v>5.03</v>
      </c>
      <c r="K22" s="2">
        <v>5.58</v>
      </c>
      <c r="L22" s="2">
        <f t="shared" ref="L22:L32" si="12">(H22-J22)*C22</f>
        <v>140150.24999999997</v>
      </c>
      <c r="M22" s="2">
        <f t="shared" ref="M22:M32" si="13">(H22-J22)*D22</f>
        <v>7959.1499999999987</v>
      </c>
      <c r="N22" s="2">
        <f t="shared" ref="N22:N32" si="14">($I22-$K22)*E22</f>
        <v>16534.5</v>
      </c>
      <c r="O22" s="2">
        <f t="shared" ref="O22:O32" si="15">($I22-$K22)*F22</f>
        <v>103368</v>
      </c>
      <c r="P22" s="2">
        <f t="shared" ref="P22:P32" si="16">L22+M22+N22+O22</f>
        <v>268011.89999999997</v>
      </c>
      <c r="Q22" s="2"/>
      <c r="R22" s="2"/>
      <c r="S22" s="2"/>
    </row>
    <row r="23" spans="1:19" ht="58.5" customHeight="1">
      <c r="A23" s="15"/>
      <c r="B23" s="21" t="s">
        <v>25</v>
      </c>
      <c r="C23" s="2">
        <v>866119</v>
      </c>
      <c r="D23" s="2">
        <v>484497</v>
      </c>
      <c r="E23" s="2">
        <v>406103</v>
      </c>
      <c r="F23" s="2">
        <v>682288</v>
      </c>
      <c r="G23" s="2">
        <f t="shared" si="11"/>
        <v>2439007</v>
      </c>
      <c r="H23" s="2">
        <v>44.42</v>
      </c>
      <c r="I23" s="2">
        <v>43.08</v>
      </c>
      <c r="J23" s="2">
        <v>5.96</v>
      </c>
      <c r="K23" s="2">
        <v>6.57</v>
      </c>
      <c r="L23" s="2">
        <f t="shared" si="12"/>
        <v>33310936.740000002</v>
      </c>
      <c r="M23" s="2">
        <f t="shared" si="13"/>
        <v>18633754.620000001</v>
      </c>
      <c r="N23" s="2">
        <f t="shared" si="14"/>
        <v>14826820.529999999</v>
      </c>
      <c r="O23" s="2">
        <f t="shared" si="15"/>
        <v>24910334.879999999</v>
      </c>
      <c r="P23" s="2">
        <f t="shared" si="16"/>
        <v>91681846.769999996</v>
      </c>
      <c r="Q23" s="2"/>
      <c r="R23" s="2"/>
      <c r="S23" s="2"/>
    </row>
    <row r="24" spans="1:19" ht="58.5" customHeight="1">
      <c r="A24" s="15"/>
      <c r="B24" s="21" t="s">
        <v>26</v>
      </c>
      <c r="C24" s="2">
        <v>1071177</v>
      </c>
      <c r="D24" s="2">
        <v>636505</v>
      </c>
      <c r="E24" s="2">
        <v>509472</v>
      </c>
      <c r="F24" s="2">
        <v>894553</v>
      </c>
      <c r="G24" s="2">
        <f t="shared" si="11"/>
        <v>3111707</v>
      </c>
      <c r="H24" s="2">
        <v>45.38</v>
      </c>
      <c r="I24" s="2">
        <v>44.11</v>
      </c>
      <c r="J24" s="2">
        <v>6.92</v>
      </c>
      <c r="K24" s="2">
        <v>7.61</v>
      </c>
      <c r="L24" s="2">
        <f t="shared" si="12"/>
        <v>41197467.420000002</v>
      </c>
      <c r="M24" s="2">
        <f t="shared" si="13"/>
        <v>24479982.300000001</v>
      </c>
      <c r="N24" s="2">
        <f t="shared" si="14"/>
        <v>18595728</v>
      </c>
      <c r="O24" s="2">
        <f t="shared" si="15"/>
        <v>32651184.5</v>
      </c>
      <c r="P24" s="2">
        <f t="shared" si="16"/>
        <v>116924362.22</v>
      </c>
      <c r="Q24" s="2"/>
      <c r="R24" s="2"/>
      <c r="S24" s="2"/>
    </row>
    <row r="25" spans="1:19" ht="51.75" customHeight="1">
      <c r="A25" s="15"/>
      <c r="B25" s="21" t="s">
        <v>10</v>
      </c>
      <c r="C25" s="2">
        <v>1547</v>
      </c>
      <c r="D25" s="2">
        <v>1139</v>
      </c>
      <c r="E25" s="2">
        <v>1085</v>
      </c>
      <c r="F25" s="2">
        <v>1529</v>
      </c>
      <c r="G25" s="2">
        <f t="shared" si="11"/>
        <v>5300</v>
      </c>
      <c r="H25" s="2">
        <v>44.42</v>
      </c>
      <c r="I25" s="2">
        <v>43.08</v>
      </c>
      <c r="J25" s="2">
        <v>5.96</v>
      </c>
      <c r="K25" s="2">
        <v>6.57</v>
      </c>
      <c r="L25" s="2">
        <f t="shared" si="12"/>
        <v>59497.62</v>
      </c>
      <c r="M25" s="2">
        <f t="shared" si="13"/>
        <v>43805.94</v>
      </c>
      <c r="N25" s="2">
        <f t="shared" si="14"/>
        <v>39613.35</v>
      </c>
      <c r="O25" s="2">
        <f t="shared" si="15"/>
        <v>55823.789999999994</v>
      </c>
      <c r="P25" s="2">
        <f t="shared" si="16"/>
        <v>198740.7</v>
      </c>
      <c r="Q25" s="2"/>
      <c r="R25" s="2"/>
      <c r="S25" s="2"/>
    </row>
    <row r="26" spans="1:19" ht="51.75" customHeight="1">
      <c r="A26" s="15"/>
      <c r="B26" s="21" t="s">
        <v>11</v>
      </c>
      <c r="C26" s="2">
        <v>2501</v>
      </c>
      <c r="D26" s="2">
        <v>1013</v>
      </c>
      <c r="E26" s="2">
        <v>524</v>
      </c>
      <c r="F26" s="2">
        <v>612</v>
      </c>
      <c r="G26" s="2">
        <f t="shared" si="11"/>
        <v>4650</v>
      </c>
      <c r="H26" s="2">
        <v>44.42</v>
      </c>
      <c r="I26" s="2">
        <v>43.08</v>
      </c>
      <c r="J26" s="2">
        <v>5.96</v>
      </c>
      <c r="K26" s="2">
        <v>6.57</v>
      </c>
      <c r="L26" s="2">
        <f t="shared" si="12"/>
        <v>96188.46</v>
      </c>
      <c r="M26" s="2">
        <f t="shared" si="13"/>
        <v>38959.980000000003</v>
      </c>
      <c r="N26" s="2">
        <f t="shared" si="14"/>
        <v>19131.239999999998</v>
      </c>
      <c r="O26" s="2">
        <f t="shared" si="15"/>
        <v>22344.12</v>
      </c>
      <c r="P26" s="2">
        <f t="shared" si="16"/>
        <v>176623.8</v>
      </c>
      <c r="Q26" s="2"/>
      <c r="R26" s="2"/>
      <c r="S26" s="2"/>
    </row>
    <row r="27" spans="1:19" ht="51.75" customHeight="1">
      <c r="A27" s="15"/>
      <c r="B27" s="21" t="s">
        <v>12</v>
      </c>
      <c r="C27" s="2">
        <v>894</v>
      </c>
      <c r="D27" s="2">
        <v>897</v>
      </c>
      <c r="E27" s="2">
        <v>1126</v>
      </c>
      <c r="F27" s="2">
        <v>4320</v>
      </c>
      <c r="G27" s="2">
        <f t="shared" si="11"/>
        <v>7237</v>
      </c>
      <c r="H27" s="2">
        <v>45.38</v>
      </c>
      <c r="I27" s="2">
        <v>44.11</v>
      </c>
      <c r="J27" s="2">
        <v>6.92</v>
      </c>
      <c r="K27" s="2">
        <v>7.61</v>
      </c>
      <c r="L27" s="2">
        <f t="shared" si="12"/>
        <v>34383.24</v>
      </c>
      <c r="M27" s="2">
        <f t="shared" si="13"/>
        <v>34498.620000000003</v>
      </c>
      <c r="N27" s="2">
        <f t="shared" si="14"/>
        <v>41099</v>
      </c>
      <c r="O27" s="2">
        <f t="shared" si="15"/>
        <v>157680</v>
      </c>
      <c r="P27" s="2">
        <f t="shared" si="16"/>
        <v>267660.86</v>
      </c>
      <c r="Q27" s="2"/>
      <c r="R27" s="2"/>
      <c r="S27" s="2"/>
    </row>
    <row r="28" spans="1:19" ht="51.75" customHeight="1">
      <c r="A28" s="15"/>
      <c r="B28" s="21" t="s">
        <v>13</v>
      </c>
      <c r="C28" s="2">
        <v>701</v>
      </c>
      <c r="D28" s="2">
        <v>233</v>
      </c>
      <c r="E28" s="2">
        <v>186</v>
      </c>
      <c r="F28" s="2">
        <v>1433</v>
      </c>
      <c r="G28" s="2">
        <f t="shared" si="11"/>
        <v>2553</v>
      </c>
      <c r="H28" s="2">
        <v>45.38</v>
      </c>
      <c r="I28" s="2">
        <v>44.11</v>
      </c>
      <c r="J28" s="2">
        <v>6.92</v>
      </c>
      <c r="K28" s="2">
        <v>7.61</v>
      </c>
      <c r="L28" s="2">
        <f t="shared" si="12"/>
        <v>26960.46</v>
      </c>
      <c r="M28" s="2">
        <f t="shared" si="13"/>
        <v>8961.18</v>
      </c>
      <c r="N28" s="2">
        <f t="shared" si="14"/>
        <v>6789</v>
      </c>
      <c r="O28" s="2">
        <f t="shared" si="15"/>
        <v>52304.5</v>
      </c>
      <c r="P28" s="2">
        <f t="shared" si="16"/>
        <v>95015.14</v>
      </c>
      <c r="Q28" s="2"/>
      <c r="R28" s="2"/>
      <c r="S28" s="2"/>
    </row>
    <row r="29" spans="1:19" ht="51.75" customHeight="1">
      <c r="A29" s="15"/>
      <c r="B29" s="21" t="s">
        <v>14</v>
      </c>
      <c r="C29" s="2">
        <v>2800</v>
      </c>
      <c r="D29" s="2">
        <v>447</v>
      </c>
      <c r="E29" s="2">
        <v>290</v>
      </c>
      <c r="F29" s="2">
        <v>2190</v>
      </c>
      <c r="G29" s="2">
        <f t="shared" si="11"/>
        <v>5727</v>
      </c>
      <c r="H29" s="2">
        <v>41</v>
      </c>
      <c r="I29" s="2">
        <v>39.56</v>
      </c>
      <c r="J29" s="2">
        <v>2.5499999999999998</v>
      </c>
      <c r="K29" s="2">
        <v>3.06</v>
      </c>
      <c r="L29" s="2">
        <f t="shared" si="12"/>
        <v>107660.00000000001</v>
      </c>
      <c r="M29" s="2">
        <f t="shared" si="13"/>
        <v>17187.150000000001</v>
      </c>
      <c r="N29" s="2">
        <f t="shared" si="14"/>
        <v>10585</v>
      </c>
      <c r="O29" s="2">
        <f t="shared" si="15"/>
        <v>79935</v>
      </c>
      <c r="P29" s="2">
        <f t="shared" si="16"/>
        <v>215367.15000000002</v>
      </c>
      <c r="Q29" s="2"/>
      <c r="R29" s="2"/>
      <c r="S29" s="2"/>
    </row>
    <row r="30" spans="1:19" ht="51.75" customHeight="1">
      <c r="A30" s="15"/>
      <c r="B30" s="21" t="s">
        <v>15</v>
      </c>
      <c r="C30" s="2">
        <v>258354</v>
      </c>
      <c r="D30" s="2">
        <v>208933</v>
      </c>
      <c r="E30" s="2">
        <v>186671</v>
      </c>
      <c r="F30" s="2">
        <v>269359</v>
      </c>
      <c r="G30" s="2">
        <f t="shared" si="11"/>
        <v>923317</v>
      </c>
      <c r="H30" s="2">
        <v>41</v>
      </c>
      <c r="I30" s="2">
        <v>39.56</v>
      </c>
      <c r="J30" s="2">
        <v>2.5499999999999998</v>
      </c>
      <c r="K30" s="2">
        <v>3.06</v>
      </c>
      <c r="L30" s="2">
        <f t="shared" si="12"/>
        <v>9933711.3000000007</v>
      </c>
      <c r="M30" s="2">
        <f t="shared" si="13"/>
        <v>8033473.8500000006</v>
      </c>
      <c r="N30" s="2">
        <f t="shared" si="14"/>
        <v>6813491.5</v>
      </c>
      <c r="O30" s="2">
        <f t="shared" si="15"/>
        <v>9831603.5</v>
      </c>
      <c r="P30" s="2">
        <f t="shared" si="16"/>
        <v>34612280.150000006</v>
      </c>
      <c r="Q30" s="2"/>
      <c r="R30" s="2"/>
      <c r="S30" s="2"/>
    </row>
    <row r="31" spans="1:19" ht="51.75" customHeight="1">
      <c r="A31" s="15"/>
      <c r="B31" s="21" t="s">
        <v>16</v>
      </c>
      <c r="C31" s="2">
        <v>684191</v>
      </c>
      <c r="D31" s="2">
        <v>262020</v>
      </c>
      <c r="E31" s="2">
        <v>166011</v>
      </c>
      <c r="F31" s="2">
        <v>481355</v>
      </c>
      <c r="G31" s="2">
        <f t="shared" si="11"/>
        <v>1593577</v>
      </c>
      <c r="H31" s="2">
        <v>41</v>
      </c>
      <c r="I31" s="2">
        <v>39.56</v>
      </c>
      <c r="J31" s="2">
        <v>2.5499999999999998</v>
      </c>
      <c r="K31" s="2">
        <v>3.06</v>
      </c>
      <c r="L31" s="2">
        <f t="shared" si="12"/>
        <v>26307143.950000003</v>
      </c>
      <c r="M31" s="2">
        <f t="shared" si="13"/>
        <v>10074669</v>
      </c>
      <c r="N31" s="2">
        <f t="shared" si="14"/>
        <v>6059401.5</v>
      </c>
      <c r="O31" s="2">
        <f t="shared" si="15"/>
        <v>17569457.5</v>
      </c>
      <c r="P31" s="2">
        <f t="shared" si="16"/>
        <v>60010671.950000003</v>
      </c>
      <c r="Q31" s="2"/>
      <c r="R31" s="2"/>
      <c r="S31" s="2"/>
    </row>
    <row r="32" spans="1:19" ht="50.25" customHeight="1">
      <c r="A32" s="15"/>
      <c r="B32" s="21" t="s">
        <v>17</v>
      </c>
      <c r="C32" s="2">
        <v>1078826</v>
      </c>
      <c r="D32" s="2">
        <v>240472</v>
      </c>
      <c r="E32" s="2">
        <v>554531</v>
      </c>
      <c r="F32" s="2">
        <v>1190000</v>
      </c>
      <c r="G32" s="2">
        <f t="shared" si="11"/>
        <v>3063829</v>
      </c>
      <c r="H32" s="2">
        <v>41</v>
      </c>
      <c r="I32" s="2">
        <v>39.56</v>
      </c>
      <c r="J32" s="2">
        <v>2.5499999999999998</v>
      </c>
      <c r="K32" s="4">
        <f>3.06*0+9.69</f>
        <v>9.69</v>
      </c>
      <c r="L32" s="2">
        <f t="shared" si="12"/>
        <v>41480859.700000003</v>
      </c>
      <c r="M32" s="2">
        <f t="shared" si="13"/>
        <v>9246148.4000000004</v>
      </c>
      <c r="N32" s="2">
        <f t="shared" si="14"/>
        <v>16563840.970000003</v>
      </c>
      <c r="O32" s="2">
        <f t="shared" si="15"/>
        <v>35545300.000000007</v>
      </c>
      <c r="P32" s="2">
        <f t="shared" si="16"/>
        <v>102836149.07000002</v>
      </c>
      <c r="Q32" s="2"/>
      <c r="R32" s="2"/>
      <c r="S32" s="2"/>
    </row>
    <row r="33" spans="1:19" ht="37.5" customHeight="1">
      <c r="A33" s="15"/>
      <c r="B33" s="20" t="s">
        <v>6</v>
      </c>
      <c r="C33" s="2">
        <f>SUM(C22:C32)</f>
        <v>3970755</v>
      </c>
      <c r="D33" s="2">
        <f t="shared" ref="D33:G33" si="17">SUM(D22:D32)</f>
        <v>1836363</v>
      </c>
      <c r="E33" s="2">
        <f t="shared" si="17"/>
        <v>1826452</v>
      </c>
      <c r="F33" s="2">
        <f t="shared" si="17"/>
        <v>3530471</v>
      </c>
      <c r="G33" s="2">
        <f t="shared" si="17"/>
        <v>11164041</v>
      </c>
      <c r="H33" s="2"/>
      <c r="I33" s="2"/>
      <c r="J33" s="2"/>
      <c r="K33" s="2"/>
      <c r="L33" s="2">
        <f t="shared" ref="L33:P33" si="18">SUM(L22:L32)</f>
        <v>152694959.13999999</v>
      </c>
      <c r="M33" s="2">
        <f t="shared" si="18"/>
        <v>70619400.189999998</v>
      </c>
      <c r="N33" s="2">
        <f t="shared" ref="N33" si="19">SUM(N22:N32)</f>
        <v>62993034.590000004</v>
      </c>
      <c r="O33" s="2">
        <f t="shared" si="18"/>
        <v>120979335.78999999</v>
      </c>
      <c r="P33" s="2">
        <f t="shared" si="18"/>
        <v>407286729.71000004</v>
      </c>
      <c r="Q33" s="2">
        <v>63872688.640000001</v>
      </c>
      <c r="R33" s="2">
        <f>O33/3</f>
        <v>40326445.263333328</v>
      </c>
      <c r="S33" s="2">
        <f>P33+Q33-R33</f>
        <v>430832973.0866667</v>
      </c>
    </row>
    <row r="34" spans="1:19" ht="66" customHeight="1">
      <c r="A34" s="15" t="s">
        <v>51</v>
      </c>
      <c r="B34" s="20" t="s">
        <v>28</v>
      </c>
      <c r="C34" s="2">
        <v>133021</v>
      </c>
      <c r="D34" s="2">
        <v>90859</v>
      </c>
      <c r="E34" s="2">
        <v>83098</v>
      </c>
      <c r="F34" s="2">
        <v>94508</v>
      </c>
      <c r="G34" s="2">
        <f t="shared" ref="G34:G45" si="20">C34+D34+E34+F34</f>
        <v>401486</v>
      </c>
      <c r="H34" s="2">
        <v>4.8899999999999997</v>
      </c>
      <c r="I34" s="2">
        <v>5.13</v>
      </c>
      <c r="J34" s="2">
        <v>3.82</v>
      </c>
      <c r="K34" s="2">
        <v>4.09</v>
      </c>
      <c r="L34" s="2">
        <f t="shared" ref="L34:L45" si="21">(H34-J34)*C34</f>
        <v>142332.46999999997</v>
      </c>
      <c r="M34" s="2">
        <f t="shared" ref="M34:M45" si="22">(H34-J34)*D34</f>
        <v>97219.12999999999</v>
      </c>
      <c r="N34" s="2">
        <f>($I34-$K34)*E34</f>
        <v>86421.92</v>
      </c>
      <c r="O34" s="2">
        <f>($I34-$K34)*F34</f>
        <v>98288.320000000007</v>
      </c>
      <c r="P34" s="2">
        <f t="shared" ref="P34:P45" si="23">L34+M34+N34+O34</f>
        <v>424261.83999999997</v>
      </c>
      <c r="Q34" s="2"/>
      <c r="R34" s="2"/>
      <c r="S34" s="2"/>
    </row>
    <row r="35" spans="1:19" ht="66" customHeight="1">
      <c r="A35" s="15"/>
      <c r="B35" s="20" t="s">
        <v>29</v>
      </c>
      <c r="C35" s="2">
        <v>55806</v>
      </c>
      <c r="D35" s="2">
        <v>37841</v>
      </c>
      <c r="E35" s="2">
        <v>32833</v>
      </c>
      <c r="F35" s="2">
        <v>38850</v>
      </c>
      <c r="G35" s="2">
        <f t="shared" si="20"/>
        <v>165330</v>
      </c>
      <c r="H35" s="2">
        <v>1.54</v>
      </c>
      <c r="I35" s="2">
        <v>1.77</v>
      </c>
      <c r="J35" s="2">
        <v>1.38</v>
      </c>
      <c r="K35" s="2">
        <v>1.48</v>
      </c>
      <c r="L35" s="2">
        <f t="shared" si="21"/>
        <v>8928.9600000000082</v>
      </c>
      <c r="M35" s="2">
        <f t="shared" si="22"/>
        <v>6054.5600000000049</v>
      </c>
      <c r="N35" s="2">
        <f>($I35-$K35)*E35</f>
        <v>9521.5700000000015</v>
      </c>
      <c r="O35" s="2">
        <f>($I35-$K35)*F35</f>
        <v>11266.500000000002</v>
      </c>
      <c r="P35" s="2">
        <f t="shared" si="23"/>
        <v>35771.590000000018</v>
      </c>
      <c r="Q35" s="2"/>
      <c r="R35" s="2"/>
      <c r="S35" s="2"/>
    </row>
    <row r="36" spans="1:19" ht="66" customHeight="1">
      <c r="A36" s="15"/>
      <c r="B36" s="20" t="s">
        <v>27</v>
      </c>
      <c r="C36" s="2">
        <v>6156209</v>
      </c>
      <c r="D36" s="2">
        <v>4716973</v>
      </c>
      <c r="E36" s="2">
        <f>4533869+91</f>
        <v>4533960</v>
      </c>
      <c r="F36" s="2">
        <v>5263349</v>
      </c>
      <c r="G36" s="2">
        <f t="shared" si="20"/>
        <v>20670491</v>
      </c>
      <c r="H36" s="2">
        <v>4.25</v>
      </c>
      <c r="I36" s="2">
        <v>4.47</v>
      </c>
      <c r="J36" s="2">
        <v>3.57</v>
      </c>
      <c r="K36" s="2">
        <v>3.83</v>
      </c>
      <c r="L36" s="2">
        <f t="shared" si="21"/>
        <v>4186222.120000001</v>
      </c>
      <c r="M36" s="2">
        <f t="shared" si="22"/>
        <v>3207541.6400000006</v>
      </c>
      <c r="N36" s="2">
        <f>($I36-$K36)*4533869+91*(H36-J36)</f>
        <v>2901738.0399999986</v>
      </c>
      <c r="O36" s="2">
        <f t="shared" ref="O36:O45" si="24">($I36-$K36)*F36</f>
        <v>3368543.3599999985</v>
      </c>
      <c r="P36" s="2">
        <f t="shared" si="23"/>
        <v>13664045.16</v>
      </c>
      <c r="Q36" s="2"/>
      <c r="R36" s="2"/>
      <c r="S36" s="2"/>
    </row>
    <row r="37" spans="1:19" ht="66" customHeight="1">
      <c r="A37" s="15"/>
      <c r="B37" s="20" t="s">
        <v>30</v>
      </c>
      <c r="C37" s="2">
        <v>23225</v>
      </c>
      <c r="D37" s="2">
        <v>11113</v>
      </c>
      <c r="E37" s="2">
        <v>8748</v>
      </c>
      <c r="F37" s="2">
        <v>15858</v>
      </c>
      <c r="G37" s="2">
        <f t="shared" si="20"/>
        <v>58944</v>
      </c>
      <c r="H37" s="2">
        <v>3.67</v>
      </c>
      <c r="I37" s="2">
        <v>3.85</v>
      </c>
      <c r="J37" s="2">
        <v>2.88</v>
      </c>
      <c r="K37" s="2">
        <v>3.08</v>
      </c>
      <c r="L37" s="2">
        <f t="shared" si="21"/>
        <v>18347.75</v>
      </c>
      <c r="M37" s="2">
        <f t="shared" si="22"/>
        <v>8779.27</v>
      </c>
      <c r="N37" s="2">
        <f>($I37-$K37)*E37</f>
        <v>6735.96</v>
      </c>
      <c r="O37" s="2">
        <f t="shared" si="24"/>
        <v>12210.66</v>
      </c>
      <c r="P37" s="2">
        <f t="shared" si="23"/>
        <v>46073.64</v>
      </c>
      <c r="Q37" s="2"/>
      <c r="R37" s="2"/>
      <c r="S37" s="2"/>
    </row>
    <row r="38" spans="1:19" ht="66" customHeight="1">
      <c r="A38" s="15"/>
      <c r="B38" s="20" t="s">
        <v>31</v>
      </c>
      <c r="C38" s="2">
        <v>11474</v>
      </c>
      <c r="D38" s="2">
        <v>5847</v>
      </c>
      <c r="E38" s="2">
        <v>3468</v>
      </c>
      <c r="F38" s="2">
        <v>7544</v>
      </c>
      <c r="G38" s="2">
        <f t="shared" si="20"/>
        <v>28333</v>
      </c>
      <c r="H38" s="2">
        <v>1.1499999999999999</v>
      </c>
      <c r="I38" s="2">
        <v>1.32</v>
      </c>
      <c r="J38" s="2">
        <v>1.04</v>
      </c>
      <c r="K38" s="2">
        <v>1.1200000000000001</v>
      </c>
      <c r="L38" s="2">
        <f t="shared" si="21"/>
        <v>1262.1399999999985</v>
      </c>
      <c r="M38" s="2">
        <f t="shared" si="22"/>
        <v>643.16999999999928</v>
      </c>
      <c r="N38" s="2">
        <f>($I38-$K38)*E38</f>
        <v>693.5999999999998</v>
      </c>
      <c r="O38" s="2">
        <f t="shared" si="24"/>
        <v>1508.7999999999997</v>
      </c>
      <c r="P38" s="2">
        <f t="shared" si="23"/>
        <v>4107.7099999999973</v>
      </c>
      <c r="Q38" s="2"/>
      <c r="R38" s="2"/>
      <c r="S38" s="2"/>
    </row>
    <row r="39" spans="1:19" ht="66" customHeight="1">
      <c r="A39" s="15"/>
      <c r="B39" s="20" t="s">
        <v>35</v>
      </c>
      <c r="C39" s="2">
        <v>1366920</v>
      </c>
      <c r="D39" s="2">
        <v>1036835</v>
      </c>
      <c r="E39" s="2">
        <f>972757-1085</f>
        <v>971672</v>
      </c>
      <c r="F39" s="2">
        <v>1158154</v>
      </c>
      <c r="G39" s="2">
        <f t="shared" si="20"/>
        <v>4533581</v>
      </c>
      <c r="H39" s="2">
        <v>3.19</v>
      </c>
      <c r="I39" s="2">
        <v>3.35</v>
      </c>
      <c r="J39" s="2">
        <v>2.68</v>
      </c>
      <c r="K39" s="2">
        <v>2.88</v>
      </c>
      <c r="L39" s="2">
        <f t="shared" si="21"/>
        <v>697129.19999999972</v>
      </c>
      <c r="M39" s="2">
        <f t="shared" si="22"/>
        <v>528785.84999999974</v>
      </c>
      <c r="N39" s="2">
        <f>($I39-$K39)*972757-1085*(H39-J39)</f>
        <v>456642.44000000024</v>
      </c>
      <c r="O39" s="2">
        <f t="shared" si="24"/>
        <v>544332.38000000024</v>
      </c>
      <c r="P39" s="2">
        <f t="shared" si="23"/>
        <v>2226889.8699999996</v>
      </c>
      <c r="Q39" s="2"/>
      <c r="R39" s="2"/>
      <c r="S39" s="2"/>
    </row>
    <row r="40" spans="1:19" ht="67.5" customHeight="1">
      <c r="A40" s="15"/>
      <c r="B40" s="21" t="s">
        <v>34</v>
      </c>
      <c r="C40" s="2">
        <v>10496</v>
      </c>
      <c r="D40" s="2">
        <v>7832</v>
      </c>
      <c r="E40" s="2">
        <v>7025</v>
      </c>
      <c r="F40" s="2">
        <v>7953</v>
      </c>
      <c r="G40" s="2">
        <f t="shared" si="20"/>
        <v>33306</v>
      </c>
      <c r="H40" s="2">
        <v>3.19</v>
      </c>
      <c r="I40" s="2">
        <v>3.35</v>
      </c>
      <c r="J40" s="2">
        <v>2.68</v>
      </c>
      <c r="K40" s="2">
        <v>2.88</v>
      </c>
      <c r="L40" s="2">
        <f t="shared" si="21"/>
        <v>5352.9599999999973</v>
      </c>
      <c r="M40" s="2">
        <f t="shared" si="22"/>
        <v>3994.3199999999983</v>
      </c>
      <c r="N40" s="2">
        <f>($I40-$K40)*E40</f>
        <v>3301.7500000000014</v>
      </c>
      <c r="O40" s="2">
        <f t="shared" si="24"/>
        <v>3737.9100000000017</v>
      </c>
      <c r="P40" s="2">
        <f t="shared" si="23"/>
        <v>16386.939999999999</v>
      </c>
      <c r="Q40" s="2"/>
      <c r="R40" s="2"/>
      <c r="S40" s="2"/>
    </row>
    <row r="41" spans="1:19" ht="67.5" customHeight="1">
      <c r="A41" s="15"/>
      <c r="B41" s="21" t="s">
        <v>38</v>
      </c>
      <c r="C41" s="2">
        <v>2675</v>
      </c>
      <c r="D41" s="2">
        <v>2500</v>
      </c>
      <c r="E41" s="2">
        <v>1822</v>
      </c>
      <c r="F41" s="2">
        <v>2115</v>
      </c>
      <c r="G41" s="2">
        <f t="shared" si="20"/>
        <v>9112</v>
      </c>
      <c r="H41" s="2">
        <v>4.8899999999999997</v>
      </c>
      <c r="I41" s="2">
        <v>5.13</v>
      </c>
      <c r="J41" s="2">
        <v>3.82</v>
      </c>
      <c r="K41" s="2">
        <v>4.09</v>
      </c>
      <c r="L41" s="2">
        <f t="shared" si="21"/>
        <v>2862.2499999999995</v>
      </c>
      <c r="M41" s="2">
        <f t="shared" si="22"/>
        <v>2674.9999999999995</v>
      </c>
      <c r="N41" s="2">
        <f>($I41-$K41)*E41</f>
        <v>1894.88</v>
      </c>
      <c r="O41" s="2">
        <f t="shared" si="24"/>
        <v>2199.6</v>
      </c>
      <c r="P41" s="2">
        <f t="shared" si="23"/>
        <v>9631.73</v>
      </c>
      <c r="Q41" s="2"/>
      <c r="R41" s="2"/>
      <c r="S41" s="2"/>
    </row>
    <row r="42" spans="1:19" ht="67.5" customHeight="1">
      <c r="A42" s="15"/>
      <c r="B42" s="21" t="s">
        <v>37</v>
      </c>
      <c r="C42" s="2">
        <v>1949</v>
      </c>
      <c r="D42" s="2">
        <v>1257</v>
      </c>
      <c r="E42" s="2">
        <v>983</v>
      </c>
      <c r="F42" s="2">
        <v>1245</v>
      </c>
      <c r="G42" s="2">
        <f t="shared" si="20"/>
        <v>5434</v>
      </c>
      <c r="H42" s="2">
        <v>1.54</v>
      </c>
      <c r="I42" s="2">
        <v>1.77</v>
      </c>
      <c r="J42" s="2">
        <v>1.38</v>
      </c>
      <c r="K42" s="2">
        <v>1.48</v>
      </c>
      <c r="L42" s="2">
        <f t="shared" si="21"/>
        <v>311.84000000000026</v>
      </c>
      <c r="M42" s="2">
        <f t="shared" si="22"/>
        <v>201.12000000000018</v>
      </c>
      <c r="N42" s="2">
        <f>($I42-$K42)*E42</f>
        <v>285.07000000000005</v>
      </c>
      <c r="O42" s="2">
        <f t="shared" si="24"/>
        <v>361.05000000000007</v>
      </c>
      <c r="P42" s="2">
        <f t="shared" si="23"/>
        <v>1159.0800000000006</v>
      </c>
      <c r="Q42" s="2"/>
      <c r="R42" s="2"/>
      <c r="S42" s="2"/>
    </row>
    <row r="43" spans="1:19" ht="67.5" customHeight="1">
      <c r="A43" s="15"/>
      <c r="B43" s="21" t="s">
        <v>36</v>
      </c>
      <c r="C43" s="2">
        <v>190968</v>
      </c>
      <c r="D43" s="2">
        <v>129754</v>
      </c>
      <c r="E43" s="2">
        <f>99381+428</f>
        <v>99809</v>
      </c>
      <c r="F43" s="2">
        <v>149415</v>
      </c>
      <c r="G43" s="2">
        <f t="shared" si="20"/>
        <v>569946</v>
      </c>
      <c r="H43" s="2">
        <v>4.25</v>
      </c>
      <c r="I43" s="2">
        <v>4.47</v>
      </c>
      <c r="J43" s="2">
        <v>3.57</v>
      </c>
      <c r="K43" s="2">
        <v>3.83</v>
      </c>
      <c r="L43" s="2">
        <f t="shared" si="21"/>
        <v>129858.24000000003</v>
      </c>
      <c r="M43" s="2">
        <f t="shared" si="22"/>
        <v>88232.720000000016</v>
      </c>
      <c r="N43" s="2">
        <f>($I43-$K43)*99381+428*(H43-J43)</f>
        <v>63894.879999999968</v>
      </c>
      <c r="O43" s="2">
        <f t="shared" si="24"/>
        <v>95625.599999999948</v>
      </c>
      <c r="P43" s="2">
        <f t="shared" si="23"/>
        <v>377611.43999999994</v>
      </c>
      <c r="Q43" s="2"/>
      <c r="R43" s="2"/>
      <c r="S43" s="2"/>
    </row>
    <row r="44" spans="1:19" ht="67.5" customHeight="1">
      <c r="A44" s="15"/>
      <c r="B44" s="21" t="s">
        <v>32</v>
      </c>
      <c r="C44" s="2">
        <v>125540</v>
      </c>
      <c r="D44" s="2">
        <v>200037</v>
      </c>
      <c r="E44" s="2">
        <v>257500</v>
      </c>
      <c r="F44" s="2">
        <v>100800</v>
      </c>
      <c r="G44" s="2">
        <f t="shared" si="20"/>
        <v>683877</v>
      </c>
      <c r="H44" s="2">
        <v>3.02</v>
      </c>
      <c r="I44" s="2">
        <v>3.18</v>
      </c>
      <c r="J44" s="2">
        <v>2.5299999999999998</v>
      </c>
      <c r="K44" s="2">
        <v>2.73</v>
      </c>
      <c r="L44" s="2">
        <f t="shared" si="21"/>
        <v>61514.600000000028</v>
      </c>
      <c r="M44" s="2">
        <f t="shared" si="22"/>
        <v>98018.130000000048</v>
      </c>
      <c r="N44" s="2">
        <f>($I44-$K44)*E44</f>
        <v>115875.00000000004</v>
      </c>
      <c r="O44" s="2">
        <f t="shared" si="24"/>
        <v>45360.000000000015</v>
      </c>
      <c r="P44" s="2">
        <f t="shared" si="23"/>
        <v>320767.7300000001</v>
      </c>
      <c r="Q44" s="2"/>
      <c r="R44" s="2"/>
      <c r="S44" s="2"/>
    </row>
    <row r="45" spans="1:19" ht="67.5" customHeight="1">
      <c r="A45" s="15"/>
      <c r="B45" s="21" t="s">
        <v>33</v>
      </c>
      <c r="C45" s="2">
        <v>206018</v>
      </c>
      <c r="D45" s="2">
        <v>108055</v>
      </c>
      <c r="E45" s="2">
        <v>114047</v>
      </c>
      <c r="F45" s="2">
        <v>221545</v>
      </c>
      <c r="G45" s="2">
        <f t="shared" si="20"/>
        <v>649665</v>
      </c>
      <c r="H45" s="2">
        <v>4.25</v>
      </c>
      <c r="I45" s="2">
        <v>4.47</v>
      </c>
      <c r="J45" s="2">
        <v>3.57</v>
      </c>
      <c r="K45" s="2">
        <v>3.83</v>
      </c>
      <c r="L45" s="2">
        <f t="shared" si="21"/>
        <v>140092.24000000002</v>
      </c>
      <c r="M45" s="2">
        <f t="shared" si="22"/>
        <v>73477.400000000023</v>
      </c>
      <c r="N45" s="2">
        <f>($I45-$K45)*E45</f>
        <v>72990.079999999958</v>
      </c>
      <c r="O45" s="2">
        <f t="shared" si="24"/>
        <v>141788.79999999993</v>
      </c>
      <c r="P45" s="2">
        <f t="shared" si="23"/>
        <v>428348.5199999999</v>
      </c>
      <c r="Q45" s="2"/>
      <c r="R45" s="2"/>
      <c r="S45" s="2"/>
    </row>
    <row r="46" spans="1:19" ht="36" customHeight="1">
      <c r="A46" s="15"/>
      <c r="B46" s="20" t="s">
        <v>6</v>
      </c>
      <c r="C46" s="2">
        <f>SUM(C34:C45)</f>
        <v>8284301</v>
      </c>
      <c r="D46" s="2">
        <f t="shared" ref="D46:G46" si="25">SUM(D34:D45)</f>
        <v>6348903</v>
      </c>
      <c r="E46" s="2">
        <f t="shared" si="25"/>
        <v>6114965</v>
      </c>
      <c r="F46" s="2">
        <f t="shared" si="25"/>
        <v>7061336</v>
      </c>
      <c r="G46" s="2">
        <f t="shared" si="25"/>
        <v>27809505</v>
      </c>
      <c r="H46" s="2"/>
      <c r="I46" s="2"/>
      <c r="J46" s="2"/>
      <c r="K46" s="2"/>
      <c r="L46" s="2">
        <f>SUM(L34:L45)</f>
        <v>5394214.7700000005</v>
      </c>
      <c r="M46" s="2">
        <f t="shared" ref="M46:P46" si="26">SUM(M34:M45)</f>
        <v>4115622.31</v>
      </c>
      <c r="N46" s="2">
        <f t="shared" ref="N46" si="27">SUM(N34:N45)</f>
        <v>3719995.189999999</v>
      </c>
      <c r="O46" s="2">
        <f t="shared" si="26"/>
        <v>4325222.9799999986</v>
      </c>
      <c r="P46" s="2">
        <f t="shared" si="26"/>
        <v>17555055.25</v>
      </c>
      <c r="Q46" s="2">
        <v>1534244.28</v>
      </c>
      <c r="R46" s="2">
        <f>O46/3</f>
        <v>1441740.9933333329</v>
      </c>
      <c r="S46" s="2">
        <f>P46+Q46-R46</f>
        <v>17647558.536666669</v>
      </c>
    </row>
    <row r="47" spans="1:19" ht="51.75" customHeight="1">
      <c r="A47" s="15" t="s">
        <v>9</v>
      </c>
      <c r="B47" s="20" t="s">
        <v>21</v>
      </c>
      <c r="C47" s="2">
        <v>1984523</v>
      </c>
      <c r="D47" s="2">
        <v>894025</v>
      </c>
      <c r="E47" s="2">
        <v>0</v>
      </c>
      <c r="F47" s="2">
        <f>1449644*0</f>
        <v>0</v>
      </c>
      <c r="G47" s="2">
        <f t="shared" ref="G47:G56" si="28">C47+D47+E47+F47</f>
        <v>2878548</v>
      </c>
      <c r="H47" s="2">
        <v>39.81</v>
      </c>
      <c r="I47" s="2">
        <v>39.81</v>
      </c>
      <c r="J47" s="2">
        <v>3.43</v>
      </c>
      <c r="K47" s="2">
        <v>3.59</v>
      </c>
      <c r="L47" s="2">
        <f t="shared" ref="L47:L56" si="29">(H47-J47)*C47</f>
        <v>72196946.74000001</v>
      </c>
      <c r="M47" s="2">
        <f t="shared" ref="M47:M56" si="30">(H47-J47)*D47</f>
        <v>32524629.500000004</v>
      </c>
      <c r="N47" s="2">
        <f t="shared" ref="N47:N56" si="31">($I47-$K47)*E47</f>
        <v>0</v>
      </c>
      <c r="O47" s="2">
        <f t="shared" ref="O47:O56" si="32">($I47-$K47)*F47</f>
        <v>0</v>
      </c>
      <c r="P47" s="2">
        <f t="shared" ref="P47:P56" si="33">L47+M47+N47+O47</f>
        <v>104721576.24000001</v>
      </c>
      <c r="Q47" s="2"/>
      <c r="R47" s="2"/>
      <c r="S47" s="2"/>
    </row>
    <row r="48" spans="1:19" ht="51.75" customHeight="1">
      <c r="A48" s="15"/>
      <c r="B48" s="21" t="s">
        <v>22</v>
      </c>
      <c r="C48" s="2">
        <v>966058</v>
      </c>
      <c r="D48" s="2">
        <v>423469</v>
      </c>
      <c r="E48" s="2">
        <v>0</v>
      </c>
      <c r="F48" s="2">
        <f>654408*0</f>
        <v>0</v>
      </c>
      <c r="G48" s="2">
        <f t="shared" si="28"/>
        <v>1389527</v>
      </c>
      <c r="H48" s="2">
        <v>39.81</v>
      </c>
      <c r="I48" s="2">
        <v>39.81</v>
      </c>
      <c r="J48" s="2">
        <v>1.08</v>
      </c>
      <c r="K48" s="2">
        <v>1.23</v>
      </c>
      <c r="L48" s="2">
        <f t="shared" si="29"/>
        <v>37415426.340000004</v>
      </c>
      <c r="M48" s="2">
        <f t="shared" si="30"/>
        <v>16400954.370000001</v>
      </c>
      <c r="N48" s="2">
        <f t="shared" si="31"/>
        <v>0</v>
      </c>
      <c r="O48" s="2">
        <f t="shared" si="32"/>
        <v>0</v>
      </c>
      <c r="P48" s="2">
        <f t="shared" si="33"/>
        <v>53816380.710000008</v>
      </c>
      <c r="Q48" s="2"/>
      <c r="R48" s="2"/>
      <c r="S48" s="2"/>
    </row>
    <row r="49" spans="1:20" ht="39" customHeight="1">
      <c r="A49" s="15"/>
      <c r="B49" s="20" t="s">
        <v>20</v>
      </c>
      <c r="C49" s="2">
        <v>3356233</v>
      </c>
      <c r="D49" s="2">
        <v>1703957</v>
      </c>
      <c r="E49" s="2">
        <v>0</v>
      </c>
      <c r="F49" s="2">
        <f>2843711*0</f>
        <v>0</v>
      </c>
      <c r="G49" s="2">
        <f t="shared" si="28"/>
        <v>5060190</v>
      </c>
      <c r="H49" s="2">
        <v>39.81</v>
      </c>
      <c r="I49" s="2">
        <v>39.81</v>
      </c>
      <c r="J49" s="2">
        <v>2.98</v>
      </c>
      <c r="K49" s="2">
        <v>3.13</v>
      </c>
      <c r="L49" s="2">
        <f t="shared" si="29"/>
        <v>123610061.39000002</v>
      </c>
      <c r="M49" s="2">
        <f t="shared" si="30"/>
        <v>62756736.31000001</v>
      </c>
      <c r="N49" s="2">
        <f t="shared" si="31"/>
        <v>0</v>
      </c>
      <c r="O49" s="2">
        <f t="shared" si="32"/>
        <v>0</v>
      </c>
      <c r="P49" s="2">
        <f t="shared" si="33"/>
        <v>186366797.70000002</v>
      </c>
      <c r="Q49" s="2"/>
      <c r="R49" s="2"/>
      <c r="S49" s="2"/>
    </row>
    <row r="50" spans="1:20" ht="39" customHeight="1">
      <c r="A50" s="15"/>
      <c r="B50" s="21" t="s">
        <v>23</v>
      </c>
      <c r="C50" s="2">
        <v>4811962</v>
      </c>
      <c r="D50" s="2">
        <v>1993097</v>
      </c>
      <c r="E50" s="2">
        <v>0</v>
      </c>
      <c r="F50" s="2">
        <f>3654068*0</f>
        <v>0</v>
      </c>
      <c r="G50" s="2">
        <f t="shared" si="28"/>
        <v>6805059</v>
      </c>
      <c r="H50" s="2">
        <v>39.81</v>
      </c>
      <c r="I50" s="2">
        <v>39.81</v>
      </c>
      <c r="J50" s="2">
        <v>7.95</v>
      </c>
      <c r="K50" s="2">
        <v>7.95</v>
      </c>
      <c r="L50" s="2">
        <f t="shared" si="29"/>
        <v>153309109.32000002</v>
      </c>
      <c r="M50" s="2">
        <f t="shared" si="30"/>
        <v>63500070.420000009</v>
      </c>
      <c r="N50" s="2">
        <f t="shared" si="31"/>
        <v>0</v>
      </c>
      <c r="O50" s="2">
        <f t="shared" si="32"/>
        <v>0</v>
      </c>
      <c r="P50" s="2">
        <f t="shared" si="33"/>
        <v>216809179.74000004</v>
      </c>
      <c r="Q50" s="2"/>
      <c r="R50" s="2"/>
      <c r="S50" s="2"/>
    </row>
    <row r="51" spans="1:20" ht="68.25" customHeight="1">
      <c r="A51" s="15"/>
      <c r="B51" s="21" t="s">
        <v>41</v>
      </c>
      <c r="C51" s="2">
        <v>211753</v>
      </c>
      <c r="D51" s="2">
        <v>94179</v>
      </c>
      <c r="E51" s="2">
        <v>0</v>
      </c>
      <c r="F51" s="2">
        <f>155603*0</f>
        <v>0</v>
      </c>
      <c r="G51" s="2">
        <f t="shared" si="28"/>
        <v>305932</v>
      </c>
      <c r="H51" s="2">
        <v>39.81</v>
      </c>
      <c r="I51" s="2">
        <v>39.81</v>
      </c>
      <c r="J51" s="2">
        <v>3.67</v>
      </c>
      <c r="K51" s="2">
        <v>3.85</v>
      </c>
      <c r="L51" s="2">
        <f t="shared" si="29"/>
        <v>7652753.4199999999</v>
      </c>
      <c r="M51" s="2">
        <f t="shared" si="30"/>
        <v>3403629.06</v>
      </c>
      <c r="N51" s="2">
        <f t="shared" si="31"/>
        <v>0</v>
      </c>
      <c r="O51" s="2">
        <f t="shared" si="32"/>
        <v>0</v>
      </c>
      <c r="P51" s="2">
        <f t="shared" si="33"/>
        <v>11056382.48</v>
      </c>
      <c r="Q51" s="2"/>
      <c r="R51" s="2"/>
      <c r="S51" s="2"/>
    </row>
    <row r="52" spans="1:20" ht="68.25" customHeight="1">
      <c r="A52" s="15"/>
      <c r="B52" s="21" t="s">
        <v>42</v>
      </c>
      <c r="C52" s="2">
        <v>97700</v>
      </c>
      <c r="D52" s="2">
        <v>41671</v>
      </c>
      <c r="E52" s="2">
        <v>0</v>
      </c>
      <c r="F52" s="2">
        <f>61839*0</f>
        <v>0</v>
      </c>
      <c r="G52" s="2">
        <f t="shared" si="28"/>
        <v>139371</v>
      </c>
      <c r="H52" s="2">
        <v>39.81</v>
      </c>
      <c r="I52" s="2">
        <v>39.81</v>
      </c>
      <c r="J52" s="2">
        <v>1.1499999999999999</v>
      </c>
      <c r="K52" s="2">
        <v>1.32</v>
      </c>
      <c r="L52" s="2">
        <f t="shared" si="29"/>
        <v>3777082.0000000005</v>
      </c>
      <c r="M52" s="2">
        <f t="shared" si="30"/>
        <v>1611000.86</v>
      </c>
      <c r="N52" s="2">
        <f t="shared" si="31"/>
        <v>0</v>
      </c>
      <c r="O52" s="2">
        <f t="shared" si="32"/>
        <v>0</v>
      </c>
      <c r="P52" s="2">
        <f t="shared" si="33"/>
        <v>5388082.8600000003</v>
      </c>
      <c r="Q52" s="2"/>
      <c r="R52" s="2"/>
      <c r="S52" s="2"/>
    </row>
    <row r="53" spans="1:20" ht="54.75" customHeight="1">
      <c r="A53" s="15"/>
      <c r="B53" s="21" t="s">
        <v>34</v>
      </c>
      <c r="C53" s="2">
        <v>159774</v>
      </c>
      <c r="D53" s="2">
        <v>60304</v>
      </c>
      <c r="E53" s="2">
        <v>0</v>
      </c>
      <c r="F53" s="2">
        <f>88366*0</f>
        <v>0</v>
      </c>
      <c r="G53" s="2">
        <f t="shared" si="28"/>
        <v>220078</v>
      </c>
      <c r="H53" s="2">
        <v>39.81</v>
      </c>
      <c r="I53" s="2">
        <v>39.81</v>
      </c>
      <c r="J53" s="2">
        <v>3.19</v>
      </c>
      <c r="K53" s="2">
        <v>3.35</v>
      </c>
      <c r="L53" s="2">
        <f t="shared" si="29"/>
        <v>5850923.8800000008</v>
      </c>
      <c r="M53" s="2">
        <f t="shared" si="30"/>
        <v>2208332.4800000004</v>
      </c>
      <c r="N53" s="2">
        <f t="shared" si="31"/>
        <v>0</v>
      </c>
      <c r="O53" s="2">
        <f t="shared" si="32"/>
        <v>0</v>
      </c>
      <c r="P53" s="2">
        <f t="shared" si="33"/>
        <v>8059256.3600000013</v>
      </c>
      <c r="Q53" s="2"/>
      <c r="R53" s="2"/>
      <c r="S53" s="2"/>
    </row>
    <row r="54" spans="1:20" ht="62.25" customHeight="1">
      <c r="A54" s="15"/>
      <c r="B54" s="21" t="s">
        <v>36</v>
      </c>
      <c r="C54" s="2">
        <v>23934</v>
      </c>
      <c r="D54" s="2">
        <v>19363</v>
      </c>
      <c r="E54" s="2">
        <v>0</v>
      </c>
      <c r="F54" s="2">
        <f>9980*0</f>
        <v>0</v>
      </c>
      <c r="G54" s="2">
        <f t="shared" si="28"/>
        <v>43297</v>
      </c>
      <c r="H54" s="2">
        <v>39.81</v>
      </c>
      <c r="I54" s="2">
        <v>39.81</v>
      </c>
      <c r="J54" s="2">
        <v>4.25</v>
      </c>
      <c r="K54" s="2">
        <v>4.47</v>
      </c>
      <c r="L54" s="2">
        <f t="shared" si="29"/>
        <v>851093.04</v>
      </c>
      <c r="M54" s="2">
        <f t="shared" si="30"/>
        <v>688548.28</v>
      </c>
      <c r="N54" s="2">
        <f t="shared" si="31"/>
        <v>0</v>
      </c>
      <c r="O54" s="2">
        <f t="shared" si="32"/>
        <v>0</v>
      </c>
      <c r="P54" s="2">
        <f t="shared" si="33"/>
        <v>1539641.32</v>
      </c>
      <c r="Q54" s="2"/>
      <c r="R54" s="2"/>
      <c r="S54" s="2"/>
    </row>
    <row r="55" spans="1:20" ht="68.25" customHeight="1">
      <c r="A55" s="15"/>
      <c r="B55" s="21" t="s">
        <v>39</v>
      </c>
      <c r="C55" s="2">
        <v>5834</v>
      </c>
      <c r="D55" s="2">
        <v>2222</v>
      </c>
      <c r="E55" s="2">
        <v>0</v>
      </c>
      <c r="F55" s="2">
        <f>1250*0</f>
        <v>0</v>
      </c>
      <c r="G55" s="2">
        <f t="shared" si="28"/>
        <v>8056</v>
      </c>
      <c r="H55" s="2">
        <v>39.81</v>
      </c>
      <c r="I55" s="2">
        <v>39.81</v>
      </c>
      <c r="J55" s="2">
        <v>4.8899999999999997</v>
      </c>
      <c r="K55" s="2">
        <v>5.13</v>
      </c>
      <c r="L55" s="2">
        <f t="shared" si="29"/>
        <v>203723.28</v>
      </c>
      <c r="M55" s="2">
        <f t="shared" si="30"/>
        <v>77592.240000000005</v>
      </c>
      <c r="N55" s="2">
        <f t="shared" si="31"/>
        <v>0</v>
      </c>
      <c r="O55" s="2">
        <f t="shared" si="32"/>
        <v>0</v>
      </c>
      <c r="P55" s="2">
        <f t="shared" si="33"/>
        <v>281315.52</v>
      </c>
      <c r="Q55" s="2"/>
      <c r="R55" s="2"/>
      <c r="S55" s="2"/>
    </row>
    <row r="56" spans="1:20" ht="68.25" customHeight="1">
      <c r="A56" s="15"/>
      <c r="B56" s="21" t="s">
        <v>40</v>
      </c>
      <c r="C56" s="2">
        <v>2977</v>
      </c>
      <c r="D56" s="2">
        <v>985</v>
      </c>
      <c r="E56" s="2">
        <v>0</v>
      </c>
      <c r="F56" s="2">
        <f>450*0</f>
        <v>0</v>
      </c>
      <c r="G56" s="2">
        <f t="shared" si="28"/>
        <v>3962</v>
      </c>
      <c r="H56" s="2">
        <v>39.81</v>
      </c>
      <c r="I56" s="2">
        <v>39.81</v>
      </c>
      <c r="J56" s="2">
        <v>1.54</v>
      </c>
      <c r="K56" s="2">
        <v>1.77</v>
      </c>
      <c r="L56" s="2">
        <f t="shared" si="29"/>
        <v>113929.79000000001</v>
      </c>
      <c r="M56" s="2">
        <f t="shared" si="30"/>
        <v>37695.950000000004</v>
      </c>
      <c r="N56" s="2">
        <f t="shared" si="31"/>
        <v>0</v>
      </c>
      <c r="O56" s="2">
        <f t="shared" si="32"/>
        <v>0</v>
      </c>
      <c r="P56" s="2">
        <f t="shared" si="33"/>
        <v>151625.74000000002</v>
      </c>
      <c r="Q56" s="2"/>
      <c r="R56" s="2"/>
      <c r="S56" s="2"/>
    </row>
    <row r="57" spans="1:20" ht="36.75" customHeight="1">
      <c r="A57" s="15"/>
      <c r="B57" s="20" t="s">
        <v>6</v>
      </c>
      <c r="C57" s="2">
        <f>SUM(C47:C56)</f>
        <v>11620748</v>
      </c>
      <c r="D57" s="2">
        <f t="shared" ref="D57:G57" si="34">SUM(D47:D56)</f>
        <v>5233272</v>
      </c>
      <c r="E57" s="2">
        <f t="shared" si="34"/>
        <v>0</v>
      </c>
      <c r="F57" s="2">
        <f t="shared" si="34"/>
        <v>0</v>
      </c>
      <c r="G57" s="2">
        <f t="shared" si="34"/>
        <v>16854020</v>
      </c>
      <c r="H57" s="2"/>
      <c r="I57" s="2"/>
      <c r="J57" s="2"/>
      <c r="K57" s="2"/>
      <c r="L57" s="2">
        <f>SUM(L47:L56)</f>
        <v>404981049.20000011</v>
      </c>
      <c r="M57" s="2">
        <f t="shared" ref="M57:P57" si="35">SUM(M47:M56)</f>
        <v>183209189.47000003</v>
      </c>
      <c r="N57" s="2">
        <f t="shared" ref="N57" si="36">SUM(N47:N56)</f>
        <v>0</v>
      </c>
      <c r="O57" s="2">
        <f>SUM(O47:O56)</f>
        <v>0</v>
      </c>
      <c r="P57" s="2">
        <f t="shared" si="35"/>
        <v>588190238.6700002</v>
      </c>
      <c r="Q57" s="2">
        <v>109339455.2</v>
      </c>
      <c r="R57" s="2">
        <f>O57/3</f>
        <v>0</v>
      </c>
      <c r="S57" s="2">
        <f>P57+Q57-R57</f>
        <v>697529693.87000024</v>
      </c>
    </row>
    <row r="58" spans="1:20" ht="51" customHeight="1">
      <c r="A58" s="15" t="s">
        <v>7</v>
      </c>
      <c r="B58" s="20" t="s">
        <v>21</v>
      </c>
      <c r="C58" s="2">
        <v>5264</v>
      </c>
      <c r="D58" s="2">
        <v>3260</v>
      </c>
      <c r="E58" s="2">
        <v>2899</v>
      </c>
      <c r="F58" s="2">
        <v>5214</v>
      </c>
      <c r="G58" s="2">
        <f>C58+D58+E58+F58</f>
        <v>16637</v>
      </c>
      <c r="H58" s="2">
        <v>71.260000000000005</v>
      </c>
      <c r="I58" s="2">
        <v>71.260000000000005</v>
      </c>
      <c r="J58" s="2">
        <v>3.43</v>
      </c>
      <c r="K58" s="2">
        <v>3.59</v>
      </c>
      <c r="L58" s="2">
        <f>(H58-J58)*C58</f>
        <v>357057.12</v>
      </c>
      <c r="M58" s="2">
        <f>(H58-J58)*D58</f>
        <v>221125.8</v>
      </c>
      <c r="N58" s="2">
        <f t="shared" ref="N58:O61" si="37">($I58-$K58)*E58</f>
        <v>196175.33000000002</v>
      </c>
      <c r="O58" s="2">
        <f t="shared" si="37"/>
        <v>352831.38</v>
      </c>
      <c r="P58" s="2">
        <f>L58+M58+N58+O58</f>
        <v>1127189.6299999999</v>
      </c>
      <c r="Q58" s="2"/>
      <c r="R58" s="2"/>
      <c r="S58" s="2"/>
    </row>
    <row r="59" spans="1:20" ht="51" customHeight="1">
      <c r="A59" s="15"/>
      <c r="B59" s="21" t="s">
        <v>22</v>
      </c>
      <c r="C59" s="2">
        <v>1910</v>
      </c>
      <c r="D59" s="2">
        <v>1062</v>
      </c>
      <c r="E59" s="2">
        <v>923</v>
      </c>
      <c r="F59" s="2">
        <v>1775</v>
      </c>
      <c r="G59" s="2">
        <f>C59+D59+E59+F59</f>
        <v>5670</v>
      </c>
      <c r="H59" s="2">
        <v>71.260000000000005</v>
      </c>
      <c r="I59" s="2">
        <v>71.260000000000005</v>
      </c>
      <c r="J59" s="2">
        <v>1.08</v>
      </c>
      <c r="K59" s="2">
        <v>1.23</v>
      </c>
      <c r="L59" s="2">
        <f>(H59-J59)*C59</f>
        <v>134043.80000000002</v>
      </c>
      <c r="M59" s="2">
        <f>(H59-J59)*D59</f>
        <v>74531.16</v>
      </c>
      <c r="N59" s="2">
        <f t="shared" si="37"/>
        <v>64637.69</v>
      </c>
      <c r="O59" s="2">
        <f t="shared" si="37"/>
        <v>124303.25</v>
      </c>
      <c r="P59" s="2">
        <f>L59+M59+N59+O59</f>
        <v>397515.9</v>
      </c>
      <c r="Q59" s="2"/>
      <c r="R59" s="2"/>
      <c r="S59" s="2"/>
    </row>
    <row r="60" spans="1:20" ht="41.25" customHeight="1">
      <c r="A60" s="15"/>
      <c r="B60" s="20" t="s">
        <v>20</v>
      </c>
      <c r="C60" s="2">
        <v>59790</v>
      </c>
      <c r="D60" s="2">
        <v>40643</v>
      </c>
      <c r="E60" s="2">
        <v>47776</v>
      </c>
      <c r="F60" s="2">
        <v>43311</v>
      </c>
      <c r="G60" s="2">
        <f>C60+D60+E60+F60</f>
        <v>191520</v>
      </c>
      <c r="H60" s="2">
        <v>71.260000000000005</v>
      </c>
      <c r="I60" s="2">
        <v>71.260000000000005</v>
      </c>
      <c r="J60" s="2">
        <v>2.98</v>
      </c>
      <c r="K60" s="2">
        <v>3.13</v>
      </c>
      <c r="L60" s="2">
        <f>(H60-J60)*C60</f>
        <v>4082461.2</v>
      </c>
      <c r="M60" s="2">
        <f>(H60-J60)*D60</f>
        <v>2775104.04</v>
      </c>
      <c r="N60" s="2">
        <f t="shared" si="37"/>
        <v>3254978.8800000004</v>
      </c>
      <c r="O60" s="2">
        <f t="shared" si="37"/>
        <v>2950778.4300000006</v>
      </c>
      <c r="P60" s="2">
        <f>L60+M60+N60+O60</f>
        <v>13063322.550000001</v>
      </c>
      <c r="Q60" s="2"/>
      <c r="R60" s="2"/>
      <c r="S60" s="2"/>
    </row>
    <row r="61" spans="1:20" ht="41.25" customHeight="1">
      <c r="A61" s="15"/>
      <c r="B61" s="20" t="s">
        <v>23</v>
      </c>
      <c r="C61" s="2">
        <v>91542</v>
      </c>
      <c r="D61" s="2">
        <v>36677</v>
      </c>
      <c r="E61" s="2">
        <v>23211</v>
      </c>
      <c r="F61" s="2">
        <v>46300</v>
      </c>
      <c r="G61" s="2">
        <f>C61+D61+E61+F61</f>
        <v>197730</v>
      </c>
      <c r="H61" s="2">
        <v>71.260000000000005</v>
      </c>
      <c r="I61" s="2">
        <v>71.260000000000005</v>
      </c>
      <c r="J61" s="2">
        <v>7.95</v>
      </c>
      <c r="K61" s="2">
        <v>7.95</v>
      </c>
      <c r="L61" s="2">
        <f>(H61-J61)*C61</f>
        <v>5795524.0200000005</v>
      </c>
      <c r="M61" s="2">
        <f>(H61-J61)*D61</f>
        <v>2322020.87</v>
      </c>
      <c r="N61" s="2">
        <f t="shared" si="37"/>
        <v>1469488.4100000001</v>
      </c>
      <c r="O61" s="2">
        <f t="shared" si="37"/>
        <v>2931253</v>
      </c>
      <c r="P61" s="2">
        <f>L61+M61+N61+O61</f>
        <v>12518286.300000001</v>
      </c>
      <c r="Q61" s="2"/>
      <c r="R61" s="2"/>
      <c r="S61" s="2"/>
    </row>
    <row r="62" spans="1:20" ht="36.75" customHeight="1">
      <c r="A62" s="15"/>
      <c r="B62" s="20" t="s">
        <v>6</v>
      </c>
      <c r="C62" s="2">
        <f>SUM(C58:C61)</f>
        <v>158506</v>
      </c>
      <c r="D62" s="2">
        <f t="shared" ref="D62:G62" si="38">SUM(D58:D61)</f>
        <v>81642</v>
      </c>
      <c r="E62" s="2">
        <f t="shared" si="38"/>
        <v>74809</v>
      </c>
      <c r="F62" s="2">
        <f t="shared" si="38"/>
        <v>96600</v>
      </c>
      <c r="G62" s="2">
        <f t="shared" si="38"/>
        <v>411557</v>
      </c>
      <c r="H62" s="2"/>
      <c r="I62" s="2"/>
      <c r="J62" s="2"/>
      <c r="K62" s="2"/>
      <c r="L62" s="2">
        <f>SUM(L58:L61)</f>
        <v>10369086.140000001</v>
      </c>
      <c r="M62" s="2">
        <f t="shared" ref="M62:P62" si="39">SUM(M58:M61)</f>
        <v>5392781.8700000001</v>
      </c>
      <c r="N62" s="2">
        <f t="shared" ref="N62" si="40">SUM(N58:N61)</f>
        <v>4985280.3100000005</v>
      </c>
      <c r="O62" s="2">
        <f t="shared" si="39"/>
        <v>6359166.0600000005</v>
      </c>
      <c r="P62" s="2">
        <f t="shared" si="39"/>
        <v>27106314.380000003</v>
      </c>
      <c r="Q62" s="2">
        <v>2262784.0099999998</v>
      </c>
      <c r="R62" s="2">
        <f>O62/3</f>
        <v>2119722.02</v>
      </c>
      <c r="S62" s="2">
        <f>P62+Q62-R62</f>
        <v>27249376.370000001</v>
      </c>
    </row>
    <row r="63" spans="1:20" ht="48.75" customHeight="1">
      <c r="A63" s="22"/>
      <c r="B63" s="20" t="s">
        <v>8</v>
      </c>
      <c r="C63" s="2">
        <f>C62+C46+C57+C33+C21+C15</f>
        <v>24034310</v>
      </c>
      <c r="D63" s="2">
        <f t="shared" ref="D63:G63" si="41">D62+D46+D57+D33+D21+D15</f>
        <v>16012045</v>
      </c>
      <c r="E63" s="2">
        <f t="shared" si="41"/>
        <v>15229188</v>
      </c>
      <c r="F63" s="2">
        <f t="shared" si="41"/>
        <v>19743647</v>
      </c>
      <c r="G63" s="2">
        <f t="shared" si="41"/>
        <v>75019190</v>
      </c>
      <c r="H63" s="2"/>
      <c r="I63" s="2"/>
      <c r="J63" s="2"/>
      <c r="K63" s="2"/>
      <c r="L63" s="2">
        <f>L62+L46+L57+L33+L21+L15</f>
        <v>573439309.25000012</v>
      </c>
      <c r="M63" s="2">
        <f t="shared" ref="M63:O63" si="42">M62+M46+M57+M33+M21+M15</f>
        <v>351370288.09000003</v>
      </c>
      <c r="N63" s="2">
        <f t="shared" si="42"/>
        <v>326238994.24000001</v>
      </c>
      <c r="O63" s="2">
        <f t="shared" si="42"/>
        <v>446457803.30000001</v>
      </c>
      <c r="P63" s="2">
        <f>P62+P46+P57+P33+P21+P15</f>
        <v>1697506394.8800004</v>
      </c>
      <c r="Q63" s="2">
        <f>Q62+Q46+Q57+Q33+Q15+Q21</f>
        <v>177009172.13</v>
      </c>
      <c r="R63" s="2">
        <f>R62+R46+R57+R33+R15+R21</f>
        <v>148819267.76666668</v>
      </c>
      <c r="S63" s="2">
        <f>S62+S46+S57+S33+S15+S21</f>
        <v>1725696299.2433341</v>
      </c>
      <c r="T63" s="23"/>
    </row>
    <row r="64" spans="1:20" ht="48.75" customHeight="1">
      <c r="A64" s="24"/>
      <c r="B64" s="25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3"/>
    </row>
    <row r="65" spans="1:19" ht="47.25" customHeight="1">
      <c r="A65" s="27"/>
      <c r="B65" s="28"/>
      <c r="C65" s="27"/>
      <c r="D65" s="27"/>
      <c r="E65" s="27"/>
      <c r="F65" s="27"/>
      <c r="G65" s="27"/>
      <c r="H65" s="27"/>
      <c r="I65" s="27"/>
      <c r="J65" s="27"/>
      <c r="K65" s="27"/>
      <c r="L65" s="29"/>
      <c r="M65" s="29"/>
      <c r="N65" s="27"/>
      <c r="O65" s="27"/>
      <c r="P65" s="27"/>
      <c r="Q65" s="6" t="s">
        <v>48</v>
      </c>
      <c r="R65" s="6"/>
      <c r="S65" s="2">
        <v>1201518635.97</v>
      </c>
    </row>
    <row r="66" spans="1:19" ht="47.25" customHeight="1">
      <c r="A66" s="27"/>
      <c r="B66" s="28"/>
      <c r="C66" s="27"/>
      <c r="D66" s="27"/>
      <c r="E66" s="27"/>
      <c r="F66" s="27"/>
      <c r="G66" s="27"/>
      <c r="H66" s="27"/>
      <c r="I66" s="27"/>
      <c r="J66" s="27"/>
      <c r="K66" s="27"/>
      <c r="L66" s="29"/>
      <c r="M66" s="29"/>
      <c r="N66" s="27"/>
      <c r="O66" s="27"/>
      <c r="P66" s="27"/>
      <c r="Q66" s="6" t="s">
        <v>58</v>
      </c>
      <c r="R66" s="6"/>
      <c r="S66" s="2">
        <v>334449766.58999997</v>
      </c>
    </row>
    <row r="67" spans="1:19" ht="47.25" customHeight="1">
      <c r="A67" s="27"/>
      <c r="B67" s="28"/>
      <c r="C67" s="27"/>
      <c r="D67" s="27"/>
      <c r="E67" s="27"/>
      <c r="F67" s="27"/>
      <c r="G67" s="27"/>
      <c r="H67" s="27"/>
      <c r="I67" s="27"/>
      <c r="J67" s="27"/>
      <c r="K67" s="27"/>
      <c r="L67" s="29"/>
      <c r="M67" s="29"/>
      <c r="N67" s="27"/>
      <c r="O67" s="27"/>
      <c r="P67" s="27"/>
      <c r="Q67" s="6" t="s">
        <v>59</v>
      </c>
      <c r="R67" s="6"/>
      <c r="S67" s="2">
        <v>105228471.37</v>
      </c>
    </row>
    <row r="68" spans="1:19" ht="47.25" customHeight="1">
      <c r="A68" s="27"/>
      <c r="B68" s="28"/>
      <c r="C68" s="27"/>
      <c r="D68" s="27"/>
      <c r="E68" s="27"/>
      <c r="F68" s="27"/>
      <c r="G68" s="27"/>
      <c r="H68" s="27"/>
      <c r="I68" s="27"/>
      <c r="J68" s="27"/>
      <c r="K68" s="27"/>
      <c r="L68" s="29"/>
      <c r="M68" s="29"/>
      <c r="N68" s="27"/>
      <c r="O68" s="27"/>
      <c r="P68" s="27"/>
      <c r="Q68" s="6"/>
      <c r="R68" s="6"/>
      <c r="S68" s="2">
        <f>-105228471.37</f>
        <v>-105228471.37</v>
      </c>
    </row>
    <row r="69" spans="1:19" ht="47.25" customHeight="1">
      <c r="A69" s="27"/>
      <c r="B69" s="28"/>
      <c r="C69" s="27"/>
      <c r="D69" s="27"/>
      <c r="E69" s="27"/>
      <c r="F69" s="27"/>
      <c r="G69" s="27"/>
      <c r="H69" s="27"/>
      <c r="I69" s="27"/>
      <c r="J69" s="27"/>
      <c r="K69" s="27"/>
      <c r="L69" s="29"/>
      <c r="M69" s="29"/>
      <c r="N69" s="27"/>
      <c r="O69" s="27"/>
      <c r="P69" s="27"/>
      <c r="Q69" s="7" t="s">
        <v>60</v>
      </c>
      <c r="R69" s="8"/>
      <c r="S69" s="2">
        <v>98200000</v>
      </c>
    </row>
    <row r="70" spans="1:19" ht="65.25" customHeight="1">
      <c r="A70" s="27"/>
      <c r="B70" s="28"/>
      <c r="C70" s="27"/>
      <c r="D70" s="27"/>
      <c r="E70" s="27"/>
      <c r="F70" s="30"/>
      <c r="G70" s="30"/>
      <c r="H70" s="30"/>
      <c r="I70" s="30"/>
      <c r="J70" s="30"/>
      <c r="K70" s="30"/>
      <c r="L70" s="31"/>
      <c r="M70" s="31"/>
      <c r="N70" s="30"/>
      <c r="O70" s="30"/>
      <c r="P70" s="27"/>
      <c r="Q70" s="6" t="s">
        <v>61</v>
      </c>
      <c r="R70" s="6"/>
      <c r="S70" s="2">
        <f>S63+S69-(S65+S66+S67+S68)</f>
        <v>287927896.68333411</v>
      </c>
    </row>
    <row r="71" spans="1:19" ht="65.25" customHeight="1">
      <c r="A71" s="27"/>
      <c r="B71" s="28"/>
      <c r="C71" s="27"/>
      <c r="D71" s="27"/>
      <c r="E71" s="27"/>
      <c r="F71" s="30"/>
      <c r="G71" s="30"/>
      <c r="H71" s="30"/>
      <c r="I71" s="30"/>
      <c r="J71" s="30"/>
      <c r="K71" s="30"/>
      <c r="L71" s="31"/>
      <c r="M71" s="31"/>
      <c r="N71" s="30"/>
      <c r="O71" s="30"/>
      <c r="P71" s="27"/>
      <c r="Q71" s="1"/>
      <c r="R71" s="1"/>
      <c r="S71" s="26"/>
    </row>
    <row r="72" spans="1:19" ht="47.25" customHeight="1">
      <c r="C72" s="23"/>
      <c r="D72" s="23"/>
      <c r="F72" s="33"/>
      <c r="G72" s="33"/>
      <c r="H72" s="33"/>
      <c r="I72" s="33"/>
      <c r="J72" s="33"/>
      <c r="K72" s="33"/>
      <c r="L72" s="34"/>
      <c r="M72" s="34"/>
      <c r="N72" s="33"/>
      <c r="O72" s="33"/>
      <c r="Q72" s="1"/>
      <c r="R72" s="1"/>
      <c r="S72" s="23"/>
    </row>
    <row r="73" spans="1:19">
      <c r="F73" s="33"/>
      <c r="G73" s="33"/>
      <c r="H73" s="33"/>
      <c r="I73" s="33"/>
      <c r="J73" s="33"/>
      <c r="K73" s="33"/>
      <c r="L73" s="34"/>
      <c r="M73" s="34"/>
      <c r="N73" s="33"/>
      <c r="O73" s="35"/>
    </row>
    <row r="74" spans="1:19">
      <c r="F74" s="33"/>
      <c r="G74" s="33"/>
      <c r="H74" s="33"/>
      <c r="I74" s="33"/>
      <c r="J74" s="33"/>
      <c r="K74" s="33"/>
      <c r="L74" s="34"/>
      <c r="M74" s="34"/>
      <c r="N74" s="33"/>
      <c r="O74" s="33"/>
    </row>
    <row r="75" spans="1:19">
      <c r="C75" s="36"/>
      <c r="D75" s="36"/>
      <c r="E75" s="36"/>
      <c r="F75" s="37"/>
      <c r="G75" s="37"/>
      <c r="H75" s="33"/>
      <c r="I75" s="33"/>
      <c r="J75" s="33"/>
      <c r="K75" s="33"/>
      <c r="L75" s="34"/>
      <c r="M75" s="34"/>
      <c r="N75" s="33"/>
      <c r="O75" s="33"/>
    </row>
    <row r="76" spans="1:19">
      <c r="C76" s="36"/>
      <c r="D76" s="36"/>
      <c r="E76" s="36"/>
      <c r="F76" s="37"/>
      <c r="G76" s="37"/>
      <c r="H76" s="33"/>
      <c r="I76" s="33"/>
      <c r="J76" s="33"/>
      <c r="K76" s="33"/>
      <c r="L76" s="34"/>
      <c r="M76" s="34"/>
      <c r="N76" s="33"/>
      <c r="O76" s="33"/>
    </row>
    <row r="77" spans="1:19">
      <c r="F77" s="33"/>
      <c r="G77" s="33"/>
      <c r="H77" s="33"/>
      <c r="I77" s="33"/>
      <c r="J77" s="33"/>
      <c r="K77" s="33"/>
      <c r="L77" s="34"/>
      <c r="M77" s="34"/>
      <c r="N77" s="33"/>
      <c r="O77" s="33"/>
    </row>
    <row r="78" spans="1:19">
      <c r="F78" s="35"/>
      <c r="G78" s="33"/>
      <c r="H78" s="33"/>
      <c r="I78" s="33"/>
      <c r="J78" s="33"/>
      <c r="K78" s="33"/>
      <c r="L78" s="34"/>
      <c r="M78" s="34"/>
      <c r="N78" s="33"/>
      <c r="O78" s="33"/>
    </row>
    <row r="79" spans="1:19">
      <c r="F79" s="33"/>
      <c r="G79" s="33"/>
      <c r="H79" s="33"/>
      <c r="I79" s="33"/>
      <c r="J79" s="33"/>
      <c r="K79" s="33"/>
      <c r="L79" s="34"/>
      <c r="M79" s="34"/>
      <c r="N79" s="33"/>
      <c r="O79" s="33"/>
    </row>
    <row r="80" spans="1:19">
      <c r="F80" s="33"/>
      <c r="G80" s="33"/>
      <c r="H80" s="33"/>
      <c r="I80" s="33"/>
      <c r="J80" s="33"/>
      <c r="K80" s="33"/>
      <c r="L80" s="34"/>
      <c r="M80" s="34"/>
      <c r="N80" s="33"/>
      <c r="O80" s="33"/>
    </row>
    <row r="81" spans="6:15">
      <c r="F81" s="33"/>
      <c r="G81" s="33"/>
      <c r="H81" s="33"/>
      <c r="I81" s="33"/>
      <c r="J81" s="33"/>
      <c r="K81" s="33"/>
      <c r="L81" s="34"/>
      <c r="M81" s="34"/>
      <c r="N81" s="33"/>
      <c r="O81" s="33"/>
    </row>
  </sheetData>
  <mergeCells count="21">
    <mergeCell ref="A5:A15"/>
    <mergeCell ref="A16:A21"/>
    <mergeCell ref="R3:R4"/>
    <mergeCell ref="Q66:R66"/>
    <mergeCell ref="Q65:R65"/>
    <mergeCell ref="Q70:R70"/>
    <mergeCell ref="A58:A62"/>
    <mergeCell ref="A22:A33"/>
    <mergeCell ref="A34:A46"/>
    <mergeCell ref="A47:A57"/>
    <mergeCell ref="Q67:R68"/>
    <mergeCell ref="Q69:R69"/>
    <mergeCell ref="S3:S4"/>
    <mergeCell ref="A1:S1"/>
    <mergeCell ref="B3:B4"/>
    <mergeCell ref="A3:A4"/>
    <mergeCell ref="Q3:Q4"/>
    <mergeCell ref="C3:G3"/>
    <mergeCell ref="L3:P3"/>
    <mergeCell ref="H3:I3"/>
    <mergeCell ref="J3:K3"/>
  </mergeCells>
  <pageMargins left="0.19685039370078741" right="0.19685039370078741" top="0.98425196850393704" bottom="0.51181102362204722" header="0.31496062992125984" footer="0.31496062992125984"/>
  <pageSetup paperSize="9" scale="3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</vt:lpstr>
      <vt:lpstr>'2021'!Заголовки_для_печати</vt:lpstr>
      <vt:lpstr>'2021'!Область_печати</vt:lpstr>
    </vt:vector>
  </TitlesOfParts>
  <Company>Минестерство энергетики и связи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lubovtsova</dc:creator>
  <cp:lastModifiedBy>minfin user</cp:lastModifiedBy>
  <cp:lastPrinted>2021-12-07T06:56:19Z</cp:lastPrinted>
  <dcterms:created xsi:type="dcterms:W3CDTF">2016-01-14T10:10:37Z</dcterms:created>
  <dcterms:modified xsi:type="dcterms:W3CDTF">2021-12-07T06:56:25Z</dcterms:modified>
</cp:coreProperties>
</file>