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6380" windowHeight="8385"/>
  </bookViews>
  <sheets>
    <sheet name="прогноз СЭР" sheetId="6" r:id="rId1"/>
    <sheet name="КБ" sheetId="2" r:id="rId2"/>
    <sheet name="ОБ" sheetId="3" r:id="rId3"/>
    <sheet name="ГП" sheetId="7" state="hidden" r:id="rId4"/>
  </sheets>
  <definedNames>
    <definedName name="_xlnm.Print_Titles" localSheetId="3">ГП!$11:$12</definedName>
    <definedName name="_xlnm.Print_Area" localSheetId="3">ГП!$A$1:$J$59</definedName>
    <definedName name="_xlnm.Print_Area" localSheetId="1">КБ!$A$1:$O$23</definedName>
    <definedName name="_xlnm.Print_Area" localSheetId="2">ОБ!$A$1:$O$35</definedName>
    <definedName name="_xlnm.Print_Area" localSheetId="0">'прогноз СЭР'!$A$1:$O$24</definedName>
  </definedNames>
  <calcPr calcId="125725"/>
</workbook>
</file>

<file path=xl/calcChain.xml><?xml version="1.0" encoding="utf-8"?>
<calcChain xmlns="http://schemas.openxmlformats.org/spreadsheetml/2006/main">
  <c r="B17" i="2"/>
  <c r="B16"/>
  <c r="B19" i="3" l="1"/>
  <c r="B20" s="1"/>
  <c r="F17" i="2" l="1"/>
  <c r="G17" s="1"/>
  <c r="H17" s="1"/>
  <c r="I17" s="1"/>
  <c r="J17" s="1"/>
  <c r="K17" s="1"/>
  <c r="L17" s="1"/>
  <c r="M17" s="1"/>
  <c r="N17" s="1"/>
  <c r="O17" s="1"/>
  <c r="B31" i="3" l="1"/>
  <c r="F32" l="1"/>
  <c r="F29" s="1"/>
  <c r="F19"/>
  <c r="G19" s="1"/>
  <c r="H19" s="1"/>
  <c r="I19" s="1"/>
  <c r="J19" s="1"/>
  <c r="F17"/>
  <c r="G17" s="1"/>
  <c r="H17" s="1"/>
  <c r="I17" s="1"/>
  <c r="J17" s="1"/>
  <c r="K17" s="1"/>
  <c r="L17" s="1"/>
  <c r="M17" s="1"/>
  <c r="N17" s="1"/>
  <c r="O17" s="1"/>
  <c r="M16" i="2"/>
  <c r="M14" s="1"/>
  <c r="L16"/>
  <c r="K16"/>
  <c r="K14" s="1"/>
  <c r="J16"/>
  <c r="J14" s="1"/>
  <c r="I16"/>
  <c r="H16"/>
  <c r="G16"/>
  <c r="G14" s="1"/>
  <c r="F16"/>
  <c r="F14" s="1"/>
  <c r="D14"/>
  <c r="E14"/>
  <c r="H14"/>
  <c r="I14"/>
  <c r="L14"/>
  <c r="N14"/>
  <c r="O14"/>
  <c r="C14" i="3"/>
  <c r="D14"/>
  <c r="E14"/>
  <c r="G32"/>
  <c r="G29" s="1"/>
  <c r="G27" s="1"/>
  <c r="G25" s="1"/>
  <c r="G19" i="2" s="1"/>
  <c r="H32" i="3"/>
  <c r="H29" s="1"/>
  <c r="I32"/>
  <c r="I29" s="1"/>
  <c r="J32"/>
  <c r="J29" s="1"/>
  <c r="E33"/>
  <c r="L19" l="1"/>
  <c r="M19" s="1"/>
  <c r="N19" s="1"/>
  <c r="O19" s="1"/>
  <c r="K19"/>
  <c r="G18" i="2"/>
  <c r="H27" i="3"/>
  <c r="H25" s="1"/>
  <c r="H19" i="2" s="1"/>
  <c r="H18" s="1"/>
  <c r="I27" i="3"/>
  <c r="I25" s="1"/>
  <c r="I19" i="2" s="1"/>
  <c r="I18" s="1"/>
  <c r="J27" i="3"/>
  <c r="J25" s="1"/>
  <c r="J19" i="2" s="1"/>
  <c r="J18" s="1"/>
  <c r="K18" s="1"/>
  <c r="H14" i="3"/>
  <c r="I14"/>
  <c r="J14"/>
  <c r="K14"/>
  <c r="L14"/>
  <c r="L18" i="2" l="1"/>
  <c r="K19"/>
  <c r="J26" i="3"/>
  <c r="J21"/>
  <c r="K21" s="1"/>
  <c r="I26"/>
  <c r="I21"/>
  <c r="H26"/>
  <c r="H21"/>
  <c r="C33"/>
  <c r="M18" i="2" l="1"/>
  <c r="L19"/>
  <c r="K25" i="3"/>
  <c r="K27" s="1"/>
  <c r="K29" s="1"/>
  <c r="K32" s="1"/>
  <c r="K33" s="1"/>
  <c r="L21"/>
  <c r="N18" i="2" l="1"/>
  <c r="M19"/>
  <c r="L25" i="3"/>
  <c r="L27" s="1"/>
  <c r="L29" s="1"/>
  <c r="L32" s="1"/>
  <c r="L33" s="1"/>
  <c r="M21"/>
  <c r="N21" s="1"/>
  <c r="O21" s="1"/>
  <c r="O20"/>
  <c r="O24" s="1"/>
  <c r="N20"/>
  <c r="N24" s="1"/>
  <c r="M20"/>
  <c r="M24" s="1"/>
  <c r="L20"/>
  <c r="L24" s="1"/>
  <c r="K20"/>
  <c r="K24" s="1"/>
  <c r="K23" s="1"/>
  <c r="J20"/>
  <c r="J24" s="1"/>
  <c r="J23" s="1"/>
  <c r="I20"/>
  <c r="I24" s="1"/>
  <c r="I23" s="1"/>
  <c r="H20"/>
  <c r="H24" s="1"/>
  <c r="H23" s="1"/>
  <c r="G20"/>
  <c r="G24" s="1"/>
  <c r="F20"/>
  <c r="F24" s="1"/>
  <c r="E20"/>
  <c r="D20"/>
  <c r="D24" s="1"/>
  <c r="D23" s="1"/>
  <c r="C20"/>
  <c r="C24" s="1"/>
  <c r="C23" s="1"/>
  <c r="B24"/>
  <c r="B23" s="1"/>
  <c r="O18" i="2" l="1"/>
  <c r="O19" s="1"/>
  <c r="N19"/>
  <c r="F31" i="7" l="1"/>
  <c r="F26"/>
  <c r="F22"/>
  <c r="F21"/>
  <c r="F56"/>
  <c r="F36"/>
  <c r="H57" l="1"/>
  <c r="G14" i="3"/>
  <c r="G26" l="1"/>
  <c r="G21"/>
  <c r="G23" s="1"/>
  <c r="F20" i="7"/>
  <c r="G20"/>
  <c r="H20"/>
  <c r="I20"/>
  <c r="J20"/>
  <c r="E20"/>
  <c r="G19" l="1"/>
  <c r="G15" s="1"/>
  <c r="H19"/>
  <c r="H15" s="1"/>
  <c r="H18" s="1"/>
  <c r="I19"/>
  <c r="I15" s="1"/>
  <c r="I18" l="1"/>
  <c r="I57"/>
  <c r="J19"/>
  <c r="J57" s="1"/>
  <c r="D33" i="3" l="1"/>
  <c r="D27"/>
  <c r="F27"/>
  <c r="F25" s="1"/>
  <c r="F19" i="2" s="1"/>
  <c r="F18" s="1"/>
  <c r="E27" i="3"/>
  <c r="E24"/>
  <c r="E23" s="1"/>
  <c r="F14"/>
  <c r="E25"/>
  <c r="E26" s="1"/>
  <c r="D25"/>
  <c r="D26" s="1"/>
  <c r="E19" i="2"/>
  <c r="D19"/>
  <c r="F26" i="3" l="1"/>
  <c r="F21"/>
  <c r="F23" s="1"/>
  <c r="F19" i="7"/>
  <c r="F15" s="1"/>
  <c r="C20"/>
  <c r="D20"/>
  <c r="B20"/>
  <c r="B33" i="3"/>
  <c r="C27"/>
  <c r="B27"/>
  <c r="B14"/>
  <c r="B25" s="1"/>
  <c r="C14" i="2"/>
  <c r="C19" s="1"/>
  <c r="B14"/>
  <c r="B26" i="3" l="1"/>
  <c r="B19" i="2"/>
  <c r="B18" s="1"/>
  <c r="C25" i="3"/>
  <c r="C26" s="1"/>
  <c r="D19" i="7"/>
  <c r="D15" s="1"/>
  <c r="E19"/>
  <c r="C19"/>
  <c r="C15" s="1"/>
  <c r="B19"/>
  <c r="B15" s="1"/>
  <c r="N14" i="3"/>
  <c r="N25" s="1"/>
  <c r="N27" s="1"/>
  <c r="N29" s="1"/>
  <c r="O23"/>
  <c r="L23"/>
  <c r="M23"/>
  <c r="N23"/>
  <c r="O14"/>
  <c r="O25" s="1"/>
  <c r="O27" s="1"/>
  <c r="O29" s="1"/>
  <c r="M14"/>
  <c r="M25" s="1"/>
  <c r="M27" s="1"/>
  <c r="M29" s="1"/>
  <c r="M32" s="1"/>
  <c r="M33" s="1"/>
  <c r="L26"/>
  <c r="K26"/>
  <c r="N32" l="1"/>
  <c r="O26"/>
  <c r="N26"/>
  <c r="M26"/>
  <c r="O32" l="1"/>
  <c r="O33" s="1"/>
  <c r="N33"/>
</calcChain>
</file>

<file path=xl/sharedStrings.xml><?xml version="1.0" encoding="utf-8"?>
<sst xmlns="http://schemas.openxmlformats.org/spreadsheetml/2006/main" count="182" uniqueCount="117">
  <si>
    <t>Показатель</t>
  </si>
  <si>
    <t>1. Численность постоянного населения (среднегодовая), тыс. человек</t>
  </si>
  <si>
    <t>6. Прибыль прибыльных организаций, млрд. рублей</t>
  </si>
  <si>
    <t>ОСНОВНЫЕ ПАРАМЕТРЫ</t>
  </si>
  <si>
    <t xml:space="preserve">прогноза социально-экономического развития  </t>
  </si>
  <si>
    <t>Архангельской области</t>
  </si>
  <si>
    <t>2017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</si>
  <si>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</si>
  <si>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</si>
  <si>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</si>
  <si>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</si>
  <si>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</si>
  <si>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</si>
  <si>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</si>
  <si>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</si>
  <si>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</si>
  <si>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</si>
  <si>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5. Объем инвестиций (в основной капитал), млрд. рублей</t>
  </si>
  <si>
    <t>7. Фонд начисленной заработной платы всех работников, млрд. рублей</t>
  </si>
  <si>
    <t>8. Среднемесячная заработная плата одного работника, рублей</t>
  </si>
  <si>
    <t>Доходы</t>
  </si>
  <si>
    <t>в том числе:</t>
  </si>
  <si>
    <t>безвозмездные поступления</t>
  </si>
  <si>
    <t>Расходы</t>
  </si>
  <si>
    <t>налоговые и неналоговые доходы</t>
  </si>
  <si>
    <t xml:space="preserve">ПРОГНОЗ </t>
  </si>
  <si>
    <t xml:space="preserve">основных параметров консолидированного бюджета </t>
  </si>
  <si>
    <t>дотации из федерального бюджета (за исключением дотаций для закрытого административно-территориального образования «Мирный»)</t>
  </si>
  <si>
    <t>целевые поступления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</si>
  <si>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кредиты кредитных организаций</t>
  </si>
  <si>
    <t>бюджетные кредиты</t>
  </si>
  <si>
    <t>иные источники</t>
  </si>
  <si>
    <t>Государственный долг Архангельской области на конец года</t>
  </si>
  <si>
    <t>расходы областного бюджета без учета расходов, осуществляемых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</si>
  <si>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расходы областного бюджета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</si>
  <si>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Дефицит (–)/профицит (+)</t>
  </si>
  <si>
    <t xml:space="preserve">основных параметров областного бюджета </t>
  </si>
  <si>
    <t>2. Валовой региональный продукт, млрд. рублей</t>
  </si>
  <si>
    <t>3. Индекс промышленного производства, процентов к предыдущему году</t>
  </si>
  <si>
    <t xml:space="preserve">   из них:</t>
  </si>
  <si>
    <t>____________________</t>
  </si>
  <si>
    <t>ПРЕДЕЛЬНЫЕ ОБЪЕМЫ</t>
  </si>
  <si>
    <t>финансового обеспечения государственных и иных программ</t>
  </si>
  <si>
    <t>Архангельской области и непрограммных направлений деятельности</t>
  </si>
  <si>
    <t>Расходы областного бюджета, ВСЕГО</t>
  </si>
  <si>
    <t>из них:</t>
  </si>
  <si>
    <t>объем условно утверждаемых расходов</t>
  </si>
  <si>
    <t>Расходы областного бюджета без учета условно утверждаемых расходов</t>
  </si>
  <si>
    <t>Предельные расходы на непрограммные направления деятельности, ВСЕГО</t>
  </si>
  <si>
    <t>2016 год (отчет)</t>
  </si>
  <si>
    <t>Предельные расходы на реализацию государственных и иных программ Архангельской области, ВСЕГО</t>
  </si>
  <si>
    <t>Обеспечение мероприятий по переселению граждан из аварийного жилищного фонда и переселению граждан из аварийного жилищного фонда  с учетом необходимости развития малоэтажного строительства</t>
  </si>
  <si>
    <t>Региональная программа капитального ремонта общего имущества в многоквартирных домах, расположенных на территории Архангельской области</t>
  </si>
  <si>
    <t>Социальная программа Архангельской области на предоставление из бюджета Пенсионного фонда Российской Федерации субсидии на укрепление материально-технической базы учреждений социального обслуживания населения Архангельской области и обучение компьютерной грамотности неработающих пенсионеров</t>
  </si>
  <si>
    <t xml:space="preserve">2018 год </t>
  </si>
  <si>
    <t xml:space="preserve">Объем расходов областного бюджета без учета расходов, осуществляемых 
за счет целевых поступлений от других бюджетов бюджетной системы 
Российской Федерации и от государственной корпорации – Фонда содействия реформированию жилищно-коммунального хозяйства
</t>
  </si>
  <si>
    <t>Региональная программа Архангельской области по оказанию комплексной медико-социальной и психолого-педагогической помощи детям с расстройствами аутистического спектра, проживающим в Архангельской области, «ТЫ НЕ ОДИН!»</t>
  </si>
  <si>
    <t>4. Индекс потребительских цен (среднегодовой) к соответствующему периоду предыдущего года, процентов</t>
  </si>
  <si>
    <t xml:space="preserve">к бюджетному  прогнозу Архангельской </t>
  </si>
  <si>
    <t>области на период до 2028 года</t>
  </si>
  <si>
    <t xml:space="preserve">к бюджетному  прогнозу Архангельской     </t>
  </si>
  <si>
    <t>(млн. рублей)</t>
  </si>
  <si>
    <t xml:space="preserve">ПРИЛОЖЕНИЕ № 2                 </t>
  </si>
  <si>
    <t>Уровень дефицита (–)/профицита (+), процентов</t>
  </si>
  <si>
    <t>Уровень государственного долга, процентов</t>
  </si>
  <si>
    <t>процентов к общему объему расходов</t>
  </si>
  <si>
    <t>Программа модернизации здравоохранения Архангельской области на 2011 – 2017 годы</t>
  </si>
  <si>
    <t xml:space="preserve"> </t>
  </si>
  <si>
    <t>«Экономическое развитие и инвестиционная деятельность в Архангельской области (2014 – 2024 годы)»</t>
  </si>
  <si>
    <t>«Развитие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годы)»</t>
  </si>
  <si>
    <t>«Устойчивое развитие сельских территорий Архангельской области (2014 – 2021 годы)»</t>
  </si>
  <si>
    <t>«Эффективное государственное управление в Архангельской области (2014 – 2021 годы)»</t>
  </si>
  <si>
    <t>к бюджетному прогнозу Архангельской</t>
  </si>
  <si>
    <t>ПРИЛОЖЕНИЕ № 4</t>
  </si>
  <si>
    <t>ПРИЛОЖЕНИЕ № 3</t>
  </si>
  <si>
    <t>Нераспределенный резерв (недостаток средств "-")</t>
  </si>
  <si>
    <t>к бюджетному  прогнозу Архангельской</t>
  </si>
  <si>
    <t>(в редакции распоряжения Правительства</t>
  </si>
  <si>
    <t>Источники финансирования дефицита/направление профицита областного бюджета</t>
  </si>
  <si>
    <t xml:space="preserve">ПРИЛОЖЕНИЕ № 1                      </t>
  </si>
  <si>
    <t>«Развитие здравоохранения Архангельской области»</t>
  </si>
  <si>
    <t>«Развитие образования и науки Архангельской области»</t>
  </si>
  <si>
    <t>«Социальная поддержка граждан в Архангельской области»</t>
  </si>
  <si>
    <t>«Культура Русского Севера»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</si>
  <si>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</t>
  </si>
  <si>
    <t>«Обеспечение качественным, доступным жильем и объектами инженерной инфраструктуры населения Архангельской области»</t>
  </si>
  <si>
    <t>«Содействие занятости населения Архангельской области, улучшение условий и охраны труда»</t>
  </si>
  <si>
    <t>«Обеспечение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области»</t>
  </si>
  <si>
    <t>«Защита населения и территорий Архангельской области от чрезвычайных ситуаций, обеспечение пожарной безопасности и безопасности на водных объектах»</t>
  </si>
  <si>
    <t>«Охрана окружающей среды, воспроизводство и использование природных ресурсов Архангельской области»</t>
  </si>
  <si>
    <t>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области»</t>
  </si>
  <si>
    <t>«Формирование современной городской среды в Архангельской области»</t>
  </si>
  <si>
    <t>«Развитие торговли в Архангельской области»</t>
  </si>
  <si>
    <t>«Развитие лесного комплекса Архангельской области»</t>
  </si>
  <si>
    <t>«Развитие энергетики и жилищно-коммунального хозяйства Архангельской области»</t>
  </si>
  <si>
    <t>«Развитие транспортной системы Архангельской области»</t>
  </si>
  <si>
    <t>«Развитие инфраструктуры Соловецкого архипелага»</t>
  </si>
  <si>
    <t>«Развитие имущественно-земельных отношений  Архангельской области»</t>
  </si>
  <si>
    <t>«Управление государственными финансами и государственным долгом Архангельской области»</t>
  </si>
  <si>
    <t>«Цифровое развитие Архангельской области»</t>
  </si>
  <si>
    <t>Региональная программа «Повышение уровня финансовой грамотности населения и развитие финансового образования в Архангельской области»</t>
  </si>
  <si>
    <t>«Комплексное развитие сельских территорий»</t>
  </si>
  <si>
    <t>«Экономическое развитие и инвестиционная деятельность в Архангельской области»</t>
  </si>
  <si>
    <t>«Совершенствование государственного управления и местного самоуправления, развитие институтов гражданского общества в Архангельской области»</t>
  </si>
  <si>
    <t>-</t>
  </si>
  <si>
    <t>«Развитие физической культуры и спорта в Архангельской области»</t>
  </si>
  <si>
    <t>«Молодежь Поморья»</t>
  </si>
  <si>
    <t>от 8 февраля 2021 г. № 28-рп)</t>
  </si>
  <si>
    <t>2021 год (оценка)</t>
  </si>
  <si>
    <t>2029 год</t>
  </si>
  <si>
    <t>2030 год</t>
  </si>
  <si>
    <t>2031 год</t>
  </si>
  <si>
    <t>2032 год</t>
  </si>
  <si>
    <t>2033 год</t>
  </si>
  <si>
    <t>2034 год</t>
  </si>
  <si>
    <t xml:space="preserve">     области на период до 2034 года</t>
  </si>
  <si>
    <t>области на период до 2034 года</t>
  </si>
</sst>
</file>

<file path=xl/styles.xml><?xml version="1.0" encoding="utf-8"?>
<styleSheet xmlns="http://schemas.openxmlformats.org/spreadsheetml/2006/main">
  <numFmts count="6">
    <numFmt numFmtId="164" formatCode="_-* #,##0.00\ _р_._-;\-* #,##0.00\ _р_._-;_-* &quot;-&quot;??\ _р_._-;_-@_-"/>
    <numFmt numFmtId="165" formatCode="#,##0.0"/>
    <numFmt numFmtId="166" formatCode="0.0%"/>
    <numFmt numFmtId="167" formatCode="_-* #,##0.0\ _р_._-;\-* #,##0.0\ _р_._-;_-* &quot;-&quot;??\ _р_._-;_-@_-"/>
    <numFmt numFmtId="168" formatCode="#,##0.0_ ;\-#,##0.0\ "/>
    <numFmt numFmtId="169" formatCode="_-* #,##0.0\ _р_._-;\-* #,##0.0\ _р_._-;_-* &quot;-&quot;?\ _р_._-;_-@_-"/>
  </numFmts>
  <fonts count="31">
    <font>
      <sz val="11"/>
      <color theme="1"/>
      <name val="Calibri"/>
      <family val="2"/>
      <charset val="204"/>
      <scheme val="minor"/>
    </font>
    <font>
      <b/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.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5"/>
    </xf>
    <xf numFmtId="0" fontId="9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8" fillId="0" borderId="1" xfId="0" applyFont="1" applyBorder="1" applyAlignment="1">
      <alignment horizontal="left" vertical="center" wrapText="1"/>
    </xf>
    <xf numFmtId="165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3" xfId="4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/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68" fontId="11" fillId="3" borderId="1" xfId="4" applyNumberFormat="1" applyFont="1" applyFill="1" applyBorder="1" applyAlignment="1">
      <alignment horizontal="right" vertical="center" wrapText="1"/>
    </xf>
    <xf numFmtId="167" fontId="11" fillId="3" borderId="1" xfId="4" applyNumberFormat="1" applyFont="1" applyFill="1" applyBorder="1" applyAlignment="1">
      <alignment horizontal="right" vertical="center" wrapText="1"/>
    </xf>
    <xf numFmtId="167" fontId="16" fillId="3" borderId="1" xfId="4" applyNumberFormat="1" applyFont="1" applyFill="1" applyBorder="1" applyAlignment="1">
      <alignment horizontal="right" vertical="center" wrapText="1"/>
    </xf>
    <xf numFmtId="166" fontId="11" fillId="3" borderId="1" xfId="3" applyNumberFormat="1" applyFont="1" applyFill="1" applyBorder="1" applyAlignment="1">
      <alignment horizontal="right" vertical="center" wrapText="1"/>
    </xf>
    <xf numFmtId="165" fontId="11" fillId="3" borderId="1" xfId="4" applyNumberFormat="1" applyFont="1" applyFill="1" applyBorder="1" applyAlignment="1">
      <alignment horizontal="right" vertical="center" wrapText="1"/>
    </xf>
    <xf numFmtId="165" fontId="11" fillId="3" borderId="4" xfId="0" applyNumberFormat="1" applyFont="1" applyFill="1" applyBorder="1" applyAlignment="1">
      <alignment horizontal="right" vertical="center" wrapText="1"/>
    </xf>
    <xf numFmtId="168" fontId="16" fillId="3" borderId="1" xfId="4" applyNumberFormat="1" applyFont="1" applyFill="1" applyBorder="1" applyAlignment="1">
      <alignment horizontal="right" vertical="center" wrapText="1"/>
    </xf>
    <xf numFmtId="0" fontId="22" fillId="0" borderId="0" xfId="0" applyFont="1"/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0" fillId="0" borderId="0" xfId="0" applyFill="1" applyAlignment="1"/>
    <xf numFmtId="0" fontId="0" fillId="0" borderId="0" xfId="0" applyFill="1"/>
    <xf numFmtId="0" fontId="8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5" fontId="16" fillId="0" borderId="6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167" fontId="16" fillId="0" borderId="1" xfId="4" applyNumberFormat="1" applyFont="1" applyFill="1" applyBorder="1" applyAlignment="1">
      <alignment horizontal="right" vertical="center" wrapText="1"/>
    </xf>
    <xf numFmtId="167" fontId="11" fillId="0" borderId="1" xfId="4" applyNumberFormat="1" applyFont="1" applyFill="1" applyBorder="1" applyAlignment="1">
      <alignment horizontal="right" vertical="center" wrapText="1"/>
    </xf>
    <xf numFmtId="168" fontId="11" fillId="0" borderId="1" xfId="4" applyNumberFormat="1" applyFont="1" applyFill="1" applyBorder="1" applyAlignment="1">
      <alignment horizontal="right" vertical="center" wrapText="1"/>
    </xf>
    <xf numFmtId="166" fontId="11" fillId="0" borderId="1" xfId="3" applyNumberFormat="1" applyFont="1" applyFill="1" applyBorder="1" applyAlignment="1">
      <alignment horizontal="right" vertical="center" wrapText="1"/>
    </xf>
    <xf numFmtId="168" fontId="16" fillId="0" borderId="1" xfId="4" applyNumberFormat="1" applyFont="1" applyFill="1" applyBorder="1" applyAlignment="1">
      <alignment horizontal="right" vertical="center" wrapText="1"/>
    </xf>
    <xf numFmtId="169" fontId="16" fillId="0" borderId="1" xfId="4" applyNumberFormat="1" applyFont="1" applyFill="1" applyBorder="1" applyAlignment="1">
      <alignment horizontal="right" vertical="center" wrapText="1"/>
    </xf>
    <xf numFmtId="169" fontId="11" fillId="0" borderId="1" xfId="4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0" fontId="4" fillId="0" borderId="0" xfId="0" applyFont="1" applyAlignment="1">
      <alignment horizontal="right"/>
    </xf>
    <xf numFmtId="0" fontId="0" fillId="0" borderId="0" xfId="0"/>
    <xf numFmtId="0" fontId="25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vertical="center" wrapText="1"/>
    </xf>
    <xf numFmtId="165" fontId="27" fillId="0" borderId="1" xfId="0" applyNumberFormat="1" applyFont="1" applyBorder="1" applyAlignment="1">
      <alignment horizontal="right" vertical="center" wrapText="1"/>
    </xf>
    <xf numFmtId="165" fontId="28" fillId="3" borderId="1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 applyAlignment="1">
      <alignment horizontal="right" vertical="center" wrapText="1"/>
    </xf>
    <xf numFmtId="165" fontId="27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165" fontId="26" fillId="0" borderId="1" xfId="0" applyNumberFormat="1" applyFont="1" applyBorder="1" applyAlignment="1">
      <alignment horizontal="right" vertical="center" wrapText="1"/>
    </xf>
    <xf numFmtId="165" fontId="29" fillId="3" borderId="1" xfId="0" applyNumberFormat="1" applyFont="1" applyFill="1" applyBorder="1" applyAlignment="1">
      <alignment horizontal="right" vertical="center" wrapText="1"/>
    </xf>
    <xf numFmtId="165" fontId="29" fillId="0" borderId="1" xfId="0" applyNumberFormat="1" applyFont="1" applyFill="1" applyBorder="1" applyAlignment="1">
      <alignment horizontal="right" vertical="center" wrapText="1"/>
    </xf>
    <xf numFmtId="165" fontId="26" fillId="0" borderId="1" xfId="0" applyNumberFormat="1" applyFont="1" applyFill="1" applyBorder="1" applyAlignment="1">
      <alignment horizontal="right" vertical="center" wrapText="1"/>
    </xf>
    <xf numFmtId="165" fontId="26" fillId="0" borderId="1" xfId="4" applyNumberFormat="1" applyFont="1" applyBorder="1" applyAlignment="1">
      <alignment horizontal="right" vertical="center" wrapText="1"/>
    </xf>
    <xf numFmtId="165" fontId="29" fillId="3" borderId="1" xfId="4" applyNumberFormat="1" applyFont="1" applyFill="1" applyBorder="1" applyAlignment="1">
      <alignment horizontal="right" vertical="center" wrapText="1"/>
    </xf>
    <xf numFmtId="165" fontId="29" fillId="0" borderId="1" xfId="4" applyNumberFormat="1" applyFont="1" applyFill="1" applyBorder="1" applyAlignment="1">
      <alignment horizontal="right" vertical="center" wrapText="1"/>
    </xf>
    <xf numFmtId="165" fontId="26" fillId="0" borderId="1" xfId="4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 indent="1"/>
    </xf>
    <xf numFmtId="165" fontId="28" fillId="0" borderId="1" xfId="4" applyNumberFormat="1" applyFont="1" applyFill="1" applyBorder="1" applyAlignment="1">
      <alignment horizontal="right" vertical="center" wrapText="1"/>
    </xf>
    <xf numFmtId="165" fontId="27" fillId="0" borderId="1" xfId="4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 indent="1"/>
    </xf>
    <xf numFmtId="0" fontId="27" fillId="2" borderId="1" xfId="0" applyFont="1" applyFill="1" applyBorder="1" applyAlignment="1">
      <alignment vertical="center" wrapText="1"/>
    </xf>
    <xf numFmtId="165" fontId="27" fillId="2" borderId="1" xfId="0" applyNumberFormat="1" applyFont="1" applyFill="1" applyBorder="1" applyAlignment="1">
      <alignment horizontal="right" vertical="center" wrapText="1"/>
    </xf>
    <xf numFmtId="165" fontId="27" fillId="3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vertical="center" wrapText="1"/>
    </xf>
    <xf numFmtId="166" fontId="26" fillId="2" borderId="1" xfId="3" applyNumberFormat="1" applyFont="1" applyFill="1" applyBorder="1" applyAlignment="1">
      <alignment vertical="center" wrapText="1"/>
    </xf>
    <xf numFmtId="166" fontId="26" fillId="3" borderId="1" xfId="3" applyNumberFormat="1" applyFont="1" applyFill="1" applyBorder="1" applyAlignment="1">
      <alignment vertical="center" wrapText="1"/>
    </xf>
    <xf numFmtId="165" fontId="26" fillId="3" borderId="1" xfId="0" applyNumberFormat="1" applyFont="1" applyFill="1" applyBorder="1" applyAlignment="1">
      <alignment horizontal="right" vertical="center" wrapText="1"/>
    </xf>
    <xf numFmtId="166" fontId="26" fillId="2" borderId="1" xfId="3" applyNumberFormat="1" applyFont="1" applyFill="1" applyBorder="1" applyAlignment="1">
      <alignment vertical="center"/>
    </xf>
    <xf numFmtId="166" fontId="26" fillId="3" borderId="1" xfId="3" applyNumberFormat="1" applyFont="1" applyFill="1" applyBorder="1" applyAlignment="1">
      <alignment vertical="center"/>
    </xf>
    <xf numFmtId="0" fontId="4" fillId="0" borderId="0" xfId="0" applyFont="1" applyAlignment="1"/>
    <xf numFmtId="0" fontId="24" fillId="0" borderId="0" xfId="0" applyFont="1" applyAlignment="1"/>
    <xf numFmtId="168" fontId="0" fillId="0" borderId="0" xfId="0" applyNumberFormat="1" applyFill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5" fontId="8" fillId="0" borderId="4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/>
    <xf numFmtId="0" fontId="18" fillId="4" borderId="0" xfId="0" applyFont="1" applyFill="1"/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/>
    <xf numFmtId="165" fontId="0" fillId="2" borderId="0" xfId="0" applyNumberFormat="1" applyFont="1" applyFill="1"/>
    <xf numFmtId="165" fontId="0" fillId="0" borderId="0" xfId="0" applyNumberFormat="1"/>
    <xf numFmtId="0" fontId="1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8" fillId="3" borderId="4" xfId="0" applyNumberFormat="1" applyFont="1" applyFill="1" applyBorder="1" applyAlignment="1">
      <alignment horizontal="right" vertical="center" wrapText="1"/>
    </xf>
    <xf numFmtId="165" fontId="26" fillId="3" borderId="1" xfId="4" applyNumberFormat="1" applyFont="1" applyFill="1" applyBorder="1" applyAlignment="1">
      <alignment horizontal="right" vertical="center" wrapText="1"/>
    </xf>
    <xf numFmtId="0" fontId="18" fillId="3" borderId="1" xfId="0" applyFont="1" applyFill="1" applyBorder="1"/>
    <xf numFmtId="165" fontId="11" fillId="3" borderId="1" xfId="0" applyNumberFormat="1" applyFont="1" applyFill="1" applyBorder="1"/>
    <xf numFmtId="169" fontId="16" fillId="3" borderId="1" xfId="4" applyNumberFormat="1" applyFont="1" applyFill="1" applyBorder="1" applyAlignment="1">
      <alignment horizontal="right" vertical="center" wrapText="1"/>
    </xf>
    <xf numFmtId="169" fontId="11" fillId="3" borderId="1" xfId="4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8" fillId="3" borderId="0" xfId="0" applyFont="1" applyFill="1"/>
    <xf numFmtId="0" fontId="0" fillId="0" borderId="0" xfId="0" applyAlignment="1"/>
    <xf numFmtId="0" fontId="26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/>
    </xf>
    <xf numFmtId="165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5" xfId="4" applyNumberFormat="1" applyFont="1" applyFill="1" applyBorder="1" applyAlignment="1">
      <alignment horizontal="right" vertical="center" wrapText="1"/>
    </xf>
    <xf numFmtId="165" fontId="8" fillId="0" borderId="2" xfId="4" applyNumberFormat="1" applyFont="1" applyFill="1" applyBorder="1" applyAlignment="1">
      <alignment horizontal="right" vertical="center" wrapText="1"/>
    </xf>
    <xf numFmtId="165" fontId="10" fillId="0" borderId="2" xfId="4" applyNumberFormat="1" applyFont="1" applyFill="1" applyBorder="1" applyAlignment="1">
      <alignment horizontal="right" vertical="center" wrapText="1"/>
    </xf>
    <xf numFmtId="165" fontId="11" fillId="0" borderId="5" xfId="4" applyNumberFormat="1" applyFont="1" applyFill="1" applyBorder="1" applyAlignment="1">
      <alignment horizontal="right" vertical="center" wrapText="1"/>
    </xf>
    <xf numFmtId="165" fontId="11" fillId="0" borderId="2" xfId="4" applyNumberFormat="1" applyFont="1" applyFill="1" applyBorder="1" applyAlignment="1">
      <alignment horizontal="right" vertical="center" wrapText="1"/>
    </xf>
    <xf numFmtId="165" fontId="16" fillId="0" borderId="2" xfId="4" applyNumberFormat="1" applyFont="1" applyFill="1" applyBorder="1" applyAlignment="1">
      <alignment horizontal="right" vertical="center" wrapText="1"/>
    </xf>
    <xf numFmtId="166" fontId="26" fillId="0" borderId="1" xfId="3" applyNumberFormat="1" applyFont="1" applyFill="1" applyBorder="1" applyAlignment="1">
      <alignment vertical="center" wrapText="1"/>
    </xf>
    <xf numFmtId="166" fontId="26" fillId="0" borderId="1" xfId="3" applyNumberFormat="1" applyFont="1" applyFill="1" applyBorder="1" applyAlignment="1">
      <alignment vertical="center"/>
    </xf>
    <xf numFmtId="0" fontId="24" fillId="0" borderId="0" xfId="0" applyFont="1" applyFill="1" applyAlignment="1"/>
    <xf numFmtId="0" fontId="25" fillId="0" borderId="0" xfId="0" applyFont="1" applyFill="1" applyAlignment="1">
      <alignment horizontal="right"/>
    </xf>
    <xf numFmtId="165" fontId="10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5">
    <cellStyle name="Денежный 3" xfId="1"/>
    <cellStyle name="Обычный" xfId="0" builtinId="0"/>
    <cellStyle name="Обычный 2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80" zoomScaleNormal="80" workbookViewId="0">
      <selection activeCell="A25" sqref="A25"/>
    </sheetView>
  </sheetViews>
  <sheetFormatPr defaultRowHeight="15"/>
  <cols>
    <col min="1" max="1" width="30.5703125" customWidth="1"/>
    <col min="2" max="15" width="10.7109375" customWidth="1"/>
    <col min="16" max="16" width="0" hidden="1" customWidth="1"/>
  </cols>
  <sheetData>
    <row r="1" spans="1:16" s="73" customFormat="1" ht="7.15" customHeight="1">
      <c r="L1" s="154"/>
      <c r="M1" s="154"/>
      <c r="N1" s="154"/>
      <c r="O1" s="154"/>
    </row>
    <row r="2" spans="1:16" s="73" customFormat="1" ht="15.6" hidden="1" customHeight="1">
      <c r="L2" s="154"/>
      <c r="M2" s="154"/>
      <c r="N2" s="154"/>
      <c r="O2" s="154"/>
    </row>
    <row r="3" spans="1:16" s="73" customFormat="1" ht="18.75" hidden="1">
      <c r="L3" s="154"/>
      <c r="M3" s="154"/>
      <c r="N3" s="154"/>
      <c r="O3" s="154"/>
    </row>
    <row r="4" spans="1:16" s="73" customFormat="1" ht="18.75" hidden="1">
      <c r="L4" s="154"/>
      <c r="M4" s="154"/>
      <c r="N4" s="154"/>
      <c r="O4" s="154"/>
    </row>
    <row r="5" spans="1:16" ht="28.5" customHeight="1">
      <c r="A5" s="155" t="s">
        <v>79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6" ht="18.75">
      <c r="A6" s="2"/>
      <c r="B6" s="3"/>
      <c r="C6" s="3"/>
      <c r="D6" s="3"/>
      <c r="E6" s="3"/>
      <c r="F6" s="3"/>
      <c r="G6" s="3"/>
      <c r="H6" s="3"/>
      <c r="I6" s="3"/>
      <c r="J6" s="46"/>
      <c r="K6" s="48"/>
      <c r="L6" s="48"/>
      <c r="M6" s="48"/>
      <c r="N6" s="48"/>
      <c r="O6" s="47" t="s">
        <v>60</v>
      </c>
    </row>
    <row r="7" spans="1:16" ht="18.75">
      <c r="A7" s="2"/>
      <c r="B7" s="3"/>
      <c r="C7" s="3"/>
      <c r="D7" s="3"/>
      <c r="E7" s="3"/>
      <c r="F7" s="3"/>
      <c r="G7" s="3"/>
      <c r="H7" s="3"/>
      <c r="I7" s="3"/>
      <c r="J7" s="46"/>
      <c r="K7" s="152" t="s">
        <v>115</v>
      </c>
      <c r="L7" s="152"/>
      <c r="M7" s="152"/>
      <c r="N7" s="152"/>
      <c r="O7" s="152"/>
    </row>
    <row r="8" spans="1:16" ht="18.7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53"/>
      <c r="L8" s="153"/>
      <c r="M8" s="153"/>
      <c r="N8" s="153"/>
      <c r="O8" s="153"/>
    </row>
    <row r="9" spans="1:16" ht="30" customHeight="1">
      <c r="A9" s="150" t="s">
        <v>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1:16" ht="18.75">
      <c r="A10" s="150" t="s">
        <v>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>
        <v>1000</v>
      </c>
    </row>
    <row r="11" spans="1:16" ht="15" customHeight="1">
      <c r="A11" s="150" t="s">
        <v>5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1:16" ht="18.75">
      <c r="A12" s="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4"/>
      <c r="O12" s="4"/>
    </row>
    <row r="13" spans="1:16" ht="57.75" customHeight="1">
      <c r="A13" s="6" t="s">
        <v>0</v>
      </c>
      <c r="B13" s="6" t="s">
        <v>108</v>
      </c>
      <c r="C13" s="6" t="s">
        <v>10</v>
      </c>
      <c r="D13" s="43" t="s">
        <v>11</v>
      </c>
      <c r="E13" s="43" t="s">
        <v>12</v>
      </c>
      <c r="F13" s="57" t="s">
        <v>13</v>
      </c>
      <c r="G13" s="57" t="s">
        <v>14</v>
      </c>
      <c r="H13" s="57" t="s">
        <v>15</v>
      </c>
      <c r="I13" s="57" t="s">
        <v>16</v>
      </c>
      <c r="J13" s="6" t="s">
        <v>109</v>
      </c>
      <c r="K13" s="6" t="s">
        <v>110</v>
      </c>
      <c r="L13" s="6" t="s">
        <v>111</v>
      </c>
      <c r="M13" s="6" t="s">
        <v>112</v>
      </c>
      <c r="N13" s="6" t="s">
        <v>113</v>
      </c>
      <c r="O13" s="6" t="s">
        <v>114</v>
      </c>
    </row>
    <row r="14" spans="1:16" ht="15" customHeight="1">
      <c r="A14" s="7">
        <v>1</v>
      </c>
      <c r="B14" s="7">
        <v>2</v>
      </c>
      <c r="C14" s="7">
        <v>3</v>
      </c>
      <c r="D14" s="44">
        <v>4</v>
      </c>
      <c r="E14" s="44">
        <v>5</v>
      </c>
      <c r="F14" s="58">
        <v>6</v>
      </c>
      <c r="G14" s="58">
        <v>7</v>
      </c>
      <c r="H14" s="58">
        <v>8</v>
      </c>
      <c r="I14" s="58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6" ht="48" customHeight="1">
      <c r="A15" s="12" t="s">
        <v>1</v>
      </c>
      <c r="B15" s="13">
        <v>1077.78</v>
      </c>
      <c r="C15" s="13">
        <v>1068.3900000000001</v>
      </c>
      <c r="D15" s="135">
        <v>1059.51</v>
      </c>
      <c r="E15" s="135">
        <v>1050.83</v>
      </c>
      <c r="F15" s="13">
        <v>1042.3399999999999</v>
      </c>
      <c r="G15" s="13">
        <v>1034.3900000000001</v>
      </c>
      <c r="H15" s="135">
        <v>1027.28</v>
      </c>
      <c r="I15" s="135">
        <v>1020.92</v>
      </c>
      <c r="J15" s="135">
        <v>1015.54</v>
      </c>
      <c r="K15" s="13">
        <v>1011.51</v>
      </c>
      <c r="L15" s="13">
        <v>1008.21</v>
      </c>
      <c r="M15" s="13">
        <v>1004.99</v>
      </c>
      <c r="N15" s="13">
        <v>1001.86</v>
      </c>
      <c r="O15" s="13">
        <v>998.86</v>
      </c>
    </row>
    <row r="16" spans="1:16" ht="37.5" customHeight="1">
      <c r="A16" s="12" t="s">
        <v>37</v>
      </c>
      <c r="B16" s="13">
        <v>642.43648511000004</v>
      </c>
      <c r="C16" s="13">
        <v>679.19792411999993</v>
      </c>
      <c r="D16" s="13">
        <v>719.12901374</v>
      </c>
      <c r="E16" s="13">
        <v>786.73608239999999</v>
      </c>
      <c r="F16" s="13">
        <v>765.58060267999986</v>
      </c>
      <c r="G16" s="13">
        <v>836.67831088000003</v>
      </c>
      <c r="H16" s="13">
        <v>918.92850089000001</v>
      </c>
      <c r="I16" s="13">
        <v>918.01236403999997</v>
      </c>
      <c r="J16" s="13">
        <v>975.33529848000001</v>
      </c>
      <c r="K16" s="13">
        <v>1068.24984015</v>
      </c>
      <c r="L16" s="13">
        <v>1082.0057580599998</v>
      </c>
      <c r="M16" s="13">
        <v>1129.4223974600002</v>
      </c>
      <c r="N16" s="13">
        <v>1239.5484512100002</v>
      </c>
      <c r="O16" s="13">
        <v>1333.0743628299999</v>
      </c>
    </row>
    <row r="17" spans="1:15" ht="48" customHeight="1">
      <c r="A17" s="12" t="s">
        <v>38</v>
      </c>
      <c r="B17" s="13">
        <v>101.84</v>
      </c>
      <c r="C17" s="13">
        <v>101.73</v>
      </c>
      <c r="D17" s="13">
        <v>102.17</v>
      </c>
      <c r="E17" s="13">
        <v>109.23</v>
      </c>
      <c r="F17" s="13">
        <v>97.04</v>
      </c>
      <c r="G17" s="13">
        <v>101.19</v>
      </c>
      <c r="H17" s="13">
        <v>104.1</v>
      </c>
      <c r="I17" s="13">
        <v>95.18</v>
      </c>
      <c r="J17" s="13">
        <v>100.99</v>
      </c>
      <c r="K17" s="13">
        <v>103.31</v>
      </c>
      <c r="L17" s="13">
        <v>98.49</v>
      </c>
      <c r="M17" s="13">
        <v>100.89</v>
      </c>
      <c r="N17" s="13">
        <v>101.3</v>
      </c>
      <c r="O17" s="13">
        <v>106.44</v>
      </c>
    </row>
    <row r="18" spans="1:15" s="55" customFormat="1" ht="68.25" customHeight="1">
      <c r="A18" s="134" t="s">
        <v>57</v>
      </c>
      <c r="B18" s="13">
        <v>106.8</v>
      </c>
      <c r="C18" s="13">
        <v>104.32</v>
      </c>
      <c r="D18" s="13">
        <v>103.88</v>
      </c>
      <c r="E18" s="13">
        <v>103.97</v>
      </c>
      <c r="F18" s="13">
        <v>103.98</v>
      </c>
      <c r="G18" s="13">
        <v>104</v>
      </c>
      <c r="H18" s="13">
        <v>103.87</v>
      </c>
      <c r="I18" s="13">
        <v>103.99</v>
      </c>
      <c r="J18" s="13">
        <v>104</v>
      </c>
      <c r="K18" s="13">
        <v>104.1</v>
      </c>
      <c r="L18" s="13">
        <v>103.86</v>
      </c>
      <c r="M18" s="13">
        <v>103.74</v>
      </c>
      <c r="N18" s="13">
        <v>103.88</v>
      </c>
      <c r="O18" s="13">
        <v>104</v>
      </c>
    </row>
    <row r="19" spans="1:15" ht="49.5" customHeight="1">
      <c r="A19" s="12" t="s">
        <v>17</v>
      </c>
      <c r="B19" s="13">
        <v>117.20144999999999</v>
      </c>
      <c r="C19" s="13">
        <v>127.36235000000001</v>
      </c>
      <c r="D19" s="13">
        <v>140.41380999999998</v>
      </c>
      <c r="E19" s="13">
        <v>154.95366000000001</v>
      </c>
      <c r="F19" s="13">
        <v>161.47411</v>
      </c>
      <c r="G19" s="13">
        <v>169.27654000000001</v>
      </c>
      <c r="H19" s="13">
        <v>183.08951000000002</v>
      </c>
      <c r="I19" s="13">
        <v>193.84053</v>
      </c>
      <c r="J19" s="13">
        <v>201.99734000000001</v>
      </c>
      <c r="K19" s="13">
        <v>213.22839000000002</v>
      </c>
      <c r="L19" s="13">
        <v>223.53158999999999</v>
      </c>
      <c r="M19" s="13">
        <v>233.63522</v>
      </c>
      <c r="N19" s="13">
        <v>243.22360999999998</v>
      </c>
      <c r="O19" s="13">
        <v>255.73502999999999</v>
      </c>
    </row>
    <row r="20" spans="1:15" ht="41.25" customHeight="1">
      <c r="A20" s="12" t="s">
        <v>2</v>
      </c>
      <c r="B20" s="13">
        <v>102.0333</v>
      </c>
      <c r="C20" s="13">
        <v>105.38211</v>
      </c>
      <c r="D20" s="13">
        <v>108.153659</v>
      </c>
      <c r="E20" s="13">
        <v>111.355008</v>
      </c>
      <c r="F20" s="13">
        <v>116.03192</v>
      </c>
      <c r="G20" s="13">
        <v>120.44113</v>
      </c>
      <c r="H20" s="13">
        <v>123.81348</v>
      </c>
      <c r="I20" s="13">
        <v>127.52788000000001</v>
      </c>
      <c r="J20" s="13">
        <v>132.24641</v>
      </c>
      <c r="K20" s="13">
        <v>135.02357999999998</v>
      </c>
      <c r="L20" s="13">
        <v>136.23878999999999</v>
      </c>
      <c r="M20" s="13">
        <v>142.09706</v>
      </c>
      <c r="N20" s="13">
        <v>145.64948999999999</v>
      </c>
      <c r="O20" s="13">
        <v>151.62111999999999</v>
      </c>
    </row>
    <row r="21" spans="1:15" ht="45">
      <c r="A21" s="12" t="s">
        <v>18</v>
      </c>
      <c r="B21" s="13">
        <v>230.0275</v>
      </c>
      <c r="C21" s="13">
        <v>242.60378</v>
      </c>
      <c r="D21" s="13">
        <v>256.30979000000002</v>
      </c>
      <c r="E21" s="13">
        <v>270.83891999999997</v>
      </c>
      <c r="F21" s="13">
        <v>287.20547244985494</v>
      </c>
      <c r="G21" s="13">
        <v>304.47607297251511</v>
      </c>
      <c r="H21" s="13">
        <v>322.38707003788682</v>
      </c>
      <c r="I21" s="13">
        <v>341.73336129529923</v>
      </c>
      <c r="J21" s="13">
        <v>362.27051558132393</v>
      </c>
      <c r="K21" s="13">
        <v>384.39849453534657</v>
      </c>
      <c r="L21" s="13">
        <v>406.95392681273501</v>
      </c>
      <c r="M21" s="13">
        <v>430.34113031957429</v>
      </c>
      <c r="N21" s="13">
        <v>455.66741445429005</v>
      </c>
      <c r="O21" s="13">
        <v>483.02338091906745</v>
      </c>
    </row>
    <row r="22" spans="1:15" ht="38.25" customHeight="1">
      <c r="A22" s="12" t="s">
        <v>19</v>
      </c>
      <c r="B22" s="13">
        <v>56578.98</v>
      </c>
      <c r="C22" s="13">
        <v>60313.19</v>
      </c>
      <c r="D22" s="13">
        <v>64354.17</v>
      </c>
      <c r="E22" s="13">
        <v>68601.55</v>
      </c>
      <c r="F22" s="13">
        <v>72957.748424999998</v>
      </c>
      <c r="G22" s="13">
        <v>77605.156999672501</v>
      </c>
      <c r="H22" s="13">
        <v>82447.718796452056</v>
      </c>
      <c r="I22" s="13">
        <v>87691.393711906407</v>
      </c>
      <c r="J22" s="13">
        <v>93277.335491354854</v>
      </c>
      <c r="K22" s="13">
        <v>99312.379097645506</v>
      </c>
      <c r="L22" s="13">
        <v>105499.54031542882</v>
      </c>
      <c r="M22" s="13">
        <v>111945.56222870153</v>
      </c>
      <c r="N22" s="13">
        <v>118942.15986799537</v>
      </c>
      <c r="O22" s="13">
        <v>126518.7754515867</v>
      </c>
    </row>
    <row r="24" spans="1:15">
      <c r="K24" s="73"/>
    </row>
    <row r="25" spans="1:15">
      <c r="K25" s="73"/>
    </row>
    <row r="26" spans="1:15">
      <c r="F26" s="149"/>
      <c r="G26" s="149"/>
    </row>
  </sheetData>
  <mergeCells count="11">
    <mergeCell ref="L1:O1"/>
    <mergeCell ref="L2:O2"/>
    <mergeCell ref="L3:O3"/>
    <mergeCell ref="L4:O4"/>
    <mergeCell ref="A5:O5"/>
    <mergeCell ref="F26:G26"/>
    <mergeCell ref="A9:O9"/>
    <mergeCell ref="A10:O10"/>
    <mergeCell ref="A11:O11"/>
    <mergeCell ref="K7:O7"/>
    <mergeCell ref="K8:O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selection activeCell="A22" sqref="A22"/>
    </sheetView>
  </sheetViews>
  <sheetFormatPr defaultRowHeight="15"/>
  <cols>
    <col min="1" max="1" width="30" customWidth="1"/>
    <col min="2" max="15" width="10.7109375" customWidth="1"/>
  </cols>
  <sheetData>
    <row r="1" spans="1:15" s="73" customFormat="1" ht="6" customHeight="1">
      <c r="L1" s="154"/>
      <c r="M1" s="154"/>
      <c r="N1" s="154"/>
      <c r="O1" s="154"/>
    </row>
    <row r="2" spans="1:15" s="73" customFormat="1" ht="14.45" hidden="1" customHeight="1">
      <c r="L2" s="154"/>
      <c r="M2" s="154"/>
      <c r="N2" s="154"/>
      <c r="O2" s="154"/>
    </row>
    <row r="3" spans="1:15" s="73" customFormat="1" ht="3" customHeight="1">
      <c r="L3" s="154"/>
      <c r="M3" s="154"/>
      <c r="N3" s="154"/>
      <c r="O3" s="154"/>
    </row>
    <row r="4" spans="1:15" s="73" customFormat="1" ht="18.75" hidden="1">
      <c r="L4" s="154"/>
      <c r="M4" s="154"/>
      <c r="N4" s="154"/>
      <c r="O4" s="154"/>
    </row>
    <row r="5" spans="1:15" ht="22.9" customHeight="1">
      <c r="A5" s="155" t="s">
        <v>62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114"/>
      <c r="K6" s="114"/>
      <c r="L6" s="114"/>
      <c r="M6" s="114"/>
      <c r="N6" s="114"/>
      <c r="O6" s="113" t="s">
        <v>58</v>
      </c>
    </row>
    <row r="7" spans="1:15" ht="14.45" customHeight="1">
      <c r="A7" s="2"/>
      <c r="B7" s="3"/>
      <c r="C7" s="3"/>
      <c r="D7" s="3"/>
      <c r="E7" s="3"/>
      <c r="F7" s="3"/>
      <c r="G7" s="3"/>
      <c r="H7" s="3"/>
      <c r="I7" s="3"/>
      <c r="J7" s="114"/>
      <c r="K7" s="152" t="s">
        <v>116</v>
      </c>
      <c r="L7" s="152"/>
      <c r="M7" s="152"/>
      <c r="N7" s="152"/>
      <c r="O7" s="152"/>
    </row>
    <row r="8" spans="1:15" ht="39" customHeight="1">
      <c r="A8" s="150" t="s">
        <v>25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1:15" ht="18.75">
      <c r="A9" s="150" t="s">
        <v>26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1:15" ht="18.75">
      <c r="A10" s="150" t="s">
        <v>5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1:15" ht="33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 t="s">
        <v>61</v>
      </c>
    </row>
    <row r="12" spans="1:15" ht="48" customHeight="1">
      <c r="A12" s="9" t="s">
        <v>0</v>
      </c>
      <c r="B12" s="9" t="s">
        <v>9</v>
      </c>
      <c r="C12" s="9" t="s">
        <v>10</v>
      </c>
      <c r="D12" s="45" t="s">
        <v>11</v>
      </c>
      <c r="E12" s="45" t="s">
        <v>12</v>
      </c>
      <c r="F12" s="59" t="s">
        <v>13</v>
      </c>
      <c r="G12" s="59" t="s">
        <v>14</v>
      </c>
      <c r="H12" s="59" t="s">
        <v>15</v>
      </c>
      <c r="I12" s="59" t="s">
        <v>16</v>
      </c>
      <c r="J12" s="9" t="s">
        <v>109</v>
      </c>
      <c r="K12" s="9" t="s">
        <v>110</v>
      </c>
      <c r="L12" s="9" t="s">
        <v>111</v>
      </c>
      <c r="M12" s="9" t="s">
        <v>112</v>
      </c>
      <c r="N12" s="9" t="s">
        <v>113</v>
      </c>
      <c r="O12" s="9" t="s">
        <v>114</v>
      </c>
    </row>
    <row r="13" spans="1:15">
      <c r="A13" s="7">
        <v>1</v>
      </c>
      <c r="B13" s="7">
        <v>2</v>
      </c>
      <c r="C13" s="7">
        <v>3</v>
      </c>
      <c r="D13" s="44">
        <v>4</v>
      </c>
      <c r="E13" s="44">
        <v>5</v>
      </c>
      <c r="F13" s="58">
        <v>6</v>
      </c>
      <c r="G13" s="58">
        <v>7</v>
      </c>
      <c r="H13" s="58">
        <v>8</v>
      </c>
      <c r="I13" s="58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</row>
    <row r="14" spans="1:15" ht="31.5" customHeight="1">
      <c r="A14" s="16" t="s">
        <v>20</v>
      </c>
      <c r="B14" s="14">
        <f t="shared" ref="B14:O14" si="0">B16+B17</f>
        <v>128844.52655262999</v>
      </c>
      <c r="C14" s="14">
        <f t="shared" si="0"/>
        <v>129893.04778399999</v>
      </c>
      <c r="D14" s="14">
        <f t="shared" si="0"/>
        <v>130990.210358</v>
      </c>
      <c r="E14" s="14">
        <f t="shared" si="0"/>
        <v>135697.13504600001</v>
      </c>
      <c r="F14" s="14">
        <f t="shared" si="0"/>
        <v>140580.206598786</v>
      </c>
      <c r="G14" s="14">
        <f t="shared" si="0"/>
        <v>146370.95538193744</v>
      </c>
      <c r="H14" s="14">
        <f t="shared" si="0"/>
        <v>152223.80715812842</v>
      </c>
      <c r="I14" s="14">
        <f t="shared" si="0"/>
        <v>156826.00984676578</v>
      </c>
      <c r="J14" s="14">
        <f t="shared" si="0"/>
        <v>163564.93598383639</v>
      </c>
      <c r="K14" s="14">
        <f t="shared" si="0"/>
        <v>170274.68165047368</v>
      </c>
      <c r="L14" s="14">
        <f t="shared" si="0"/>
        <v>176792.28078008597</v>
      </c>
      <c r="M14" s="14">
        <f t="shared" si="0"/>
        <v>184211.94676853917</v>
      </c>
      <c r="N14" s="14">
        <f t="shared" si="0"/>
        <v>191900.02396466647</v>
      </c>
      <c r="O14" s="14">
        <f t="shared" si="0"/>
        <v>200283.23292325315</v>
      </c>
    </row>
    <row r="15" spans="1:15" ht="16.5" customHeight="1">
      <c r="A15" s="17" t="s">
        <v>21</v>
      </c>
      <c r="B15" s="15"/>
      <c r="C15" s="15"/>
      <c r="D15" s="38"/>
      <c r="E15" s="38"/>
      <c r="F15" s="60"/>
      <c r="G15" s="115"/>
      <c r="H15" s="124"/>
      <c r="I15" s="124"/>
      <c r="J15" s="124"/>
      <c r="K15" s="15"/>
      <c r="L15" s="15"/>
      <c r="M15" s="15"/>
      <c r="N15" s="15"/>
      <c r="O15" s="15"/>
    </row>
    <row r="16" spans="1:15" ht="31.5" customHeight="1">
      <c r="A16" s="18" t="s">
        <v>24</v>
      </c>
      <c r="B16" s="136">
        <f>ОБ!B16+15584.1408922</f>
        <v>88275.340892199994</v>
      </c>
      <c r="C16" s="136">
        <v>94081.313926999996</v>
      </c>
      <c r="D16" s="139">
        <v>98446.076405999993</v>
      </c>
      <c r="E16" s="139">
        <v>102315.664976</v>
      </c>
      <c r="F16" s="139">
        <f>106432.7-562.54598</f>
        <v>105870.15402</v>
      </c>
      <c r="G16" s="136">
        <f>110763.9-491.3993</f>
        <v>110272.50069999999</v>
      </c>
      <c r="H16" s="136">
        <f>115148.4-420.05772</f>
        <v>114728.34228</v>
      </c>
      <c r="I16" s="136">
        <f>118183.6-349.12408</f>
        <v>117834.47592000001</v>
      </c>
      <c r="J16" s="136">
        <f>123291.7-277.9593</f>
        <v>123013.74069999999</v>
      </c>
      <c r="K16" s="136">
        <f>128267.7-206.81264</f>
        <v>128060.88735999999</v>
      </c>
      <c r="L16" s="136">
        <f>133084.7-135.66597</f>
        <v>132949.03403000001</v>
      </c>
      <c r="M16" s="136">
        <f>138793.5-64.53741</f>
        <v>138728.96259000001</v>
      </c>
      <c r="N16" s="136">
        <v>144652.29999999999</v>
      </c>
      <c r="O16" s="136">
        <v>151145.60000000001</v>
      </c>
    </row>
    <row r="17" spans="1:15" ht="31.5" customHeight="1">
      <c r="A17" s="19" t="s">
        <v>22</v>
      </c>
      <c r="B17" s="137">
        <f>ОБ!B17+8.54056042999878</f>
        <v>40569.185660429997</v>
      </c>
      <c r="C17" s="137">
        <v>35811.733856999999</v>
      </c>
      <c r="D17" s="140">
        <v>32544.133952</v>
      </c>
      <c r="E17" s="140">
        <v>33381.470070000003</v>
      </c>
      <c r="F17" s="140">
        <f>E17*'прогноз СЭР'!F18/100</f>
        <v>34710.05257878601</v>
      </c>
      <c r="G17" s="140">
        <f>F17*'прогноз СЭР'!G18/100</f>
        <v>36098.454681937452</v>
      </c>
      <c r="H17" s="140">
        <f>G17*'прогноз СЭР'!H18/100</f>
        <v>37495.464878128434</v>
      </c>
      <c r="I17" s="140">
        <f>H17*'прогноз СЭР'!I18/100</f>
        <v>38991.533926765755</v>
      </c>
      <c r="J17" s="140">
        <f>I17*'прогноз СЭР'!J18/100</f>
        <v>40551.195283836387</v>
      </c>
      <c r="K17" s="140">
        <f>J17*'прогноз СЭР'!K18/100</f>
        <v>42213.794290473677</v>
      </c>
      <c r="L17" s="140">
        <f>K17*'прогноз СЭР'!L18/100</f>
        <v>43843.246750085957</v>
      </c>
      <c r="M17" s="140">
        <f>L17*'прогноз СЭР'!M18/100</f>
        <v>45482.984178539169</v>
      </c>
      <c r="N17" s="140">
        <f>M17*'прогноз СЭР'!N18/100</f>
        <v>47247.723964666489</v>
      </c>
      <c r="O17" s="140">
        <f>N17*'прогноз СЭР'!O18/100</f>
        <v>49137.63292325315</v>
      </c>
    </row>
    <row r="18" spans="1:15" ht="31.5" customHeight="1">
      <c r="A18" s="20" t="s">
        <v>23</v>
      </c>
      <c r="B18" s="138">
        <f>B14-B19</f>
        <v>139107.89475263</v>
      </c>
      <c r="C18" s="138">
        <v>138981.56866716</v>
      </c>
      <c r="D18" s="141">
        <v>135545.75567881999</v>
      </c>
      <c r="E18" s="141">
        <v>138170.20334457999</v>
      </c>
      <c r="F18" s="141">
        <f>F14-F19</f>
        <v>137773.31602668599</v>
      </c>
      <c r="G18" s="141">
        <f t="shared" ref="G18:J18" si="1">G14-G19</f>
        <v>146870.66734843745</v>
      </c>
      <c r="H18" s="141">
        <f t="shared" si="1"/>
        <v>152642.04412462842</v>
      </c>
      <c r="I18" s="141">
        <f t="shared" si="1"/>
        <v>155280.33891326579</v>
      </c>
      <c r="J18" s="141">
        <f t="shared" si="1"/>
        <v>159084.23095033641</v>
      </c>
      <c r="K18" s="138">
        <f>J18*'прогноз СЭР'!K18/100</f>
        <v>165606.68441930017</v>
      </c>
      <c r="L18" s="138">
        <f>K18*'прогноз СЭР'!L18/100</f>
        <v>171999.10243788513</v>
      </c>
      <c r="M18" s="138">
        <f>L18*'прогноз СЭР'!M18/100</f>
        <v>178431.86886906202</v>
      </c>
      <c r="N18" s="138">
        <f>M18*'прогноз СЭР'!N18/100</f>
        <v>185355.02538118162</v>
      </c>
      <c r="O18" s="138">
        <f>N18*'прогноз СЭР'!O18/100</f>
        <v>192769.22639642886</v>
      </c>
    </row>
    <row r="19" spans="1:15" ht="31.5" customHeight="1">
      <c r="A19" s="21" t="s">
        <v>35</v>
      </c>
      <c r="B19" s="146">
        <f>ОБ!B25+(-2680.8694)</f>
        <v>-10263.368200000001</v>
      </c>
      <c r="C19" s="146">
        <f t="shared" ref="C19:E19" si="2">C14-C18</f>
        <v>-9088.520883160003</v>
      </c>
      <c r="D19" s="61">
        <f t="shared" si="2"/>
        <v>-4555.5453208199906</v>
      </c>
      <c r="E19" s="61">
        <f t="shared" si="2"/>
        <v>-2473.0682985799795</v>
      </c>
      <c r="F19" s="61">
        <f>ОБ!F25+(-228.8534)</f>
        <v>2806.8905721000019</v>
      </c>
      <c r="G19" s="61">
        <f>ОБ!G25+(-28.8532999999998)</f>
        <v>-499.71196649999933</v>
      </c>
      <c r="H19" s="61">
        <f>ОБ!H25+(-70.7502999999998)</f>
        <v>-418.23696650000358</v>
      </c>
      <c r="I19" s="61">
        <f>ОБ!I25+(-50.0864000000003)</f>
        <v>1545.6709335000019</v>
      </c>
      <c r="J19" s="61">
        <f>ОБ!J25+(-82.1482999999998)</f>
        <v>4480.7050334999931</v>
      </c>
      <c r="K19" s="61">
        <f>K14-K18</f>
        <v>4667.9972311735037</v>
      </c>
      <c r="L19" s="61">
        <f t="shared" ref="L19:O19" si="3">L14-L18</f>
        <v>4793.1783422008448</v>
      </c>
      <c r="M19" s="61">
        <f t="shared" si="3"/>
        <v>5780.0778994771536</v>
      </c>
      <c r="N19" s="61">
        <f t="shared" si="3"/>
        <v>6544.9985834848485</v>
      </c>
      <c r="O19" s="61">
        <f t="shared" si="3"/>
        <v>7514.0065268242906</v>
      </c>
    </row>
    <row r="20" spans="1:1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3" spans="1:15">
      <c r="F23" s="49"/>
      <c r="G23" s="49"/>
      <c r="H23" s="49"/>
      <c r="I23" s="49"/>
    </row>
    <row r="24" spans="1:15">
      <c r="F24" s="49"/>
      <c r="G24" s="49"/>
      <c r="H24" s="49"/>
      <c r="I24" s="49"/>
    </row>
  </sheetData>
  <mergeCells count="9">
    <mergeCell ref="A8:O8"/>
    <mergeCell ref="A9:O9"/>
    <mergeCell ref="A10:O10"/>
    <mergeCell ref="A5:O5"/>
    <mergeCell ref="L1:O1"/>
    <mergeCell ref="L2:O2"/>
    <mergeCell ref="L3:O3"/>
    <mergeCell ref="L4:O4"/>
    <mergeCell ref="K7:O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opLeftCell="A5" zoomScale="70" zoomScaleNormal="70" workbookViewId="0">
      <selection activeCell="A10" sqref="A10:O10"/>
    </sheetView>
  </sheetViews>
  <sheetFormatPr defaultRowHeight="15"/>
  <cols>
    <col min="1" max="1" width="58.140625" customWidth="1"/>
    <col min="2" max="2" width="14.7109375" style="55" customWidth="1"/>
    <col min="3" max="10" width="14.7109375" customWidth="1"/>
    <col min="11" max="15" width="14.7109375" style="55" customWidth="1"/>
    <col min="17" max="17" width="16.28515625" customWidth="1"/>
  </cols>
  <sheetData>
    <row r="1" spans="1:15" s="73" customFormat="1" ht="8.4499999999999993" hidden="1" customHeight="1">
      <c r="B1" s="55"/>
      <c r="K1" s="55"/>
      <c r="L1" s="157"/>
      <c r="M1" s="157"/>
      <c r="N1" s="157"/>
      <c r="O1" s="157"/>
    </row>
    <row r="2" spans="1:15" s="73" customFormat="1" ht="18.75" hidden="1">
      <c r="B2" s="55"/>
      <c r="K2" s="55"/>
      <c r="L2" s="157"/>
      <c r="M2" s="157"/>
      <c r="N2" s="157"/>
      <c r="O2" s="157"/>
    </row>
    <row r="3" spans="1:15" s="73" customFormat="1" ht="1.1499999999999999" hidden="1" customHeight="1">
      <c r="B3" s="55"/>
      <c r="K3" s="55"/>
      <c r="L3" s="157"/>
      <c r="M3" s="157"/>
      <c r="N3" s="157"/>
      <c r="O3" s="157"/>
    </row>
    <row r="4" spans="1:15" s="73" customFormat="1" ht="18.75" hidden="1">
      <c r="B4" s="55"/>
      <c r="K4" s="55"/>
      <c r="L4" s="157"/>
      <c r="M4" s="157"/>
      <c r="N4" s="157"/>
      <c r="O4" s="157"/>
    </row>
    <row r="5" spans="1:15" ht="46.15" customHeight="1">
      <c r="A5" s="110"/>
      <c r="B5" s="144"/>
      <c r="C5" s="111"/>
      <c r="D5" s="111"/>
      <c r="E5" s="111"/>
      <c r="F5" s="111"/>
      <c r="G5" s="111"/>
      <c r="H5" s="111"/>
      <c r="I5" s="111"/>
      <c r="J5" s="111"/>
      <c r="K5" s="144"/>
      <c r="L5" s="158" t="s">
        <v>74</v>
      </c>
      <c r="M5" s="158"/>
      <c r="N5" s="158"/>
      <c r="O5" s="158"/>
    </row>
    <row r="6" spans="1:15" ht="18.75">
      <c r="A6" s="72"/>
      <c r="B6" s="145"/>
      <c r="C6" s="74"/>
      <c r="D6" s="74"/>
      <c r="E6" s="74"/>
      <c r="F6" s="74"/>
      <c r="G6" s="74"/>
      <c r="H6" s="74"/>
      <c r="I6" s="74"/>
      <c r="J6" s="74"/>
      <c r="K6" s="145"/>
      <c r="L6" s="159" t="s">
        <v>76</v>
      </c>
      <c r="M6" s="159"/>
      <c r="N6" s="159"/>
      <c r="O6" s="159"/>
    </row>
    <row r="7" spans="1:15" ht="18.75">
      <c r="A7" s="72"/>
      <c r="B7" s="145"/>
      <c r="C7" s="74"/>
      <c r="D7" s="74"/>
      <c r="E7" s="74"/>
      <c r="F7" s="74"/>
      <c r="G7" s="74"/>
      <c r="H7" s="74"/>
      <c r="I7" s="74"/>
      <c r="J7" s="74"/>
      <c r="K7" s="145"/>
      <c r="L7" s="159" t="s">
        <v>116</v>
      </c>
      <c r="M7" s="159"/>
      <c r="N7" s="159"/>
      <c r="O7" s="159"/>
    </row>
    <row r="8" spans="1:15" s="73" customFormat="1" ht="19.899999999999999" customHeight="1">
      <c r="A8" s="23"/>
      <c r="B8" s="53"/>
      <c r="C8" s="23"/>
      <c r="D8" s="23"/>
      <c r="E8" s="23"/>
      <c r="F8" s="23"/>
      <c r="G8" s="23"/>
      <c r="H8" s="23"/>
      <c r="I8" s="23"/>
      <c r="J8" s="23"/>
      <c r="K8" s="53"/>
      <c r="L8" s="147"/>
      <c r="M8" s="147"/>
      <c r="N8" s="147"/>
      <c r="O8" s="147"/>
    </row>
    <row r="9" spans="1:15" ht="31.9" customHeight="1">
      <c r="A9" s="150" t="s">
        <v>25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1:15" ht="18.75">
      <c r="A10" s="150" t="s">
        <v>36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1:15" ht="34.5" customHeight="1">
      <c r="A11" s="1"/>
      <c r="B11" s="54"/>
      <c r="C11" s="4"/>
      <c r="D11" s="4"/>
      <c r="E11" s="4"/>
      <c r="F11" s="4"/>
      <c r="G11" s="4"/>
      <c r="H11" s="4"/>
      <c r="I11" s="4"/>
      <c r="J11" s="4"/>
      <c r="K11" s="54"/>
      <c r="L11" s="54"/>
      <c r="M11" s="54"/>
      <c r="N11" s="54"/>
      <c r="O11" s="148" t="s">
        <v>61</v>
      </c>
    </row>
    <row r="12" spans="1:15" s="24" customFormat="1" ht="35.25" customHeight="1">
      <c r="A12" s="75" t="s">
        <v>0</v>
      </c>
      <c r="B12" s="77" t="s">
        <v>9</v>
      </c>
      <c r="C12" s="75" t="s">
        <v>10</v>
      </c>
      <c r="D12" s="76" t="s">
        <v>11</v>
      </c>
      <c r="E12" s="76" t="s">
        <v>12</v>
      </c>
      <c r="F12" s="77" t="s">
        <v>13</v>
      </c>
      <c r="G12" s="77" t="s">
        <v>14</v>
      </c>
      <c r="H12" s="77" t="s">
        <v>15</v>
      </c>
      <c r="I12" s="77" t="s">
        <v>16</v>
      </c>
      <c r="J12" s="75" t="s">
        <v>109</v>
      </c>
      <c r="K12" s="77" t="s">
        <v>110</v>
      </c>
      <c r="L12" s="77" t="s">
        <v>111</v>
      </c>
      <c r="M12" s="77" t="s">
        <v>112</v>
      </c>
      <c r="N12" s="77" t="s">
        <v>113</v>
      </c>
      <c r="O12" s="77" t="s">
        <v>114</v>
      </c>
    </row>
    <row r="13" spans="1:15" s="25" customFormat="1" ht="15.75" customHeight="1">
      <c r="A13" s="78">
        <v>1</v>
      </c>
      <c r="B13" s="80">
        <v>2</v>
      </c>
      <c r="C13" s="78">
        <v>3</v>
      </c>
      <c r="D13" s="79">
        <v>4</v>
      </c>
      <c r="E13" s="79">
        <v>5</v>
      </c>
      <c r="F13" s="80">
        <v>6</v>
      </c>
      <c r="G13" s="80">
        <v>7</v>
      </c>
      <c r="H13" s="80">
        <v>8</v>
      </c>
      <c r="I13" s="80">
        <v>9</v>
      </c>
      <c r="J13" s="78">
        <v>10</v>
      </c>
      <c r="K13" s="80">
        <v>11</v>
      </c>
      <c r="L13" s="80">
        <v>12</v>
      </c>
      <c r="M13" s="80">
        <v>13</v>
      </c>
      <c r="N13" s="80">
        <v>14</v>
      </c>
      <c r="O13" s="80">
        <v>15</v>
      </c>
    </row>
    <row r="14" spans="1:15" ht="24" customHeight="1">
      <c r="A14" s="81" t="s">
        <v>20</v>
      </c>
      <c r="B14" s="85">
        <f>B16+B17</f>
        <v>113251.84510000001</v>
      </c>
      <c r="C14" s="82">
        <f>C16+C17</f>
        <v>112857.72269681</v>
      </c>
      <c r="D14" s="83">
        <f t="shared" ref="D14:L14" si="0">D16+D17</f>
        <v>113115.21193258</v>
      </c>
      <c r="E14" s="83">
        <f t="shared" si="0"/>
        <v>117068.5400525</v>
      </c>
      <c r="F14" s="84">
        <f t="shared" si="0"/>
        <v>121556.4525793059</v>
      </c>
      <c r="G14" s="85">
        <f t="shared" si="0"/>
        <v>126283.35468247814</v>
      </c>
      <c r="H14" s="85">
        <f t="shared" si="0"/>
        <v>131035.26487869005</v>
      </c>
      <c r="I14" s="85">
        <f t="shared" si="0"/>
        <v>134462.33392734977</v>
      </c>
      <c r="J14" s="85">
        <f t="shared" si="0"/>
        <v>139962.29528444377</v>
      </c>
      <c r="K14" s="85">
        <f t="shared" si="0"/>
        <v>145352.89429110597</v>
      </c>
      <c r="L14" s="85">
        <f t="shared" si="0"/>
        <v>150521.24675074263</v>
      </c>
      <c r="M14" s="85">
        <f t="shared" ref="M14:O14" si="1">M16+M17</f>
        <v>156541.88417922042</v>
      </c>
      <c r="N14" s="85">
        <f t="shared" si="1"/>
        <v>162732.72396537417</v>
      </c>
      <c r="O14" s="85">
        <f t="shared" si="1"/>
        <v>169577.73292398913</v>
      </c>
    </row>
    <row r="15" spans="1:15" ht="16.5" customHeight="1">
      <c r="A15" s="86" t="s">
        <v>21</v>
      </c>
      <c r="B15" s="90"/>
      <c r="C15" s="87"/>
      <c r="D15" s="88"/>
      <c r="E15" s="88"/>
      <c r="F15" s="89"/>
      <c r="G15" s="90"/>
      <c r="H15" s="107"/>
      <c r="I15" s="107"/>
      <c r="J15" s="107"/>
      <c r="K15" s="90"/>
      <c r="L15" s="90"/>
      <c r="M15" s="90"/>
      <c r="N15" s="90"/>
      <c r="O15" s="90"/>
    </row>
    <row r="16" spans="1:15" ht="19.5" customHeight="1">
      <c r="A16" s="86" t="s">
        <v>24</v>
      </c>
      <c r="B16" s="94">
        <v>72691.199999999997</v>
      </c>
      <c r="C16" s="94">
        <v>77045.988838999998</v>
      </c>
      <c r="D16" s="93">
        <v>80571.077980000002</v>
      </c>
      <c r="E16" s="93">
        <v>83687.069982000001</v>
      </c>
      <c r="F16" s="93">
        <v>86846.399999999994</v>
      </c>
      <c r="G16" s="94">
        <v>90184.9</v>
      </c>
      <c r="H16" s="94">
        <v>93539.8</v>
      </c>
      <c r="I16" s="94">
        <v>95470.8</v>
      </c>
      <c r="J16" s="94">
        <v>99411.1</v>
      </c>
      <c r="K16" s="94">
        <v>103139.1</v>
      </c>
      <c r="L16" s="94">
        <v>106678</v>
      </c>
      <c r="M16" s="94">
        <v>111058.9</v>
      </c>
      <c r="N16" s="94">
        <v>115485</v>
      </c>
      <c r="O16" s="94">
        <v>120440.1</v>
      </c>
    </row>
    <row r="17" spans="1:17" ht="19.5" customHeight="1">
      <c r="A17" s="86" t="s">
        <v>22</v>
      </c>
      <c r="B17" s="94">
        <v>40560.645100000002</v>
      </c>
      <c r="C17" s="94">
        <v>35811.733857810003</v>
      </c>
      <c r="D17" s="93">
        <v>32544.133952579999</v>
      </c>
      <c r="E17" s="93">
        <v>33381.4700705</v>
      </c>
      <c r="F17" s="93">
        <f>E17*'прогноз СЭР'!F18/100</f>
        <v>34710.052579305906</v>
      </c>
      <c r="G17" s="94">
        <f>F17*'прогноз СЭР'!G18/100</f>
        <v>36098.454682478143</v>
      </c>
      <c r="H17" s="94">
        <f>G17*'прогноз СЭР'!H18/100</f>
        <v>37495.464878690051</v>
      </c>
      <c r="I17" s="94">
        <f>H17*'прогноз СЭР'!I18/100</f>
        <v>38991.533927349781</v>
      </c>
      <c r="J17" s="94">
        <f>I17*'прогноз СЭР'!J18/100</f>
        <v>40551.195284443769</v>
      </c>
      <c r="K17" s="94">
        <f>J17*'прогноз СЭР'!K18/100</f>
        <v>42213.794291105958</v>
      </c>
      <c r="L17" s="94">
        <f>K17*'прогноз СЭР'!L18/100</f>
        <v>43843.246750742641</v>
      </c>
      <c r="M17" s="94">
        <f>L17*'прогноз СЭР'!M18/100</f>
        <v>45482.984179220417</v>
      </c>
      <c r="N17" s="94">
        <f>M17*'прогноз СЭР'!N18/100</f>
        <v>47247.723965374164</v>
      </c>
      <c r="O17" s="94">
        <f>N17*'прогноз СЭР'!O18/100</f>
        <v>49137.632923989127</v>
      </c>
    </row>
    <row r="18" spans="1:17" s="10" customFormat="1" ht="17.25" customHeight="1">
      <c r="A18" s="95" t="s">
        <v>39</v>
      </c>
      <c r="B18" s="94"/>
      <c r="C18" s="91"/>
      <c r="D18" s="92"/>
      <c r="E18" s="92"/>
      <c r="F18" s="93"/>
      <c r="G18" s="94"/>
      <c r="H18" s="125"/>
      <c r="I18" s="125"/>
      <c r="J18" s="125"/>
      <c r="K18" s="94"/>
      <c r="L18" s="94"/>
      <c r="M18" s="94"/>
      <c r="N18" s="94"/>
      <c r="O18" s="94"/>
    </row>
    <row r="19" spans="1:17" s="10" customFormat="1" ht="58.5" customHeight="1">
      <c r="A19" s="96" t="s">
        <v>27</v>
      </c>
      <c r="B19" s="94">
        <f>13085.387-158.099</f>
        <v>12927.288</v>
      </c>
      <c r="C19" s="94">
        <v>11485.075720000001</v>
      </c>
      <c r="D19" s="93">
        <v>11559.307509</v>
      </c>
      <c r="E19" s="93">
        <v>11636.508569</v>
      </c>
      <c r="F19" s="93">
        <f>E19*'прогноз СЭР'!F18/100</f>
        <v>12099.641610046199</v>
      </c>
      <c r="G19" s="93">
        <f>F19*'прогноз СЭР'!G18/100</f>
        <v>12583.627274448047</v>
      </c>
      <c r="H19" s="93">
        <f>G19*'прогноз СЭР'!H18/100</f>
        <v>13070.613649969187</v>
      </c>
      <c r="I19" s="93">
        <f>H19*'прогноз СЭР'!I18/100</f>
        <v>13592.131134602958</v>
      </c>
      <c r="J19" s="93">
        <f>I19*'прогноз СЭР'!J18/100</f>
        <v>14135.816379987076</v>
      </c>
      <c r="K19" s="93">
        <f>J19*'прогноз СЭР'!K18/100</f>
        <v>14715.384851566547</v>
      </c>
      <c r="L19" s="93">
        <f>K19*'прогноз СЭР'!L18/100</f>
        <v>15283.398706837015</v>
      </c>
      <c r="M19" s="93">
        <f>L19*'прогноз СЭР'!M18/100</f>
        <v>15854.997818472719</v>
      </c>
      <c r="N19" s="93">
        <f>M19*'прогноз СЭР'!N18/100</f>
        <v>16470.171733829462</v>
      </c>
      <c r="O19" s="93">
        <f>N19*'прогноз СЭР'!O18/100</f>
        <v>17128.978603182641</v>
      </c>
    </row>
    <row r="20" spans="1:17" s="10" customFormat="1" ht="66" customHeight="1">
      <c r="A20" s="133" t="s">
        <v>28</v>
      </c>
      <c r="B20" s="94">
        <f>2964.5531+37152.6836-B19</f>
        <v>27189.948699999994</v>
      </c>
      <c r="C20" s="94">
        <f t="shared" ref="C20:O20" si="2">C17-C19</f>
        <v>24326.658137810002</v>
      </c>
      <c r="D20" s="94">
        <f t="shared" si="2"/>
        <v>20984.826443580001</v>
      </c>
      <c r="E20" s="94">
        <f t="shared" si="2"/>
        <v>21744.961501500002</v>
      </c>
      <c r="F20" s="94">
        <f t="shared" si="2"/>
        <v>22610.410969259705</v>
      </c>
      <c r="G20" s="94">
        <f t="shared" si="2"/>
        <v>23514.827408030098</v>
      </c>
      <c r="H20" s="94">
        <f t="shared" si="2"/>
        <v>24424.851228720865</v>
      </c>
      <c r="I20" s="94">
        <f t="shared" si="2"/>
        <v>25399.402792746823</v>
      </c>
      <c r="J20" s="94">
        <f t="shared" si="2"/>
        <v>26415.378904456695</v>
      </c>
      <c r="K20" s="94">
        <f t="shared" si="2"/>
        <v>27498.409439539413</v>
      </c>
      <c r="L20" s="94">
        <f t="shared" si="2"/>
        <v>28559.848043905626</v>
      </c>
      <c r="M20" s="94">
        <f t="shared" si="2"/>
        <v>29627.986360747698</v>
      </c>
      <c r="N20" s="94">
        <f t="shared" si="2"/>
        <v>30777.552231544701</v>
      </c>
      <c r="O20" s="94">
        <f t="shared" si="2"/>
        <v>32008.654320806487</v>
      </c>
      <c r="P20" s="120"/>
      <c r="Q20" s="120"/>
    </row>
    <row r="21" spans="1:17" ht="21" customHeight="1">
      <c r="A21" s="81" t="s">
        <v>23</v>
      </c>
      <c r="B21" s="98">
        <v>120834.34390000001</v>
      </c>
      <c r="C21" s="98">
        <v>120753.72100000001</v>
      </c>
      <c r="D21" s="97">
        <v>116419.458</v>
      </c>
      <c r="E21" s="97">
        <v>118237.56230000001</v>
      </c>
      <c r="F21" s="97">
        <f>F14-F25</f>
        <v>118520.7086072059</v>
      </c>
      <c r="G21" s="97">
        <f t="shared" ref="G21:J21" si="3">G14-G25</f>
        <v>126754.21334897814</v>
      </c>
      <c r="H21" s="97">
        <f t="shared" si="3"/>
        <v>131382.75154519005</v>
      </c>
      <c r="I21" s="97">
        <f t="shared" si="3"/>
        <v>132866.57659384978</v>
      </c>
      <c r="J21" s="97">
        <f t="shared" si="3"/>
        <v>135399.44195094379</v>
      </c>
      <c r="K21" s="97">
        <f>J21*'прогноз СЭР'!K18/100</f>
        <v>140950.81907093248</v>
      </c>
      <c r="L21" s="97">
        <f>K21*'прогноз СЭР'!L18/100</f>
        <v>146391.52068707047</v>
      </c>
      <c r="M21" s="97">
        <f>L21*'прогноз СЭР'!M18/100</f>
        <v>151866.5635607669</v>
      </c>
      <c r="N21" s="97">
        <f>M21*'прогноз СЭР'!N18/100</f>
        <v>157758.98622692464</v>
      </c>
      <c r="O21" s="97">
        <f>N21*'прогноз СЭР'!O18/100</f>
        <v>164069.34567600163</v>
      </c>
    </row>
    <row r="22" spans="1:17" ht="19.5" customHeight="1">
      <c r="A22" s="99" t="s">
        <v>39</v>
      </c>
      <c r="B22" s="94"/>
      <c r="C22" s="91"/>
      <c r="D22" s="92"/>
      <c r="E22" s="92"/>
      <c r="F22" s="93"/>
      <c r="G22" s="94"/>
      <c r="H22" s="125"/>
      <c r="I22" s="125"/>
      <c r="J22" s="125"/>
      <c r="K22" s="94"/>
      <c r="L22" s="94"/>
      <c r="M22" s="94"/>
      <c r="N22" s="94"/>
      <c r="O22" s="94"/>
    </row>
    <row r="23" spans="1:17" ht="94.5" customHeight="1">
      <c r="A23" s="100" t="s">
        <v>33</v>
      </c>
      <c r="B23" s="93">
        <f t="shared" ref="B23:F23" si="4">B21-B24</f>
        <v>93644.395200000014</v>
      </c>
      <c r="C23" s="93">
        <f t="shared" si="4"/>
        <v>96427.06286219001</v>
      </c>
      <c r="D23" s="93">
        <f t="shared" si="4"/>
        <v>95434.631556420005</v>
      </c>
      <c r="E23" s="93">
        <f t="shared" si="4"/>
        <v>96492.600798500003</v>
      </c>
      <c r="F23" s="93">
        <f t="shared" si="4"/>
        <v>95910.297637946205</v>
      </c>
      <c r="G23" s="93">
        <f>G21-G24</f>
        <v>103239.38594094804</v>
      </c>
      <c r="H23" s="93">
        <f t="shared" ref="H23:O23" si="5">H21-H24</f>
        <v>106957.9003164692</v>
      </c>
      <c r="I23" s="93">
        <f t="shared" si="5"/>
        <v>107467.17380110295</v>
      </c>
      <c r="J23" s="93">
        <f t="shared" si="5"/>
        <v>108984.06304648709</v>
      </c>
      <c r="K23" s="93">
        <f t="shared" si="5"/>
        <v>113452.40963139306</v>
      </c>
      <c r="L23" s="93">
        <f t="shared" si="5"/>
        <v>117831.67264316484</v>
      </c>
      <c r="M23" s="93">
        <f t="shared" si="5"/>
        <v>122238.57720001919</v>
      </c>
      <c r="N23" s="93">
        <f t="shared" si="5"/>
        <v>126981.43399537994</v>
      </c>
      <c r="O23" s="93">
        <f t="shared" si="5"/>
        <v>132060.69135519513</v>
      </c>
    </row>
    <row r="24" spans="1:17" ht="80.25" customHeight="1">
      <c r="A24" s="100" t="s">
        <v>34</v>
      </c>
      <c r="B24" s="89">
        <f t="shared" ref="B24:D24" si="6">B20</f>
        <v>27189.948699999994</v>
      </c>
      <c r="C24" s="88">
        <f t="shared" si="6"/>
        <v>24326.658137810002</v>
      </c>
      <c r="D24" s="88">
        <f t="shared" si="6"/>
        <v>20984.826443580001</v>
      </c>
      <c r="E24" s="88">
        <f t="shared" ref="E24:O24" si="7">E20</f>
        <v>21744.961501500002</v>
      </c>
      <c r="F24" s="88">
        <f t="shared" si="7"/>
        <v>22610.410969259705</v>
      </c>
      <c r="G24" s="88">
        <f t="shared" si="7"/>
        <v>23514.827408030098</v>
      </c>
      <c r="H24" s="88">
        <f t="shared" si="7"/>
        <v>24424.851228720865</v>
      </c>
      <c r="I24" s="88">
        <f t="shared" si="7"/>
        <v>25399.402792746823</v>
      </c>
      <c r="J24" s="88">
        <f t="shared" si="7"/>
        <v>26415.378904456695</v>
      </c>
      <c r="K24" s="89">
        <f t="shared" si="7"/>
        <v>27498.409439539413</v>
      </c>
      <c r="L24" s="89">
        <f t="shared" si="7"/>
        <v>28559.848043905626</v>
      </c>
      <c r="M24" s="89">
        <f t="shared" si="7"/>
        <v>29627.986360747698</v>
      </c>
      <c r="N24" s="89">
        <f t="shared" si="7"/>
        <v>30777.552231544701</v>
      </c>
      <c r="O24" s="89">
        <f t="shared" si="7"/>
        <v>32008.654320806487</v>
      </c>
      <c r="Q24" s="121"/>
    </row>
    <row r="25" spans="1:17" s="11" customFormat="1" ht="24" customHeight="1">
      <c r="A25" s="101" t="s">
        <v>35</v>
      </c>
      <c r="B25" s="85">
        <f t="shared" ref="B25:E25" si="8">B14-B21</f>
        <v>-7582.4988000000012</v>
      </c>
      <c r="C25" s="102">
        <f>C14-C21</f>
        <v>-7895.9983031900047</v>
      </c>
      <c r="D25" s="103">
        <f t="shared" si="8"/>
        <v>-3304.2460674199974</v>
      </c>
      <c r="E25" s="103">
        <f t="shared" si="8"/>
        <v>-1169.0222475000046</v>
      </c>
      <c r="F25" s="85">
        <f>-F27</f>
        <v>3035.7439721000019</v>
      </c>
      <c r="G25" s="85">
        <f t="shared" ref="G25:J25" si="9">-G27</f>
        <v>-470.85866649999952</v>
      </c>
      <c r="H25" s="85">
        <f t="shared" si="9"/>
        <v>-347.48666650000376</v>
      </c>
      <c r="I25" s="85">
        <f t="shared" si="9"/>
        <v>1595.7573335000022</v>
      </c>
      <c r="J25" s="85">
        <f t="shared" si="9"/>
        <v>4562.8533334999929</v>
      </c>
      <c r="K25" s="85">
        <f>K14-K21</f>
        <v>4402.0752201734867</v>
      </c>
      <c r="L25" s="85">
        <f t="shared" ref="L25:O25" si="10">L14-L21</f>
        <v>4129.7260636721621</v>
      </c>
      <c r="M25" s="85">
        <f t="shared" si="10"/>
        <v>4675.3206184535229</v>
      </c>
      <c r="N25" s="85">
        <f t="shared" si="10"/>
        <v>4973.7377384495339</v>
      </c>
      <c r="O25" s="85">
        <f t="shared" si="10"/>
        <v>5508.387247987499</v>
      </c>
    </row>
    <row r="26" spans="1:17" s="11" customFormat="1" ht="19.5" customHeight="1">
      <c r="A26" s="104" t="s">
        <v>63</v>
      </c>
      <c r="B26" s="142">
        <f t="shared" ref="B26:O26" si="11">B25/B16</f>
        <v>-0.10431109680401482</v>
      </c>
      <c r="C26" s="105">
        <f t="shared" si="11"/>
        <v>-0.10248422302282297</v>
      </c>
      <c r="D26" s="106">
        <f t="shared" si="11"/>
        <v>-4.1010324675564147E-2</v>
      </c>
      <c r="E26" s="106">
        <f t="shared" si="11"/>
        <v>-1.3968970926469837E-2</v>
      </c>
      <c r="F26" s="106">
        <f t="shared" si="11"/>
        <v>3.4955323100324273E-2</v>
      </c>
      <c r="G26" s="106">
        <f t="shared" si="11"/>
        <v>-5.2210366314094656E-3</v>
      </c>
      <c r="H26" s="106">
        <f t="shared" si="11"/>
        <v>-3.7148536398410488E-3</v>
      </c>
      <c r="I26" s="106">
        <f t="shared" si="11"/>
        <v>1.6714611519962147E-2</v>
      </c>
      <c r="J26" s="106">
        <f t="shared" si="11"/>
        <v>4.5898831554021559E-2</v>
      </c>
      <c r="K26" s="142">
        <f t="shared" si="11"/>
        <v>4.2680954363316009E-2</v>
      </c>
      <c r="L26" s="142">
        <f t="shared" si="11"/>
        <v>3.8712068689628246E-2</v>
      </c>
      <c r="M26" s="142">
        <f t="shared" si="11"/>
        <v>4.2097667259927148E-2</v>
      </c>
      <c r="N26" s="142">
        <f t="shared" si="11"/>
        <v>4.3068257682378958E-2</v>
      </c>
      <c r="O26" s="142">
        <f t="shared" si="11"/>
        <v>4.5735492149105647E-2</v>
      </c>
    </row>
    <row r="27" spans="1:17" s="11" customFormat="1" ht="41.25" customHeight="1">
      <c r="A27" s="101" t="s">
        <v>78</v>
      </c>
      <c r="B27" s="85">
        <f>B29+B30+B31</f>
        <v>7582.4987499999988</v>
      </c>
      <c r="C27" s="102">
        <f t="shared" ref="C27:J27" si="12">C29+C30+C31</f>
        <v>7895.9983220800004</v>
      </c>
      <c r="D27" s="103">
        <f t="shared" si="12"/>
        <v>3304.24609444</v>
      </c>
      <c r="E27" s="103">
        <f t="shared" si="12"/>
        <v>1169.0225756542902</v>
      </c>
      <c r="F27" s="85">
        <f t="shared" si="12"/>
        <v>-3035.7439721000019</v>
      </c>
      <c r="G27" s="85">
        <f>G29+G30+G31</f>
        <v>470.85866649999952</v>
      </c>
      <c r="H27" s="85">
        <f t="shared" si="12"/>
        <v>347.48666650000376</v>
      </c>
      <c r="I27" s="85">
        <f t="shared" si="12"/>
        <v>-1595.7573335000022</v>
      </c>
      <c r="J27" s="85">
        <f t="shared" si="12"/>
        <v>-4562.8533334999929</v>
      </c>
      <c r="K27" s="84">
        <f>-K25</f>
        <v>-4402.0752201734867</v>
      </c>
      <c r="L27" s="84">
        <f t="shared" ref="L27:O27" si="13">-L25</f>
        <v>-4129.7260636721621</v>
      </c>
      <c r="M27" s="84">
        <f t="shared" si="13"/>
        <v>-4675.3206184535229</v>
      </c>
      <c r="N27" s="84">
        <f t="shared" si="13"/>
        <v>-4973.7377384495339</v>
      </c>
      <c r="O27" s="84">
        <f t="shared" si="13"/>
        <v>-5508.387247987499</v>
      </c>
    </row>
    <row r="28" spans="1:17" ht="15.75">
      <c r="A28" s="86" t="s">
        <v>21</v>
      </c>
      <c r="B28" s="90"/>
      <c r="C28" s="87"/>
      <c r="D28" s="107"/>
      <c r="E28" s="107"/>
      <c r="F28" s="90"/>
      <c r="G28" s="90"/>
      <c r="H28" s="107"/>
      <c r="I28" s="107"/>
      <c r="J28" s="107"/>
      <c r="K28" s="90"/>
      <c r="L28" s="90"/>
      <c r="M28" s="90"/>
      <c r="N28" s="90"/>
      <c r="O28" s="90"/>
    </row>
    <row r="29" spans="1:17" ht="19.5" customHeight="1">
      <c r="A29" s="86" t="s">
        <v>29</v>
      </c>
      <c r="B29" s="94">
        <v>-3578.2073</v>
      </c>
      <c r="C29" s="94">
        <v>8521.4724720800004</v>
      </c>
      <c r="D29" s="93">
        <v>1725.33260255</v>
      </c>
      <c r="E29" s="93">
        <v>2010.8843695400001</v>
      </c>
      <c r="F29" s="94">
        <f>F32-E32-F30</f>
        <v>1810.5722613999988</v>
      </c>
      <c r="G29" s="94">
        <f>G32-F32-G30</f>
        <v>5317.1749</v>
      </c>
      <c r="H29" s="94">
        <f t="shared" ref="H29:J29" si="14">H32-G32-H30</f>
        <v>5193.8029000000042</v>
      </c>
      <c r="I29" s="94">
        <f t="shared" si="14"/>
        <v>3250.5588999999982</v>
      </c>
      <c r="J29" s="94">
        <f t="shared" si="14"/>
        <v>283.46290000000772</v>
      </c>
      <c r="K29" s="94">
        <f>K27-K30-K31</f>
        <v>-3959.1985866734867</v>
      </c>
      <c r="L29" s="94">
        <f t="shared" ref="L29:O29" si="15">L27-L30-L31</f>
        <v>-3686.8494301721621</v>
      </c>
      <c r="M29" s="94">
        <f t="shared" si="15"/>
        <v>-4232.4439849535229</v>
      </c>
      <c r="N29" s="94">
        <f t="shared" si="15"/>
        <v>-4530.8204384495339</v>
      </c>
      <c r="O29" s="94">
        <f t="shared" si="15"/>
        <v>-5065.4699479874989</v>
      </c>
    </row>
    <row r="30" spans="1:17" ht="19.5" customHeight="1">
      <c r="A30" s="86" t="s">
        <v>30</v>
      </c>
      <c r="B30" s="94">
        <v>9105.0858499999995</v>
      </c>
      <c r="C30" s="94">
        <v>-625.47415000000001</v>
      </c>
      <c r="D30" s="93">
        <v>1507.7668253899999</v>
      </c>
      <c r="E30" s="93">
        <v>-913.00846038571001</v>
      </c>
      <c r="F30" s="94">
        <v>-4917.4629000000004</v>
      </c>
      <c r="G30" s="94">
        <v>-4917.4629000000004</v>
      </c>
      <c r="H30" s="94">
        <v>-4917.4629000000004</v>
      </c>
      <c r="I30" s="94">
        <v>-4917.4629000000004</v>
      </c>
      <c r="J30" s="94">
        <v>-4917.4629000000004</v>
      </c>
      <c r="K30" s="94">
        <v>-514.02329999999995</v>
      </c>
      <c r="L30" s="94">
        <v>-514.02329999999995</v>
      </c>
      <c r="M30" s="94">
        <v>-514.02329999999995</v>
      </c>
      <c r="N30" s="94">
        <v>-442.91730000000001</v>
      </c>
      <c r="O30" s="94">
        <v>-442.91730000000001</v>
      </c>
    </row>
    <row r="31" spans="1:17" ht="19.5" customHeight="1">
      <c r="A31" s="86" t="s">
        <v>31</v>
      </c>
      <c r="B31" s="94">
        <f>2054.5202+1.1</f>
        <v>2055.6201999999998</v>
      </c>
      <c r="C31" s="94">
        <v>0</v>
      </c>
      <c r="D31" s="93">
        <v>71.146666499999995</v>
      </c>
      <c r="E31" s="93">
        <v>71.146666499999995</v>
      </c>
      <c r="F31" s="94">
        <v>71.146666499999995</v>
      </c>
      <c r="G31" s="94">
        <v>71.146666499999995</v>
      </c>
      <c r="H31" s="94">
        <v>71.146666499999995</v>
      </c>
      <c r="I31" s="94">
        <v>71.146666499999995</v>
      </c>
      <c r="J31" s="94">
        <v>71.146666499999995</v>
      </c>
      <c r="K31" s="94">
        <v>71.146666499999995</v>
      </c>
      <c r="L31" s="94">
        <v>71.146666499999995</v>
      </c>
      <c r="M31" s="94">
        <v>71.146666499999995</v>
      </c>
      <c r="N31" s="94"/>
      <c r="O31" s="94"/>
    </row>
    <row r="32" spans="1:17" ht="38.25" customHeight="1">
      <c r="A32" s="81" t="s">
        <v>32</v>
      </c>
      <c r="B32" s="98">
        <v>48198.541265079999</v>
      </c>
      <c r="C32" s="98">
        <v>56094.539587159998</v>
      </c>
      <c r="D32" s="97">
        <v>59327.639015100001</v>
      </c>
      <c r="E32" s="97">
        <v>60425.514638599998</v>
      </c>
      <c r="F32" s="98">
        <f>F33*F16</f>
        <v>57318.623999999996</v>
      </c>
      <c r="G32" s="98">
        <f t="shared" ref="G32:J32" si="16">G33*G16</f>
        <v>57718.335999999996</v>
      </c>
      <c r="H32" s="98">
        <f t="shared" si="16"/>
        <v>57994.675999999999</v>
      </c>
      <c r="I32" s="98">
        <f t="shared" si="16"/>
        <v>56327.771999999997</v>
      </c>
      <c r="J32" s="98">
        <f t="shared" si="16"/>
        <v>51693.772000000004</v>
      </c>
      <c r="K32" s="98">
        <f>J32+K29+K30</f>
        <v>47220.550113326521</v>
      </c>
      <c r="L32" s="98">
        <f t="shared" ref="L32:O32" si="17">K32+L29+L30</f>
        <v>43019.677383154354</v>
      </c>
      <c r="M32" s="98">
        <f t="shared" si="17"/>
        <v>38273.210098200827</v>
      </c>
      <c r="N32" s="98">
        <f t="shared" si="17"/>
        <v>33299.472359751293</v>
      </c>
      <c r="O32" s="98">
        <f t="shared" si="17"/>
        <v>27791.085111763794</v>
      </c>
    </row>
    <row r="33" spans="1:15" s="10" customFormat="1" ht="24" customHeight="1">
      <c r="A33" s="95" t="s">
        <v>64</v>
      </c>
      <c r="B33" s="143">
        <f t="shared" ref="B33:D33" si="18">B32/B16</f>
        <v>0.66305881956935642</v>
      </c>
      <c r="C33" s="108">
        <f>C32/C16</f>
        <v>0.72806567132753108</v>
      </c>
      <c r="D33" s="109">
        <f t="shared" si="18"/>
        <v>0.73633914926429034</v>
      </c>
      <c r="E33" s="109">
        <f>E32/E16</f>
        <v>0.72204122633994405</v>
      </c>
      <c r="F33" s="109">
        <v>0.66</v>
      </c>
      <c r="G33" s="109">
        <v>0.64</v>
      </c>
      <c r="H33" s="109">
        <v>0.62</v>
      </c>
      <c r="I33" s="109">
        <v>0.59</v>
      </c>
      <c r="J33" s="109">
        <v>0.52</v>
      </c>
      <c r="K33" s="143">
        <f>K32/K16</f>
        <v>0.45783364517749831</v>
      </c>
      <c r="L33" s="143">
        <f t="shared" ref="L33:O33" si="19">L32/L16</f>
        <v>0.40326662838780586</v>
      </c>
      <c r="M33" s="143">
        <f t="shared" si="19"/>
        <v>0.34462082821098378</v>
      </c>
      <c r="N33" s="143">
        <f t="shared" si="19"/>
        <v>0.28834456734425501</v>
      </c>
      <c r="O33" s="143">
        <f t="shared" si="19"/>
        <v>0.23074611455622995</v>
      </c>
    </row>
    <row r="34" spans="1:15" ht="18.75">
      <c r="A34" s="8"/>
    </row>
    <row r="35" spans="1:15" ht="33.6" customHeight="1">
      <c r="C35" s="149"/>
      <c r="D35" s="149"/>
      <c r="F35" s="149"/>
      <c r="G35" s="149"/>
    </row>
  </sheetData>
  <mergeCells count="11">
    <mergeCell ref="A9:O9"/>
    <mergeCell ref="A10:O10"/>
    <mergeCell ref="C35:D35"/>
    <mergeCell ref="L1:O1"/>
    <mergeCell ref="L2:O2"/>
    <mergeCell ref="L3:O3"/>
    <mergeCell ref="L4:O4"/>
    <mergeCell ref="L5:O5"/>
    <mergeCell ref="L6:O6"/>
    <mergeCell ref="L7:O7"/>
    <mergeCell ref="F35:G35"/>
  </mergeCells>
  <phoneticPr fontId="0" type="noConversion"/>
  <pageMargins left="0.70866141732283472" right="0.70866141732283472" top="0.55118110236220474" bottom="0.3937007874015748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0"/>
  <sheetViews>
    <sheetView view="pageBreakPreview" zoomScale="70" zoomScaleSheetLayoutView="70" workbookViewId="0">
      <selection activeCell="M48" sqref="M48"/>
    </sheetView>
  </sheetViews>
  <sheetFormatPr defaultRowHeight="15"/>
  <cols>
    <col min="1" max="1" width="57.85546875" customWidth="1"/>
    <col min="2" max="4" width="12.7109375" customWidth="1"/>
    <col min="5" max="9" width="15.85546875" style="55" customWidth="1"/>
    <col min="10" max="10" width="16.42578125" style="55" customWidth="1"/>
    <col min="11" max="11" width="2.5703125" customWidth="1"/>
  </cols>
  <sheetData>
    <row r="1" spans="1:11" s="73" customFormat="1" ht="13.5" customHeight="1">
      <c r="E1" s="55"/>
      <c r="F1" s="55"/>
      <c r="G1" s="154"/>
      <c r="H1" s="154"/>
      <c r="I1" s="154"/>
      <c r="J1" s="154"/>
    </row>
    <row r="2" spans="1:11" ht="22.15" customHeight="1">
      <c r="A2" s="50"/>
      <c r="B2" s="50"/>
      <c r="C2" s="50"/>
      <c r="D2" s="50"/>
      <c r="E2" s="51"/>
      <c r="F2" s="71"/>
      <c r="G2" s="160" t="s">
        <v>73</v>
      </c>
      <c r="H2" s="160"/>
      <c r="I2" s="160"/>
      <c r="J2" s="160"/>
    </row>
    <row r="3" spans="1:11" ht="12.6" customHeight="1">
      <c r="A3" s="26"/>
      <c r="B3" s="22"/>
      <c r="C3" s="22"/>
      <c r="D3" s="22"/>
      <c r="E3" s="52"/>
      <c r="G3" s="160" t="s">
        <v>72</v>
      </c>
      <c r="H3" s="160"/>
      <c r="I3" s="160"/>
      <c r="J3" s="160"/>
    </row>
    <row r="4" spans="1:11" ht="18.75" customHeight="1">
      <c r="A4" s="26"/>
      <c r="B4" s="22"/>
      <c r="C4" s="22"/>
      <c r="D4" s="22"/>
      <c r="E4" s="52"/>
      <c r="G4" s="160" t="s">
        <v>59</v>
      </c>
      <c r="H4" s="160"/>
      <c r="I4" s="160"/>
      <c r="J4" s="160"/>
    </row>
    <row r="5" spans="1:11" ht="19.149999999999999" customHeight="1">
      <c r="A5" s="23"/>
      <c r="B5" s="23"/>
      <c r="C5" s="23"/>
      <c r="D5" s="23"/>
      <c r="E5" s="53"/>
      <c r="F5" s="53"/>
      <c r="G5" s="160" t="s">
        <v>77</v>
      </c>
      <c r="H5" s="160"/>
      <c r="I5" s="160"/>
      <c r="J5" s="160"/>
    </row>
    <row r="6" spans="1:11" ht="17.25" customHeight="1">
      <c r="A6" s="23"/>
      <c r="B6" s="23"/>
      <c r="C6" s="23"/>
      <c r="D6" s="23"/>
      <c r="E6" s="53"/>
      <c r="F6" s="53"/>
      <c r="G6" s="160" t="s">
        <v>5</v>
      </c>
      <c r="H6" s="160"/>
      <c r="I6" s="160"/>
      <c r="J6" s="160"/>
    </row>
    <row r="7" spans="1:11" ht="18.75" customHeight="1">
      <c r="A7" s="23"/>
      <c r="B7" s="23"/>
      <c r="C7" s="23"/>
      <c r="D7" s="23"/>
      <c r="E7" s="53"/>
      <c r="F7" s="53"/>
      <c r="G7" s="161" t="s">
        <v>107</v>
      </c>
      <c r="H7" s="161"/>
      <c r="I7" s="161"/>
      <c r="J7" s="161"/>
    </row>
    <row r="8" spans="1:11" ht="45.6" customHeight="1">
      <c r="A8" s="167" t="s">
        <v>41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1" ht="17.25" customHeight="1">
      <c r="A9" s="167" t="s">
        <v>42</v>
      </c>
      <c r="B9" s="167"/>
      <c r="C9" s="167"/>
      <c r="D9" s="167"/>
      <c r="E9" s="167"/>
      <c r="F9" s="167"/>
      <c r="G9" s="167"/>
      <c r="H9" s="167"/>
      <c r="I9" s="167"/>
      <c r="J9" s="167"/>
    </row>
    <row r="10" spans="1:11" s="29" customFormat="1" ht="14.25" customHeight="1">
      <c r="A10" s="167" t="s">
        <v>43</v>
      </c>
      <c r="B10" s="167"/>
      <c r="C10" s="167"/>
      <c r="D10" s="167"/>
      <c r="E10" s="167"/>
      <c r="F10" s="167"/>
      <c r="G10" s="167"/>
      <c r="H10" s="167"/>
      <c r="I10" s="167"/>
      <c r="J10" s="167"/>
      <c r="K10" s="28"/>
    </row>
    <row r="11" spans="1:11" s="30" customFormat="1" ht="21.6" customHeight="1">
      <c r="A11" s="27"/>
      <c r="B11" s="28"/>
      <c r="C11" s="28"/>
      <c r="D11" s="28"/>
      <c r="E11" s="54"/>
      <c r="F11" s="55"/>
      <c r="G11" s="54"/>
      <c r="H11" s="54"/>
      <c r="I11" s="54"/>
      <c r="J11" s="56" t="s">
        <v>61</v>
      </c>
    </row>
    <row r="12" spans="1:11" s="30" customFormat="1" ht="42" customHeight="1">
      <c r="A12" s="162" t="s">
        <v>0</v>
      </c>
      <c r="B12" s="164" t="s">
        <v>55</v>
      </c>
      <c r="C12" s="165"/>
      <c r="D12" s="165"/>
      <c r="E12" s="165"/>
      <c r="F12" s="165"/>
      <c r="G12" s="165"/>
      <c r="H12" s="165"/>
      <c r="I12" s="165"/>
      <c r="J12" s="166"/>
    </row>
    <row r="13" spans="1:11" s="30" customFormat="1" ht="25.5">
      <c r="A13" s="163"/>
      <c r="B13" s="31" t="s">
        <v>49</v>
      </c>
      <c r="C13" s="31" t="s">
        <v>6</v>
      </c>
      <c r="D13" s="31" t="s">
        <v>54</v>
      </c>
      <c r="E13" s="62" t="s">
        <v>7</v>
      </c>
      <c r="F13" s="62" t="s">
        <v>8</v>
      </c>
      <c r="G13" s="62" t="s">
        <v>9</v>
      </c>
      <c r="H13" s="62" t="s">
        <v>10</v>
      </c>
      <c r="I13" s="62" t="s">
        <v>11</v>
      </c>
      <c r="J13" s="62" t="s">
        <v>12</v>
      </c>
    </row>
    <row r="14" spans="1:11" s="30" customFormat="1">
      <c r="A14" s="32">
        <v>1</v>
      </c>
      <c r="B14" s="32">
        <v>2</v>
      </c>
      <c r="C14" s="32">
        <v>3</v>
      </c>
      <c r="D14" s="32">
        <v>4</v>
      </c>
      <c r="E14" s="63">
        <v>5</v>
      </c>
      <c r="F14" s="63">
        <v>6</v>
      </c>
      <c r="G14" s="63">
        <v>7</v>
      </c>
      <c r="H14" s="63">
        <v>8</v>
      </c>
      <c r="I14" s="63">
        <v>9</v>
      </c>
      <c r="J14" s="63">
        <v>10</v>
      </c>
    </row>
    <row r="15" spans="1:11" s="30" customFormat="1">
      <c r="A15" s="41" t="s">
        <v>44</v>
      </c>
      <c r="B15" s="35">
        <f t="shared" ref="B15:D15" si="0">B17+B19</f>
        <v>59012.468999999997</v>
      </c>
      <c r="C15" s="35">
        <f t="shared" si="0"/>
        <v>57140.005199999992</v>
      </c>
      <c r="D15" s="35">
        <f t="shared" si="0"/>
        <v>63629.956999999995</v>
      </c>
      <c r="E15" s="64">
        <v>71419.7</v>
      </c>
      <c r="F15" s="64">
        <f>F19+F17</f>
        <v>83974.054899999974</v>
      </c>
      <c r="G15" s="35">
        <f>G19+G17</f>
        <v>87119.652695119992</v>
      </c>
      <c r="H15" s="35">
        <f>H19+H17</f>
        <v>88167.741766819992</v>
      </c>
      <c r="I15" s="35">
        <f>I19+I17</f>
        <v>90910.62540229001</v>
      </c>
      <c r="J15" s="64">
        <v>81749.600000000006</v>
      </c>
    </row>
    <row r="16" spans="1:11" s="30" customFormat="1">
      <c r="A16" s="42" t="s">
        <v>45</v>
      </c>
      <c r="B16" s="34"/>
      <c r="C16" s="34"/>
      <c r="D16" s="34"/>
      <c r="E16" s="65"/>
      <c r="F16" s="65"/>
      <c r="G16" s="126"/>
      <c r="H16" s="126"/>
      <c r="I16" s="126"/>
      <c r="J16" s="116"/>
    </row>
    <row r="17" spans="1:10" s="30" customFormat="1">
      <c r="A17" s="42" t="s">
        <v>46</v>
      </c>
      <c r="B17" s="34"/>
      <c r="C17" s="34"/>
      <c r="D17" s="33"/>
      <c r="E17" s="66"/>
      <c r="F17" s="65"/>
      <c r="G17" s="34"/>
      <c r="H17" s="34">
        <v>2386.6920989999999</v>
      </c>
      <c r="I17" s="127">
        <v>4821.3977800000002</v>
      </c>
      <c r="J17" s="116"/>
    </row>
    <row r="18" spans="1:10" s="30" customFormat="1" ht="16.149999999999999" customHeight="1">
      <c r="A18" s="42" t="s">
        <v>65</v>
      </c>
      <c r="B18" s="34"/>
      <c r="C18" s="34"/>
      <c r="D18" s="36"/>
      <c r="E18" s="67" t="s">
        <v>67</v>
      </c>
      <c r="F18" s="67"/>
      <c r="G18" s="36"/>
      <c r="H18" s="36">
        <f>H17/H15</f>
        <v>2.7069901657594448E-2</v>
      </c>
      <c r="I18" s="36">
        <f>I17/I15</f>
        <v>5.303448038845579E-2</v>
      </c>
      <c r="J18" s="67"/>
    </row>
    <row r="19" spans="1:10" s="30" customFormat="1" ht="34.5" customHeight="1">
      <c r="A19" s="41" t="s">
        <v>47</v>
      </c>
      <c r="B19" s="35">
        <f t="shared" ref="B19:J19" si="1">B20+B56</f>
        <v>59012.468999999997</v>
      </c>
      <c r="C19" s="35">
        <f t="shared" si="1"/>
        <v>57140.005199999992</v>
      </c>
      <c r="D19" s="35">
        <f t="shared" si="1"/>
        <v>63629.956999999995</v>
      </c>
      <c r="E19" s="64">
        <f t="shared" si="1"/>
        <v>71419.677400000015</v>
      </c>
      <c r="F19" s="64">
        <f t="shared" si="1"/>
        <v>83974.054899999974</v>
      </c>
      <c r="G19" s="35">
        <f t="shared" si="1"/>
        <v>87119.652695119992</v>
      </c>
      <c r="H19" s="35">
        <f t="shared" si="1"/>
        <v>85781.04966782</v>
      </c>
      <c r="I19" s="35">
        <f t="shared" si="1"/>
        <v>86089.227622290011</v>
      </c>
      <c r="J19" s="64">
        <f t="shared" si="1"/>
        <v>80169.333242966022</v>
      </c>
    </row>
    <row r="20" spans="1:10" s="30" customFormat="1" ht="28.5">
      <c r="A20" s="41" t="s">
        <v>50</v>
      </c>
      <c r="B20" s="35">
        <f>SUM(B21:B55)</f>
        <v>58173.875</v>
      </c>
      <c r="C20" s="35">
        <f>SUM(C21:C55)</f>
        <v>56365.785999999993</v>
      </c>
      <c r="D20" s="35">
        <f>SUM(D21:D55)</f>
        <v>62018.956999999995</v>
      </c>
      <c r="E20" s="69">
        <f>SUM(E21:E55)</f>
        <v>70544.177400000015</v>
      </c>
      <c r="F20" s="69">
        <f>SUM(F21:F55)</f>
        <v>82713.205299999972</v>
      </c>
      <c r="G20" s="128">
        <f t="shared" ref="G20:J20" si="2">SUM(G21:G55)</f>
        <v>85082.245874309985</v>
      </c>
      <c r="H20" s="128">
        <f t="shared" si="2"/>
        <v>80813.635580860006</v>
      </c>
      <c r="I20" s="128">
        <f t="shared" si="2"/>
        <v>80136.188955420017</v>
      </c>
      <c r="J20" s="69">
        <f t="shared" si="2"/>
        <v>79307.97540000001</v>
      </c>
    </row>
    <row r="21" spans="1:10" s="30" customFormat="1" ht="15.75" customHeight="1">
      <c r="A21" s="123" t="s">
        <v>80</v>
      </c>
      <c r="B21" s="37">
        <v>11886.213</v>
      </c>
      <c r="C21" s="34">
        <v>11744.403200000001</v>
      </c>
      <c r="D21" s="34">
        <v>13632</v>
      </c>
      <c r="E21" s="70">
        <v>14916.6</v>
      </c>
      <c r="F21" s="70">
        <f>15777.5354+9.7</f>
        <v>15787.235400000001</v>
      </c>
      <c r="G21" s="129">
        <v>16403.474890180001</v>
      </c>
      <c r="H21" s="34">
        <v>15269.875231529999</v>
      </c>
      <c r="I21" s="34">
        <v>15249.575789640001</v>
      </c>
      <c r="J21" s="65">
        <v>29364.762300000002</v>
      </c>
    </row>
    <row r="22" spans="1:10" s="30" customFormat="1" ht="15.75" customHeight="1">
      <c r="A22" s="118" t="s">
        <v>81</v>
      </c>
      <c r="B22" s="34">
        <v>17518.826000000001</v>
      </c>
      <c r="C22" s="34">
        <v>17385.7</v>
      </c>
      <c r="D22" s="34">
        <v>18732.439999999999</v>
      </c>
      <c r="E22" s="70">
        <v>20650.3</v>
      </c>
      <c r="F22" s="70">
        <f>23330.6979+149.8</f>
        <v>23480.497899999998</v>
      </c>
      <c r="G22" s="129">
        <v>24235.46066411</v>
      </c>
      <c r="H22" s="34">
        <v>23759.53739161</v>
      </c>
      <c r="I22" s="34">
        <v>24029.380786510003</v>
      </c>
      <c r="J22" s="65">
        <v>22762.767500000002</v>
      </c>
    </row>
    <row r="23" spans="1:10" s="30" customFormat="1" ht="15.75" customHeight="1">
      <c r="A23" s="118" t="s">
        <v>82</v>
      </c>
      <c r="B23" s="34">
        <v>8209.6180000000004</v>
      </c>
      <c r="C23" s="34">
        <v>8125.9880000000003</v>
      </c>
      <c r="D23" s="34">
        <v>8943.14</v>
      </c>
      <c r="E23" s="70">
        <v>8593.9</v>
      </c>
      <c r="F23" s="70">
        <v>9992.3393999999898</v>
      </c>
      <c r="G23" s="129">
        <v>10245.955128799998</v>
      </c>
      <c r="H23" s="34">
        <v>10410.001742229999</v>
      </c>
      <c r="I23" s="34">
        <v>10590.20667942</v>
      </c>
      <c r="J23" s="65">
        <v>8915.3585000000003</v>
      </c>
    </row>
    <row r="24" spans="1:10" s="30" customFormat="1">
      <c r="A24" s="118" t="s">
        <v>83</v>
      </c>
      <c r="B24" s="34">
        <v>898.26800000000003</v>
      </c>
      <c r="C24" s="34">
        <v>837.5</v>
      </c>
      <c r="D24" s="34">
        <v>1736.5709999999999</v>
      </c>
      <c r="E24" s="70">
        <v>1391.1</v>
      </c>
      <c r="F24" s="70">
        <v>1555.8797999999999</v>
      </c>
      <c r="G24" s="129">
        <v>1545.6874052999999</v>
      </c>
      <c r="H24" s="34">
        <v>1351.7622161900001</v>
      </c>
      <c r="I24" s="34">
        <v>1386.7882996300002</v>
      </c>
      <c r="J24" s="65">
        <v>1282.0815</v>
      </c>
    </row>
    <row r="25" spans="1:10" s="30" customFormat="1" ht="45" customHeight="1">
      <c r="A25" s="118" t="s">
        <v>84</v>
      </c>
      <c r="B25" s="34">
        <v>754.81200000000001</v>
      </c>
      <c r="C25" s="34">
        <v>586.90329999999994</v>
      </c>
      <c r="D25" s="34">
        <v>646.6</v>
      </c>
      <c r="E25" s="70">
        <v>695.9</v>
      </c>
      <c r="F25" s="70">
        <v>893.06849999999997</v>
      </c>
      <c r="G25" s="129">
        <v>942.61030727000002</v>
      </c>
      <c r="H25" s="34">
        <v>744.01007074000029</v>
      </c>
      <c r="I25" s="34">
        <v>756.1698875700007</v>
      </c>
      <c r="J25" s="65">
        <v>0</v>
      </c>
    </row>
    <row r="26" spans="1:10" s="30" customFormat="1" ht="48" customHeight="1">
      <c r="A26" s="118" t="s">
        <v>85</v>
      </c>
      <c r="B26" s="34">
        <v>299.49</v>
      </c>
      <c r="C26" s="34">
        <v>468.21050000000002</v>
      </c>
      <c r="D26" s="34">
        <v>416</v>
      </c>
      <c r="E26" s="70">
        <v>398.9</v>
      </c>
      <c r="F26" s="70">
        <f>462.9565+249.6</f>
        <v>712.55650000000003</v>
      </c>
      <c r="G26" s="129">
        <v>1025.33773608</v>
      </c>
      <c r="H26" s="34">
        <v>384.74090616999996</v>
      </c>
      <c r="I26" s="34">
        <v>495.46806870000074</v>
      </c>
      <c r="J26" s="65">
        <v>1678.1928</v>
      </c>
    </row>
    <row r="27" spans="1:10" s="30" customFormat="1" ht="31.15" customHeight="1">
      <c r="A27" s="118" t="s">
        <v>86</v>
      </c>
      <c r="B27" s="34">
        <v>444.00599999999997</v>
      </c>
      <c r="C27" s="34">
        <v>404.66899999999998</v>
      </c>
      <c r="D27" s="34">
        <v>422.65300000000002</v>
      </c>
      <c r="E27" s="70">
        <v>449.8</v>
      </c>
      <c r="F27" s="70">
        <v>482.66649999999998</v>
      </c>
      <c r="G27" s="129">
        <v>469.78352344999996</v>
      </c>
      <c r="H27" s="34">
        <v>445.24337026000023</v>
      </c>
      <c r="I27" s="34">
        <v>457.52982116000078</v>
      </c>
      <c r="J27" s="65">
        <v>503.14269999999999</v>
      </c>
    </row>
    <row r="28" spans="1:10" s="30" customFormat="1" ht="60">
      <c r="A28" s="118" t="s">
        <v>87</v>
      </c>
      <c r="B28" s="34">
        <v>9.702</v>
      </c>
      <c r="C28" s="34">
        <v>3.855</v>
      </c>
      <c r="D28" s="34">
        <v>8.4329999999999998</v>
      </c>
      <c r="E28" s="70">
        <v>159.9</v>
      </c>
      <c r="F28" s="70">
        <v>152.7407</v>
      </c>
      <c r="G28" s="129">
        <v>137.465</v>
      </c>
      <c r="H28" s="34">
        <v>7.5</v>
      </c>
      <c r="I28" s="34">
        <v>7.5</v>
      </c>
      <c r="J28" s="65">
        <v>0</v>
      </c>
    </row>
    <row r="29" spans="1:10" s="30" customFormat="1" ht="45" customHeight="1">
      <c r="A29" s="118" t="s">
        <v>88</v>
      </c>
      <c r="B29" s="34">
        <v>1107.6389999999999</v>
      </c>
      <c r="C29" s="34">
        <v>1077.6110000000001</v>
      </c>
      <c r="D29" s="34">
        <v>1361.1279999999999</v>
      </c>
      <c r="E29" s="70">
        <v>1647.7143000000001</v>
      </c>
      <c r="F29" s="70">
        <v>1718.3009999999999</v>
      </c>
      <c r="G29" s="129">
        <v>1806.9573671600001</v>
      </c>
      <c r="H29" s="34">
        <v>1574.0818213300004</v>
      </c>
      <c r="I29" s="34">
        <v>1619.2459355000001</v>
      </c>
      <c r="J29" s="65">
        <v>0</v>
      </c>
    </row>
    <row r="30" spans="1:10" s="30" customFormat="1" ht="33" customHeight="1">
      <c r="A30" s="118" t="s">
        <v>89</v>
      </c>
      <c r="B30" s="34">
        <v>42.905000000000001</v>
      </c>
      <c r="C30" s="34">
        <v>65.394000000000005</v>
      </c>
      <c r="D30" s="34">
        <v>60.505000000000003</v>
      </c>
      <c r="E30" s="70">
        <v>184.3</v>
      </c>
      <c r="F30" s="70">
        <v>602.65890000000002</v>
      </c>
      <c r="G30" s="129">
        <v>654.26744952000001</v>
      </c>
      <c r="H30" s="34">
        <v>1004.6009627800003</v>
      </c>
      <c r="I30" s="34">
        <v>1190.84508142</v>
      </c>
      <c r="J30" s="65">
        <v>57.611699999999999</v>
      </c>
    </row>
    <row r="31" spans="1:10" s="30" customFormat="1" ht="47.25" customHeight="1">
      <c r="A31" s="118" t="s">
        <v>90</v>
      </c>
      <c r="B31" s="34">
        <v>662.75599999999997</v>
      </c>
      <c r="C31" s="34">
        <v>476.50299999999999</v>
      </c>
      <c r="D31" s="34">
        <v>684.3</v>
      </c>
      <c r="E31" s="70">
        <v>823.3</v>
      </c>
      <c r="F31" s="70">
        <f>1073.796+101.5</f>
        <v>1175.296</v>
      </c>
      <c r="G31" s="129">
        <v>0</v>
      </c>
      <c r="H31" s="34">
        <v>0</v>
      </c>
      <c r="I31" s="34" t="s">
        <v>104</v>
      </c>
      <c r="J31" s="65">
        <v>1127.4594</v>
      </c>
    </row>
    <row r="32" spans="1:10" s="30" customFormat="1" ht="30" customHeight="1">
      <c r="A32" s="118" t="s">
        <v>68</v>
      </c>
      <c r="B32" s="65">
        <v>195.952</v>
      </c>
      <c r="C32" s="65">
        <v>225.369</v>
      </c>
      <c r="D32" s="65">
        <v>297.60000000000002</v>
      </c>
      <c r="E32" s="70">
        <v>328.3</v>
      </c>
      <c r="F32" s="70">
        <v>0</v>
      </c>
      <c r="G32" s="129">
        <v>0</v>
      </c>
      <c r="H32" s="34">
        <v>0</v>
      </c>
      <c r="I32" s="34" t="s">
        <v>104</v>
      </c>
      <c r="J32" s="65">
        <v>349.8</v>
      </c>
    </row>
    <row r="33" spans="1:11" s="30" customFormat="1" ht="30" customHeight="1">
      <c r="A33" s="118" t="s">
        <v>91</v>
      </c>
      <c r="B33" s="34"/>
      <c r="C33" s="34"/>
      <c r="D33" s="34">
        <v>52.259</v>
      </c>
      <c r="E33" s="70">
        <v>36.299999999999997</v>
      </c>
      <c r="F33" s="70">
        <v>61.797600000000003</v>
      </c>
      <c r="G33" s="129">
        <v>81.957831689999992</v>
      </c>
      <c r="H33" s="34">
        <v>6.3490775600004197</v>
      </c>
      <c r="I33" s="34">
        <v>6.3490775600004197</v>
      </c>
      <c r="J33" s="65">
        <v>7.1224999999999996</v>
      </c>
    </row>
    <row r="34" spans="1:11" s="30" customFormat="1">
      <c r="A34" s="118" t="s">
        <v>92</v>
      </c>
      <c r="B34" s="34">
        <v>2.8450000000000002</v>
      </c>
      <c r="C34" s="34">
        <v>1.494</v>
      </c>
      <c r="D34" s="34">
        <v>1.494</v>
      </c>
      <c r="E34" s="70">
        <v>3.4940000000000002</v>
      </c>
      <c r="F34" s="70">
        <v>3.4940000000000002</v>
      </c>
      <c r="G34" s="129">
        <v>3.8639999999999999</v>
      </c>
      <c r="H34" s="34">
        <v>3.6071</v>
      </c>
      <c r="I34" s="34">
        <v>3.6071</v>
      </c>
      <c r="J34" s="65">
        <v>0</v>
      </c>
    </row>
    <row r="35" spans="1:11" s="30" customFormat="1" ht="18.75" customHeight="1">
      <c r="A35" s="118" t="s">
        <v>93</v>
      </c>
      <c r="B35" s="34">
        <v>391.90199999999999</v>
      </c>
      <c r="C35" s="34">
        <v>327.66770000000002</v>
      </c>
      <c r="D35" s="34">
        <v>368.37599999999998</v>
      </c>
      <c r="E35" s="70">
        <v>455.6146</v>
      </c>
      <c r="F35" s="70">
        <v>630.68520000000001</v>
      </c>
      <c r="G35" s="129">
        <v>658.67951891999996</v>
      </c>
      <c r="H35" s="34">
        <v>633.04571051999994</v>
      </c>
      <c r="I35" s="34">
        <v>654.82383855000023</v>
      </c>
      <c r="J35" s="65">
        <v>362.3202</v>
      </c>
    </row>
    <row r="36" spans="1:11" s="30" customFormat="1" ht="45.75" customHeight="1">
      <c r="A36" s="118" t="s">
        <v>103</v>
      </c>
      <c r="B36" s="65">
        <v>0</v>
      </c>
      <c r="C36" s="65">
        <v>0</v>
      </c>
      <c r="D36" s="65">
        <v>0</v>
      </c>
      <c r="E36" s="70">
        <v>0</v>
      </c>
      <c r="F36" s="70">
        <f>1315.7685+555.5</f>
        <v>1871.2684999999999</v>
      </c>
      <c r="G36" s="129">
        <v>1464.61284325</v>
      </c>
      <c r="H36" s="34">
        <v>1153.7199075300002</v>
      </c>
      <c r="I36" s="34">
        <v>1185.6502813100003</v>
      </c>
      <c r="J36" s="65" t="s">
        <v>104</v>
      </c>
    </row>
    <row r="37" spans="1:11" s="30" customFormat="1" ht="30">
      <c r="A37" s="118" t="s">
        <v>94</v>
      </c>
      <c r="B37" s="34">
        <v>3464.9369999999999</v>
      </c>
      <c r="C37" s="34">
        <v>3118.6017000000002</v>
      </c>
      <c r="D37" s="34">
        <v>3140.8</v>
      </c>
      <c r="E37" s="70">
        <v>3319.2</v>
      </c>
      <c r="F37" s="70">
        <v>4416.8672999999999</v>
      </c>
      <c r="G37" s="129">
        <v>3606.4020876300001</v>
      </c>
      <c r="H37" s="34">
        <v>5394.0507667600004</v>
      </c>
      <c r="I37" s="34">
        <v>2760.6905700200005</v>
      </c>
      <c r="J37" s="65">
        <v>3829.6337000000003</v>
      </c>
    </row>
    <row r="38" spans="1:11" s="30" customFormat="1" ht="51.6" customHeight="1">
      <c r="A38" s="118" t="s">
        <v>69</v>
      </c>
      <c r="B38" s="65">
        <v>46.468000000000004</v>
      </c>
      <c r="C38" s="65">
        <v>37.634999999999998</v>
      </c>
      <c r="D38" s="65">
        <v>53.3</v>
      </c>
      <c r="E38" s="70">
        <v>61</v>
      </c>
      <c r="F38" s="70">
        <v>0</v>
      </c>
      <c r="G38" s="129">
        <v>0</v>
      </c>
      <c r="H38" s="34">
        <v>0</v>
      </c>
      <c r="I38" s="34">
        <v>0</v>
      </c>
      <c r="J38" s="65">
        <v>0</v>
      </c>
    </row>
    <row r="39" spans="1:11" s="30" customFormat="1">
      <c r="A39" s="118" t="s">
        <v>95</v>
      </c>
      <c r="B39" s="34">
        <v>4879</v>
      </c>
      <c r="C39" s="34">
        <v>5107.7520000000004</v>
      </c>
      <c r="D39" s="34">
        <v>4583.4340000000002</v>
      </c>
      <c r="E39" s="70">
        <v>5230.8</v>
      </c>
      <c r="F39" s="70">
        <v>7995.067</v>
      </c>
      <c r="G39" s="129">
        <v>9771.3465909900005</v>
      </c>
      <c r="H39" s="34">
        <v>11145.406884639999</v>
      </c>
      <c r="I39" s="34">
        <v>13010.819685940001</v>
      </c>
      <c r="J39" s="65">
        <v>1713.1688000000001</v>
      </c>
    </row>
    <row r="40" spans="1:11" s="30" customFormat="1">
      <c r="A40" s="118" t="s">
        <v>96</v>
      </c>
      <c r="B40" s="34">
        <v>74.453999999999994</v>
      </c>
      <c r="C40" s="34">
        <v>111.5851</v>
      </c>
      <c r="D40" s="34">
        <v>66.94</v>
      </c>
      <c r="E40" s="70">
        <v>492.7013</v>
      </c>
      <c r="F40" s="70">
        <v>271.10379999999998</v>
      </c>
      <c r="G40" s="129">
        <v>76.863982430000007</v>
      </c>
      <c r="H40" s="34">
        <v>142.54511184000015</v>
      </c>
      <c r="I40" s="34">
        <v>128.00493855000019</v>
      </c>
      <c r="J40" s="65">
        <v>0</v>
      </c>
    </row>
    <row r="41" spans="1:11" s="30" customFormat="1" ht="30">
      <c r="A41" s="118" t="s">
        <v>97</v>
      </c>
      <c r="B41" s="34">
        <v>55.569000000000003</v>
      </c>
      <c r="C41" s="34">
        <v>81.733400000000003</v>
      </c>
      <c r="D41" s="34">
        <v>83.174999999999997</v>
      </c>
      <c r="E41" s="70">
        <v>105.06819999999999</v>
      </c>
      <c r="F41" s="70">
        <v>113.30410000000001</v>
      </c>
      <c r="G41" s="129">
        <v>141.65672043000001</v>
      </c>
      <c r="H41" s="34">
        <v>118.89707989000034</v>
      </c>
      <c r="I41" s="34">
        <v>115.4282296800003</v>
      </c>
      <c r="J41" s="65">
        <v>0</v>
      </c>
    </row>
    <row r="42" spans="1:11" s="30" customFormat="1" ht="33" customHeight="1">
      <c r="A42" s="118" t="s">
        <v>98</v>
      </c>
      <c r="B42" s="34">
        <v>4566.8609999999999</v>
      </c>
      <c r="C42" s="34">
        <v>4295.2379000000001</v>
      </c>
      <c r="D42" s="34">
        <v>5112.5</v>
      </c>
      <c r="E42" s="70">
        <v>8571.7999999999993</v>
      </c>
      <c r="F42" s="70">
        <v>9278.1409000000003</v>
      </c>
      <c r="G42" s="129">
        <v>9354.7802945100011</v>
      </c>
      <c r="H42" s="34">
        <v>5578.1897395799997</v>
      </c>
      <c r="I42" s="34">
        <v>4767.52361991</v>
      </c>
      <c r="J42" s="65">
        <v>7354.5537999999997</v>
      </c>
    </row>
    <row r="43" spans="1:11" s="30" customFormat="1" ht="30">
      <c r="A43" s="118" t="s">
        <v>71</v>
      </c>
      <c r="B43" s="65">
        <v>1287.673</v>
      </c>
      <c r="C43" s="65">
        <v>1196.6690000000001</v>
      </c>
      <c r="D43" s="65">
        <v>1523.4</v>
      </c>
      <c r="E43" s="70">
        <v>1758.6</v>
      </c>
      <c r="F43" s="70">
        <v>0</v>
      </c>
      <c r="G43" s="129">
        <v>0</v>
      </c>
      <c r="H43" s="34">
        <v>0</v>
      </c>
      <c r="I43" s="34">
        <v>0</v>
      </c>
      <c r="J43" s="65">
        <v>0</v>
      </c>
    </row>
    <row r="44" spans="1:11" s="30" customFormat="1" ht="28.15" customHeight="1">
      <c r="A44" s="118" t="s">
        <v>70</v>
      </c>
      <c r="B44" s="65">
        <v>132.28399999999999</v>
      </c>
      <c r="C44" s="65">
        <v>136.369</v>
      </c>
      <c r="D44" s="65">
        <v>66.099999999999994</v>
      </c>
      <c r="E44" s="70">
        <v>212.5</v>
      </c>
      <c r="F44" s="70">
        <v>0</v>
      </c>
      <c r="G44" s="129">
        <v>0</v>
      </c>
      <c r="H44" s="34">
        <v>0</v>
      </c>
      <c r="I44" s="34">
        <v>0</v>
      </c>
      <c r="J44" s="65">
        <v>0</v>
      </c>
    </row>
    <row r="45" spans="1:11" s="30" customFormat="1" ht="20.25" customHeight="1">
      <c r="A45" s="118" t="s">
        <v>101</v>
      </c>
      <c r="B45" s="65">
        <v>0</v>
      </c>
      <c r="C45" s="65">
        <v>0</v>
      </c>
      <c r="D45" s="65">
        <v>0</v>
      </c>
      <c r="E45" s="70">
        <v>0</v>
      </c>
      <c r="F45" s="70">
        <v>485.56360000000001</v>
      </c>
      <c r="G45" s="129">
        <v>128.68334446</v>
      </c>
      <c r="H45" s="34">
        <v>37.057063030000208</v>
      </c>
      <c r="I45" s="34">
        <v>30.122143970000266</v>
      </c>
      <c r="J45" s="65" t="s">
        <v>104</v>
      </c>
    </row>
    <row r="46" spans="1:11" s="30" customFormat="1" ht="32.25" customHeight="1">
      <c r="A46" s="118" t="s">
        <v>102</v>
      </c>
      <c r="B46" s="65">
        <v>0</v>
      </c>
      <c r="C46" s="65">
        <v>0</v>
      </c>
      <c r="D46" s="65">
        <v>0</v>
      </c>
      <c r="E46" s="70">
        <v>0</v>
      </c>
      <c r="F46" s="70">
        <v>408.22800000000001</v>
      </c>
      <c r="G46" s="129">
        <v>376.66515102999995</v>
      </c>
      <c r="H46" s="34">
        <v>326.52534527</v>
      </c>
      <c r="I46" s="34">
        <v>334.27077089000034</v>
      </c>
      <c r="J46" s="65" t="s">
        <v>104</v>
      </c>
    </row>
    <row r="47" spans="1:11" s="117" customFormat="1" ht="18.75" customHeight="1">
      <c r="A47" s="118" t="s">
        <v>99</v>
      </c>
      <c r="B47" s="65">
        <v>0</v>
      </c>
      <c r="C47" s="65">
        <v>0</v>
      </c>
      <c r="D47" s="65">
        <v>0</v>
      </c>
      <c r="E47" s="70">
        <v>0</v>
      </c>
      <c r="F47" s="70">
        <v>567.49969999999996</v>
      </c>
      <c r="G47" s="129">
        <v>723.51207209000006</v>
      </c>
      <c r="H47" s="34">
        <v>505.67081987000034</v>
      </c>
      <c r="I47" s="34">
        <v>523.98343034000015</v>
      </c>
      <c r="J47" s="65" t="s">
        <v>104</v>
      </c>
      <c r="K47" s="131"/>
    </row>
    <row r="48" spans="1:11" s="117" customFormat="1" ht="34.5" customHeight="1">
      <c r="A48" s="130" t="s">
        <v>105</v>
      </c>
      <c r="B48" s="34" t="s">
        <v>104</v>
      </c>
      <c r="C48" s="34" t="s">
        <v>104</v>
      </c>
      <c r="D48" s="34" t="s">
        <v>104</v>
      </c>
      <c r="E48" s="129" t="s">
        <v>104</v>
      </c>
      <c r="F48" s="129" t="s">
        <v>104</v>
      </c>
      <c r="G48" s="129">
        <v>730.31648379000001</v>
      </c>
      <c r="H48" s="34">
        <v>569.0501047800002</v>
      </c>
      <c r="I48" s="34">
        <v>581.47682109000016</v>
      </c>
      <c r="J48" s="34" t="s">
        <v>104</v>
      </c>
      <c r="K48" s="131"/>
    </row>
    <row r="49" spans="1:11" s="117" customFormat="1" ht="18.75" customHeight="1">
      <c r="A49" s="130" t="s">
        <v>106</v>
      </c>
      <c r="B49" s="34" t="s">
        <v>104</v>
      </c>
      <c r="C49" s="34" t="s">
        <v>104</v>
      </c>
      <c r="D49" s="34" t="s">
        <v>104</v>
      </c>
      <c r="E49" s="129" t="s">
        <v>104</v>
      </c>
      <c r="F49" s="129" t="s">
        <v>104</v>
      </c>
      <c r="G49" s="129">
        <v>439.36498122</v>
      </c>
      <c r="H49" s="34">
        <v>131.92805675</v>
      </c>
      <c r="I49" s="34">
        <v>134.66899806000001</v>
      </c>
      <c r="J49" s="34" t="s">
        <v>104</v>
      </c>
      <c r="K49" s="131"/>
    </row>
    <row r="50" spans="1:11" s="117" customFormat="1" ht="60" customHeight="1">
      <c r="A50" s="118" t="s">
        <v>51</v>
      </c>
      <c r="B50" s="65">
        <v>1191.106</v>
      </c>
      <c r="C50" s="65">
        <v>348.63900000000001</v>
      </c>
      <c r="D50" s="65">
        <v>0</v>
      </c>
      <c r="E50" s="70">
        <v>52.9</v>
      </c>
      <c r="F50" s="70">
        <v>52.9</v>
      </c>
      <c r="G50" s="129">
        <v>52.9</v>
      </c>
      <c r="H50" s="34">
        <v>112.5986</v>
      </c>
      <c r="I50" s="34">
        <v>112.5986</v>
      </c>
      <c r="J50" s="65">
        <v>0</v>
      </c>
      <c r="K50" s="131"/>
    </row>
    <row r="51" spans="1:11" s="119" customFormat="1" ht="48.6" customHeight="1">
      <c r="A51" s="118" t="s">
        <v>100</v>
      </c>
      <c r="B51" s="65">
        <v>3.65</v>
      </c>
      <c r="C51" s="65">
        <v>2.5750000000000002</v>
      </c>
      <c r="D51" s="65">
        <v>5.23</v>
      </c>
      <c r="E51" s="70">
        <v>4.0449999999999999</v>
      </c>
      <c r="F51" s="70">
        <v>4.0449999999999999</v>
      </c>
      <c r="G51" s="129">
        <v>3.6404999999999998</v>
      </c>
      <c r="H51" s="34">
        <v>3.6404999999999998</v>
      </c>
      <c r="I51" s="34">
        <v>3.4605000000000001</v>
      </c>
      <c r="J51" s="65">
        <v>0</v>
      </c>
    </row>
    <row r="52" spans="1:11" s="30" customFormat="1" ht="62.45" customHeight="1">
      <c r="A52" s="118" t="s">
        <v>56</v>
      </c>
      <c r="B52" s="34">
        <v>0</v>
      </c>
      <c r="C52" s="34">
        <v>0</v>
      </c>
      <c r="D52" s="34">
        <v>20.579000000000001</v>
      </c>
      <c r="E52" s="70">
        <v>0</v>
      </c>
      <c r="F52" s="65">
        <v>0</v>
      </c>
      <c r="G52" s="34">
        <v>0</v>
      </c>
      <c r="H52" s="34">
        <v>0</v>
      </c>
      <c r="I52" s="34">
        <v>0</v>
      </c>
      <c r="J52" s="65">
        <v>0</v>
      </c>
    </row>
    <row r="53" spans="1:11" s="30" customFormat="1" ht="33.6" customHeight="1">
      <c r="A53" s="118" t="s">
        <v>66</v>
      </c>
      <c r="B53" s="34">
        <v>2.875</v>
      </c>
      <c r="C53" s="34">
        <v>197.72120000000001</v>
      </c>
      <c r="D53" s="34">
        <v>0</v>
      </c>
      <c r="E53" s="70">
        <v>0</v>
      </c>
      <c r="F53" s="65">
        <v>0</v>
      </c>
      <c r="G53" s="34">
        <v>0</v>
      </c>
      <c r="H53" s="34">
        <v>0</v>
      </c>
      <c r="I53" s="34">
        <v>0</v>
      </c>
      <c r="J53" s="65">
        <v>0</v>
      </c>
    </row>
    <row r="54" spans="1:11" s="30" customFormat="1" ht="43.9" customHeight="1">
      <c r="A54" s="118" t="s">
        <v>52</v>
      </c>
      <c r="B54" s="34">
        <v>41.156999999999996</v>
      </c>
      <c r="C54" s="34">
        <v>0</v>
      </c>
      <c r="D54" s="34">
        <v>0</v>
      </c>
      <c r="E54" s="70">
        <v>0</v>
      </c>
      <c r="F54" s="65">
        <v>0</v>
      </c>
      <c r="G54" s="34">
        <v>0</v>
      </c>
      <c r="H54" s="34">
        <v>0</v>
      </c>
      <c r="I54" s="34">
        <v>0</v>
      </c>
      <c r="J54" s="65">
        <v>0</v>
      </c>
    </row>
    <row r="55" spans="1:11" s="40" customFormat="1" ht="89.25" customHeight="1">
      <c r="A55" s="122" t="s">
        <v>53</v>
      </c>
      <c r="B55" s="34">
        <v>2.907</v>
      </c>
      <c r="C55" s="34">
        <v>0</v>
      </c>
      <c r="D55" s="34">
        <v>0</v>
      </c>
      <c r="E55" s="70">
        <v>0.14000000000000001</v>
      </c>
      <c r="F55" s="65">
        <v>0</v>
      </c>
      <c r="G55" s="34">
        <v>0</v>
      </c>
      <c r="H55" s="34">
        <v>0</v>
      </c>
      <c r="I55" s="34">
        <v>0</v>
      </c>
      <c r="J55" s="65">
        <v>0</v>
      </c>
    </row>
    <row r="56" spans="1:11" ht="28.5">
      <c r="A56" s="41" t="s">
        <v>48</v>
      </c>
      <c r="B56" s="35">
        <v>838.59399999999994</v>
      </c>
      <c r="C56" s="35">
        <v>774.2192</v>
      </c>
      <c r="D56" s="35">
        <v>1611</v>
      </c>
      <c r="E56" s="64">
        <v>875.5</v>
      </c>
      <c r="F56" s="68">
        <f>986.5529+274.2967</f>
        <v>1260.8496</v>
      </c>
      <c r="G56" s="39">
        <v>2037.40682081</v>
      </c>
      <c r="H56" s="35">
        <v>4967.4140869599996</v>
      </c>
      <c r="I56" s="35">
        <v>5953.0386668700003</v>
      </c>
      <c r="J56" s="64">
        <v>861.35784296601435</v>
      </c>
    </row>
    <row r="57" spans="1:11" s="29" customFormat="1">
      <c r="A57" s="41" t="s">
        <v>75</v>
      </c>
      <c r="B57" s="39"/>
      <c r="C57" s="39"/>
      <c r="D57" s="39"/>
      <c r="E57" s="68"/>
      <c r="F57" s="68"/>
      <c r="G57" s="39"/>
      <c r="H57" s="39">
        <f t="shared" ref="H57" si="3">H17</f>
        <v>2386.6920989999999</v>
      </c>
      <c r="I57" s="39">
        <f>I15-I19</f>
        <v>4821.3977799999993</v>
      </c>
      <c r="J57" s="68">
        <f>J15-J19</f>
        <v>1580.2667570339836</v>
      </c>
      <c r="K57" s="73"/>
    </row>
    <row r="58" spans="1:11" s="29" customFormat="1">
      <c r="A58"/>
      <c r="B58"/>
      <c r="C58"/>
      <c r="D58"/>
      <c r="E58" s="55"/>
      <c r="F58" s="55"/>
      <c r="G58" s="112"/>
      <c r="H58" s="55"/>
      <c r="I58" s="55"/>
      <c r="J58" s="55"/>
    </row>
    <row r="59" spans="1:11">
      <c r="A59" s="149" t="s">
        <v>40</v>
      </c>
      <c r="B59" s="149"/>
      <c r="C59" s="149"/>
      <c r="D59" s="149"/>
      <c r="E59" s="149"/>
      <c r="F59" s="149"/>
      <c r="G59" s="149"/>
      <c r="H59" s="149"/>
      <c r="I59" s="149"/>
      <c r="J59" s="149"/>
    </row>
    <row r="60" spans="1:11">
      <c r="A60" s="29"/>
      <c r="B60" s="29"/>
      <c r="C60" s="29"/>
      <c r="D60" s="29"/>
    </row>
  </sheetData>
  <mergeCells count="13">
    <mergeCell ref="G2:J2"/>
    <mergeCell ref="G3:J3"/>
    <mergeCell ref="G4:J4"/>
    <mergeCell ref="G1:J1"/>
    <mergeCell ref="G5:J5"/>
    <mergeCell ref="G6:J6"/>
    <mergeCell ref="G7:J7"/>
    <mergeCell ref="A59:J59"/>
    <mergeCell ref="A12:A13"/>
    <mergeCell ref="B12:J12"/>
    <mergeCell ref="A8:J8"/>
    <mergeCell ref="A9:J9"/>
    <mergeCell ref="A10:J10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 differentFirst="1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прогноз СЭР</vt:lpstr>
      <vt:lpstr>КБ</vt:lpstr>
      <vt:lpstr>ОБ</vt:lpstr>
      <vt:lpstr>ГП</vt:lpstr>
      <vt:lpstr>ГП!Заголовки_для_печати</vt:lpstr>
      <vt:lpstr>ГП!Область_печати</vt:lpstr>
      <vt:lpstr>КБ!Область_печати</vt:lpstr>
      <vt:lpstr>ОБ!Область_печати</vt:lpstr>
      <vt:lpstr>'прогноз СЭР'!Область_печати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2016-02-25T06:39:47Z</cp:lastPrinted>
  <dcterms:created xsi:type="dcterms:W3CDTF">2006-09-28T05:33:49Z</dcterms:created>
  <dcterms:modified xsi:type="dcterms:W3CDTF">2021-10-27T14:53:07Z</dcterms:modified>
</cp:coreProperties>
</file>