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Водный транспорт" sheetId="1" r:id="rId1"/>
    <sheet name="ЖД транспорт " sheetId="2" r:id="rId2"/>
    <sheet name="Лизинг" sheetId="3" state="hidden" r:id="rId3"/>
    <sheet name="авиа расчет" sheetId="4" state="hidden" r:id="rId4"/>
    <sheet name="Воздушный транспорт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3">'авиа расчет'!$A$1:$P$30</definedName>
    <definedName name="_xlnm.Print_Area" localSheetId="0">'Водный транспорт'!$A$1:$BL$28</definedName>
    <definedName name="_xlnm.Print_Area" localSheetId="4">'Воздушный транспорт'!$A$1:$BM$16</definedName>
    <definedName name="_xlnm.Print_Area" localSheetId="1">'ЖД транспорт '!$A$1:$H$19</definedName>
  </definedNames>
  <calcPr calcId="125725"/>
</workbook>
</file>

<file path=xl/calcChain.xml><?xml version="1.0" encoding="utf-8"?>
<calcChain xmlns="http://schemas.openxmlformats.org/spreadsheetml/2006/main">
  <c r="AV14" i="5"/>
  <c r="AU14"/>
  <c r="AW14" s="1"/>
  <c r="AX14" s="1"/>
  <c r="AW13"/>
  <c r="BC13" s="1"/>
  <c r="AV13"/>
  <c r="BA13" s="1"/>
  <c r="AU13"/>
  <c r="AW12"/>
  <c r="AV12"/>
  <c r="AU12"/>
  <c r="AV11"/>
  <c r="BA11" s="1"/>
  <c r="AU11"/>
  <c r="AW11" s="1"/>
  <c r="AW10"/>
  <c r="AV10"/>
  <c r="BA10" s="1"/>
  <c r="AU10"/>
  <c r="AW9"/>
  <c r="AV9"/>
  <c r="AU9"/>
  <c r="AW8"/>
  <c r="AW15" s="1"/>
  <c r="AV8"/>
  <c r="BA8" s="1"/>
  <c r="AU8"/>
  <c r="AU15" s="1"/>
  <c r="AZ15"/>
  <c r="AY15"/>
  <c r="AS15"/>
  <c r="AM15"/>
  <c r="AA15"/>
  <c r="X15"/>
  <c r="W15"/>
  <c r="V15"/>
  <c r="N15"/>
  <c r="M15"/>
  <c r="K15"/>
  <c r="L15" s="1"/>
  <c r="J15"/>
  <c r="I15"/>
  <c r="G15"/>
  <c r="H15" s="1"/>
  <c r="F15"/>
  <c r="E15"/>
  <c r="D15"/>
  <c r="C15"/>
  <c r="B15"/>
  <c r="BJ14"/>
  <c r="BK14" s="1"/>
  <c r="BI14"/>
  <c r="BL14" s="1"/>
  <c r="BM14" s="1"/>
  <c r="BG14"/>
  <c r="BH14" s="1"/>
  <c r="BF14"/>
  <c r="BE14"/>
  <c r="BD14"/>
  <c r="BB14"/>
  <c r="BA14"/>
  <c r="AP14"/>
  <c r="AG14"/>
  <c r="AG15" s="1"/>
  <c r="AB14"/>
  <c r="AE14" s="1"/>
  <c r="AF14" s="1"/>
  <c r="S14"/>
  <c r="R14"/>
  <c r="AC14" s="1"/>
  <c r="Q14"/>
  <c r="Q15" s="1"/>
  <c r="P14"/>
  <c r="BK13"/>
  <c r="BJ13"/>
  <c r="BF13"/>
  <c r="BE13"/>
  <c r="BD13"/>
  <c r="BI13" s="1"/>
  <c r="BL13" s="1"/>
  <c r="BB13"/>
  <c r="BJ12"/>
  <c r="BK12" s="1"/>
  <c r="BI12"/>
  <c r="BL12" s="1"/>
  <c r="BM12" s="1"/>
  <c r="BG12"/>
  <c r="BH12" s="1"/>
  <c r="BF12"/>
  <c r="BE12"/>
  <c r="BD12"/>
  <c r="BB12"/>
  <c r="BC12" s="1"/>
  <c r="BA12"/>
  <c r="BE11"/>
  <c r="BJ11" s="1"/>
  <c r="BK11" s="1"/>
  <c r="BD11"/>
  <c r="BI11" s="1"/>
  <c r="BB11"/>
  <c r="AO11"/>
  <c r="BJ10"/>
  <c r="BK10" s="1"/>
  <c r="BI10"/>
  <c r="BL10" s="1"/>
  <c r="BM10" s="1"/>
  <c r="BG10"/>
  <c r="BH10" s="1"/>
  <c r="BF10"/>
  <c r="BE10"/>
  <c r="BD10"/>
  <c r="BB10"/>
  <c r="BE9"/>
  <c r="BJ9" s="1"/>
  <c r="BD9"/>
  <c r="BI9" s="1"/>
  <c r="BB9"/>
  <c r="BA9"/>
  <c r="AC9"/>
  <c r="AD9" s="1"/>
  <c r="AB9"/>
  <c r="AE9" s="1"/>
  <c r="T9"/>
  <c r="S9"/>
  <c r="BK8"/>
  <c r="BJ8"/>
  <c r="BF8"/>
  <c r="BE8"/>
  <c r="BD8"/>
  <c r="BG8" s="1"/>
  <c r="BB8"/>
  <c r="AC8"/>
  <c r="AD8" s="1"/>
  <c r="AB8"/>
  <c r="AE8" s="1"/>
  <c r="T8"/>
  <c r="U8" s="1"/>
  <c r="S8"/>
  <c r="P8"/>
  <c r="N8"/>
  <c r="H8"/>
  <c r="AE7"/>
  <c r="AD7"/>
  <c r="AC7"/>
  <c r="AB7"/>
  <c r="U7"/>
  <c r="T7"/>
  <c r="P7"/>
  <c r="L7"/>
  <c r="J7"/>
  <c r="H7"/>
  <c r="AP6"/>
  <c r="AO6"/>
  <c r="AJ6"/>
  <c r="AI6"/>
  <c r="AI15" s="1"/>
  <c r="AD6"/>
  <c r="AC6"/>
  <c r="AB6"/>
  <c r="AE6" s="1"/>
  <c r="Z6"/>
  <c r="T6"/>
  <c r="P6"/>
  <c r="O6"/>
  <c r="O15" s="1"/>
  <c r="P15" s="1"/>
  <c r="N6"/>
  <c r="L6"/>
  <c r="J6"/>
  <c r="H6"/>
  <c r="O27" i="4"/>
  <c r="M27"/>
  <c r="L27"/>
  <c r="O26"/>
  <c r="N26"/>
  <c r="N27" s="1"/>
  <c r="M26"/>
  <c r="L26"/>
  <c r="C26"/>
  <c r="I25"/>
  <c r="E25"/>
  <c r="I23"/>
  <c r="E23"/>
  <c r="I22"/>
  <c r="I21"/>
  <c r="E21"/>
  <c r="I20"/>
  <c r="E20"/>
  <c r="I18"/>
  <c r="I17"/>
  <c r="I16"/>
  <c r="I15"/>
  <c r="I14"/>
  <c r="E14"/>
  <c r="I12"/>
  <c r="E12"/>
  <c r="I10"/>
  <c r="I8" s="1"/>
  <c r="E10"/>
  <c r="E8" s="1"/>
  <c r="M9"/>
  <c r="L9"/>
  <c r="L7"/>
  <c r="I7"/>
  <c r="E7"/>
  <c r="I6"/>
  <c r="E6"/>
  <c r="I5"/>
  <c r="E5"/>
  <c r="O4"/>
  <c r="N4" s="1"/>
  <c r="L4"/>
  <c r="Q16" i="3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H16"/>
  <c r="H17" s="1"/>
  <c r="G16"/>
  <c r="G17" s="1"/>
  <c r="F16"/>
  <c r="F17" s="1"/>
  <c r="F18" s="1"/>
  <c r="E16"/>
  <c r="E17" s="1"/>
  <c r="D16"/>
  <c r="D17" s="1"/>
  <c r="C16"/>
  <c r="C17" s="1"/>
  <c r="B16"/>
  <c r="B17" s="1"/>
  <c r="I15"/>
  <c r="I14"/>
  <c r="I13"/>
  <c r="I12"/>
  <c r="I11"/>
  <c r="I10"/>
  <c r="I9"/>
  <c r="I8"/>
  <c r="I7"/>
  <c r="I16" s="1"/>
  <c r="I17" s="1"/>
  <c r="E13" i="2"/>
  <c r="D13"/>
  <c r="D14" s="1"/>
  <c r="F12"/>
  <c r="F14" s="1"/>
  <c r="F16" s="1"/>
  <c r="E12"/>
  <c r="E14" s="1"/>
  <c r="D12"/>
  <c r="J11"/>
  <c r="G11"/>
  <c r="G13" s="1"/>
  <c r="F11"/>
  <c r="D11"/>
  <c r="J10"/>
  <c r="H10"/>
  <c r="H11" s="1"/>
  <c r="H12" s="1"/>
  <c r="G10"/>
  <c r="F9"/>
  <c r="D9"/>
  <c r="H7"/>
  <c r="F7"/>
  <c r="F13" s="1"/>
  <c r="BA26" i="1"/>
  <c r="BA24" s="1"/>
  <c r="BF25"/>
  <c r="BK25" s="1"/>
  <c r="BK24" s="1"/>
  <c r="BA25"/>
  <c r="BF24"/>
  <c r="AV24"/>
  <c r="AZ23"/>
  <c r="AY23"/>
  <c r="BD23" s="1"/>
  <c r="AX23"/>
  <c r="BA23" s="1"/>
  <c r="AV23"/>
  <c r="AW23" s="1"/>
  <c r="AU23"/>
  <c r="AQ23"/>
  <c r="AI23"/>
  <c r="AC23"/>
  <c r="V23"/>
  <c r="X23" s="1"/>
  <c r="S23"/>
  <c r="R23"/>
  <c r="AD23" s="1"/>
  <c r="Q23"/>
  <c r="T23" s="1"/>
  <c r="U23" s="1"/>
  <c r="M23"/>
  <c r="P23" s="1"/>
  <c r="BD22"/>
  <c r="BE22" s="1"/>
  <c r="AX22"/>
  <c r="BA22" s="1"/>
  <c r="BF22" s="1"/>
  <c r="BA21"/>
  <c r="BF21" s="1"/>
  <c r="BK20"/>
  <c r="BA20"/>
  <c r="BF20" s="1"/>
  <c r="BG20" s="1"/>
  <c r="AJ20"/>
  <c r="AI20"/>
  <c r="AK20" s="1"/>
  <c r="AE20"/>
  <c r="AY19"/>
  <c r="BD19" s="1"/>
  <c r="AU19"/>
  <c r="AS19"/>
  <c r="AV19" s="1"/>
  <c r="AR19"/>
  <c r="AP19"/>
  <c r="AJ19"/>
  <c r="AC19"/>
  <c r="AB19"/>
  <c r="AH19" s="1"/>
  <c r="AK19" s="1"/>
  <c r="AL19" s="1"/>
  <c r="X19"/>
  <c r="V19"/>
  <c r="S19"/>
  <c r="R19"/>
  <c r="AD19" s="1"/>
  <c r="Q19"/>
  <c r="T19" s="1"/>
  <c r="U19" s="1"/>
  <c r="M19"/>
  <c r="P19" s="1"/>
  <c r="L19"/>
  <c r="J19"/>
  <c r="H19"/>
  <c r="BC18"/>
  <c r="AY18"/>
  <c r="BD18" s="1"/>
  <c r="AX18"/>
  <c r="AV18"/>
  <c r="AU18"/>
  <c r="AN18"/>
  <c r="AQ18" s="1"/>
  <c r="AI18"/>
  <c r="AP18" s="1"/>
  <c r="AC18"/>
  <c r="AD18" s="1"/>
  <c r="AB18"/>
  <c r="AE18" s="1"/>
  <c r="AF18" s="1"/>
  <c r="AA18"/>
  <c r="Z18"/>
  <c r="X18"/>
  <c r="S18"/>
  <c r="R18"/>
  <c r="Q18"/>
  <c r="P18"/>
  <c r="N18"/>
  <c r="L18"/>
  <c r="J18"/>
  <c r="H18"/>
  <c r="AG17"/>
  <c r="AG18" s="1"/>
  <c r="AC17"/>
  <c r="AJ17" s="1"/>
  <c r="AB17"/>
  <c r="Z17"/>
  <c r="X17"/>
  <c r="S17"/>
  <c r="R17"/>
  <c r="Q17"/>
  <c r="P17"/>
  <c r="N17"/>
  <c r="L17"/>
  <c r="J17"/>
  <c r="H17"/>
  <c r="BI16"/>
  <c r="BJ16" s="1"/>
  <c r="BE16"/>
  <c r="BD16"/>
  <c r="BC16"/>
  <c r="BH16" s="1"/>
  <c r="BK16" s="1"/>
  <c r="BA16"/>
  <c r="AT16"/>
  <c r="AZ16" s="1"/>
  <c r="AS16"/>
  <c r="AS13" s="1"/>
  <c r="AQ16"/>
  <c r="AP16"/>
  <c r="AC16"/>
  <c r="AJ16" s="1"/>
  <c r="V16"/>
  <c r="X16" s="1"/>
  <c r="R16"/>
  <c r="AD16" s="1"/>
  <c r="Q16"/>
  <c r="P16"/>
  <c r="N16"/>
  <c r="M16"/>
  <c r="L16"/>
  <c r="J16"/>
  <c r="H16"/>
  <c r="BD15"/>
  <c r="BE15" s="1"/>
  <c r="AZ15"/>
  <c r="AY15"/>
  <c r="AX15"/>
  <c r="BA15" s="1"/>
  <c r="AU15"/>
  <c r="AS15"/>
  <c r="AV15" s="1"/>
  <c r="AW15" s="1"/>
  <c r="AQ15"/>
  <c r="AP15"/>
  <c r="AC15"/>
  <c r="V15"/>
  <c r="X15" s="1"/>
  <c r="S15"/>
  <c r="R15"/>
  <c r="Q15"/>
  <c r="T15" s="1"/>
  <c r="U15" s="1"/>
  <c r="P15"/>
  <c r="N15"/>
  <c r="L15"/>
  <c r="J15"/>
  <c r="H15"/>
  <c r="D15"/>
  <c r="B15"/>
  <c r="AX14"/>
  <c r="BC14" s="1"/>
  <c r="AV14"/>
  <c r="AU14"/>
  <c r="AT14"/>
  <c r="AY14" s="1"/>
  <c r="AQ14"/>
  <c r="AR14" s="1"/>
  <c r="AP14"/>
  <c r="AM14"/>
  <c r="AI14"/>
  <c r="AH14"/>
  <c r="AT13"/>
  <c r="AU13" s="1"/>
  <c r="AO13"/>
  <c r="AN13"/>
  <c r="BC12"/>
  <c r="BH12" s="1"/>
  <c r="AY12"/>
  <c r="BD12" s="1"/>
  <c r="AV12"/>
  <c r="AW12" s="1"/>
  <c r="AU12"/>
  <c r="AS12"/>
  <c r="AQ12"/>
  <c r="AR12" s="1"/>
  <c r="AM12"/>
  <c r="AK12"/>
  <c r="AH12" s="1"/>
  <c r="AI12"/>
  <c r="AP12" s="1"/>
  <c r="AC12"/>
  <c r="AB12"/>
  <c r="W12"/>
  <c r="V12"/>
  <c r="X12" s="1"/>
  <c r="R12"/>
  <c r="Q12"/>
  <c r="T12" s="1"/>
  <c r="U12" s="1"/>
  <c r="P12"/>
  <c r="N12"/>
  <c r="M12"/>
  <c r="L12"/>
  <c r="J12"/>
  <c r="H12"/>
  <c r="B12"/>
  <c r="BI11"/>
  <c r="BJ11" s="1"/>
  <c r="BD11"/>
  <c r="BE11" s="1"/>
  <c r="BC11"/>
  <c r="BH11" s="1"/>
  <c r="BK11" s="1"/>
  <c r="BA11"/>
  <c r="AZ11"/>
  <c r="AV11"/>
  <c r="AW11" s="1"/>
  <c r="AU11"/>
  <c r="AQ11"/>
  <c r="AP11"/>
  <c r="AJ11"/>
  <c r="AH11"/>
  <c r="AK11" s="1"/>
  <c r="AC11"/>
  <c r="V11"/>
  <c r="X11" s="1"/>
  <c r="S11"/>
  <c r="R11"/>
  <c r="AD11" s="1"/>
  <c r="Q11"/>
  <c r="P11"/>
  <c r="N11"/>
  <c r="L11"/>
  <c r="J11"/>
  <c r="H11"/>
  <c r="AT10"/>
  <c r="AY10" s="1"/>
  <c r="AZ10" s="1"/>
  <c r="AS10"/>
  <c r="AX10" s="1"/>
  <c r="AQ10"/>
  <c r="AP10"/>
  <c r="AJ10"/>
  <c r="AC10"/>
  <c r="AB10"/>
  <c r="AH10" s="1"/>
  <c r="AK10" s="1"/>
  <c r="X10"/>
  <c r="V10"/>
  <c r="R10"/>
  <c r="AD10" s="1"/>
  <c r="Q10"/>
  <c r="T10" s="1"/>
  <c r="U10" s="1"/>
  <c r="N10"/>
  <c r="M10"/>
  <c r="P10" s="1"/>
  <c r="L10"/>
  <c r="J10"/>
  <c r="H10"/>
  <c r="AY9"/>
  <c r="BD9" s="1"/>
  <c r="BE9" s="1"/>
  <c r="AU9"/>
  <c r="AT9"/>
  <c r="AS9"/>
  <c r="AX9" s="1"/>
  <c r="AQ9"/>
  <c r="AI9"/>
  <c r="AP9" s="1"/>
  <c r="AC9"/>
  <c r="V9"/>
  <c r="X9" s="1"/>
  <c r="S9"/>
  <c r="R9"/>
  <c r="Q9"/>
  <c r="T9" s="1"/>
  <c r="U9" s="1"/>
  <c r="P9"/>
  <c r="N9"/>
  <c r="L9"/>
  <c r="J9"/>
  <c r="H9"/>
  <c r="AY8"/>
  <c r="BA8" s="1"/>
  <c r="AU8"/>
  <c r="AT8"/>
  <c r="AT7" s="1"/>
  <c r="AU7" s="1"/>
  <c r="AS8"/>
  <c r="AV8" s="1"/>
  <c r="AQ8"/>
  <c r="AP8"/>
  <c r="AJ8"/>
  <c r="AC8"/>
  <c r="AB8"/>
  <c r="AH8" s="1"/>
  <c r="X8"/>
  <c r="V8"/>
  <c r="S8"/>
  <c r="R8"/>
  <c r="AD8" s="1"/>
  <c r="Q8"/>
  <c r="P8"/>
  <c r="N8"/>
  <c r="L8"/>
  <c r="J8"/>
  <c r="H8"/>
  <c r="AS7"/>
  <c r="AO7"/>
  <c r="AN7"/>
  <c r="AI7"/>
  <c r="AO15" i="5" l="1"/>
  <c r="AD15" i="1"/>
  <c r="AE12"/>
  <c r="AF12" s="1"/>
  <c r="AW8"/>
  <c r="AW18"/>
  <c r="BA10"/>
  <c r="BB10" s="1"/>
  <c r="BC10"/>
  <c r="BH10" s="1"/>
  <c r="BF14"/>
  <c r="BH14"/>
  <c r="AY13"/>
  <c r="AZ13" s="1"/>
  <c r="BD14"/>
  <c r="BE14" s="1"/>
  <c r="AZ14"/>
  <c r="BA14"/>
  <c r="BG14" s="1"/>
  <c r="BI18"/>
  <c r="BJ18" s="1"/>
  <c r="BE18"/>
  <c r="AP7"/>
  <c r="AD9"/>
  <c r="AZ9"/>
  <c r="AV10"/>
  <c r="AW10" s="1"/>
  <c r="AD12"/>
  <c r="BI15"/>
  <c r="BJ15" s="1"/>
  <c r="T16"/>
  <c r="U16" s="1"/>
  <c r="AB16"/>
  <c r="AU16"/>
  <c r="AD17"/>
  <c r="BA18"/>
  <c r="BB18" s="1"/>
  <c r="N19"/>
  <c r="BB20"/>
  <c r="BB23"/>
  <c r="AU10"/>
  <c r="AQ13"/>
  <c r="AW14"/>
  <c r="AZ18"/>
  <c r="BL20"/>
  <c r="AJ23"/>
  <c r="BC23"/>
  <c r="BH23" s="1"/>
  <c r="AE17"/>
  <c r="AF17" s="1"/>
  <c r="AH17"/>
  <c r="AK17" s="1"/>
  <c r="AH18"/>
  <c r="AK18" s="1"/>
  <c r="BF18"/>
  <c r="BG18" s="1"/>
  <c r="T8"/>
  <c r="U8" s="1"/>
  <c r="AZ8"/>
  <c r="AV9"/>
  <c r="AW9" s="1"/>
  <c r="AE8"/>
  <c r="AF8" s="1"/>
  <c r="AE10"/>
  <c r="AF10" s="1"/>
  <c r="T11"/>
  <c r="U11" s="1"/>
  <c r="AR11"/>
  <c r="BF11"/>
  <c r="BG11" s="1"/>
  <c r="T17"/>
  <c r="U17" s="1"/>
  <c r="T18"/>
  <c r="U18" s="1"/>
  <c r="BH18"/>
  <c r="AE19"/>
  <c r="AF19" s="1"/>
  <c r="BB21"/>
  <c r="BC11" i="5"/>
  <c r="AX11"/>
  <c r="BA15"/>
  <c r="AX8"/>
  <c r="BC8"/>
  <c r="BC10"/>
  <c r="BC14"/>
  <c r="AV15"/>
  <c r="BG21" i="1"/>
  <c r="BK21"/>
  <c r="BL21" s="1"/>
  <c r="AK8"/>
  <c r="AX7"/>
  <c r="BA9"/>
  <c r="BB9" s="1"/>
  <c r="BC9"/>
  <c r="AL10"/>
  <c r="AM10"/>
  <c r="BE19"/>
  <c r="BI19"/>
  <c r="BJ19" s="1"/>
  <c r="AL11"/>
  <c r="AM11"/>
  <c r="AP15" i="5"/>
  <c r="P9" i="4"/>
  <c r="AD14" i="5"/>
  <c r="AJ14"/>
  <c r="N18" i="3"/>
  <c r="D18"/>
  <c r="I26" i="4"/>
  <c r="N5" s="1"/>
  <c r="P27"/>
  <c r="P28" s="1"/>
  <c r="BF12" i="1"/>
  <c r="BE12"/>
  <c r="BI12"/>
  <c r="BJ12" s="1"/>
  <c r="AW19"/>
  <c r="AV31"/>
  <c r="BH8" i="5"/>
  <c r="AR8" i="1"/>
  <c r="AR10"/>
  <c r="H13" i="2"/>
  <c r="H14" s="1"/>
  <c r="H16" s="1"/>
  <c r="B18" i="3"/>
  <c r="BB15" i="1"/>
  <c r="J18" i="3"/>
  <c r="AM17" i="1"/>
  <c r="AL17"/>
  <c r="AM18"/>
  <c r="AR18"/>
  <c r="AL18"/>
  <c r="BG22"/>
  <c r="BK22"/>
  <c r="BL22" s="1"/>
  <c r="BJ15" i="5"/>
  <c r="BK9"/>
  <c r="BB8" i="1"/>
  <c r="AL20"/>
  <c r="AM20"/>
  <c r="BE23"/>
  <c r="BI23"/>
  <c r="BJ23" s="1"/>
  <c r="AF6" i="5"/>
  <c r="AE15"/>
  <c r="AF15" s="1"/>
  <c r="BL9"/>
  <c r="BL11"/>
  <c r="AX15"/>
  <c r="BE15"/>
  <c r="BF15" s="1"/>
  <c r="AB9" i="1"/>
  <c r="BA12"/>
  <c r="BB12" s="1"/>
  <c r="BD13"/>
  <c r="BE13" s="1"/>
  <c r="AB15"/>
  <c r="BC22"/>
  <c r="BH22" s="1"/>
  <c r="BG9" i="5"/>
  <c r="BH9" s="1"/>
  <c r="BG11"/>
  <c r="BH11" s="1"/>
  <c r="BD15"/>
  <c r="AJ9" i="1"/>
  <c r="AZ12"/>
  <c r="BB14"/>
  <c r="AJ18"/>
  <c r="AZ19"/>
  <c r="G12" i="2"/>
  <c r="G14" s="1"/>
  <c r="G16" s="1"/>
  <c r="U6" i="5"/>
  <c r="BF9"/>
  <c r="BF11"/>
  <c r="T14"/>
  <c r="U14" s="1"/>
  <c r="AH14"/>
  <c r="AK14" s="1"/>
  <c r="AL14" s="1"/>
  <c r="BI9" i="1"/>
  <c r="BJ9" s="1"/>
  <c r="AJ15"/>
  <c r="BC15"/>
  <c r="AP23"/>
  <c r="AH6" i="5"/>
  <c r="BI8"/>
  <c r="BB15"/>
  <c r="BC15" s="1"/>
  <c r="AI13" i="1"/>
  <c r="AP13" s="1"/>
  <c r="AX19"/>
  <c r="AB15" i="5"/>
  <c r="AY7" i="1"/>
  <c r="AZ7" s="1"/>
  <c r="AV16"/>
  <c r="AV13" s="1"/>
  <c r="BF16"/>
  <c r="BG16" s="1"/>
  <c r="BF23"/>
  <c r="BG23" s="1"/>
  <c r="BC9" i="5"/>
  <c r="BG13"/>
  <c r="BH13" s="1"/>
  <c r="BD10" i="1"/>
  <c r="BF10" s="1"/>
  <c r="BG10" s="1"/>
  <c r="P29" i="4"/>
  <c r="R15" i="5"/>
  <c r="S15" s="1"/>
  <c r="AQ7" i="1"/>
  <c r="AB11"/>
  <c r="AE11" s="1"/>
  <c r="AF11" s="1"/>
  <c r="AB23"/>
  <c r="BI14"/>
  <c r="BK14" s="1"/>
  <c r="BI22"/>
  <c r="BJ22" s="1"/>
  <c r="AC15" i="5"/>
  <c r="AD15" s="1"/>
  <c r="BB11" i="1"/>
  <c r="BD8"/>
  <c r="AE16" l="1"/>
  <c r="AF16" s="1"/>
  <c r="AH16"/>
  <c r="AK16" s="1"/>
  <c r="BK12"/>
  <c r="BL12" s="1"/>
  <c r="BK18"/>
  <c r="BL18" s="1"/>
  <c r="AV7"/>
  <c r="BL11"/>
  <c r="AV28"/>
  <c r="AW13"/>
  <c r="BH15"/>
  <c r="BF15"/>
  <c r="BD7"/>
  <c r="BE7" s="1"/>
  <c r="BE8"/>
  <c r="BF8"/>
  <c r="BI8"/>
  <c r="BF9"/>
  <c r="BG9" s="1"/>
  <c r="BH9"/>
  <c r="BC7"/>
  <c r="AH15" i="5"/>
  <c r="AK6"/>
  <c r="BI15"/>
  <c r="BL8"/>
  <c r="BG15"/>
  <c r="BH15" s="1"/>
  <c r="P30" i="4"/>
  <c r="E24" s="1"/>
  <c r="E18" s="1"/>
  <c r="E26" s="1"/>
  <c r="BG12" i="1"/>
  <c r="BM9" i="5"/>
  <c r="BA7" i="1"/>
  <c r="BB7" s="1"/>
  <c r="AW7"/>
  <c r="BL16"/>
  <c r="AE9"/>
  <c r="AF9" s="1"/>
  <c r="AH9"/>
  <c r="AW16"/>
  <c r="BB16"/>
  <c r="AE23"/>
  <c r="AF23" s="1"/>
  <c r="AH23"/>
  <c r="AK23" s="1"/>
  <c r="BL14"/>
  <c r="BI13"/>
  <c r="BJ13" s="1"/>
  <c r="BJ14"/>
  <c r="AE15"/>
  <c r="AF15" s="1"/>
  <c r="AH15"/>
  <c r="BC19"/>
  <c r="BC13" s="1"/>
  <c r="BA19"/>
  <c r="AL8"/>
  <c r="AM8"/>
  <c r="AJ15" i="5"/>
  <c r="BM11"/>
  <c r="BK23" i="1"/>
  <c r="BL23" s="1"/>
  <c r="T15" i="5"/>
  <c r="U15" s="1"/>
  <c r="BK15"/>
  <c r="AX13" i="1"/>
  <c r="BM13" i="5"/>
  <c r="BI10" i="1"/>
  <c r="BE10"/>
  <c r="AM16" l="1"/>
  <c r="AL16"/>
  <c r="AR16"/>
  <c r="AM23"/>
  <c r="AL23"/>
  <c r="AR23"/>
  <c r="BM8" i="5"/>
  <c r="BL15"/>
  <c r="BM15" s="1"/>
  <c r="AK9" i="1"/>
  <c r="AH7"/>
  <c r="M5" i="4"/>
  <c r="L5"/>
  <c r="O5"/>
  <c r="BB19" i="1"/>
  <c r="BA13"/>
  <c r="BF7"/>
  <c r="BG7" s="1"/>
  <c r="BG8"/>
  <c r="BK8"/>
  <c r="BJ8"/>
  <c r="BI7"/>
  <c r="BJ7" s="1"/>
  <c r="BH7"/>
  <c r="BK9"/>
  <c r="BL9" s="1"/>
  <c r="BJ10"/>
  <c r="BK10"/>
  <c r="BL10" s="1"/>
  <c r="BK15"/>
  <c r="BG15"/>
  <c r="AK15"/>
  <c r="AH13"/>
  <c r="AL6" i="5"/>
  <c r="AK15"/>
  <c r="AL15" s="1"/>
  <c r="BF19" i="1"/>
  <c r="BG19" s="1"/>
  <c r="BH19"/>
  <c r="BK19" s="1"/>
  <c r="L10" i="4" l="1"/>
  <c r="AN11" i="5"/>
  <c r="AQ11" s="1"/>
  <c r="P5" i="4"/>
  <c r="BL15" i="1"/>
  <c r="BK13"/>
  <c r="BL8"/>
  <c r="BK7"/>
  <c r="BL7" s="1"/>
  <c r="AN14" i="5"/>
  <c r="AQ14" s="1"/>
  <c r="M10" i="4"/>
  <c r="N10"/>
  <c r="AN6" i="5"/>
  <c r="AK13" i="1"/>
  <c r="AR15"/>
  <c r="AL15"/>
  <c r="AM15"/>
  <c r="AM13" s="1"/>
  <c r="AR13" s="1"/>
  <c r="BB13"/>
  <c r="BA28"/>
  <c r="AM9"/>
  <c r="AM7" s="1"/>
  <c r="AR9"/>
  <c r="AL9"/>
  <c r="AK7"/>
  <c r="AR7" s="1"/>
  <c r="BL19"/>
  <c r="BH13"/>
  <c r="BF13"/>
  <c r="BG13" l="1"/>
  <c r="BF28"/>
  <c r="AQ6" i="5"/>
  <c r="AN15"/>
  <c r="BK28" i="1"/>
  <c r="BL13"/>
  <c r="AQ15" i="5" l="1"/>
  <c r="AR6"/>
  <c r="P10" i="4" l="1"/>
  <c r="AR15" i="5"/>
</calcChain>
</file>

<file path=xl/comments1.xml><?xml version="1.0" encoding="utf-8"?>
<comments xmlns="http://schemas.openxmlformats.org/spreadsheetml/2006/main">
  <authors>
    <author>Кузнецова Татьяна Юрьевна</author>
  </authors>
  <commentList>
    <comment ref="N4" authorId="0">
      <text>
        <r>
          <rPr>
            <b/>
            <sz val="9"/>
            <rFont val="Tahoma"/>
          </rPr>
          <t>Кузнецова Татьяна Юрьевна:</t>
        </r>
        <r>
          <rPr>
            <sz val="9"/>
            <rFont val="Tahoma"/>
          </rPr>
          <t xml:space="preserve">
Кузнецова Татьяна Юрьевна:
на 10 % больше, чем в 2019 по предложению тернового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F6" author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Автор:
С учетом полетов в 1 квартале 2018 г.+капитальный ремонт</t>
        </r>
      </text>
    </comment>
    <comment ref="I15" author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Автор:
Учтена линия Архангельск-Котлас, 15346,3</t>
        </r>
      </text>
    </comment>
  </commentList>
</comments>
</file>

<file path=xl/sharedStrings.xml><?xml version="1.0" encoding="utf-8"?>
<sst xmlns="http://schemas.openxmlformats.org/spreadsheetml/2006/main" count="371" uniqueCount="210">
  <si>
    <t xml:space="preserve">Расчет прогнозируемого размера средств областного бюджета на организацию транспортного обслуживания населения водным транспортом на 2022 год и плановый период 2023- 2024 годов                                                                                                                                                                              </t>
  </si>
  <si>
    <t>2009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</si>
  <si>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</si>
  <si>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</si>
  <si>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</si>
  <si>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</si>
  <si>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</si>
  <si>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</si>
  <si>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</si>
  <si>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 - прогноз</t>
  </si>
  <si>
    <t>Факт 2016 год (по данным Министерства транспорта АО)</t>
  </si>
  <si>
    <t>2017 год</t>
  </si>
  <si>
    <t>Фактически выплаченная субсидия за 2017 год</t>
  </si>
  <si>
    <t>2018 год - прогнозная оценка АТиЦ</t>
  </si>
  <si>
    <t>2018 год</t>
  </si>
  <si>
    <t>2019 год - прогноз</t>
  </si>
  <si>
    <t>2019 год</t>
  </si>
  <si>
    <t>2020 год - прогноз</t>
  </si>
  <si>
    <t>2021 год (бюджет)</t>
  </si>
  <si>
    <t>2022 год - прогноз</t>
  </si>
  <si>
    <t>2023 год - прогноз</t>
  </si>
  <si>
    <t>2024 год - прогноз</t>
  </si>
  <si>
    <t>Областной закон от 03.12.2008 г.    № 637-32-ОЗ</t>
  </si>
  <si>
    <t>Областной закон от 15.12.2009 г.                       № 118-9-ОЗ</t>
  </si>
  <si>
    <t>Заявка перевозчиков</t>
  </si>
  <si>
    <t>Областной закон от 21.12.2010 г.                       № 243-18-ОЗ</t>
  </si>
  <si>
    <t>Областной закон от 16.12.2011 г.    № 243-18-ОЗ</t>
  </si>
  <si>
    <t>Рост к 2011 г., %</t>
  </si>
  <si>
    <t xml:space="preserve">Областной закон от 17.12.2012 г.            № 603-36-ОЗ </t>
  </si>
  <si>
    <t>Рост к 2013 г., %</t>
  </si>
  <si>
    <t>Областной закон от 19.12.2013 г.                   № 59-4-ОЗ</t>
  </si>
  <si>
    <t>Областной закон от 16.12.2014 г.                   № 220-13-ОЗ</t>
  </si>
  <si>
    <t>Рост к 2014 г., %</t>
  </si>
  <si>
    <t>Областной закон от 18.12.2015 г.                   № 375-22-ОЗ</t>
  </si>
  <si>
    <t>Рост к 2015 г., %</t>
  </si>
  <si>
    <t>Расходы</t>
  </si>
  <si>
    <t>Доходы</t>
  </si>
  <si>
    <t>Рост тарифов, %</t>
  </si>
  <si>
    <t>Субсидии</t>
  </si>
  <si>
    <t>Рост к 2016 г., %</t>
  </si>
  <si>
    <t>Областной закон от 23.12.2016                   № 503-31-ОЗ</t>
  </si>
  <si>
    <t>Рост тарифов к 2016 г., %</t>
  </si>
  <si>
    <t>Рост к 2017 г., %</t>
  </si>
  <si>
    <t>Областной закон от 15.12.2017                   № 581-40-ОЗ</t>
  </si>
  <si>
    <t>Рост к 2018 г., %</t>
  </si>
  <si>
    <t>В областном законе</t>
  </si>
  <si>
    <t>Потебность средств ОБ</t>
  </si>
  <si>
    <t>Рост к 2019 г., %</t>
  </si>
  <si>
    <t>Рост доходов, %</t>
  </si>
  <si>
    <t>Рост к 2020 г., %</t>
  </si>
  <si>
    <t>1. Межмуниципальные перевозки</t>
  </si>
  <si>
    <t>ООО "Судоходная компания "Арктикрейд" (Архангельск - Соловки)</t>
  </si>
  <si>
    <t xml:space="preserve">ИП Сидоров А.Б. (Архангельск - Патракеевка)
</t>
  </si>
  <si>
    <t>МУП "НЕСК" (Новодвинск - Ягодник - Дедов Полой)</t>
  </si>
  <si>
    <t>ИП Емельянов В.В. (Котлас - Песчаница)</t>
  </si>
  <si>
    <t>ОАО "Архангельский речной порт" (межмуниципальные)</t>
  </si>
  <si>
    <t>2 Муниципальные перевозки</t>
  </si>
  <si>
    <t>ОАО "Архангельский речной порт" (город Архангельск)</t>
  </si>
  <si>
    <t>ИП Сидоров А.Б. или АО "СРП" (В. Тойма - Н. Тойма)</t>
  </si>
  <si>
    <t xml:space="preserve">ИП Муковозов Н.П. (п. Порог - с. Усть Кожа )   </t>
  </si>
  <si>
    <t>ИП Цурко Е.Ю. (г. Онега - с. Лямца) Онежск</t>
  </si>
  <si>
    <t xml:space="preserve">ИП Цурко Е.Ю. (г. Онега - пос. Легашевская запань) </t>
  </si>
  <si>
    <t xml:space="preserve">ООО "Устьпинежский ЛПХ" (дер. Хорьково - дер. Кузьмино, дер.Черный Яр - дер. Дедов Полой) </t>
  </si>
  <si>
    <t>МУП "Коммунальное" (с. Черевково-Ракулка)</t>
  </si>
  <si>
    <t>-</t>
  </si>
  <si>
    <t xml:space="preserve"> ИП Сидоров (Емецк -Подгор - Челмохта)</t>
  </si>
  <si>
    <t>ИП Кабичев (Сосновка-Мамониха)</t>
  </si>
  <si>
    <t>ООО "Сиверко" (пос. Каменка - г. Мезень)</t>
  </si>
  <si>
    <t xml:space="preserve"> - </t>
  </si>
  <si>
    <t>3. Создание условий для организации перевозок</t>
  </si>
  <si>
    <t>Онежский район (аренда причала, пластиковые понтоны)</t>
  </si>
  <si>
    <t>Приморский район (остановочные павильоны)</t>
  </si>
  <si>
    <t>Котласский район (остановочные павильоны)</t>
  </si>
  <si>
    <t>ИТОГО средства ИМБТ муниципальным образованиям на организацию транспортного обслуживания</t>
  </si>
  <si>
    <t xml:space="preserve">Потребность в субсидии на возмещение недополученных доходов, возникающих в результате государственного регулирования </t>
  </si>
  <si>
    <t>тарифов на перевозки пассажиров в пригородном железнодорожном сообщении</t>
  </si>
  <si>
    <t>№ п/п</t>
  </si>
  <si>
    <t>Наименование показателя</t>
  </si>
  <si>
    <t>Ед. изм.</t>
  </si>
  <si>
    <t>2020 год</t>
  </si>
  <si>
    <t>2021 год</t>
  </si>
  <si>
    <t>2022 год</t>
  </si>
  <si>
    <t>2023 год</t>
  </si>
  <si>
    <t>2024 год</t>
  </si>
  <si>
    <t>Экономически обоснованный уровень тарифа (ЭОУТ)</t>
  </si>
  <si>
    <t>руб. за 1 зону</t>
  </si>
  <si>
    <t>Средневзвешенный тариф</t>
  </si>
  <si>
    <t xml:space="preserve">Средняя дальность поездки в км </t>
  </si>
  <si>
    <t>км</t>
  </si>
  <si>
    <t xml:space="preserve">Средняя дальность поездки пассажира в зонах </t>
  </si>
  <si>
    <t>Пассажирооборот</t>
  </si>
  <si>
    <t>пасс. км</t>
  </si>
  <si>
    <t>Количество перевезенных пассажиров</t>
  </si>
  <si>
    <t>пасс.</t>
  </si>
  <si>
    <t>Расходы (стр. 1 * стр. 4 * стр. 6)</t>
  </si>
  <si>
    <t>руб.</t>
  </si>
  <si>
    <t>Доходы (стр. 2 * стр. 4 * стр. 6)</t>
  </si>
  <si>
    <t>Выплата по Соглашению о реструктуризации задолженности</t>
  </si>
  <si>
    <t>Итого потребность средств субсидии</t>
  </si>
  <si>
    <t>Примечание:</t>
  </si>
  <si>
    <t>1. При формировании ЭОУТ в адрес агенства по тарифам и ценам Архангельской области предложений по пересмотру тарифов на перевозки пассажиров на 2022 год не поступала. Предварительная оценка прогнозного уровня ЭОУТ на 2022 год и плановый период 2023 - 2024 произведена агентством исходя из объемных показателей и расходов, учтенных при регулировании тарифов на 2020 год, с применением индексов потребительских цен производителей промышленной продукции на 2021 - 2024 годы в соответствии с прогнозом социально-экономического развития РФ .</t>
  </si>
  <si>
    <t>2. Рост ЭОУТ в 2022 году вызван следующими факторами: 1)увеличение транспортной работы на 10,3% в связи с заменой на новый подвижной состав (рельсовые автобусы РА-3 составностью 2-3 вагона, ранее составность поездов была с меньшим количеством вагонов; 2) увеличение расходов на аренду подвижного состава на 10,5 % и расходов на инфраструктуру на 9,4% обусловлено увеличением транспортной работы и использованием нового подвижного состава; 3) включение расходов на транспортную безопасность в размере 106,5 млн. руб.</t>
  </si>
  <si>
    <t>Расчет затрат по договорма лизинга</t>
  </si>
  <si>
    <t>План 2020 год</t>
  </si>
  <si>
    <t>План 2021 год</t>
  </si>
  <si>
    <t>План 2022 год</t>
  </si>
  <si>
    <t>договор №0630-002ФЛ/2017</t>
  </si>
  <si>
    <t>договор №0630-003ФЛ/2017</t>
  </si>
  <si>
    <t>договор №0630-005ФЛ/2019</t>
  </si>
  <si>
    <t>договор №0630-004ФЛ/2019</t>
  </si>
  <si>
    <t>договор №0630-002ФЛ/2018</t>
  </si>
  <si>
    <t>договор №0630-003ФЛ/2018</t>
  </si>
  <si>
    <t>договор №0630-005ФЛ/2020</t>
  </si>
  <si>
    <t>договор №0630-004ФЛ/2020</t>
  </si>
  <si>
    <t>договор №0630-002ФЛ/2019</t>
  </si>
  <si>
    <t>договор №0630-003ФЛ/2019</t>
  </si>
  <si>
    <t>договор №0630-005ФЛ/2021</t>
  </si>
  <si>
    <t>договор №0630-004ФЛ/2021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</si>
  <si>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</si>
  <si>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</si>
  <si>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</si>
  <si>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</si>
  <si>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</si>
  <si>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</si>
  <si>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</si>
  <si>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</si>
  <si>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</si>
  <si>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</si>
  <si>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</si>
  <si>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</si>
  <si>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</si>
  <si>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без НДС</t>
  </si>
  <si>
    <t>Итого в год без НДС</t>
  </si>
  <si>
    <t xml:space="preserve"> </t>
  </si>
  <si>
    <t xml:space="preserve">Себестоимость одного летного часа АО "2-ой Архангельский ОАО" на транспортной работе на субсидируемых рейсах </t>
  </si>
  <si>
    <t>Расчет суммы субсидии на перевозку пассажиров воздушным транспортом</t>
  </si>
  <si>
    <t>ТИП ВС</t>
  </si>
  <si>
    <t>Л-410 Соловки</t>
  </si>
  <si>
    <t>Л-410 Котлас</t>
  </si>
  <si>
    <t>Прочие маршруты</t>
  </si>
  <si>
    <t>L-410</t>
  </si>
  <si>
    <t>Ан-2</t>
  </si>
  <si>
    <t>Л-410</t>
  </si>
  <si>
    <t>Расходы 2018</t>
  </si>
  <si>
    <t>Часы</t>
  </si>
  <si>
    <t>Себестоимость летного часа 2018 год</t>
  </si>
  <si>
    <t>Себестоимость летного часа 2020 год</t>
  </si>
  <si>
    <t>часы</t>
  </si>
  <si>
    <t>1. Заработная плата</t>
  </si>
  <si>
    <t>расходы</t>
  </si>
  <si>
    <t>2. Страховые взносы</t>
  </si>
  <si>
    <t>пассажиры</t>
  </si>
  <si>
    <t>3. Амортизация</t>
  </si>
  <si>
    <t>тариф</t>
  </si>
  <si>
    <t>4. Материальные затраты,</t>
  </si>
  <si>
    <t>количество рейсов</t>
  </si>
  <si>
    <t>в том числе:</t>
  </si>
  <si>
    <t>доходы</t>
  </si>
  <si>
    <t>4.1 АвиаГСМ</t>
  </si>
  <si>
    <t>Субсидия</t>
  </si>
  <si>
    <t>4.2 АвиаГСМ (заправка в чужих аэропортах)</t>
  </si>
  <si>
    <t>4.3 Топливо (Авто ГСМ)</t>
  </si>
  <si>
    <t>4.4 Прочие материалы и запчасти</t>
  </si>
  <si>
    <t>лизинг новый договор</t>
  </si>
  <si>
    <t>Итого сумма лизинговых платежей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</si>
  <si>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</si>
  <si>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</si>
  <si>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</si>
  <si>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ИПЦ</t>
  </si>
  <si>
    <t>4.8 Капитальный ремонт агрегатов</t>
  </si>
  <si>
    <t>ИЦП</t>
  </si>
  <si>
    <t>5. Прочие расходы,</t>
  </si>
  <si>
    <t>ГСМ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</si>
  <si>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</si>
  <si>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</si>
  <si>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</si>
  <si>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</si>
  <si>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</si>
  <si>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</si>
  <si>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</si>
  <si>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</si>
  <si>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</si>
  <si>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 xml:space="preserve">Затраты на лизинг на 1 летный час </t>
  </si>
  <si>
    <t xml:space="preserve">Расчет прогнозируемого размера субсидий на возмещение недополученных доходов, возникающих в результате  государственного регулирования тарифов на перевозки пассажиров и багажа воздушным транспортом на 2022 год и плановый период 2023 - 2024 годов                                                                                                                                                                              </t>
  </si>
  <si>
    <t>Направление</t>
  </si>
  <si>
    <t>Предложения минтранса  при формировании ОБ на 2020</t>
  </si>
  <si>
    <t>2020 год предусмотрено в ОБ</t>
  </si>
  <si>
    <t>2021 год - прогноз</t>
  </si>
  <si>
    <t>областной закон</t>
  </si>
  <si>
    <t>Рост к  расчету на 2020 г., %</t>
  </si>
  <si>
    <t>Авиаперевозки:</t>
  </si>
  <si>
    <t>АО "2-ой Архангельский ОАО" на территории АО</t>
  </si>
  <si>
    <t xml:space="preserve">ОАО "2-ой Архангельский ОАО" межсубъектные перевозки </t>
  </si>
  <si>
    <t>Архангельск - Лешуконский район</t>
  </si>
  <si>
    <t>Архангельск - Мезенский район</t>
  </si>
  <si>
    <t>Архангельск - Приморский район</t>
  </si>
  <si>
    <t>Архангельск - Соловки</t>
  </si>
  <si>
    <t>Архангельск - Вельск</t>
  </si>
  <si>
    <t>Вертолетное сообщение</t>
  </si>
  <si>
    <t>Архангельск - Котлас</t>
  </si>
  <si>
    <t xml:space="preserve">ИТОГО авиаперевозки </t>
  </si>
  <si>
    <t xml:space="preserve">1.Рост субсидий по воздушному транспорту в 2021 году по сравнению с 2020 годом обусловлен увеличением количества направлений полетов (Вельск, Вертолетное сообщение с Мезенским районом), общим увеличением количества рейсов, а также ростом стоимости одного летного часа воздушного судна Л-410. 
</t>
  </si>
  <si>
    <t xml:space="preserve">2. В соответствии с полетной программой АО «2-ой Архангельский объединенный авиаотряд» общее количество рейсов в 2021 году составит 1370 рейсов, то есть 153 % к ожидаемому количеству рейсов в 2020 году (в 2020 году ожидаемое количество - 898 рейсов ). В течение 2020 года в результате ограничений, введенных в связи с распространением новой коронавирусной инфекции, в период с марта по июнь было значительно сокращено количество авиарейсов. 
</t>
  </si>
  <si>
    <t>3. Значительный рост себестоимости летного часа воздушного судна L-410 UVP – 118,5 % к плановой себестоимости 2020 года обусловлена необходимость дополниетльных выплат по договорам лизинга в 2021 году. В стадии подписания находится дополнительное соглашение между АО «2-ой Архангельский объединенный авиаотряд» и ПАО «ГТЛК» о реструктуризации задолженности предприятия по договорам лизинга. В соответствии с графиком реструктуризации задолженность предприятия по договорам лизинга за период с марта по декабрь 2020 года перераспределяется на 2021 -2023 годы, в результате чего в 2021 году дополнительно к выплатам по заключенным договорам возникает обязанность уплаты задолженности за 2020 год в размере 85,51 млн. руб.</t>
  </si>
  <si>
    <t>Рост к 2021 г., %</t>
  </si>
  <si>
    <t>Рост к 2022 г., %</t>
  </si>
  <si>
    <t>Рост к 2023 г., %</t>
  </si>
  <si>
    <t>рублей</t>
  </si>
  <si>
    <t>Потребность в субсидии на возмещение недополученных доходов                                                                                           (стр. 7 - стр. 8)</t>
  </si>
  <si>
    <t>Приложение № 19 к пояснительной записке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</si>
</sst>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%"/>
    <numFmt numFmtId="166" formatCode="0.0000"/>
    <numFmt numFmtId="167" formatCode="0.000"/>
    <numFmt numFmtId="168" formatCode="#,##0.000"/>
    <numFmt numFmtId="169" formatCode="#,##0.0"/>
  </numFmts>
  <fonts count="53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Tahoma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2"/>
      <color theme="1"/>
      <name val="Times New Roman"/>
    </font>
    <font>
      <sz val="12"/>
      <color indexed="2"/>
      <name val="Times New Roman"/>
    </font>
    <font>
      <sz val="12"/>
      <name val="Times New Roman"/>
    </font>
    <font>
      <b/>
      <sz val="18"/>
      <name val="Times New Roman"/>
    </font>
    <font>
      <b/>
      <sz val="12"/>
      <name val="Times New Roman"/>
    </font>
    <font>
      <i/>
      <sz val="12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b/>
      <sz val="14"/>
      <color theme="1"/>
      <name val="Times New Roman"/>
    </font>
    <font>
      <sz val="12"/>
      <color theme="1"/>
      <name val="Calibri"/>
      <scheme val="minor"/>
    </font>
    <font>
      <sz val="14"/>
      <color theme="1"/>
      <name val="Times New Roman"/>
    </font>
    <font>
      <sz val="13"/>
      <color theme="1"/>
      <name val="Times New Roman"/>
    </font>
    <font>
      <b/>
      <i/>
      <sz val="11"/>
      <name val="Arial Cyr"/>
    </font>
    <font>
      <sz val="11"/>
      <name val="Arial Cyr"/>
    </font>
    <font>
      <b/>
      <sz val="11"/>
      <color theme="1"/>
      <name val="Calibri"/>
      <scheme val="minor"/>
    </font>
    <font>
      <b/>
      <i/>
      <sz val="10"/>
      <name val="Arial Cyr"/>
    </font>
    <font>
      <b/>
      <sz val="12"/>
      <color theme="1"/>
      <name val="Calibri"/>
      <scheme val="minor"/>
    </font>
    <font>
      <b/>
      <sz val="10"/>
      <name val="Arial Cyr"/>
    </font>
    <font>
      <b/>
      <sz val="9"/>
      <name val="Arial Cyr"/>
    </font>
    <font>
      <b/>
      <sz val="11"/>
      <name val="Arial Cyr"/>
    </font>
    <font>
      <b/>
      <sz val="12"/>
      <name val="Arial Cyr"/>
    </font>
    <font>
      <b/>
      <i/>
      <sz val="9"/>
      <name val="Arial Cyr"/>
    </font>
    <font>
      <i/>
      <sz val="9"/>
      <name val="Arial Cyr"/>
    </font>
    <font>
      <b/>
      <sz val="12"/>
      <color indexed="2"/>
      <name val="Times New Roman"/>
    </font>
    <font>
      <i/>
      <sz val="12"/>
      <color indexed="2"/>
      <name val="Times New Roman"/>
    </font>
    <font>
      <b/>
      <i/>
      <sz val="12"/>
      <name val="Times New Roman"/>
    </font>
    <font>
      <sz val="13"/>
      <color indexed="2"/>
      <name val="Times New Roman"/>
    </font>
    <font>
      <sz val="13"/>
      <name val="Times New Roman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  <font>
      <sz val="14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51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3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9" fontId="1" fillId="0" borderId="0" applyFont="0" applyFill="0" applyBorder="0"/>
    <xf numFmtId="9" fontId="1" fillId="0" borderId="0" applyFont="0" applyFill="0" applyBorder="0"/>
    <xf numFmtId="9" fontId="1" fillId="0" borderId="0" applyFont="0" applyFill="0" applyBorder="0"/>
    <xf numFmtId="9" fontId="13" fillId="0" borderId="0" applyFont="0" applyFill="0" applyBorder="0"/>
    <xf numFmtId="9" fontId="1" fillId="0" borderId="0" applyFont="0" applyFill="0" applyBorder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</cellStyleXfs>
  <cellXfs count="555">
    <xf numFmtId="0" fontId="0" fillId="0" borderId="0" xfId="0"/>
    <xf numFmtId="0" fontId="28" fillId="0" borderId="0" xfId="0" applyFont="1"/>
    <xf numFmtId="0" fontId="30" fillId="0" borderId="0" xfId="0" applyFont="1"/>
    <xf numFmtId="0" fontId="0" fillId="0" borderId="0" xfId="0" applyAlignment="1">
      <alignment horizontal="center"/>
    </xf>
    <xf numFmtId="0" fontId="31" fillId="0" borderId="0" xfId="0" applyFont="1"/>
    <xf numFmtId="0" fontId="32" fillId="0" borderId="54" xfId="0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29" fillId="0" borderId="55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32" fillId="0" borderId="53" xfId="0" applyFont="1" applyBorder="1" applyAlignment="1">
      <alignment horizontal="center"/>
    </xf>
    <xf numFmtId="0" fontId="31" fillId="0" borderId="50" xfId="0" applyFont="1" applyBorder="1"/>
    <xf numFmtId="0" fontId="31" fillId="0" borderId="50" xfId="0" applyFont="1" applyBorder="1" applyAlignment="1">
      <alignment horizontal="center"/>
    </xf>
    <xf numFmtId="4" fontId="31" fillId="0" borderId="50" xfId="0" applyNumberFormat="1" applyFont="1" applyBorder="1" applyAlignment="1">
      <alignment horizontal="center"/>
    </xf>
    <xf numFmtId="4" fontId="31" fillId="0" borderId="52" xfId="0" applyNumberFormat="1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1" fillId="0" borderId="38" xfId="0" applyFont="1" applyBorder="1"/>
    <xf numFmtId="0" fontId="31" fillId="0" borderId="38" xfId="0" applyFont="1" applyBorder="1" applyAlignment="1">
      <alignment horizontal="center"/>
    </xf>
    <xf numFmtId="4" fontId="31" fillId="0" borderId="38" xfId="0" applyNumberFormat="1" applyFont="1" applyBorder="1" applyAlignment="1">
      <alignment horizontal="center"/>
    </xf>
    <xf numFmtId="4" fontId="31" fillId="0" borderId="41" xfId="0" applyNumberFormat="1" applyFont="1" applyBorder="1" applyAlignment="1">
      <alignment horizontal="center"/>
    </xf>
    <xf numFmtId="4" fontId="31" fillId="25" borderId="38" xfId="0" applyNumberFormat="1" applyFont="1" applyFill="1" applyBorder="1" applyAlignment="1">
      <alignment horizontal="center"/>
    </xf>
    <xf numFmtId="4" fontId="31" fillId="25" borderId="41" xfId="0" applyNumberFormat="1" applyFont="1" applyFill="1" applyBorder="1" applyAlignment="1">
      <alignment horizontal="center"/>
    </xf>
    <xf numFmtId="3" fontId="31" fillId="0" borderId="38" xfId="0" applyNumberFormat="1" applyFont="1" applyBorder="1" applyAlignment="1">
      <alignment horizontal="center"/>
    </xf>
    <xf numFmtId="3" fontId="31" fillId="0" borderId="41" xfId="0" applyNumberFormat="1" applyFont="1" applyBorder="1" applyAlignment="1">
      <alignment horizontal="center"/>
    </xf>
    <xf numFmtId="0" fontId="31" fillId="0" borderId="3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1" fillId="0" borderId="38" xfId="0" applyFont="1" applyBorder="1" applyAlignment="1">
      <alignment wrapText="1"/>
    </xf>
    <xf numFmtId="4" fontId="31" fillId="0" borderId="38" xfId="0" applyNumberFormat="1" applyFont="1" applyBorder="1" applyAlignment="1">
      <alignment horizontal="center" vertical="center"/>
    </xf>
    <xf numFmtId="3" fontId="31" fillId="0" borderId="38" xfId="0" applyNumberFormat="1" applyFont="1" applyBorder="1" applyAlignment="1">
      <alignment horizontal="center" vertical="center"/>
    </xf>
    <xf numFmtId="3" fontId="31" fillId="0" borderId="41" xfId="0" applyNumberFormat="1" applyFont="1" applyBorder="1" applyAlignment="1">
      <alignment horizontal="center" vertical="center"/>
    </xf>
    <xf numFmtId="0" fontId="32" fillId="0" borderId="46" xfId="0" applyFont="1" applyBorder="1" applyAlignment="1">
      <alignment horizontal="center"/>
    </xf>
    <xf numFmtId="0" fontId="31" fillId="0" borderId="44" xfId="0" applyFont="1" applyBorder="1" applyAlignment="1">
      <alignment wrapText="1"/>
    </xf>
    <xf numFmtId="0" fontId="31" fillId="0" borderId="44" xfId="0" applyFont="1" applyBorder="1" applyAlignment="1">
      <alignment horizontal="center" vertical="center"/>
    </xf>
    <xf numFmtId="4" fontId="31" fillId="0" borderId="44" xfId="0" applyNumberFormat="1" applyFont="1" applyBorder="1" applyAlignment="1">
      <alignment horizontal="center" vertical="center"/>
    </xf>
    <xf numFmtId="3" fontId="31" fillId="0" borderId="44" xfId="0" applyNumberFormat="1" applyFont="1" applyBorder="1" applyAlignment="1">
      <alignment horizontal="center" vertical="center"/>
    </xf>
    <xf numFmtId="4" fontId="31" fillId="0" borderId="47" xfId="0" applyNumberFormat="1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1" fillId="0" borderId="55" xfId="0" applyFont="1" applyBorder="1"/>
    <xf numFmtId="3" fontId="29" fillId="0" borderId="55" xfId="0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4" fontId="31" fillId="0" borderId="0" xfId="0" applyNumberFormat="1" applyFont="1" applyAlignment="1">
      <alignment horizontal="center"/>
    </xf>
    <xf numFmtId="0" fontId="32" fillId="0" borderId="0" xfId="0" applyFont="1"/>
    <xf numFmtId="0" fontId="0" fillId="0" borderId="46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34" fillId="0" borderId="58" xfId="0" applyFont="1" applyBorder="1" applyAlignment="1">
      <alignment wrapText="1"/>
    </xf>
    <xf numFmtId="4" fontId="0" fillId="0" borderId="53" xfId="0" applyNumberFormat="1" applyBorder="1" applyAlignment="1">
      <alignment wrapText="1"/>
    </xf>
    <xf numFmtId="0" fontId="34" fillId="0" borderId="51" xfId="0" applyFont="1" applyBorder="1" applyAlignment="1">
      <alignment wrapText="1"/>
    </xf>
    <xf numFmtId="4" fontId="0" fillId="0" borderId="50" xfId="0" applyNumberFormat="1" applyBorder="1" applyAlignment="1">
      <alignment wrapText="1"/>
    </xf>
    <xf numFmtId="4" fontId="0" fillId="0" borderId="52" xfId="0" applyNumberFormat="1" applyBorder="1" applyAlignment="1">
      <alignment wrapText="1"/>
    </xf>
    <xf numFmtId="0" fontId="0" fillId="0" borderId="59" xfId="0" applyBorder="1" applyAlignment="1">
      <alignment wrapText="1"/>
    </xf>
    <xf numFmtId="0" fontId="0" fillId="0" borderId="39" xfId="0" applyBorder="1" applyAlignment="1">
      <alignment wrapText="1"/>
    </xf>
    <xf numFmtId="4" fontId="0" fillId="0" borderId="40" xfId="0" applyNumberFormat="1" applyBorder="1" applyAlignment="1">
      <alignment wrapText="1"/>
    </xf>
    <xf numFmtId="4" fontId="0" fillId="0" borderId="38" xfId="0" applyNumberFormat="1" applyBorder="1" applyAlignment="1">
      <alignment wrapText="1"/>
    </xf>
    <xf numFmtId="4" fontId="0" fillId="0" borderId="41" xfId="0" applyNumberFormat="1" applyBorder="1" applyAlignment="1">
      <alignment wrapText="1"/>
    </xf>
    <xf numFmtId="0" fontId="34" fillId="0" borderId="59" xfId="0" applyFont="1" applyBorder="1" applyAlignment="1">
      <alignment wrapText="1"/>
    </xf>
    <xf numFmtId="0" fontId="0" fillId="0" borderId="32" xfId="0" applyBorder="1" applyAlignment="1">
      <alignment wrapText="1"/>
    </xf>
    <xf numFmtId="4" fontId="0" fillId="0" borderId="27" xfId="0" applyNumberFormat="1" applyBorder="1" applyAlignment="1">
      <alignment wrapText="1"/>
    </xf>
    <xf numFmtId="0" fontId="0" fillId="0" borderId="31" xfId="0" applyBorder="1" applyAlignment="1">
      <alignment wrapText="1"/>
    </xf>
    <xf numFmtId="4" fontId="0" fillId="0" borderId="30" xfId="0" applyNumberFormat="1" applyBorder="1" applyAlignment="1">
      <alignment wrapText="1"/>
    </xf>
    <xf numFmtId="0" fontId="35" fillId="0" borderId="10" xfId="0" applyFont="1" applyBorder="1" applyAlignment="1">
      <alignment wrapText="1"/>
    </xf>
    <xf numFmtId="4" fontId="35" fillId="0" borderId="15" xfId="0" applyNumberFormat="1" applyFont="1" applyBorder="1" applyAlignment="1">
      <alignment wrapText="1"/>
    </xf>
    <xf numFmtId="4" fontId="35" fillId="0" borderId="18" xfId="0" applyNumberFormat="1" applyFont="1" applyBorder="1" applyAlignment="1">
      <alignment wrapText="1"/>
    </xf>
    <xf numFmtId="4" fontId="35" fillId="0" borderId="16" xfId="0" applyNumberFormat="1" applyFont="1" applyBorder="1" applyAlignment="1">
      <alignment wrapText="1"/>
    </xf>
    <xf numFmtId="0" fontId="35" fillId="0" borderId="36" xfId="0" applyFont="1" applyBorder="1" applyAlignment="1">
      <alignment wrapText="1"/>
    </xf>
    <xf numFmtId="4" fontId="35" fillId="0" borderId="40" xfId="0" applyNumberFormat="1" applyFont="1" applyBorder="1" applyAlignment="1">
      <alignment wrapText="1"/>
    </xf>
    <xf numFmtId="4" fontId="35" fillId="0" borderId="38" xfId="0" applyNumberFormat="1" applyFont="1" applyBorder="1" applyAlignment="1">
      <alignment wrapText="1"/>
    </xf>
    <xf numFmtId="4" fontId="35" fillId="0" borderId="41" xfId="0" applyNumberFormat="1" applyFont="1" applyBorder="1" applyAlignment="1">
      <alignment wrapText="1"/>
    </xf>
    <xf numFmtId="0" fontId="35" fillId="0" borderId="42" xfId="0" applyFont="1" applyBorder="1"/>
    <xf numFmtId="4" fontId="0" fillId="0" borderId="0" xfId="0" applyNumberFormat="1"/>
    <xf numFmtId="0" fontId="0" fillId="0" borderId="0" xfId="0" applyAlignment="1">
      <alignment vertical="center"/>
    </xf>
    <xf numFmtId="0" fontId="35" fillId="0" borderId="21" xfId="0" applyFont="1" applyBorder="1" applyAlignment="1">
      <alignment horizontal="center" vertical="center"/>
    </xf>
    <xf numFmtId="0" fontId="36" fillId="0" borderId="14" xfId="0" applyFont="1" applyBorder="1" applyAlignment="1">
      <alignment vertical="center"/>
    </xf>
    <xf numFmtId="0" fontId="36" fillId="0" borderId="67" xfId="0" applyFont="1" applyBorder="1" applyAlignment="1">
      <alignment vertical="center"/>
    </xf>
    <xf numFmtId="0" fontId="35" fillId="0" borderId="44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 wrapText="1"/>
    </xf>
    <xf numFmtId="0" fontId="36" fillId="0" borderId="72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36" fillId="0" borderId="46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wrapText="1"/>
    </xf>
    <xf numFmtId="0" fontId="0" fillId="0" borderId="53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39" fillId="0" borderId="20" xfId="0" applyFont="1" applyBorder="1" applyAlignment="1">
      <alignment vertical="center" wrapText="1"/>
    </xf>
    <xf numFmtId="3" fontId="40" fillId="0" borderId="15" xfId="0" applyNumberFormat="1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3" fontId="40" fillId="0" borderId="16" xfId="0" applyNumberFormat="1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0" fillId="0" borderId="40" xfId="0" applyBorder="1" applyAlignment="1">
      <alignment vertical="center"/>
    </xf>
    <xf numFmtId="4" fontId="0" fillId="0" borderId="38" xfId="0" applyNumberFormat="1" applyBorder="1" applyAlignment="1">
      <alignment horizontal="center" vertical="center"/>
    </xf>
    <xf numFmtId="4" fontId="35" fillId="0" borderId="41" xfId="0" applyNumberFormat="1" applyFont="1" applyBorder="1" applyAlignment="1">
      <alignment vertical="center"/>
    </xf>
    <xf numFmtId="0" fontId="39" fillId="0" borderId="59" xfId="0" applyFont="1" applyBorder="1" applyAlignment="1">
      <alignment vertical="center" wrapText="1"/>
    </xf>
    <xf numFmtId="3" fontId="40" fillId="0" borderId="40" xfId="0" applyNumberFormat="1" applyFont="1" applyBorder="1" applyAlignment="1">
      <alignment vertical="center"/>
    </xf>
    <xf numFmtId="0" fontId="40" fillId="0" borderId="39" xfId="0" applyFont="1" applyBorder="1" applyAlignment="1">
      <alignment vertical="center"/>
    </xf>
    <xf numFmtId="3" fontId="40" fillId="0" borderId="41" xfId="0" applyNumberFormat="1" applyFont="1" applyBorder="1" applyAlignment="1">
      <alignment vertical="center"/>
    </xf>
    <xf numFmtId="0" fontId="41" fillId="0" borderId="39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35" fillId="0" borderId="41" xfId="0" applyFont="1" applyBorder="1" applyAlignment="1">
      <alignment vertical="center"/>
    </xf>
    <xf numFmtId="0" fontId="0" fillId="0" borderId="40" xfId="0" applyBorder="1" applyAlignment="1">
      <alignment vertical="center" wrapText="1"/>
    </xf>
    <xf numFmtId="0" fontId="42" fillId="0" borderId="59" xfId="0" applyFont="1" applyBorder="1" applyAlignment="1">
      <alignment horizontal="center" vertical="center" wrapText="1"/>
    </xf>
    <xf numFmtId="0" fontId="43" fillId="0" borderId="59" xfId="0" applyFont="1" applyBorder="1" applyAlignment="1">
      <alignment vertical="center" wrapText="1"/>
    </xf>
    <xf numFmtId="3" fontId="0" fillId="0" borderId="40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3" fontId="34" fillId="0" borderId="40" xfId="0" applyNumberFormat="1" applyFont="1" applyBorder="1" applyAlignment="1">
      <alignment vertical="center"/>
    </xf>
    <xf numFmtId="3" fontId="34" fillId="0" borderId="41" xfId="0" applyNumberFormat="1" applyFont="1" applyBorder="1" applyAlignment="1">
      <alignment vertical="center"/>
    </xf>
    <xf numFmtId="0" fontId="0" fillId="0" borderId="46" xfId="0" applyBorder="1" applyAlignment="1">
      <alignment vertical="center"/>
    </xf>
    <xf numFmtId="4" fontId="0" fillId="0" borderId="44" xfId="0" applyNumberFormat="1" applyBorder="1" applyAlignment="1">
      <alignment horizontal="center" vertical="center"/>
    </xf>
    <xf numFmtId="4" fontId="35" fillId="0" borderId="47" xfId="0" applyNumberFormat="1" applyFont="1" applyBorder="1" applyAlignment="1">
      <alignment vertical="center"/>
    </xf>
    <xf numFmtId="0" fontId="0" fillId="0" borderId="24" xfId="0" applyBorder="1" applyAlignment="1">
      <alignment wrapText="1"/>
    </xf>
    <xf numFmtId="0" fontId="0" fillId="0" borderId="65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34" fillId="0" borderId="15" xfId="0" applyFont="1" applyBorder="1" applyAlignment="1">
      <alignment wrapText="1"/>
    </xf>
    <xf numFmtId="4" fontId="0" fillId="0" borderId="18" xfId="0" applyNumberFormat="1" applyBorder="1" applyAlignment="1">
      <alignment wrapText="1"/>
    </xf>
    <xf numFmtId="0" fontId="0" fillId="0" borderId="16" xfId="0" applyBorder="1" applyAlignment="1">
      <alignment wrapText="1"/>
    </xf>
    <xf numFmtId="49" fontId="43" fillId="0" borderId="59" xfId="0" applyNumberFormat="1" applyFont="1" applyBorder="1" applyAlignment="1">
      <alignment vertical="center"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0" fillId="26" borderId="38" xfId="0" applyFill="1" applyBorder="1" applyAlignment="1">
      <alignment horizontal="center"/>
    </xf>
    <xf numFmtId="0" fontId="35" fillId="26" borderId="38" xfId="0" applyFont="1" applyFill="1" applyBorder="1" applyAlignment="1">
      <alignment horizontal="center"/>
    </xf>
    <xf numFmtId="0" fontId="34" fillId="0" borderId="40" xfId="0" applyFont="1" applyBorder="1" applyAlignment="1">
      <alignment wrapText="1"/>
    </xf>
    <xf numFmtId="0" fontId="28" fillId="26" borderId="38" xfId="0" applyFont="1" applyFill="1" applyBorder="1" applyAlignment="1">
      <alignment horizontal="center"/>
    </xf>
    <xf numFmtId="0" fontId="0" fillId="0" borderId="38" xfId="0" applyBorder="1" applyAlignment="1">
      <alignment wrapText="1"/>
    </xf>
    <xf numFmtId="164" fontId="28" fillId="26" borderId="38" xfId="0" applyNumberFormat="1" applyFont="1" applyFill="1" applyBorder="1" applyAlignment="1">
      <alignment horizontal="center"/>
    </xf>
    <xf numFmtId="166" fontId="28" fillId="26" borderId="38" xfId="0" applyNumberFormat="1" applyFont="1" applyFill="1" applyBorder="1" applyAlignment="1">
      <alignment horizontal="center"/>
    </xf>
    <xf numFmtId="2" fontId="28" fillId="26" borderId="38" xfId="0" applyNumberFormat="1" applyFont="1" applyFill="1" applyBorder="1" applyAlignment="1">
      <alignment horizontal="center"/>
    </xf>
    <xf numFmtId="0" fontId="39" fillId="0" borderId="59" xfId="0" applyFont="1" applyBorder="1" applyAlignment="1">
      <alignment horizontal="left" vertical="center" wrapText="1"/>
    </xf>
    <xf numFmtId="167" fontId="28" fillId="26" borderId="38" xfId="0" applyNumberFormat="1" applyFont="1" applyFill="1" applyBorder="1" applyAlignment="1">
      <alignment horizontal="center"/>
    </xf>
    <xf numFmtId="0" fontId="34" fillId="0" borderId="39" xfId="0" applyFont="1" applyBorder="1" applyAlignment="1">
      <alignment vertical="center"/>
    </xf>
    <xf numFmtId="3" fontId="34" fillId="27" borderId="40" xfId="0" applyNumberFormat="1" applyFont="1" applyFill="1" applyBorder="1" applyAlignment="1">
      <alignment vertical="center"/>
    </xf>
    <xf numFmtId="3" fontId="34" fillId="27" borderId="41" xfId="0" applyNumberFormat="1" applyFont="1" applyFill="1" applyBorder="1" applyAlignment="1">
      <alignment vertical="center"/>
    </xf>
    <xf numFmtId="3" fontId="34" fillId="25" borderId="40" xfId="0" applyNumberFormat="1" applyFont="1" applyFill="1" applyBorder="1" applyAlignment="1">
      <alignment vertical="center"/>
    </xf>
    <xf numFmtId="3" fontId="34" fillId="25" borderId="41" xfId="0" applyNumberFormat="1" applyFont="1" applyFill="1" applyBorder="1" applyAlignment="1">
      <alignment vertical="center"/>
    </xf>
    <xf numFmtId="0" fontId="43" fillId="0" borderId="32" xfId="0" applyFont="1" applyBorder="1" applyAlignment="1">
      <alignment vertical="center" wrapText="1"/>
    </xf>
    <xf numFmtId="0" fontId="39" fillId="0" borderId="13" xfId="0" applyFont="1" applyBorder="1" applyAlignment="1">
      <alignment vertical="center" wrapText="1"/>
    </xf>
    <xf numFmtId="3" fontId="40" fillId="0" borderId="46" xfId="0" applyNumberFormat="1" applyFont="1" applyBorder="1" applyAlignment="1">
      <alignment vertical="center"/>
    </xf>
    <xf numFmtId="0" fontId="40" fillId="0" borderId="45" xfId="0" applyFont="1" applyBorder="1" applyAlignment="1">
      <alignment vertical="center"/>
    </xf>
    <xf numFmtId="4" fontId="40" fillId="24" borderId="46" xfId="0" applyNumberFormat="1" applyFont="1" applyFill="1" applyBorder="1" applyAlignment="1">
      <alignment vertical="center"/>
    </xf>
    <xf numFmtId="4" fontId="40" fillId="24" borderId="47" xfId="0" applyNumberFormat="1" applyFont="1" applyFill="1" applyBorder="1" applyAlignment="1">
      <alignment vertical="center"/>
    </xf>
    <xf numFmtId="4" fontId="40" fillId="0" borderId="45" xfId="0" applyNumberFormat="1" applyFont="1" applyBorder="1" applyAlignment="1">
      <alignment vertical="center"/>
    </xf>
    <xf numFmtId="168" fontId="40" fillId="24" borderId="46" xfId="0" applyNumberFormat="1" applyFont="1" applyFill="1" applyBorder="1" applyAlignment="1">
      <alignment vertical="center"/>
    </xf>
    <xf numFmtId="0" fontId="35" fillId="0" borderId="40" xfId="0" applyFont="1" applyBorder="1" applyAlignment="1">
      <alignment wrapText="1"/>
    </xf>
    <xf numFmtId="0" fontId="35" fillId="0" borderId="27" xfId="0" applyFont="1" applyBorder="1" applyAlignment="1">
      <alignment wrapText="1"/>
    </xf>
    <xf numFmtId="4" fontId="35" fillId="0" borderId="30" xfId="0" applyNumberFormat="1" applyFont="1" applyBorder="1" applyAlignment="1">
      <alignment wrapText="1"/>
    </xf>
    <xf numFmtId="4" fontId="35" fillId="0" borderId="28" xfId="0" applyNumberFormat="1" applyFont="1" applyBorder="1" applyAlignment="1">
      <alignment wrapText="1"/>
    </xf>
    <xf numFmtId="0" fontId="33" fillId="0" borderId="0" xfId="0" applyFont="1"/>
    <xf numFmtId="4" fontId="0" fillId="0" borderId="16" xfId="0" applyNumberFormat="1" applyBorder="1" applyAlignment="1">
      <alignment wrapText="1"/>
    </xf>
    <xf numFmtId="0" fontId="0" fillId="0" borderId="0" xfId="0"/>
    <xf numFmtId="0" fontId="0" fillId="0" borderId="41" xfId="0" applyBorder="1" applyAlignment="1">
      <alignment horizontal="center" wrapText="1"/>
    </xf>
    <xf numFmtId="4" fontId="35" fillId="0" borderId="47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73" xfId="0" applyBorder="1" applyAlignment="1">
      <alignment wrapText="1"/>
    </xf>
    <xf numFmtId="0" fontId="0" fillId="0" borderId="62" xfId="0" applyBorder="1"/>
    <xf numFmtId="0" fontId="0" fillId="0" borderId="74" xfId="0" applyBorder="1"/>
    <xf numFmtId="2" fontId="32" fillId="0" borderId="0" xfId="0" applyNumberFormat="1" applyFont="1"/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horizontal="center"/>
    </xf>
    <xf numFmtId="0" fontId="33" fillId="0" borderId="23" xfId="0" applyFont="1" applyBorder="1" applyAlignment="1">
      <alignment horizontal="center"/>
    </xf>
    <xf numFmtId="0" fontId="33" fillId="0" borderId="57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4" fontId="35" fillId="26" borderId="60" xfId="0" applyNumberFormat="1" applyFont="1" applyFill="1" applyBorder="1" applyAlignment="1">
      <alignment horizontal="center"/>
    </xf>
    <xf numFmtId="0" fontId="35" fillId="26" borderId="61" xfId="0" applyFont="1" applyFill="1" applyBorder="1" applyAlignment="1">
      <alignment horizontal="center"/>
    </xf>
    <xf numFmtId="4" fontId="35" fillId="26" borderId="46" xfId="0" applyNumberFormat="1" applyFont="1" applyFill="1" applyBorder="1" applyAlignment="1">
      <alignment horizontal="center" wrapText="1"/>
    </xf>
    <xf numFmtId="4" fontId="35" fillId="26" borderId="44" xfId="0" applyNumberFormat="1" applyFont="1" applyFill="1" applyBorder="1" applyAlignment="1">
      <alignment horizontal="center" wrapText="1"/>
    </xf>
    <xf numFmtId="4" fontId="35" fillId="26" borderId="47" xfId="0" applyNumberFormat="1" applyFont="1" applyFill="1" applyBorder="1" applyAlignment="1">
      <alignment horizontal="center" wrapText="1"/>
    </xf>
    <xf numFmtId="0" fontId="36" fillId="0" borderId="62" xfId="0" applyFont="1" applyBorder="1" applyAlignment="1">
      <alignment horizontal="center" wrapText="1"/>
    </xf>
    <xf numFmtId="0" fontId="37" fillId="0" borderId="0" xfId="0" applyFont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8" fillId="0" borderId="6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0" fillId="0" borderId="46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4" fontId="0" fillId="0" borderId="39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4" fontId="0" fillId="0" borderId="45" xfId="0" applyNumberFormat="1" applyBorder="1" applyAlignment="1">
      <alignment horizontal="center" vertical="center"/>
    </xf>
    <xf numFmtId="4" fontId="0" fillId="0" borderId="43" xfId="0" applyNumberFormat="1" applyBorder="1" applyAlignment="1">
      <alignment horizontal="center" vertical="center"/>
    </xf>
    <xf numFmtId="0" fontId="0" fillId="0" borderId="15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52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right"/>
    </xf>
    <xf numFmtId="164" fontId="21" fillId="0" borderId="0" xfId="0" applyNumberFormat="1" applyFont="1" applyFill="1"/>
    <xf numFmtId="0" fontId="25" fillId="0" borderId="0" xfId="0" applyFont="1" applyFill="1"/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4" fontId="25" fillId="0" borderId="15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0" fontId="23" fillId="0" borderId="18" xfId="0" applyNumberFormat="1" applyFont="1" applyFill="1" applyBorder="1" applyAlignment="1">
      <alignment horizontal="center" vertical="center" wrapText="1"/>
    </xf>
    <xf numFmtId="165" fontId="26" fillId="0" borderId="16" xfId="886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center" vertical="center" wrapText="1"/>
    </xf>
    <xf numFmtId="3" fontId="25" fillId="0" borderId="18" xfId="0" applyNumberFormat="1" applyFont="1" applyFill="1" applyBorder="1" applyAlignment="1">
      <alignment horizontal="center" vertical="center" wrapText="1"/>
    </xf>
    <xf numFmtId="9" fontId="25" fillId="0" borderId="18" xfId="0" applyNumberFormat="1" applyFont="1" applyFill="1" applyBorder="1" applyAlignment="1">
      <alignment horizontal="center" vertical="center" wrapText="1"/>
    </xf>
    <xf numFmtId="165" fontId="26" fillId="0" borderId="19" xfId="886" applyNumberFormat="1" applyFont="1" applyFill="1" applyBorder="1" applyAlignment="1">
      <alignment horizontal="center" vertical="center"/>
    </xf>
    <xf numFmtId="9" fontId="26" fillId="0" borderId="16" xfId="886" applyNumberFormat="1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left" vertical="center" wrapText="1"/>
    </xf>
    <xf numFmtId="164" fontId="25" fillId="0" borderId="37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/>
    </xf>
    <xf numFmtId="164" fontId="26" fillId="0" borderId="38" xfId="0" applyNumberFormat="1" applyFont="1" applyFill="1" applyBorder="1" applyAlignment="1">
      <alignment horizontal="center" vertical="center"/>
    </xf>
    <xf numFmtId="164" fontId="25" fillId="0" borderId="38" xfId="0" applyNumberFormat="1" applyFont="1" applyFill="1" applyBorder="1" applyAlignment="1">
      <alignment horizontal="center" vertical="center"/>
    </xf>
    <xf numFmtId="164" fontId="26" fillId="0" borderId="38" xfId="0" applyNumberFormat="1" applyFont="1" applyFill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 wrapText="1"/>
    </xf>
    <xf numFmtId="165" fontId="26" fillId="0" borderId="38" xfId="0" applyNumberFormat="1" applyFont="1" applyFill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/>
    </xf>
    <xf numFmtId="4" fontId="26" fillId="0" borderId="38" xfId="0" applyNumberFormat="1" applyFont="1" applyFill="1" applyBorder="1" applyAlignment="1">
      <alignment horizontal="center" vertical="center"/>
    </xf>
    <xf numFmtId="4" fontId="23" fillId="0" borderId="38" xfId="0" applyNumberFormat="1" applyFont="1" applyFill="1" applyBorder="1" applyAlignment="1">
      <alignment horizontal="center" vertical="center"/>
    </xf>
    <xf numFmtId="165" fontId="26" fillId="0" borderId="38" xfId="886" applyNumberFormat="1" applyFont="1" applyFill="1" applyBorder="1" applyAlignment="1">
      <alignment horizontal="center" vertical="center"/>
    </xf>
    <xf numFmtId="4" fontId="25" fillId="0" borderId="39" xfId="886" applyNumberFormat="1" applyFont="1" applyFill="1" applyBorder="1" applyAlignment="1">
      <alignment horizontal="center" vertical="center"/>
    </xf>
    <xf numFmtId="4" fontId="25" fillId="0" borderId="40" xfId="0" applyNumberFormat="1" applyFont="1" applyFill="1" applyBorder="1" applyAlignment="1">
      <alignment horizontal="center" vertical="center"/>
    </xf>
    <xf numFmtId="10" fontId="26" fillId="0" borderId="38" xfId="886" applyNumberFormat="1" applyFont="1" applyFill="1" applyBorder="1" applyAlignment="1">
      <alignment horizontal="center" vertical="center"/>
    </xf>
    <xf numFmtId="165" fontId="26" fillId="0" borderId="41" xfId="886" applyNumberFormat="1" applyFont="1" applyFill="1" applyBorder="1" applyAlignment="1">
      <alignment horizontal="center" vertical="center"/>
    </xf>
    <xf numFmtId="4" fontId="23" fillId="0" borderId="36" xfId="886" applyNumberFormat="1" applyFont="1" applyFill="1" applyBorder="1" applyAlignment="1">
      <alignment horizontal="center" vertical="center"/>
    </xf>
    <xf numFmtId="4" fontId="25" fillId="0" borderId="40" xfId="886" applyNumberFormat="1" applyFont="1" applyFill="1" applyBorder="1" applyAlignment="1">
      <alignment horizontal="center" vertical="center"/>
    </xf>
    <xf numFmtId="4" fontId="25" fillId="0" borderId="38" xfId="886" applyNumberFormat="1" applyFont="1" applyFill="1" applyBorder="1" applyAlignment="1">
      <alignment horizontal="center" vertical="center"/>
    </xf>
    <xf numFmtId="3" fontId="25" fillId="0" borderId="40" xfId="0" applyNumberFormat="1" applyFont="1" applyFill="1" applyBorder="1" applyAlignment="1">
      <alignment horizontal="center" vertical="center"/>
    </xf>
    <xf numFmtId="3" fontId="25" fillId="0" borderId="38" xfId="0" applyNumberFormat="1" applyFont="1" applyFill="1" applyBorder="1" applyAlignment="1">
      <alignment horizontal="center" vertical="center"/>
    </xf>
    <xf numFmtId="9" fontId="26" fillId="0" borderId="38" xfId="886" applyNumberFormat="1" applyFont="1" applyFill="1" applyBorder="1" applyAlignment="1">
      <alignment horizontal="center" vertical="center"/>
    </xf>
    <xf numFmtId="165" fontId="26" fillId="0" borderId="39" xfId="886" applyNumberFormat="1" applyFont="1" applyFill="1" applyBorder="1" applyAlignment="1">
      <alignment horizontal="center" vertical="center"/>
    </xf>
    <xf numFmtId="9" fontId="26" fillId="0" borderId="41" xfId="886" applyNumberFormat="1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left" vertical="center"/>
    </xf>
    <xf numFmtId="164" fontId="25" fillId="0" borderId="43" xfId="0" applyNumberFormat="1" applyFont="1" applyFill="1" applyBorder="1" applyAlignment="1">
      <alignment horizontal="center" vertical="center" wrapText="1"/>
    </xf>
    <xf numFmtId="164" fontId="25" fillId="0" borderId="44" xfId="0" applyNumberFormat="1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/>
    </xf>
    <xf numFmtId="164" fontId="26" fillId="0" borderId="44" xfId="0" applyNumberFormat="1" applyFont="1" applyFill="1" applyBorder="1" applyAlignment="1">
      <alignment horizontal="center" vertical="center"/>
    </xf>
    <xf numFmtId="164" fontId="25" fillId="0" borderId="44" xfId="0" applyNumberFormat="1" applyFont="1" applyFill="1" applyBorder="1" applyAlignment="1">
      <alignment horizontal="center" vertical="center"/>
    </xf>
    <xf numFmtId="164" fontId="26" fillId="0" borderId="44" xfId="0" applyNumberFormat="1" applyFont="1" applyFill="1" applyBorder="1" applyAlignment="1">
      <alignment horizontal="center" vertical="center" wrapText="1"/>
    </xf>
    <xf numFmtId="4" fontId="25" fillId="0" borderId="44" xfId="0" applyNumberFormat="1" applyFont="1" applyFill="1" applyBorder="1" applyAlignment="1">
      <alignment horizontal="center" vertical="center" wrapText="1"/>
    </xf>
    <xf numFmtId="165" fontId="26" fillId="0" borderId="44" xfId="0" applyNumberFormat="1" applyFont="1" applyFill="1" applyBorder="1" applyAlignment="1">
      <alignment horizontal="center" vertical="center" wrapText="1"/>
    </xf>
    <xf numFmtId="4" fontId="25" fillId="0" borderId="44" xfId="0" applyNumberFormat="1" applyFont="1" applyFill="1" applyBorder="1" applyAlignment="1">
      <alignment horizontal="center" vertical="center"/>
    </xf>
    <xf numFmtId="4" fontId="26" fillId="0" borderId="44" xfId="0" applyNumberFormat="1" applyFont="1" applyFill="1" applyBorder="1" applyAlignment="1">
      <alignment horizontal="center" vertical="center"/>
    </xf>
    <xf numFmtId="4" fontId="23" fillId="0" borderId="44" xfId="0" applyNumberFormat="1" applyFont="1" applyFill="1" applyBorder="1" applyAlignment="1">
      <alignment horizontal="center" vertical="center"/>
    </xf>
    <xf numFmtId="165" fontId="26" fillId="0" borderId="44" xfId="886" applyNumberFormat="1" applyFont="1" applyFill="1" applyBorder="1" applyAlignment="1">
      <alignment horizontal="center" vertical="center"/>
    </xf>
    <xf numFmtId="4" fontId="25" fillId="0" borderId="45" xfId="886" applyNumberFormat="1" applyFont="1" applyFill="1" applyBorder="1" applyAlignment="1">
      <alignment horizontal="center" vertical="center"/>
    </xf>
    <xf numFmtId="4" fontId="25" fillId="0" borderId="46" xfId="0" applyNumberFormat="1" applyFont="1" applyFill="1" applyBorder="1" applyAlignment="1">
      <alignment horizontal="center" vertical="center"/>
    </xf>
    <xf numFmtId="10" fontId="26" fillId="0" borderId="44" xfId="886" applyNumberFormat="1" applyFont="1" applyFill="1" applyBorder="1" applyAlignment="1">
      <alignment horizontal="center" vertical="center"/>
    </xf>
    <xf numFmtId="165" fontId="26" fillId="0" borderId="47" xfId="886" applyNumberFormat="1" applyFont="1" applyFill="1" applyBorder="1" applyAlignment="1">
      <alignment horizontal="center" vertical="center"/>
    </xf>
    <xf numFmtId="4" fontId="23" fillId="0" borderId="42" xfId="886" applyNumberFormat="1" applyFont="1" applyFill="1" applyBorder="1" applyAlignment="1">
      <alignment horizontal="center" vertical="center"/>
    </xf>
    <xf numFmtId="4" fontId="25" fillId="0" borderId="46" xfId="886" applyNumberFormat="1" applyFont="1" applyFill="1" applyBorder="1" applyAlignment="1">
      <alignment horizontal="center" vertical="center"/>
    </xf>
    <xf numFmtId="4" fontId="25" fillId="0" borderId="44" xfId="886" applyNumberFormat="1" applyFont="1" applyFill="1" applyBorder="1" applyAlignment="1">
      <alignment horizontal="center" vertical="center"/>
    </xf>
    <xf numFmtId="3" fontId="25" fillId="0" borderId="46" xfId="0" applyNumberFormat="1" applyFont="1" applyFill="1" applyBorder="1" applyAlignment="1">
      <alignment horizontal="center" vertical="center"/>
    </xf>
    <xf numFmtId="3" fontId="25" fillId="0" borderId="44" xfId="0" applyNumberFormat="1" applyFont="1" applyFill="1" applyBorder="1" applyAlignment="1">
      <alignment horizontal="center" vertical="center"/>
    </xf>
    <xf numFmtId="9" fontId="26" fillId="0" borderId="44" xfId="886" applyNumberFormat="1" applyFont="1" applyFill="1" applyBorder="1" applyAlignment="1">
      <alignment horizontal="center" vertical="center"/>
    </xf>
    <xf numFmtId="165" fontId="26" fillId="0" borderId="45" xfId="886" applyNumberFormat="1" applyFont="1" applyFill="1" applyBorder="1" applyAlignment="1">
      <alignment horizontal="center" vertical="center"/>
    </xf>
    <xf numFmtId="9" fontId="26" fillId="0" borderId="47" xfId="886" applyNumberFormat="1" applyFont="1" applyFill="1" applyBorder="1" applyAlignment="1">
      <alignment horizontal="center" vertical="center"/>
    </xf>
    <xf numFmtId="164" fontId="25" fillId="0" borderId="49" xfId="0" applyNumberFormat="1" applyFont="1" applyFill="1" applyBorder="1" applyAlignment="1">
      <alignment horizontal="center" vertical="center" wrapText="1"/>
    </xf>
    <xf numFmtId="164" fontId="25" fillId="0" borderId="50" xfId="0" applyNumberFormat="1" applyFont="1" applyFill="1" applyBorder="1" applyAlignment="1">
      <alignment horizontal="center" vertical="center" wrapText="1"/>
    </xf>
    <xf numFmtId="0" fontId="25" fillId="0" borderId="50" xfId="0" applyFont="1" applyFill="1" applyBorder="1" applyAlignment="1">
      <alignment horizontal="center" vertical="center"/>
    </xf>
    <xf numFmtId="164" fontId="26" fillId="0" borderId="50" xfId="0" applyNumberFormat="1" applyFont="1" applyFill="1" applyBorder="1" applyAlignment="1">
      <alignment horizontal="center" vertical="center"/>
    </xf>
    <xf numFmtId="164" fontId="25" fillId="0" borderId="50" xfId="0" applyNumberFormat="1" applyFont="1" applyFill="1" applyBorder="1" applyAlignment="1">
      <alignment horizontal="center" vertical="center"/>
    </xf>
    <xf numFmtId="164" fontId="26" fillId="0" borderId="50" xfId="0" applyNumberFormat="1" applyFont="1" applyFill="1" applyBorder="1" applyAlignment="1">
      <alignment horizontal="center" vertical="center" wrapText="1"/>
    </xf>
    <xf numFmtId="4" fontId="25" fillId="0" borderId="50" xfId="0" applyNumberFormat="1" applyFont="1" applyFill="1" applyBorder="1" applyAlignment="1">
      <alignment horizontal="center" vertical="center" wrapText="1"/>
    </xf>
    <xf numFmtId="165" fontId="26" fillId="0" borderId="50" xfId="0" applyNumberFormat="1" applyFont="1" applyFill="1" applyBorder="1" applyAlignment="1">
      <alignment horizontal="center" vertical="center" wrapText="1"/>
    </xf>
    <xf numFmtId="4" fontId="25" fillId="0" borderId="50" xfId="0" applyNumberFormat="1" applyFont="1" applyFill="1" applyBorder="1" applyAlignment="1">
      <alignment horizontal="center" vertical="center"/>
    </xf>
    <xf numFmtId="4" fontId="26" fillId="0" borderId="50" xfId="0" applyNumberFormat="1" applyFont="1" applyFill="1" applyBorder="1" applyAlignment="1">
      <alignment horizontal="center" vertical="center"/>
    </xf>
    <xf numFmtId="4" fontId="23" fillId="0" borderId="50" xfId="0" applyNumberFormat="1" applyFont="1" applyFill="1" applyBorder="1" applyAlignment="1">
      <alignment horizontal="center" vertical="center"/>
    </xf>
    <xf numFmtId="165" fontId="26" fillId="0" borderId="50" xfId="886" applyNumberFormat="1" applyFont="1" applyFill="1" applyBorder="1" applyAlignment="1">
      <alignment horizontal="center" vertical="center"/>
    </xf>
    <xf numFmtId="4" fontId="25" fillId="0" borderId="51" xfId="886" applyNumberFormat="1" applyFont="1" applyFill="1" applyBorder="1" applyAlignment="1">
      <alignment horizontal="center" vertical="center"/>
    </xf>
    <xf numFmtId="165" fontId="26" fillId="0" borderId="52" xfId="886" applyNumberFormat="1" applyFont="1" applyFill="1" applyBorder="1" applyAlignment="1">
      <alignment horizontal="center" vertical="center"/>
    </xf>
    <xf numFmtId="4" fontId="25" fillId="0" borderId="48" xfId="886" applyNumberFormat="1" applyFont="1" applyFill="1" applyBorder="1" applyAlignment="1">
      <alignment horizontal="center" vertical="center"/>
    </xf>
    <xf numFmtId="10" fontId="23" fillId="0" borderId="50" xfId="0" applyNumberFormat="1" applyFont="1" applyFill="1" applyBorder="1" applyAlignment="1">
      <alignment horizontal="center" vertical="center"/>
    </xf>
    <xf numFmtId="3" fontId="25" fillId="0" borderId="53" xfId="0" applyNumberFormat="1" applyFont="1" applyFill="1" applyBorder="1" applyAlignment="1">
      <alignment horizontal="center" vertical="center"/>
    </xf>
    <xf numFmtId="3" fontId="25" fillId="0" borderId="50" xfId="0" applyNumberFormat="1" applyFont="1" applyFill="1" applyBorder="1" applyAlignment="1">
      <alignment horizontal="center" vertical="center"/>
    </xf>
    <xf numFmtId="9" fontId="23" fillId="0" borderId="50" xfId="0" applyNumberFormat="1" applyFont="1" applyFill="1" applyBorder="1" applyAlignment="1">
      <alignment horizontal="center" vertical="center"/>
    </xf>
    <xf numFmtId="165" fontId="26" fillId="0" borderId="51" xfId="886" applyNumberFormat="1" applyFont="1" applyFill="1" applyBorder="1" applyAlignment="1">
      <alignment horizontal="center" vertical="center"/>
    </xf>
    <xf numFmtId="9" fontId="26" fillId="0" borderId="52" xfId="886" applyNumberFormat="1" applyFont="1" applyFill="1" applyBorder="1" applyAlignment="1">
      <alignment horizontal="center" vertical="center"/>
    </xf>
    <xf numFmtId="3" fontId="23" fillId="0" borderId="36" xfId="886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left" vertical="center" wrapText="1"/>
    </xf>
    <xf numFmtId="4" fontId="25" fillId="0" borderId="27" xfId="0" applyNumberFormat="1" applyFont="1" applyFill="1" applyBorder="1" applyAlignment="1">
      <alignment horizontal="center" vertical="center"/>
    </xf>
    <xf numFmtId="4" fontId="25" fillId="0" borderId="30" xfId="0" applyNumberFormat="1" applyFont="1" applyFill="1" applyBorder="1" applyAlignment="1">
      <alignment horizontal="center" vertical="center"/>
    </xf>
    <xf numFmtId="10" fontId="26" fillId="0" borderId="30" xfId="886" applyNumberFormat="1" applyFont="1" applyFill="1" applyBorder="1" applyAlignment="1">
      <alignment horizontal="center" vertical="center"/>
    </xf>
    <xf numFmtId="165" fontId="26" fillId="0" borderId="28" xfId="886" applyNumberFormat="1" applyFont="1" applyFill="1" applyBorder="1" applyAlignment="1">
      <alignment horizontal="center" vertical="center"/>
    </xf>
    <xf numFmtId="3" fontId="23" fillId="0" borderId="22" xfId="886" applyNumberFormat="1" applyFont="1" applyFill="1" applyBorder="1" applyAlignment="1">
      <alignment horizontal="center" vertical="center"/>
    </xf>
    <xf numFmtId="4" fontId="25" fillId="0" borderId="27" xfId="886" applyNumberFormat="1" applyFont="1" applyFill="1" applyBorder="1" applyAlignment="1">
      <alignment horizontal="center" vertical="center"/>
    </xf>
    <xf numFmtId="4" fontId="25" fillId="0" borderId="30" xfId="886" applyNumberFormat="1" applyFont="1" applyFill="1" applyBorder="1" applyAlignment="1">
      <alignment horizontal="center" vertical="center"/>
    </xf>
    <xf numFmtId="3" fontId="25" fillId="0" borderId="27" xfId="0" applyNumberFormat="1" applyFont="1" applyFill="1" applyBorder="1" applyAlignment="1">
      <alignment horizontal="center" vertical="center"/>
    </xf>
    <xf numFmtId="3" fontId="25" fillId="0" borderId="30" xfId="0" applyNumberFormat="1" applyFont="1" applyFill="1" applyBorder="1" applyAlignment="1">
      <alignment horizontal="center" vertical="center"/>
    </xf>
    <xf numFmtId="9" fontId="26" fillId="0" borderId="30" xfId="886" applyNumberFormat="1" applyFont="1" applyFill="1" applyBorder="1" applyAlignment="1">
      <alignment horizontal="center" vertical="center"/>
    </xf>
    <xf numFmtId="164" fontId="25" fillId="0" borderId="29" xfId="0" applyNumberFormat="1" applyFont="1" applyFill="1" applyBorder="1" applyAlignment="1">
      <alignment horizontal="center" vertical="center" wrapText="1"/>
    </xf>
    <xf numFmtId="164" fontId="25" fillId="0" borderId="30" xfId="0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/>
    </xf>
    <xf numFmtId="164" fontId="26" fillId="0" borderId="30" xfId="0" applyNumberFormat="1" applyFont="1" applyFill="1" applyBorder="1" applyAlignment="1">
      <alignment horizontal="center" vertical="center"/>
    </xf>
    <xf numFmtId="164" fontId="25" fillId="0" borderId="30" xfId="0" applyNumberFormat="1" applyFont="1" applyFill="1" applyBorder="1" applyAlignment="1">
      <alignment horizontal="center" vertical="center"/>
    </xf>
    <xf numFmtId="164" fontId="26" fillId="0" borderId="30" xfId="0" applyNumberFormat="1" applyFont="1" applyFill="1" applyBorder="1" applyAlignment="1">
      <alignment horizontal="center" vertical="center" wrapText="1"/>
    </xf>
    <xf numFmtId="4" fontId="25" fillId="0" borderId="30" xfId="0" applyNumberFormat="1" applyFont="1" applyFill="1" applyBorder="1" applyAlignment="1">
      <alignment horizontal="center" vertical="center" wrapText="1"/>
    </xf>
    <xf numFmtId="165" fontId="26" fillId="0" borderId="30" xfId="0" applyNumberFormat="1" applyFont="1" applyFill="1" applyBorder="1" applyAlignment="1">
      <alignment horizontal="center" vertical="center" wrapText="1"/>
    </xf>
    <xf numFmtId="4" fontId="26" fillId="0" borderId="30" xfId="0" applyNumberFormat="1" applyFont="1" applyFill="1" applyBorder="1" applyAlignment="1">
      <alignment horizontal="center" vertical="center"/>
    </xf>
    <xf numFmtId="4" fontId="23" fillId="0" borderId="30" xfId="0" applyNumberFormat="1" applyFont="1" applyFill="1" applyBorder="1" applyAlignment="1">
      <alignment horizontal="center" vertical="center"/>
    </xf>
    <xf numFmtId="165" fontId="26" fillId="0" borderId="30" xfId="886" applyNumberFormat="1" applyFont="1" applyFill="1" applyBorder="1" applyAlignment="1">
      <alignment horizontal="center" vertical="center"/>
    </xf>
    <xf numFmtId="4" fontId="25" fillId="0" borderId="31" xfId="886" applyNumberFormat="1" applyFont="1" applyFill="1" applyBorder="1" applyAlignment="1">
      <alignment horizontal="center" vertical="center"/>
    </xf>
    <xf numFmtId="165" fontId="26" fillId="0" borderId="31" xfId="886" applyNumberFormat="1" applyFont="1" applyFill="1" applyBorder="1" applyAlignment="1">
      <alignment horizontal="center" vertical="center"/>
    </xf>
    <xf numFmtId="9" fontId="26" fillId="0" borderId="28" xfId="886" applyNumberFormat="1" applyFont="1" applyFill="1" applyBorder="1" applyAlignment="1">
      <alignment horizontal="center" vertical="center"/>
    </xf>
    <xf numFmtId="164" fontId="23" fillId="0" borderId="18" xfId="0" applyNumberFormat="1" applyFont="1" applyFill="1" applyBorder="1" applyAlignment="1">
      <alignment horizontal="left"/>
    </xf>
    <xf numFmtId="0" fontId="21" fillId="0" borderId="18" xfId="0" applyFont="1" applyFill="1" applyBorder="1"/>
    <xf numFmtId="0" fontId="22" fillId="0" borderId="18" xfId="0" applyFont="1" applyFill="1" applyBorder="1"/>
    <xf numFmtId="0" fontId="23" fillId="0" borderId="18" xfId="0" applyFont="1" applyFill="1" applyBorder="1"/>
    <xf numFmtId="0" fontId="25" fillId="0" borderId="18" xfId="0" applyFont="1" applyFill="1" applyBorder="1" applyAlignment="1">
      <alignment horizontal="center"/>
    </xf>
    <xf numFmtId="3" fontId="21" fillId="0" borderId="18" xfId="0" applyNumberFormat="1" applyFont="1" applyFill="1" applyBorder="1"/>
    <xf numFmtId="1" fontId="27" fillId="0" borderId="18" xfId="0" applyNumberFormat="1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1" fillId="0" borderId="16" xfId="0" applyFont="1" applyFill="1" applyBorder="1"/>
    <xf numFmtId="164" fontId="23" fillId="0" borderId="50" xfId="0" applyNumberFormat="1" applyFont="1" applyFill="1" applyBorder="1" applyAlignment="1">
      <alignment horizontal="left"/>
    </xf>
    <xf numFmtId="0" fontId="21" fillId="0" borderId="50" xfId="0" applyFont="1" applyFill="1" applyBorder="1"/>
    <xf numFmtId="0" fontId="22" fillId="0" borderId="50" xfId="0" applyFont="1" applyFill="1" applyBorder="1"/>
    <xf numFmtId="0" fontId="23" fillId="0" borderId="50" xfId="0" applyFont="1" applyFill="1" applyBorder="1"/>
    <xf numFmtId="0" fontId="25" fillId="0" borderId="50" xfId="0" applyFont="1" applyFill="1" applyBorder="1" applyAlignment="1">
      <alignment horizontal="center"/>
    </xf>
    <xf numFmtId="3" fontId="21" fillId="0" borderId="50" xfId="0" applyNumberFormat="1" applyFont="1" applyFill="1" applyBorder="1"/>
    <xf numFmtId="1" fontId="27" fillId="0" borderId="50" xfId="0" applyNumberFormat="1" applyFont="1" applyFill="1" applyBorder="1" applyAlignment="1">
      <alignment horizontal="center"/>
    </xf>
    <xf numFmtId="0" fontId="27" fillId="0" borderId="50" xfId="0" applyFont="1" applyFill="1" applyBorder="1"/>
    <xf numFmtId="0" fontId="27" fillId="0" borderId="50" xfId="0" applyFont="1" applyFill="1" applyBorder="1" applyAlignment="1">
      <alignment horizontal="center"/>
    </xf>
    <xf numFmtId="0" fontId="27" fillId="0" borderId="52" xfId="0" applyFont="1" applyFill="1" applyBorder="1"/>
    <xf numFmtId="0" fontId="21" fillId="0" borderId="52" xfId="0" applyFont="1" applyFill="1" applyBorder="1"/>
    <xf numFmtId="0" fontId="21" fillId="0" borderId="38" xfId="0" applyFont="1" applyFill="1" applyBorder="1"/>
    <xf numFmtId="0" fontId="22" fillId="0" borderId="38" xfId="0" applyFont="1" applyFill="1" applyBorder="1"/>
    <xf numFmtId="0" fontId="23" fillId="0" borderId="38" xfId="0" applyFont="1" applyFill="1" applyBorder="1"/>
    <xf numFmtId="0" fontId="23" fillId="0" borderId="38" xfId="0" applyFont="1" applyFill="1" applyBorder="1" applyAlignment="1">
      <alignment horizontal="center"/>
    </xf>
    <xf numFmtId="1" fontId="27" fillId="0" borderId="38" xfId="0" applyNumberFormat="1" applyFont="1" applyFill="1" applyBorder="1" applyAlignment="1">
      <alignment horizontal="center"/>
    </xf>
    <xf numFmtId="0" fontId="21" fillId="0" borderId="41" xfId="0" applyFont="1" applyFill="1" applyBorder="1"/>
    <xf numFmtId="0" fontId="21" fillId="0" borderId="27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30" xfId="0" applyFont="1" applyFill="1" applyBorder="1"/>
    <xf numFmtId="0" fontId="22" fillId="0" borderId="30" xfId="0" applyFont="1" applyFill="1" applyBorder="1"/>
    <xf numFmtId="0" fontId="23" fillId="0" borderId="30" xfId="0" applyFont="1" applyFill="1" applyBorder="1"/>
    <xf numFmtId="4" fontId="22" fillId="0" borderId="30" xfId="0" applyNumberFormat="1" applyFont="1" applyFill="1" applyBorder="1"/>
    <xf numFmtId="0" fontId="23" fillId="0" borderId="30" xfId="0" applyFont="1" applyFill="1" applyBorder="1" applyAlignment="1">
      <alignment horizontal="center"/>
    </xf>
    <xf numFmtId="1" fontId="27" fillId="0" borderId="30" xfId="0" applyNumberFormat="1" applyFont="1" applyFill="1" applyBorder="1" applyAlignment="1">
      <alignment horizontal="center"/>
    </xf>
    <xf numFmtId="0" fontId="21" fillId="0" borderId="28" xfId="0" applyFont="1" applyFill="1" applyBorder="1"/>
    <xf numFmtId="0" fontId="27" fillId="0" borderId="54" xfId="0" applyFont="1" applyFill="1" applyBorder="1" applyAlignment="1">
      <alignment wrapText="1"/>
    </xf>
    <xf numFmtId="0" fontId="21" fillId="0" borderId="55" xfId="0" applyFont="1" applyFill="1" applyBorder="1"/>
    <xf numFmtId="0" fontId="22" fillId="0" borderId="55" xfId="0" applyFont="1" applyFill="1" applyBorder="1"/>
    <xf numFmtId="0" fontId="23" fillId="0" borderId="55" xfId="0" applyFont="1" applyFill="1" applyBorder="1"/>
    <xf numFmtId="4" fontId="22" fillId="0" borderId="55" xfId="0" applyNumberFormat="1" applyFont="1" applyFill="1" applyBorder="1"/>
    <xf numFmtId="3" fontId="25" fillId="0" borderId="55" xfId="0" applyNumberFormat="1" applyFont="1" applyFill="1" applyBorder="1" applyAlignment="1">
      <alignment horizontal="center"/>
    </xf>
    <xf numFmtId="3" fontId="27" fillId="0" borderId="55" xfId="0" applyNumberFormat="1" applyFont="1" applyFill="1" applyBorder="1" applyAlignment="1">
      <alignment horizontal="center"/>
    </xf>
    <xf numFmtId="0" fontId="21" fillId="0" borderId="56" xfId="0" applyFont="1" applyFill="1" applyBorder="1"/>
    <xf numFmtId="4" fontId="22" fillId="0" borderId="0" xfId="0" applyNumberFormat="1" applyFont="1" applyFill="1"/>
    <xf numFmtId="0" fontId="23" fillId="0" borderId="42" xfId="0" applyFont="1" applyFill="1" applyBorder="1" applyAlignment="1">
      <alignment horizontal="left" vertical="center" wrapText="1"/>
    </xf>
    <xf numFmtId="0" fontId="25" fillId="0" borderId="48" xfId="0" applyFont="1" applyFill="1" applyBorder="1" applyAlignment="1">
      <alignment horizontal="center" vertical="center" wrapText="1"/>
    </xf>
    <xf numFmtId="164" fontId="25" fillId="0" borderId="15" xfId="0" applyNumberFormat="1" applyFont="1" applyFill="1" applyBorder="1" applyAlignment="1">
      <alignment horizontal="center" wrapText="1"/>
    </xf>
    <xf numFmtId="164" fontId="23" fillId="0" borderId="53" xfId="0" applyNumberFormat="1" applyFont="1" applyFill="1" applyBorder="1" applyAlignment="1">
      <alignment horizontal="left" wrapText="1"/>
    </xf>
    <xf numFmtId="0" fontId="21" fillId="0" borderId="40" xfId="0" applyFont="1" applyFill="1" applyBorder="1" applyAlignment="1">
      <alignment wrapText="1"/>
    </xf>
    <xf numFmtId="0" fontId="22" fillId="0" borderId="0" xfId="0" applyFont="1" applyFill="1" applyAlignment="1">
      <alignment horizontal="center"/>
    </xf>
    <xf numFmtId="0" fontId="25" fillId="0" borderId="67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6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72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0" borderId="75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60" xfId="0" applyFont="1" applyFill="1" applyBorder="1" applyAlignment="1">
      <alignment horizontal="center" vertical="center" wrapText="1"/>
    </xf>
    <xf numFmtId="0" fontId="25" fillId="0" borderId="71" xfId="0" applyFont="1" applyFill="1" applyBorder="1" applyAlignment="1">
      <alignment horizontal="center" vertical="center" wrapText="1"/>
    </xf>
    <xf numFmtId="0" fontId="25" fillId="0" borderId="76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25" fillId="0" borderId="70" xfId="0" applyFont="1" applyFill="1" applyBorder="1" applyAlignment="1">
      <alignment horizontal="center" vertical="center" wrapText="1"/>
    </xf>
    <xf numFmtId="0" fontId="25" fillId="0" borderId="77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25" fillId="0" borderId="12" xfId="0" applyFont="1" applyFill="1" applyBorder="1"/>
    <xf numFmtId="0" fontId="21" fillId="0" borderId="26" xfId="0" applyFont="1" applyFill="1" applyBorder="1"/>
    <xf numFmtId="0" fontId="21" fillId="0" borderId="65" xfId="0" applyFont="1" applyFill="1" applyBorder="1"/>
    <xf numFmtId="0" fontId="23" fillId="0" borderId="65" xfId="0" applyFont="1" applyFill="1" applyBorder="1" applyAlignment="1">
      <alignment horizontal="center"/>
    </xf>
    <xf numFmtId="164" fontId="26" fillId="0" borderId="65" xfId="0" applyNumberFormat="1" applyFont="1" applyFill="1" applyBorder="1" applyAlignment="1">
      <alignment horizontal="center" vertical="center" wrapText="1"/>
    </xf>
    <xf numFmtId="165" fontId="26" fillId="0" borderId="65" xfId="0" applyNumberFormat="1" applyFont="1" applyFill="1" applyBorder="1" applyAlignment="1">
      <alignment horizontal="center" vertical="center" wrapText="1"/>
    </xf>
    <xf numFmtId="4" fontId="23" fillId="0" borderId="65" xfId="0" applyNumberFormat="1" applyFont="1" applyFill="1" applyBorder="1"/>
    <xf numFmtId="165" fontId="23" fillId="0" borderId="65" xfId="0" applyNumberFormat="1" applyFont="1" applyFill="1" applyBorder="1"/>
    <xf numFmtId="165" fontId="25" fillId="0" borderId="25" xfId="0" applyNumberFormat="1" applyFont="1" applyFill="1" applyBorder="1"/>
    <xf numFmtId="4" fontId="23" fillId="0" borderId="24" xfId="0" applyNumberFormat="1" applyFont="1" applyFill="1" applyBorder="1"/>
    <xf numFmtId="4" fontId="22" fillId="0" borderId="65" xfId="0" applyNumberFormat="1" applyFont="1" applyFill="1" applyBorder="1"/>
    <xf numFmtId="10" fontId="22" fillId="0" borderId="65" xfId="0" applyNumberFormat="1" applyFont="1" applyFill="1" applyBorder="1"/>
    <xf numFmtId="165" fontId="22" fillId="0" borderId="21" xfId="0" applyNumberFormat="1" applyFont="1" applyFill="1" applyBorder="1"/>
    <xf numFmtId="3" fontId="22" fillId="0" borderId="63" xfId="0" applyNumberFormat="1" applyFont="1" applyFill="1" applyBorder="1"/>
    <xf numFmtId="4" fontId="44" fillId="0" borderId="24" xfId="0" applyNumberFormat="1" applyFont="1" applyFill="1" applyBorder="1"/>
    <xf numFmtId="4" fontId="44" fillId="0" borderId="65" xfId="0" applyNumberFormat="1" applyFont="1" applyFill="1" applyBorder="1"/>
    <xf numFmtId="10" fontId="45" fillId="0" borderId="65" xfId="0" applyNumberFormat="1" applyFont="1" applyFill="1" applyBorder="1"/>
    <xf numFmtId="165" fontId="45" fillId="0" borderId="25" xfId="0" applyNumberFormat="1" applyFont="1" applyFill="1" applyBorder="1" applyAlignment="1">
      <alignment horizontal="center"/>
    </xf>
    <xf numFmtId="165" fontId="45" fillId="0" borderId="24" xfId="0" applyNumberFormat="1" applyFont="1" applyFill="1" applyBorder="1" applyAlignment="1">
      <alignment horizontal="center"/>
    </xf>
    <xf numFmtId="164" fontId="45" fillId="0" borderId="25" xfId="0" applyNumberFormat="1" applyFont="1" applyFill="1" applyBorder="1" applyAlignment="1">
      <alignment horizontal="center"/>
    </xf>
    <xf numFmtId="4" fontId="22" fillId="0" borderId="65" xfId="0" applyNumberFormat="1" applyFont="1" applyFill="1" applyBorder="1" applyAlignment="1">
      <alignment horizontal="center"/>
    </xf>
    <xf numFmtId="165" fontId="22" fillId="0" borderId="21" xfId="886" applyNumberFormat="1" applyFont="1" applyFill="1" applyBorder="1"/>
    <xf numFmtId="4" fontId="23" fillId="0" borderId="26" xfId="0" applyNumberFormat="1" applyFont="1" applyFill="1" applyBorder="1"/>
    <xf numFmtId="165" fontId="22" fillId="0" borderId="65" xfId="886" applyNumberFormat="1" applyFont="1" applyFill="1" applyBorder="1"/>
    <xf numFmtId="0" fontId="23" fillId="0" borderId="10" xfId="0" applyFont="1" applyFill="1" applyBorder="1" applyAlignment="1">
      <alignment horizontal="left" vertical="center"/>
    </xf>
    <xf numFmtId="164" fontId="25" fillId="0" borderId="17" xfId="0" applyNumberFormat="1" applyFont="1" applyFill="1" applyBorder="1" applyAlignment="1">
      <alignment horizontal="center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164" fontId="26" fillId="0" borderId="18" xfId="0" applyNumberFormat="1" applyFont="1" applyFill="1" applyBorder="1" applyAlignment="1">
      <alignment horizontal="center" vertical="center"/>
    </xf>
    <xf numFmtId="164" fontId="25" fillId="0" borderId="18" xfId="0" applyNumberFormat="1" applyFont="1" applyFill="1" applyBorder="1" applyAlignment="1">
      <alignment horizontal="center" vertical="center"/>
    </xf>
    <xf numFmtId="164" fontId="26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65" fontId="26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/>
    </xf>
    <xf numFmtId="169" fontId="26" fillId="0" borderId="18" xfId="0" applyNumberFormat="1" applyFont="1" applyFill="1" applyBorder="1" applyAlignment="1">
      <alignment horizontal="center" vertical="center"/>
    </xf>
    <xf numFmtId="169" fontId="23" fillId="0" borderId="18" xfId="0" applyNumberFormat="1" applyFont="1" applyFill="1" applyBorder="1" applyAlignment="1">
      <alignment horizontal="center" vertical="center"/>
    </xf>
    <xf numFmtId="169" fontId="23" fillId="0" borderId="18" xfId="0" applyNumberFormat="1" applyFont="1" applyFill="1" applyBorder="1" applyAlignment="1">
      <alignment horizontal="center" vertical="center"/>
    </xf>
    <xf numFmtId="4" fontId="23" fillId="0" borderId="18" xfId="0" applyNumberFormat="1" applyFont="1" applyFill="1" applyBorder="1" applyAlignment="1">
      <alignment horizontal="center" vertical="center"/>
    </xf>
    <xf numFmtId="4" fontId="26" fillId="0" borderId="18" xfId="0" applyNumberFormat="1" applyFont="1" applyFill="1" applyBorder="1" applyAlignment="1">
      <alignment horizontal="center" vertical="center"/>
    </xf>
    <xf numFmtId="165" fontId="26" fillId="0" borderId="18" xfId="886" applyNumberFormat="1" applyFont="1" applyFill="1" applyBorder="1" applyAlignment="1">
      <alignment horizontal="center" vertical="center"/>
    </xf>
    <xf numFmtId="4" fontId="25" fillId="0" borderId="19" xfId="886" applyNumberFormat="1" applyFont="1" applyFill="1" applyBorder="1" applyAlignment="1">
      <alignment horizontal="center" vertical="center"/>
    </xf>
    <xf numFmtId="4" fontId="25" fillId="0" borderId="15" xfId="0" applyNumberFormat="1" applyFont="1" applyFill="1" applyBorder="1" applyAlignment="1">
      <alignment horizontal="center" vertical="center"/>
    </xf>
    <xf numFmtId="4" fontId="25" fillId="0" borderId="18" xfId="0" applyNumberFormat="1" applyFont="1" applyFill="1" applyBorder="1" applyAlignment="1">
      <alignment horizontal="center" vertical="center"/>
    </xf>
    <xf numFmtId="10" fontId="26" fillId="0" borderId="18" xfId="886" applyNumberFormat="1" applyFont="1" applyFill="1" applyBorder="1" applyAlignment="1">
      <alignment horizontal="center" vertical="center"/>
    </xf>
    <xf numFmtId="165" fontId="26" fillId="0" borderId="16" xfId="886" applyNumberFormat="1" applyFont="1" applyFill="1" applyBorder="1" applyAlignment="1">
      <alignment horizontal="center" vertical="center"/>
    </xf>
    <xf numFmtId="169" fontId="23" fillId="0" borderId="67" xfId="886" applyNumberFormat="1" applyFont="1" applyFill="1" applyBorder="1" applyAlignment="1">
      <alignment horizontal="center" vertical="center"/>
    </xf>
    <xf numFmtId="4" fontId="25" fillId="0" borderId="15" xfId="886" applyNumberFormat="1" applyFont="1" applyFill="1" applyBorder="1" applyAlignment="1">
      <alignment horizontal="center" vertical="center"/>
    </xf>
    <xf numFmtId="4" fontId="25" fillId="0" borderId="18" xfId="886" applyNumberFormat="1" applyFont="1" applyFill="1" applyBorder="1" applyAlignment="1">
      <alignment horizontal="center" vertical="center"/>
    </xf>
    <xf numFmtId="165" fontId="26" fillId="0" borderId="19" xfId="886" applyNumberFormat="1" applyFont="1" applyFill="1" applyBorder="1" applyAlignment="1">
      <alignment horizontal="center" vertical="center"/>
    </xf>
    <xf numFmtId="165" fontId="26" fillId="0" borderId="15" xfId="886" applyNumberFormat="1" applyFont="1" applyFill="1" applyBorder="1" applyAlignment="1">
      <alignment horizontal="center" vertical="center"/>
    </xf>
    <xf numFmtId="164" fontId="26" fillId="0" borderId="19" xfId="886" applyNumberFormat="1" applyFont="1" applyFill="1" applyBorder="1" applyAlignment="1">
      <alignment horizontal="center" vertical="center"/>
    </xf>
    <xf numFmtId="4" fontId="25" fillId="0" borderId="15" xfId="0" applyNumberFormat="1" applyFont="1" applyFill="1" applyBorder="1" applyAlignment="1">
      <alignment vertical="center"/>
    </xf>
    <xf numFmtId="4" fontId="25" fillId="0" borderId="18" xfId="0" applyNumberFormat="1" applyFont="1" applyFill="1" applyBorder="1" applyAlignment="1">
      <alignment vertical="center"/>
    </xf>
    <xf numFmtId="4" fontId="25" fillId="0" borderId="18" xfId="0" applyNumberFormat="1" applyFont="1" applyFill="1" applyBorder="1" applyAlignment="1">
      <alignment horizontal="center" vertical="center"/>
    </xf>
    <xf numFmtId="165" fontId="26" fillId="0" borderId="16" xfId="886" applyNumberFormat="1" applyFont="1" applyFill="1" applyBorder="1" applyAlignment="1">
      <alignment vertical="center"/>
    </xf>
    <xf numFmtId="4" fontId="25" fillId="0" borderId="26" xfId="0" applyNumberFormat="1" applyFont="1" applyFill="1" applyBorder="1" applyAlignment="1">
      <alignment vertical="center"/>
    </xf>
    <xf numFmtId="4" fontId="25" fillId="0" borderId="65" xfId="0" applyNumberFormat="1" applyFont="1" applyFill="1" applyBorder="1" applyAlignment="1">
      <alignment vertical="center"/>
    </xf>
    <xf numFmtId="165" fontId="26" fillId="0" borderId="65" xfId="886" applyNumberFormat="1" applyFont="1" applyFill="1" applyBorder="1" applyAlignment="1">
      <alignment vertical="center"/>
    </xf>
    <xf numFmtId="165" fontId="26" fillId="0" borderId="21" xfId="886" applyNumberFormat="1" applyFont="1" applyFill="1" applyBorder="1" applyAlignment="1">
      <alignment vertical="center"/>
    </xf>
    <xf numFmtId="4" fontId="25" fillId="0" borderId="24" xfId="0" applyNumberFormat="1" applyFont="1" applyFill="1" applyBorder="1" applyAlignment="1">
      <alignment vertical="center"/>
    </xf>
    <xf numFmtId="169" fontId="25" fillId="0" borderId="38" xfId="0" applyNumberFormat="1" applyFont="1" applyFill="1" applyBorder="1" applyAlignment="1">
      <alignment horizontal="center" vertical="center" wrapText="1"/>
    </xf>
    <xf numFmtId="169" fontId="25" fillId="0" borderId="38" xfId="0" applyNumberFormat="1" applyFont="1" applyFill="1" applyBorder="1" applyAlignment="1">
      <alignment horizontal="center" vertical="center"/>
    </xf>
    <xf numFmtId="169" fontId="26" fillId="0" borderId="38" xfId="0" applyNumberFormat="1" applyFont="1" applyFill="1" applyBorder="1" applyAlignment="1">
      <alignment horizontal="center" vertical="center"/>
    </xf>
    <xf numFmtId="169" fontId="23" fillId="0" borderId="38" xfId="0" applyNumberFormat="1" applyFont="1" applyFill="1" applyBorder="1" applyAlignment="1">
      <alignment horizontal="center" vertical="center"/>
    </xf>
    <xf numFmtId="169" fontId="23" fillId="0" borderId="38" xfId="0" applyNumberFormat="1" applyFont="1" applyFill="1" applyBorder="1" applyAlignment="1">
      <alignment horizontal="center" vertical="center"/>
    </xf>
    <xf numFmtId="165" fontId="26" fillId="0" borderId="38" xfId="886" applyNumberFormat="1" applyFont="1" applyFill="1" applyBorder="1" applyAlignment="1">
      <alignment horizontal="center" vertical="center"/>
    </xf>
    <xf numFmtId="4" fontId="25" fillId="0" borderId="39" xfId="886" applyNumberFormat="1" applyFont="1" applyFill="1" applyBorder="1" applyAlignment="1">
      <alignment horizontal="center" vertical="center"/>
    </xf>
    <xf numFmtId="4" fontId="25" fillId="0" borderId="40" xfId="0" applyNumberFormat="1" applyFont="1" applyFill="1" applyBorder="1" applyAlignment="1">
      <alignment horizontal="center" vertical="center"/>
    </xf>
    <xf numFmtId="4" fontId="25" fillId="0" borderId="38" xfId="0" applyNumberFormat="1" applyFont="1" applyFill="1" applyBorder="1" applyAlignment="1">
      <alignment horizontal="center" vertical="center"/>
    </xf>
    <xf numFmtId="10" fontId="26" fillId="0" borderId="38" xfId="886" applyNumberFormat="1" applyFont="1" applyFill="1" applyBorder="1" applyAlignment="1">
      <alignment horizontal="center" vertical="center"/>
    </xf>
    <xf numFmtId="165" fontId="26" fillId="0" borderId="41" xfId="886" applyNumberFormat="1" applyFont="1" applyFill="1" applyBorder="1" applyAlignment="1">
      <alignment horizontal="center" vertical="center"/>
    </xf>
    <xf numFmtId="169" fontId="23" fillId="0" borderId="78" xfId="886" applyNumberFormat="1" applyFont="1" applyFill="1" applyBorder="1" applyAlignment="1">
      <alignment horizontal="center" vertical="center"/>
    </xf>
    <xf numFmtId="4" fontId="25" fillId="0" borderId="40" xfId="886" applyNumberFormat="1" applyFont="1" applyFill="1" applyBorder="1" applyAlignment="1">
      <alignment horizontal="center" vertical="center"/>
    </xf>
    <xf numFmtId="4" fontId="25" fillId="0" borderId="38" xfId="886" applyNumberFormat="1" applyFont="1" applyFill="1" applyBorder="1" applyAlignment="1">
      <alignment horizontal="center" vertical="center"/>
    </xf>
    <xf numFmtId="165" fontId="26" fillId="0" borderId="39" xfId="886" applyNumberFormat="1" applyFont="1" applyFill="1" applyBorder="1" applyAlignment="1">
      <alignment horizontal="center" vertical="center"/>
    </xf>
    <xf numFmtId="165" fontId="26" fillId="0" borderId="40" xfId="886" applyNumberFormat="1" applyFont="1" applyFill="1" applyBorder="1" applyAlignment="1">
      <alignment horizontal="center" vertical="center"/>
    </xf>
    <xf numFmtId="164" fontId="26" fillId="0" borderId="39" xfId="886" applyNumberFormat="1" applyFont="1" applyFill="1" applyBorder="1" applyAlignment="1">
      <alignment horizontal="center" vertical="center"/>
    </xf>
    <xf numFmtId="4" fontId="25" fillId="0" borderId="40" xfId="0" applyNumberFormat="1" applyFont="1" applyFill="1" applyBorder="1" applyAlignment="1">
      <alignment vertical="center"/>
    </xf>
    <xf numFmtId="4" fontId="25" fillId="0" borderId="38" xfId="0" applyNumberFormat="1" applyFont="1" applyFill="1" applyBorder="1" applyAlignment="1">
      <alignment vertical="center"/>
    </xf>
    <xf numFmtId="165" fontId="26" fillId="0" borderId="41" xfId="886" applyNumberFormat="1" applyFont="1" applyFill="1" applyBorder="1" applyAlignment="1">
      <alignment vertical="center"/>
    </xf>
    <xf numFmtId="4" fontId="25" fillId="0" borderId="73" xfId="0" applyNumberFormat="1" applyFont="1" applyFill="1" applyBorder="1" applyAlignment="1">
      <alignment vertical="center"/>
    </xf>
    <xf numFmtId="4" fontId="25" fillId="0" borderId="35" xfId="0" applyNumberFormat="1" applyFont="1" applyFill="1" applyBorder="1" applyAlignment="1">
      <alignment vertical="center"/>
    </xf>
    <xf numFmtId="165" fontId="26" fillId="0" borderId="35" xfId="886" applyNumberFormat="1" applyFont="1" applyFill="1" applyBorder="1" applyAlignment="1">
      <alignment vertical="center"/>
    </xf>
    <xf numFmtId="165" fontId="26" fillId="0" borderId="33" xfId="886" applyNumberFormat="1" applyFont="1" applyFill="1" applyBorder="1" applyAlignment="1">
      <alignment vertical="center"/>
    </xf>
    <xf numFmtId="4" fontId="25" fillId="0" borderId="34" xfId="0" applyNumberFormat="1" applyFont="1" applyFill="1" applyBorder="1" applyAlignment="1">
      <alignment vertical="center"/>
    </xf>
    <xf numFmtId="4" fontId="23" fillId="0" borderId="27" xfId="886" applyNumberFormat="1" applyFont="1" applyFill="1" applyBorder="1" applyAlignment="1">
      <alignment horizontal="center" vertical="center"/>
    </xf>
    <xf numFmtId="169" fontId="25" fillId="0" borderId="39" xfId="886" applyNumberFormat="1" applyFont="1" applyFill="1" applyBorder="1" applyAlignment="1">
      <alignment horizontal="center" vertical="center"/>
    </xf>
    <xf numFmtId="3" fontId="23" fillId="0" borderId="40" xfId="0" applyNumberFormat="1" applyFont="1" applyFill="1" applyBorder="1" applyAlignment="1">
      <alignment horizontal="center" vertical="center"/>
    </xf>
    <xf numFmtId="3" fontId="23" fillId="0" borderId="38" xfId="0" applyNumberFormat="1" applyFont="1" applyFill="1" applyBorder="1" applyAlignment="1">
      <alignment horizontal="center" vertical="center"/>
    </xf>
    <xf numFmtId="9" fontId="26" fillId="0" borderId="41" xfId="886" applyNumberFormat="1" applyFont="1" applyFill="1" applyBorder="1" applyAlignment="1">
      <alignment horizontal="center" vertical="center"/>
    </xf>
    <xf numFmtId="3" fontId="23" fillId="0" borderId="37" xfId="0" applyNumberFormat="1" applyFont="1" applyFill="1" applyBorder="1" applyAlignment="1">
      <alignment vertical="center"/>
    </xf>
    <xf numFmtId="165" fontId="26" fillId="0" borderId="38" xfId="886" applyNumberFormat="1" applyFont="1" applyFill="1" applyBorder="1" applyAlignment="1">
      <alignment vertical="center"/>
    </xf>
    <xf numFmtId="3" fontId="23" fillId="0" borderId="40" xfId="0" applyNumberFormat="1" applyFont="1" applyFill="1" applyBorder="1" applyAlignment="1">
      <alignment vertical="center"/>
    </xf>
    <xf numFmtId="3" fontId="23" fillId="0" borderId="38" xfId="0" applyNumberFormat="1" applyFont="1" applyFill="1" applyBorder="1" applyAlignment="1">
      <alignment vertical="center"/>
    </xf>
    <xf numFmtId="9" fontId="26" fillId="0" borderId="38" xfId="886" applyNumberFormat="1" applyFont="1" applyFill="1" applyBorder="1" applyAlignment="1">
      <alignment vertical="center"/>
    </xf>
    <xf numFmtId="4" fontId="23" fillId="0" borderId="34" xfId="886" applyNumberFormat="1" applyFont="1" applyFill="1" applyBorder="1" applyAlignment="1">
      <alignment horizontal="center" vertical="center"/>
    </xf>
    <xf numFmtId="4" fontId="23" fillId="0" borderId="53" xfId="886" applyNumberFormat="1" applyFont="1" applyFill="1" applyBorder="1" applyAlignment="1">
      <alignment horizontal="center" vertical="center"/>
    </xf>
    <xf numFmtId="4" fontId="23" fillId="0" borderId="40" xfId="886" applyNumberFormat="1" applyFont="1" applyFill="1" applyBorder="1" applyAlignment="1">
      <alignment horizontal="center" vertical="center"/>
    </xf>
    <xf numFmtId="165" fontId="26" fillId="0" borderId="38" xfId="0" applyNumberFormat="1" applyFont="1" applyFill="1" applyBorder="1" applyAlignment="1">
      <alignment horizontal="center" vertical="center"/>
    </xf>
    <xf numFmtId="4" fontId="25" fillId="0" borderId="39" xfId="0" applyNumberFormat="1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left" vertical="center" wrapText="1"/>
    </xf>
    <xf numFmtId="164" fontId="46" fillId="0" borderId="44" xfId="0" applyNumberFormat="1" applyFont="1" applyFill="1" applyBorder="1" applyAlignment="1">
      <alignment horizontal="center" vertical="center"/>
    </xf>
    <xf numFmtId="164" fontId="46" fillId="0" borderId="44" xfId="0" applyNumberFormat="1" applyFont="1" applyFill="1" applyBorder="1" applyAlignment="1">
      <alignment horizontal="center" vertical="center" wrapText="1"/>
    </xf>
    <xf numFmtId="169" fontId="25" fillId="0" borderId="44" xfId="0" applyNumberFormat="1" applyFont="1" applyFill="1" applyBorder="1" applyAlignment="1">
      <alignment horizontal="center" vertical="center" wrapText="1"/>
    </xf>
    <xf numFmtId="165" fontId="46" fillId="0" borderId="44" xfId="0" applyNumberFormat="1" applyFont="1" applyFill="1" applyBorder="1" applyAlignment="1">
      <alignment horizontal="center" vertical="center" wrapText="1"/>
    </xf>
    <xf numFmtId="169" fontId="25" fillId="0" borderId="44" xfId="0" applyNumberFormat="1" applyFont="1" applyFill="1" applyBorder="1" applyAlignment="1">
      <alignment horizontal="center" vertical="center"/>
    </xf>
    <xf numFmtId="169" fontId="46" fillId="0" borderId="44" xfId="0" applyNumberFormat="1" applyFont="1" applyFill="1" applyBorder="1" applyAlignment="1">
      <alignment horizontal="center" vertical="center"/>
    </xf>
    <xf numFmtId="4" fontId="46" fillId="0" borderId="44" xfId="0" applyNumberFormat="1" applyFont="1" applyFill="1" applyBorder="1" applyAlignment="1">
      <alignment horizontal="center" vertical="center"/>
    </xf>
    <xf numFmtId="165" fontId="46" fillId="0" borderId="44" xfId="886" applyNumberFormat="1" applyFont="1" applyFill="1" applyBorder="1" applyAlignment="1">
      <alignment horizontal="center" vertical="center"/>
    </xf>
    <xf numFmtId="10" fontId="46" fillId="0" borderId="44" xfId="886" applyNumberFormat="1" applyFont="1" applyFill="1" applyBorder="1" applyAlignment="1">
      <alignment horizontal="center" vertical="center"/>
    </xf>
    <xf numFmtId="165" fontId="46" fillId="0" borderId="47" xfId="886" applyNumberFormat="1" applyFont="1" applyFill="1" applyBorder="1" applyAlignment="1">
      <alignment horizontal="center" vertical="center"/>
    </xf>
    <xf numFmtId="169" fontId="25" fillId="0" borderId="76" xfId="886" applyNumberFormat="1" applyFont="1" applyFill="1" applyBorder="1" applyAlignment="1">
      <alignment horizontal="center" vertical="center"/>
    </xf>
    <xf numFmtId="165" fontId="46" fillId="0" borderId="45" xfId="886" applyNumberFormat="1" applyFont="1" applyFill="1" applyBorder="1" applyAlignment="1">
      <alignment horizontal="center" vertical="center"/>
    </xf>
    <xf numFmtId="169" fontId="25" fillId="0" borderId="45" xfId="886" applyNumberFormat="1" applyFont="1" applyFill="1" applyBorder="1" applyAlignment="1">
      <alignment horizontal="center" vertical="center"/>
    </xf>
    <xf numFmtId="3" fontId="25" fillId="0" borderId="46" xfId="886" applyNumberFormat="1" applyFont="1" applyFill="1" applyBorder="1" applyAlignment="1">
      <alignment horizontal="center" vertical="center"/>
    </xf>
    <xf numFmtId="3" fontId="25" fillId="0" borderId="44" xfId="886" applyNumberFormat="1" applyFont="1" applyFill="1" applyBorder="1" applyAlignment="1">
      <alignment horizontal="center" vertical="center"/>
    </xf>
    <xf numFmtId="169" fontId="25" fillId="0" borderId="44" xfId="886" applyNumberFormat="1" applyFont="1" applyFill="1" applyBorder="1" applyAlignment="1">
      <alignment horizontal="center" vertical="center"/>
    </xf>
    <xf numFmtId="4" fontId="25" fillId="0" borderId="43" xfId="886" applyNumberFormat="1" applyFont="1" applyFill="1" applyBorder="1" applyAlignment="1">
      <alignment horizontal="center" vertical="center"/>
    </xf>
    <xf numFmtId="9" fontId="26" fillId="0" borderId="44" xfId="886" applyNumberFormat="1" applyFont="1" applyFill="1" applyBorder="1" applyAlignment="1">
      <alignment vertical="center"/>
    </xf>
    <xf numFmtId="0" fontId="27" fillId="0" borderId="0" xfId="0" applyFont="1" applyFill="1"/>
    <xf numFmtId="0" fontId="32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center"/>
    </xf>
    <xf numFmtId="0" fontId="47" fillId="0" borderId="0" xfId="0" applyFont="1" applyFill="1"/>
    <xf numFmtId="4" fontId="47" fillId="0" borderId="0" xfId="0" applyNumberFormat="1" applyFont="1" applyFill="1"/>
    <xf numFmtId="0" fontId="48" fillId="0" borderId="0" xfId="0" applyFont="1" applyFill="1"/>
    <xf numFmtId="0" fontId="47" fillId="0" borderId="0" xfId="0" applyFont="1" applyFill="1" applyAlignment="1">
      <alignment horizontal="center"/>
    </xf>
    <xf numFmtId="0" fontId="32" fillId="0" borderId="0" xfId="0" applyFont="1" applyFill="1"/>
    <xf numFmtId="0" fontId="32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horizontal="left" vertical="center" wrapText="1"/>
    </xf>
    <xf numFmtId="164" fontId="25" fillId="0" borderId="0" xfId="0" applyNumberFormat="1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164" fontId="21" fillId="0" borderId="0" xfId="0" applyNumberFormat="1" applyFont="1" applyFill="1" applyAlignment="1">
      <alignment horizontal="left"/>
    </xf>
    <xf numFmtId="164" fontId="23" fillId="0" borderId="0" xfId="0" applyNumberFormat="1" applyFont="1" applyFill="1" applyAlignment="1">
      <alignment horizontal="left"/>
    </xf>
    <xf numFmtId="0" fontId="21" fillId="0" borderId="0" xfId="0" applyFont="1" applyFill="1" applyAlignment="1">
      <alignment horizontal="left" vertical="center" wrapText="1"/>
    </xf>
  </cellXfs>
  <cellStyles count="951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" xfId="886" builtinId="5"/>
    <cellStyle name="Процентный 2" xfId="887"/>
    <cellStyle name="Процентный 2 2" xfId="888"/>
    <cellStyle name="Процентный 3" xfId="889"/>
    <cellStyle name="Процентный 4" xfId="890"/>
    <cellStyle name="Связанная ячейка 2" xfId="891"/>
    <cellStyle name="Связанная ячейка 2 10" xfId="892"/>
    <cellStyle name="Связанная ячейка 2 2" xfId="893"/>
    <cellStyle name="Связанная ячейка 2 3" xfId="894"/>
    <cellStyle name="Связанная ячейка 2 4" xfId="895"/>
    <cellStyle name="Связанная ячейка 2 5" xfId="896"/>
    <cellStyle name="Связанная ячейка 2 6" xfId="897"/>
    <cellStyle name="Связанная ячейка 2 7" xfId="898"/>
    <cellStyle name="Связанная ячейка 2 8" xfId="899"/>
    <cellStyle name="Связанная ячейка 2 9" xfId="900"/>
    <cellStyle name="Связанная ячейка 3" xfId="901"/>
    <cellStyle name="Связанная ячейка 3 10" xfId="902"/>
    <cellStyle name="Связанная ячейка 3 2" xfId="903"/>
    <cellStyle name="Связанная ячейка 3 3" xfId="904"/>
    <cellStyle name="Связанная ячейка 3 4" xfId="905"/>
    <cellStyle name="Связанная ячейка 3 5" xfId="906"/>
    <cellStyle name="Связанная ячейка 3 6" xfId="907"/>
    <cellStyle name="Связанная ячейка 3 7" xfId="908"/>
    <cellStyle name="Связанная ячейка 3 8" xfId="909"/>
    <cellStyle name="Связанная ячейка 3 9" xfId="910"/>
    <cellStyle name="Текст предупреждения 2" xfId="911"/>
    <cellStyle name="Текст предупреждения 2 10" xfId="912"/>
    <cellStyle name="Текст предупреждения 2 2" xfId="913"/>
    <cellStyle name="Текст предупреждения 2 3" xfId="914"/>
    <cellStyle name="Текст предупреждения 2 4" xfId="915"/>
    <cellStyle name="Текст предупреждения 2 5" xfId="916"/>
    <cellStyle name="Текст предупреждения 2 6" xfId="917"/>
    <cellStyle name="Текст предупреждения 2 7" xfId="918"/>
    <cellStyle name="Текст предупреждения 2 8" xfId="919"/>
    <cellStyle name="Текст предупреждения 2 9" xfId="920"/>
    <cellStyle name="Текст предупреждения 3" xfId="921"/>
    <cellStyle name="Текст предупреждения 3 10" xfId="922"/>
    <cellStyle name="Текст предупреждения 3 2" xfId="923"/>
    <cellStyle name="Текст предупреждения 3 3" xfId="924"/>
    <cellStyle name="Текст предупреждения 3 4" xfId="925"/>
    <cellStyle name="Текст предупреждения 3 5" xfId="926"/>
    <cellStyle name="Текст предупреждения 3 6" xfId="927"/>
    <cellStyle name="Текст предупреждения 3 7" xfId="928"/>
    <cellStyle name="Текст предупреждения 3 8" xfId="929"/>
    <cellStyle name="Текст предупреждения 3 9" xfId="930"/>
    <cellStyle name="Хороший 2" xfId="931"/>
    <cellStyle name="Хороший 2 10" xfId="932"/>
    <cellStyle name="Хороший 2 2" xfId="933"/>
    <cellStyle name="Хороший 2 3" xfId="934"/>
    <cellStyle name="Хороший 2 4" xfId="935"/>
    <cellStyle name="Хороший 2 5" xfId="936"/>
    <cellStyle name="Хороший 2 6" xfId="937"/>
    <cellStyle name="Хороший 2 7" xfId="938"/>
    <cellStyle name="Хороший 2 8" xfId="939"/>
    <cellStyle name="Хороший 2 9" xfId="940"/>
    <cellStyle name="Хороший 3" xfId="941"/>
    <cellStyle name="Хороший 3 10" xfId="942"/>
    <cellStyle name="Хороший 3 2" xfId="943"/>
    <cellStyle name="Хороший 3 3" xfId="944"/>
    <cellStyle name="Хороший 3 4" xfId="945"/>
    <cellStyle name="Хороший 3 5" xfId="946"/>
    <cellStyle name="Хороший 3 6" xfId="947"/>
    <cellStyle name="Хороший 3 7" xfId="948"/>
    <cellStyle name="Хороший 3 8" xfId="949"/>
    <cellStyle name="Хороший 3 9" xfId="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40;&#1088;&#1082;&#1090;&#1080;&#1082;&#1088;&#1077;&#1081;&#1076;%20&#1041;&#1047;%202017-20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5;&#1080;&#1085;&#1077;&#1075;&#1072;%20&#1051;&#1103;&#1074;&#1083;&#1103;\&#1059;&#1089;&#1090;&#1100;-&#1055;&#1080;&#1085;&#1077;&#1078;&#1089;&#1082;&#1080;&#1081;%20&#1051;&#1055;&#1061;%20&#1051;&#1103;&#1074;&#1083;&#1103;%202017-2019%20&#1075;&#1086;&#10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54;&#1054;&#1054;%20&#1057;&#1080;&#1074;&#1077;&#1088;&#1082;&#1086;%20&#1041;&#1047;%202017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0;&#1088;&#1093;&#1072;&#1085;&#1075;&#1077;&#1083;&#1100;&#1089;&#1082;-&#1050;&#1086;&#1090;&#1083;&#1072;&#1089;%20&#1054;&#1040;&#1054;%20&#1050;&#1086;&#1084;&#1080;&#1072;&#1074;&#1080;&#1072;&#1090;&#1088;&#1072;&#1085;&#1089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3;&#1077;&#1084;&#1072;&#1085;&#1086;&#1074;%20&#1042;.&#1050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0;&#1086;&#1087;&#1080;&#1103;%20&#1052;&#1059;&#1055;%20&#1053;&#1069;&#1057;&#1050;%20&#1073;&#1102;&#1076;&#1078;&#1077;&#1090;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45;&#1084;&#1077;&#1083;&#1100;&#1103;&#1085;&#1086;&#1074;%20&#1042;&#104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0;&#1088;&#1093;&#1088;&#1077;&#1095;&#1087;&#1086;&#1088;&#1090;%20&#1041;&#1047;%202017-20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VPopov\LOCALS~1\Temp\&#1059;&#1058;&#1054;&#1063;&#1053;&#1045;&#1053;&#1053;&#1067;&#1049;%20&#1057;&#1042;&#1054;&#1044;&#1053;&#1067;&#1049;%20&#1041;&#1070;&#1044;&#1046;&#1045;&#1058;%202018-2020%20&#1075;&#1086;&#1076;&#1099;%20&#1085;&#1072;%2001.08.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7;&#1056;&#1055;%20&#1080;%20&#1054;&#1054;&#1054;%20&#1056;&#1077;&#1084;&#1089;&#1090;&#1088;&#1086;&#1081;&#1089;&#1077;&#1088;&#1074;&#1080;&#1089;\&#1048;&#1055;%20&#1057;&#1080;&#1076;&#1086;&#1088;&#1086;&#1074;%20&#1040;.&#1041;.%20%20&#1041;&#1047;%202017-20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0;&#1086;&#1078;&#1072;%20%20-%20&#1055;&#1086;&#1088;&#1086;&#1075;%20&#1041;&#1047;%202017-20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8;&#1055;%20&#1062;&#1091;&#1088;&#1082;&#1086;%20&#1045;.&#1070;\&#1048;&#1055;%20&#1062;&#1091;&#1088;&#1082;&#1086;%20&#1045;.&#1070;.%202%20&#1083;&#1080;&#1085;&#1080;&#1080;%202017-2019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Доход"/>
      <sheetName val="ГСМ"/>
      <sheetName val="Труд"/>
      <sheetName val="Матер"/>
      <sheetName val="Кап. рем"/>
      <sheetName val="Экспл"/>
      <sheetName val="Лист1"/>
    </sheetNames>
    <sheetDataSet>
      <sheetData sheetId="0">
        <row r="12">
          <cell r="AK12">
            <v>1725.2414999999999</v>
          </cell>
        </row>
        <row r="31">
          <cell r="AK31">
            <v>9677.3529327128963</v>
          </cell>
        </row>
        <row r="75">
          <cell r="AS75">
            <v>105.5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Расчет зар. платы"/>
      <sheetName val="прочие расходы"/>
      <sheetName val="Общехозяйственные "/>
      <sheetName val="Распр. общ."/>
      <sheetName val="Лист2"/>
      <sheetName val="Лист3"/>
    </sheetNames>
    <sheetDataSet>
      <sheetData sheetId="0">
        <row r="31">
          <cell r="CW31">
            <v>2221025.6370041845</v>
          </cell>
        </row>
        <row r="43">
          <cell r="CW43">
            <v>158548.5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8">
          <cell r="M18">
            <v>1020</v>
          </cell>
        </row>
        <row r="39">
          <cell r="M39">
            <v>3044.0185510444007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налета на 2014г. (3)"/>
      <sheetName val="расчет налета на 2014г."/>
      <sheetName val="расчет налета на 2014г. (2)"/>
      <sheetName val="налет часов"/>
      <sheetName val="к расчету нормативов"/>
      <sheetName val="Нормативы"/>
      <sheetName val="Сыв-Ктс-Сыв"/>
      <sheetName val="Ктс-Арх-Ктс 10%"/>
      <sheetName val="Ктс-Арх-Ктс  оригинал"/>
      <sheetName val="Расчет субсидии"/>
      <sheetName val="пас.тариф"/>
      <sheetName val="гр.тариф"/>
      <sheetName val="уч.Сыв-Ухта"/>
      <sheetName val="СЫВ-ИНТ-СЫВ "/>
      <sheetName val="522_"/>
      <sheetName val="522__"/>
      <sheetName val="521_"/>
      <sheetName val="524_"/>
      <sheetName val="543_"/>
      <sheetName val="уч. СЫВ-УХТ "/>
      <sheetName val="уч.Ухта-Воркута"/>
      <sheetName val="уч.Сыв-Вкт-Сыв"/>
      <sheetName val="Сыв-Усн-Сыв "/>
      <sheetName val="Сыв-Пчр-Сыв"/>
      <sheetName val="Сыв-Инта-Сыв"/>
      <sheetName val="Вуктыл-Ухта-Вуктыл  "/>
      <sheetName val="Сыв-Вуктыл-Сыв"/>
      <sheetName val="уч.Ухта-Усинск"/>
      <sheetName val="стоимость ГСМ"/>
      <sheetName val="сравнительные таблиц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>
            <v>39525.347176898591</v>
          </cell>
        </row>
        <row r="14">
          <cell r="H14">
            <v>18740.909090909088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17">
          <cell r="DW17">
            <v>900.95</v>
          </cell>
        </row>
        <row r="46">
          <cell r="DW46">
            <v>4161.8025014495461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СМ"/>
      <sheetName val="Лист1"/>
      <sheetName val="Лист2"/>
      <sheetName val="Лист3"/>
      <sheetName val="общех."/>
      <sheetName val="пассажиропоток"/>
    </sheetNames>
    <sheetDataSet>
      <sheetData sheetId="0"/>
      <sheetData sheetId="1">
        <row r="59">
          <cell r="FD59">
            <v>3759516.8579686605</v>
          </cell>
        </row>
        <row r="71">
          <cell r="FD71">
            <v>867507.51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8">
          <cell r="DF18">
            <v>105.5</v>
          </cell>
        </row>
        <row r="21">
          <cell r="CW21">
            <v>1837535.9478834653</v>
          </cell>
        </row>
        <row r="24">
          <cell r="CW24">
            <v>294925.95084846462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тр"/>
      <sheetName val="ФР 2007г."/>
      <sheetName val="Тариф 2008"/>
      <sheetName val="ФР2007"/>
      <sheetName val="Управленч"/>
      <sheetName val="Лист1"/>
      <sheetName val="Вспом.произв"/>
      <sheetName val="СВФ"/>
      <sheetName val="Вспом.cуд"/>
      <sheetName val="Распред"/>
      <sheetName val="Причалы"/>
      <sheetName val="Д ОС"/>
      <sheetName val="Доход"/>
      <sheetName val="ФР 2011"/>
      <sheetName val="РАСПР бз 2013-2015"/>
      <sheetName val="РАСПР 2014-2016"/>
      <sheetName val="РАСПР 2015-2017"/>
      <sheetName val="РАСПР 2016-2018"/>
      <sheetName val="ЗП"/>
      <sheetName val="доходы"/>
      <sheetName val="Тарифы"/>
      <sheetName val="Свод"/>
      <sheetName val="Зар.пл"/>
      <sheetName val="Топливо"/>
      <sheetName val="КР"/>
      <sheetName val="Капр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">
          <cell r="BG9">
            <v>32462.455499999996</v>
          </cell>
        </row>
        <row r="38">
          <cell r="BG38">
            <v>99784.710618600016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ная"/>
      <sheetName val="Прогноз тарифов"/>
      <sheetName val="Бюджет Речпорт"/>
      <sheetName val="Бюджет"/>
      <sheetName val="речпорт факт 2016"/>
      <sheetName val="речпорт прогноз 2018"/>
      <sheetName val="речпорт база для расчета 2018"/>
    </sheetNames>
    <sheetDataSet>
      <sheetData sheetId="0" refreshError="1"/>
      <sheetData sheetId="1" refreshError="1"/>
      <sheetData sheetId="2" refreshError="1">
        <row r="29">
          <cell r="V29">
            <v>95309.482000000004</v>
          </cell>
          <cell r="W29">
            <v>29289.112000000001</v>
          </cell>
          <cell r="AA29">
            <v>102462.27557212667</v>
          </cell>
          <cell r="AB29">
            <v>33746.326391102404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Арханг-ВТ"/>
      <sheetName val="Сойга"/>
      <sheetName val="Н-В Тойма"/>
      <sheetName val="Зарплата основных"/>
      <sheetName val="Прочие расходы"/>
      <sheetName val="Распределяемые"/>
      <sheetName val="БЗ 08-11"/>
      <sheetName val="Топл"/>
      <sheetName val="Кап. рем"/>
      <sheetName val="Лист3"/>
    </sheetNames>
    <sheetDataSet>
      <sheetData sheetId="0"/>
      <sheetData sheetId="1"/>
      <sheetData sheetId="2"/>
      <sheetData sheetId="3">
        <row r="14">
          <cell r="AM14">
            <v>105.5</v>
          </cell>
        </row>
        <row r="33">
          <cell r="AB33">
            <v>5241</v>
          </cell>
        </row>
        <row r="34">
          <cell r="AB34">
            <v>889.36500000000001</v>
          </cell>
        </row>
        <row r="38">
          <cell r="AB38">
            <v>262.05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тариф"/>
      <sheetName val="тарифы"/>
    </sheetNames>
    <sheetDataSet>
      <sheetData sheetId="0">
        <row r="41">
          <cell r="AU41">
            <v>3293.3921976499996</v>
          </cell>
        </row>
        <row r="44">
          <cell r="AU44">
            <v>731.34710000000007</v>
          </cell>
        </row>
        <row r="49">
          <cell r="AU49">
            <v>164.6696098825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егашевская"/>
      <sheetName val="Лямца"/>
      <sheetName val="топливо"/>
      <sheetName val="Прочие расходы"/>
      <sheetName val="ФОТ (Легашевская и Лямца)"/>
      <sheetName val="тариф"/>
      <sheetName val="Доходы"/>
    </sheetNames>
    <sheetDataSet>
      <sheetData sheetId="0" refreshError="1">
        <row r="15">
          <cell r="AE15">
            <v>3565.1853625000003</v>
          </cell>
        </row>
        <row r="28">
          <cell r="AE28">
            <v>5804.5715572328018</v>
          </cell>
        </row>
      </sheetData>
      <sheetData sheetId="1" refreshError="1">
        <row r="11">
          <cell r="AD11">
            <v>157.5</v>
          </cell>
        </row>
        <row r="25">
          <cell r="AD25">
            <v>792.19978678820542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31"/>
  <sheetViews>
    <sheetView tabSelected="1" zoomScale="70" workbookViewId="0">
      <pane xSplit="25" ySplit="5" topLeftCell="AQ6" activePane="bottomRight" state="frozen"/>
      <selection activeCell="A26" sqref="A26"/>
      <selection pane="topRight"/>
      <selection pane="bottomLeft"/>
      <selection pane="bottomRight" activeCell="A2" sqref="A2"/>
    </sheetView>
  </sheetViews>
  <sheetFormatPr defaultColWidth="55" defaultRowHeight="15.75" outlineLevelCol="1"/>
  <cols>
    <col min="1" max="1" width="47.85546875" style="199" customWidth="1"/>
    <col min="2" max="2" width="2.5703125" style="199" hidden="1" customWidth="1" outlineLevel="1"/>
    <col min="3" max="3" width="3.28515625" style="199" hidden="1" customWidth="1" outlineLevel="1"/>
    <col min="4" max="4" width="16.5703125" style="199" hidden="1" customWidth="1" outlineLevel="1"/>
    <col min="5" max="5" width="18.28515625" style="199" hidden="1" customWidth="1" outlineLevel="1"/>
    <col min="6" max="6" width="14.7109375" style="199" hidden="1" customWidth="1" outlineLevel="1"/>
    <col min="7" max="7" width="17.28515625" style="199" hidden="1" customWidth="1" outlineLevel="1"/>
    <col min="8" max="8" width="10" style="199" hidden="1" customWidth="1" outlineLevel="1"/>
    <col min="9" max="9" width="17.140625" style="199" hidden="1" customWidth="1" outlineLevel="1"/>
    <col min="10" max="10" width="10" style="199" hidden="1" customWidth="1" outlineLevel="1"/>
    <col min="11" max="11" width="17.140625" style="199" hidden="1" customWidth="1" outlineLevel="1"/>
    <col min="12" max="12" width="10.28515625" style="199" hidden="1" customWidth="1" outlineLevel="1"/>
    <col min="13" max="13" width="17.140625" style="199" hidden="1" customWidth="1" outlineLevel="1"/>
    <col min="14" max="14" width="10.28515625" style="199" hidden="1" customWidth="1" outlineLevel="1"/>
    <col min="15" max="15" width="17.140625" style="199" hidden="1" customWidth="1" outlineLevel="1" collapsed="1"/>
    <col min="16" max="16" width="23.5703125" style="199" hidden="1" customWidth="1" outlineLevel="1"/>
    <col min="17" max="17" width="13.140625" style="199" hidden="1" customWidth="1" outlineLevel="1"/>
    <col min="18" max="18" width="12.28515625" style="199" hidden="1" customWidth="1" outlineLevel="1"/>
    <col min="19" max="19" width="12.140625" style="199" hidden="1" customWidth="1" outlineLevel="1"/>
    <col min="20" max="20" width="11.28515625" style="199" hidden="1" customWidth="1" outlineLevel="1"/>
    <col min="21" max="21" width="9.42578125" style="199" hidden="1" customWidth="1" outlineLevel="1"/>
    <col min="22" max="22" width="13.42578125" style="199" hidden="1" customWidth="1" outlineLevel="1"/>
    <col min="23" max="23" width="12.5703125" style="199" hidden="1" customWidth="1" outlineLevel="1"/>
    <col min="24" max="24" width="13.28515625" style="199" hidden="1" customWidth="1" outlineLevel="1"/>
    <col min="25" max="25" width="9.42578125" style="199" hidden="1" customWidth="1" outlineLevel="1" collapsed="1"/>
    <col min="26" max="26" width="17.85546875" style="199" hidden="1" customWidth="1" collapsed="1"/>
    <col min="27" max="27" width="17" style="199" hidden="1" customWidth="1"/>
    <col min="28" max="28" width="14.85546875" style="200" hidden="1" customWidth="1"/>
    <col min="29" max="29" width="14.7109375" style="200" hidden="1" customWidth="1"/>
    <col min="30" max="30" width="12.140625" style="200" hidden="1" customWidth="1"/>
    <col min="31" max="31" width="14.7109375" style="200" hidden="1" customWidth="1"/>
    <col min="32" max="32" width="11.7109375" style="201" hidden="1" customWidth="1"/>
    <col min="33" max="33" width="18.7109375" style="201" hidden="1" customWidth="1"/>
    <col min="34" max="34" width="17" style="201" hidden="1" customWidth="1"/>
    <col min="35" max="35" width="16" style="200" hidden="1" customWidth="1"/>
    <col min="36" max="36" width="14.7109375" style="200" hidden="1" customWidth="1"/>
    <col min="37" max="37" width="16.42578125" style="200" hidden="1" customWidth="1"/>
    <col min="38" max="38" width="12.5703125" style="200" hidden="1" customWidth="1"/>
    <col min="39" max="39" width="17" style="200" hidden="1" customWidth="1"/>
    <col min="40" max="40" width="15.85546875" style="200" hidden="1" customWidth="1"/>
    <col min="41" max="42" width="13.140625" style="200" hidden="1" customWidth="1"/>
    <col min="43" max="43" width="15.85546875" style="200" hidden="1" customWidth="1"/>
    <col min="44" max="44" width="12.85546875" style="200" hidden="1" customWidth="1"/>
    <col min="45" max="45" width="17.140625" style="201" bestFit="1" customWidth="1"/>
    <col min="46" max="46" width="14.140625" style="200" bestFit="1" customWidth="1"/>
    <col min="47" max="47" width="12.28515625" style="200" hidden="1" bestFit="1" customWidth="1"/>
    <col min="48" max="48" width="14.42578125" style="200" bestFit="1" customWidth="1"/>
    <col min="49" max="49" width="15.5703125" style="200" hidden="1" bestFit="1" customWidth="1"/>
    <col min="50" max="50" width="14.5703125" style="199" bestFit="1" customWidth="1"/>
    <col min="51" max="51" width="14.28515625" style="199" bestFit="1" customWidth="1"/>
    <col min="52" max="52" width="11.28515625" style="199" bestFit="1" customWidth="1"/>
    <col min="53" max="53" width="15.7109375" style="199" bestFit="1" customWidth="1"/>
    <col min="54" max="54" width="12" style="199" bestFit="1" customWidth="1"/>
    <col min="55" max="55" width="15" style="199" bestFit="1" customWidth="1"/>
    <col min="56" max="56" width="13.140625" style="199" bestFit="1" customWidth="1"/>
    <col min="57" max="58" width="15.5703125" style="199" bestFit="1" customWidth="1"/>
    <col min="59" max="59" width="12.140625" style="199" bestFit="1" customWidth="1"/>
    <col min="60" max="60" width="16.5703125" style="199" bestFit="1" customWidth="1"/>
    <col min="61" max="61" width="17.42578125" style="199" bestFit="1" customWidth="1"/>
    <col min="62" max="62" width="16" style="199" bestFit="1" customWidth="1"/>
    <col min="63" max="63" width="15.28515625" style="199" bestFit="1" customWidth="1"/>
    <col min="64" max="64" width="17.28515625" style="199" bestFit="1" customWidth="1"/>
    <col min="65" max="65" width="55" style="199" bestFit="1"/>
    <col min="66" max="16384" width="55" style="199"/>
  </cols>
  <sheetData>
    <row r="1" spans="1:64" ht="60" customHeight="1">
      <c r="BI1" s="202" t="s">
        <v>209</v>
      </c>
    </row>
    <row r="2" spans="1:64" ht="60" customHeight="1">
      <c r="BI2" s="202"/>
    </row>
    <row r="3" spans="1:64" ht="39.75" customHeight="1">
      <c r="A3" s="203" t="s">
        <v>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</row>
    <row r="4" spans="1:64" ht="30.75" customHeight="1">
      <c r="B4" s="204"/>
      <c r="C4" s="204"/>
      <c r="D4" s="204"/>
      <c r="E4" s="204"/>
      <c r="F4" s="204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S4" s="205"/>
      <c r="AW4" s="199"/>
      <c r="BL4" s="206" t="s">
        <v>207</v>
      </c>
    </row>
    <row r="5" spans="1:64" ht="39.75" customHeight="1">
      <c r="A5" s="207"/>
      <c r="B5" s="208" t="s">
        <v>1</v>
      </c>
      <c r="C5" s="209" t="s">
        <v>2</v>
      </c>
      <c r="D5" s="210" t="s">
        <v>3</v>
      </c>
      <c r="E5" s="211"/>
      <c r="F5" s="210" t="s">
        <v>4</v>
      </c>
      <c r="G5" s="212"/>
      <c r="H5" s="212"/>
      <c r="I5" s="210" t="s">
        <v>5</v>
      </c>
      <c r="J5" s="211"/>
      <c r="K5" s="212" t="s">
        <v>6</v>
      </c>
      <c r="L5" s="211"/>
      <c r="M5" s="210" t="s">
        <v>7</v>
      </c>
      <c r="N5" s="212"/>
      <c r="O5" s="213" t="s">
        <v>8</v>
      </c>
      <c r="P5" s="214"/>
      <c r="Q5" s="215" t="s">
        <v>9</v>
      </c>
      <c r="R5" s="216"/>
      <c r="S5" s="216"/>
      <c r="T5" s="216"/>
      <c r="U5" s="216"/>
      <c r="V5" s="216" t="s">
        <v>10</v>
      </c>
      <c r="W5" s="216"/>
      <c r="X5" s="216"/>
      <c r="Y5" s="217"/>
      <c r="Z5" s="218" t="s">
        <v>11</v>
      </c>
      <c r="AA5" s="219" t="s">
        <v>12</v>
      </c>
      <c r="AB5" s="215" t="s">
        <v>13</v>
      </c>
      <c r="AC5" s="216"/>
      <c r="AD5" s="216"/>
      <c r="AE5" s="216"/>
      <c r="AF5" s="217"/>
      <c r="AG5" s="218" t="s">
        <v>14</v>
      </c>
      <c r="AH5" s="213" t="s">
        <v>15</v>
      </c>
      <c r="AI5" s="216"/>
      <c r="AJ5" s="216"/>
      <c r="AK5" s="216"/>
      <c r="AL5" s="214"/>
      <c r="AM5" s="220" t="s">
        <v>16</v>
      </c>
      <c r="AN5" s="210" t="s">
        <v>17</v>
      </c>
      <c r="AO5" s="212"/>
      <c r="AP5" s="212"/>
      <c r="AQ5" s="212"/>
      <c r="AR5" s="211"/>
      <c r="AS5" s="213" t="s">
        <v>18</v>
      </c>
      <c r="AT5" s="216"/>
      <c r="AU5" s="216"/>
      <c r="AV5" s="216"/>
      <c r="AW5" s="217"/>
      <c r="AX5" s="213" t="s">
        <v>19</v>
      </c>
      <c r="AY5" s="216"/>
      <c r="AZ5" s="216"/>
      <c r="BA5" s="216"/>
      <c r="BB5" s="217"/>
      <c r="BC5" s="213" t="s">
        <v>20</v>
      </c>
      <c r="BD5" s="216"/>
      <c r="BE5" s="216"/>
      <c r="BF5" s="216"/>
      <c r="BG5" s="214"/>
      <c r="BH5" s="213" t="s">
        <v>21</v>
      </c>
      <c r="BI5" s="216"/>
      <c r="BJ5" s="216"/>
      <c r="BK5" s="216"/>
      <c r="BL5" s="214"/>
    </row>
    <row r="6" spans="1:64" ht="41.25" customHeight="1">
      <c r="A6" s="221"/>
      <c r="B6" s="222" t="s">
        <v>22</v>
      </c>
      <c r="C6" s="223" t="s">
        <v>23</v>
      </c>
      <c r="D6" s="223" t="s">
        <v>24</v>
      </c>
      <c r="E6" s="223" t="s">
        <v>25</v>
      </c>
      <c r="F6" s="223" t="s">
        <v>24</v>
      </c>
      <c r="G6" s="224" t="s">
        <v>26</v>
      </c>
      <c r="H6" s="225" t="s">
        <v>27</v>
      </c>
      <c r="I6" s="224" t="s">
        <v>28</v>
      </c>
      <c r="J6" s="226" t="s">
        <v>29</v>
      </c>
      <c r="K6" s="227" t="s">
        <v>30</v>
      </c>
      <c r="L6" s="226" t="s">
        <v>29</v>
      </c>
      <c r="M6" s="224" t="s">
        <v>31</v>
      </c>
      <c r="N6" s="225" t="s">
        <v>32</v>
      </c>
      <c r="O6" s="228" t="s">
        <v>33</v>
      </c>
      <c r="P6" s="229" t="s">
        <v>34</v>
      </c>
      <c r="Q6" s="230" t="s">
        <v>35</v>
      </c>
      <c r="R6" s="231" t="s">
        <v>36</v>
      </c>
      <c r="S6" s="231" t="s">
        <v>37</v>
      </c>
      <c r="T6" s="231" t="s">
        <v>38</v>
      </c>
      <c r="U6" s="231" t="s">
        <v>39</v>
      </c>
      <c r="V6" s="231" t="s">
        <v>35</v>
      </c>
      <c r="W6" s="231" t="s">
        <v>36</v>
      </c>
      <c r="X6" s="231" t="s">
        <v>38</v>
      </c>
      <c r="Y6" s="232"/>
      <c r="Z6" s="233" t="s">
        <v>40</v>
      </c>
      <c r="AA6" s="234"/>
      <c r="AB6" s="230" t="s">
        <v>35</v>
      </c>
      <c r="AC6" s="231" t="s">
        <v>36</v>
      </c>
      <c r="AD6" s="231" t="s">
        <v>41</v>
      </c>
      <c r="AE6" s="231" t="s">
        <v>38</v>
      </c>
      <c r="AF6" s="232" t="s">
        <v>42</v>
      </c>
      <c r="AG6" s="233" t="s">
        <v>43</v>
      </c>
      <c r="AH6" s="228" t="s">
        <v>35</v>
      </c>
      <c r="AI6" s="231" t="s">
        <v>36</v>
      </c>
      <c r="AJ6" s="231" t="s">
        <v>37</v>
      </c>
      <c r="AK6" s="231" t="s">
        <v>38</v>
      </c>
      <c r="AL6" s="229" t="s">
        <v>44</v>
      </c>
      <c r="AM6" s="235" t="s">
        <v>45</v>
      </c>
      <c r="AN6" s="236" t="s">
        <v>35</v>
      </c>
      <c r="AO6" s="237" t="s">
        <v>36</v>
      </c>
      <c r="AP6" s="237" t="s">
        <v>37</v>
      </c>
      <c r="AQ6" s="237" t="s">
        <v>46</v>
      </c>
      <c r="AR6" s="238" t="s">
        <v>47</v>
      </c>
      <c r="AS6" s="228" t="s">
        <v>35</v>
      </c>
      <c r="AT6" s="231" t="s">
        <v>36</v>
      </c>
      <c r="AU6" s="231" t="s">
        <v>48</v>
      </c>
      <c r="AV6" s="237" t="s">
        <v>46</v>
      </c>
      <c r="AW6" s="232" t="s">
        <v>49</v>
      </c>
      <c r="AX6" s="228" t="s">
        <v>35</v>
      </c>
      <c r="AY6" s="231" t="s">
        <v>36</v>
      </c>
      <c r="AZ6" s="231" t="s">
        <v>37</v>
      </c>
      <c r="BA6" s="231" t="s">
        <v>46</v>
      </c>
      <c r="BB6" s="232" t="s">
        <v>204</v>
      </c>
      <c r="BC6" s="228" t="s">
        <v>35</v>
      </c>
      <c r="BD6" s="231" t="s">
        <v>36</v>
      </c>
      <c r="BE6" s="231" t="s">
        <v>37</v>
      </c>
      <c r="BF6" s="231" t="s">
        <v>46</v>
      </c>
      <c r="BG6" s="229" t="s">
        <v>205</v>
      </c>
      <c r="BH6" s="228" t="s">
        <v>35</v>
      </c>
      <c r="BI6" s="231" t="s">
        <v>36</v>
      </c>
      <c r="BJ6" s="231" t="s">
        <v>37</v>
      </c>
      <c r="BK6" s="231" t="s">
        <v>46</v>
      </c>
      <c r="BL6" s="229" t="s">
        <v>206</v>
      </c>
    </row>
    <row r="7" spans="1:64" ht="40.5" customHeight="1">
      <c r="A7" s="220" t="s">
        <v>50</v>
      </c>
      <c r="B7" s="239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1"/>
      <c r="AH7" s="242">
        <f>SUM(AH8:AH12)</f>
        <v>86418.324373197538</v>
      </c>
      <c r="AI7" s="243">
        <f>SUM(AI8:AI12)</f>
        <v>20869.082697176244</v>
      </c>
      <c r="AJ7" s="240"/>
      <c r="AK7" s="243">
        <f>SUM(AK8:AK12)</f>
        <v>65549.24167602128</v>
      </c>
      <c r="AL7" s="244"/>
      <c r="AM7" s="245">
        <f>SUM(AM8:AM12)</f>
        <v>65549.24167602128</v>
      </c>
      <c r="AN7" s="242">
        <f>SUM(AN8:AN12)</f>
        <v>107862.51699999999</v>
      </c>
      <c r="AO7" s="243">
        <f>SUM(AO8:AO12)</f>
        <v>20981.96</v>
      </c>
      <c r="AP7" s="246">
        <f t="shared" ref="AP7:AP14" si="0">AO7/AI7</f>
        <v>1.0054088291498806</v>
      </c>
      <c r="AQ7" s="243">
        <f>SUM(AQ8:AQ12)</f>
        <v>86880.557000000001</v>
      </c>
      <c r="AR7" s="247">
        <f t="shared" ref="AR7:AR12" si="1">AQ7/AK7</f>
        <v>1.3254242883450775</v>
      </c>
      <c r="AS7" s="248">
        <f>SUM(AS8:AS12)</f>
        <v>118433943.3</v>
      </c>
      <c r="AT7" s="249">
        <f>SUM(AT8:AT12)</f>
        <v>22465510.059999999</v>
      </c>
      <c r="AU7" s="250">
        <f t="shared" ref="AU7:AU11" si="2">AT7/AO7</f>
        <v>1070.7059807568025</v>
      </c>
      <c r="AV7" s="249">
        <f>SUM(AV8:AV12)</f>
        <v>95968433.24000001</v>
      </c>
      <c r="AW7" s="247">
        <f t="shared" ref="AW7:AW12" si="3">AV7/AQ7</f>
        <v>1104.6019564538474</v>
      </c>
      <c r="AX7" s="248">
        <f>SUM(AX8:AX12)</f>
        <v>140276494.7869688</v>
      </c>
      <c r="AY7" s="249">
        <f>SUM(AY8:AY12)</f>
        <v>23017224.612000003</v>
      </c>
      <c r="AZ7" s="250">
        <f t="shared" ref="AZ7:AZ11" si="4">AY7/AT7</f>
        <v>1.0245582918227321</v>
      </c>
      <c r="BA7" s="249">
        <f>SUM(BA8:BA12)</f>
        <v>117259270.17496879</v>
      </c>
      <c r="BB7" s="251">
        <f t="shared" ref="BB7:BB8" si="5">BA7/AV7</f>
        <v>1.2218525010377546</v>
      </c>
      <c r="BC7" s="248">
        <f>SUM(BC8:BC12)</f>
        <v>145887563.57844755</v>
      </c>
      <c r="BD7" s="249">
        <f>SUM(BD8:BD12)</f>
        <v>23937913.596480001</v>
      </c>
      <c r="BE7" s="250">
        <f t="shared" ref="BE7:BE11" si="6">BD7/AY7</f>
        <v>1.0399999999999998</v>
      </c>
      <c r="BF7" s="249">
        <f>SUM(BF8:BF12)</f>
        <v>121949649.98196754</v>
      </c>
      <c r="BG7" s="252">
        <f t="shared" ref="BG7:BG8" si="7">BF7/BA7</f>
        <v>1.0400000767529933</v>
      </c>
      <c r="BH7" s="248">
        <f>SUM(BH8:BH12)</f>
        <v>151723050.24158546</v>
      </c>
      <c r="BI7" s="249">
        <f>SUM(BI8:BI12)</f>
        <v>24895430.140339203</v>
      </c>
      <c r="BJ7" s="250">
        <f t="shared" ref="BJ7:BJ11" si="8">BI7/BD7</f>
        <v>1.04</v>
      </c>
      <c r="BK7" s="249">
        <f>SUM(BK8:BK12)</f>
        <v>126827620.10124627</v>
      </c>
      <c r="BL7" s="247">
        <f t="shared" ref="BL7:BL8" si="9">BK7/BF7</f>
        <v>1.0399998697823243</v>
      </c>
    </row>
    <row r="8" spans="1:64" s="201" customFormat="1" ht="40.5" customHeight="1">
      <c r="A8" s="253" t="s">
        <v>51</v>
      </c>
      <c r="B8" s="254">
        <v>3459.6</v>
      </c>
      <c r="C8" s="255">
        <v>3502.6</v>
      </c>
      <c r="D8" s="255">
        <v>5047.8</v>
      </c>
      <c r="E8" s="255">
        <v>5344.1</v>
      </c>
      <c r="F8" s="255"/>
      <c r="G8" s="256">
        <v>4509.1000000000004</v>
      </c>
      <c r="H8" s="257">
        <f t="shared" ref="H8:H11" si="10">G8/E8*100</f>
        <v>84.375292378510878</v>
      </c>
      <c r="I8" s="258">
        <v>4746.6000000000004</v>
      </c>
      <c r="J8" s="257">
        <f t="shared" ref="J8:J11" si="11">I8/G8*100</f>
        <v>105.26712647756757</v>
      </c>
      <c r="K8" s="258">
        <v>6523.8</v>
      </c>
      <c r="L8" s="259">
        <f t="shared" ref="L8:L11" si="12">K8/I8*100</f>
        <v>137.44153710024017</v>
      </c>
      <c r="M8" s="255">
        <v>6686.4</v>
      </c>
      <c r="N8" s="259">
        <f t="shared" ref="N8:N11" si="13">M8/K8*100</f>
        <v>102.49241239768232</v>
      </c>
      <c r="O8" s="260">
        <v>7174.1</v>
      </c>
      <c r="P8" s="261">
        <f t="shared" ref="P8:P11" si="14">O8/M8</f>
        <v>1.0729391002632209</v>
      </c>
      <c r="Q8" s="262">
        <f>[1]Свод!$AK$31</f>
        <v>9677.3529327128963</v>
      </c>
      <c r="R8" s="262">
        <f>[1]Свод!$AK$12</f>
        <v>1725.2414999999999</v>
      </c>
      <c r="S8" s="263">
        <f>[1]Свод!$AS$75</f>
        <v>105.5</v>
      </c>
      <c r="T8" s="262">
        <f t="shared" ref="T8:T11" si="15">Q8-R8</f>
        <v>7952.1114327128962</v>
      </c>
      <c r="U8" s="263">
        <f t="shared" ref="U8:U11" si="16">T8/O8*100</f>
        <v>110.84472522982529</v>
      </c>
      <c r="V8" s="264">
        <f>1583.4771+8024.1</f>
        <v>9607.5771000000004</v>
      </c>
      <c r="W8" s="264">
        <v>1583.4771000000001</v>
      </c>
      <c r="X8" s="264">
        <f t="shared" ref="X8:X11" si="17">V8-W8</f>
        <v>8024.1</v>
      </c>
      <c r="Y8" s="264"/>
      <c r="Z8" s="264">
        <v>7952.1</v>
      </c>
      <c r="AA8" s="264">
        <v>7952.1</v>
      </c>
      <c r="AB8" s="262">
        <f t="shared" ref="AB8:AB11" si="18">V8*1.045*1.036</f>
        <v>10401.355120001999</v>
      </c>
      <c r="AC8" s="262">
        <f>W8*1.1*1.04</f>
        <v>1811.4978024000004</v>
      </c>
      <c r="AD8" s="263">
        <f t="shared" ref="AD8:AD11" si="19">AC8/R8*100</f>
        <v>104.9996654033653</v>
      </c>
      <c r="AE8" s="262">
        <f t="shared" ref="AE8:AE11" si="20">AB8-AC8</f>
        <v>8589.8573176019981</v>
      </c>
      <c r="AF8" s="265">
        <f t="shared" ref="AF8:AF11" si="21">AE8/Z8</f>
        <v>1.0801998613702037</v>
      </c>
      <c r="AG8" s="266">
        <v>8589.857</v>
      </c>
      <c r="AH8" s="267">
        <f>AB8*1.04</f>
        <v>10817.40932480208</v>
      </c>
      <c r="AI8" s="262">
        <v>1296.72</v>
      </c>
      <c r="AJ8" s="268">
        <f t="shared" ref="AJ8:AJ11" si="22">AI8/AC8</f>
        <v>0.71582753138425759</v>
      </c>
      <c r="AK8" s="262">
        <f t="shared" ref="AK8:AK11" si="23">AH8-AI8</f>
        <v>9520.6893248020806</v>
      </c>
      <c r="AL8" s="269">
        <f t="shared" ref="AL8:AL11" si="24">AK8/AG8</f>
        <v>1.1083641235007848</v>
      </c>
      <c r="AM8" s="270">
        <f t="shared" ref="AM8:AM11" si="25">AK8</f>
        <v>9520.6893248020806</v>
      </c>
      <c r="AN8" s="271">
        <v>14962.4</v>
      </c>
      <c r="AO8" s="272">
        <v>1366.48</v>
      </c>
      <c r="AP8" s="268">
        <f t="shared" si="0"/>
        <v>1.0537972731198717</v>
      </c>
      <c r="AQ8" s="272">
        <f t="shared" ref="AQ8:AQ11" si="26">AN8-AO8</f>
        <v>13595.92</v>
      </c>
      <c r="AR8" s="269">
        <f t="shared" si="1"/>
        <v>1.4280394555656437</v>
      </c>
      <c r="AS8" s="273">
        <f>AN8*1.04*1000</f>
        <v>15560896</v>
      </c>
      <c r="AT8" s="274">
        <f>AO8*1.037*1000</f>
        <v>1417039.7599999998</v>
      </c>
      <c r="AU8" s="275">
        <f t="shared" si="2"/>
        <v>1036.9999999999998</v>
      </c>
      <c r="AV8" s="274">
        <f t="shared" ref="AV8:AV11" si="27">AS8-AT8</f>
        <v>14143856.24</v>
      </c>
      <c r="AW8" s="269">
        <f t="shared" si="3"/>
        <v>1040.3015198677251</v>
      </c>
      <c r="AX8" s="273">
        <v>16484700</v>
      </c>
      <c r="AY8" s="274">
        <f>1300000*1.03</f>
        <v>1339000</v>
      </c>
      <c r="AZ8" s="275">
        <f t="shared" si="4"/>
        <v>0.94492761445169349</v>
      </c>
      <c r="BA8" s="274">
        <f t="shared" ref="BA8:BA11" si="28">AX8-AY8</f>
        <v>15145700</v>
      </c>
      <c r="BB8" s="276">
        <f t="shared" si="5"/>
        <v>1.0708324337436845</v>
      </c>
      <c r="BC8" s="273">
        <v>17144097</v>
      </c>
      <c r="BD8" s="274">
        <f>AY8*1.04</f>
        <v>1392560</v>
      </c>
      <c r="BE8" s="275">
        <f t="shared" si="6"/>
        <v>1.04</v>
      </c>
      <c r="BF8" s="274">
        <f t="shared" ref="BF8:BF11" si="29">BC8-BD8</f>
        <v>15751537</v>
      </c>
      <c r="BG8" s="277">
        <f t="shared" si="7"/>
        <v>1.0400005942280648</v>
      </c>
      <c r="BH8" s="273">
        <v>17829845</v>
      </c>
      <c r="BI8" s="274">
        <f t="shared" ref="BI8:BI12" si="30">BD8*1.04</f>
        <v>1448262.4000000001</v>
      </c>
      <c r="BJ8" s="275">
        <f t="shared" si="8"/>
        <v>1.04</v>
      </c>
      <c r="BK8" s="274">
        <f t="shared" ref="BK8:BK11" si="31">BH8-BI8</f>
        <v>16381582.6</v>
      </c>
      <c r="BL8" s="269">
        <f t="shared" si="9"/>
        <v>1.0399989918444148</v>
      </c>
    </row>
    <row r="9" spans="1:64" ht="37.5" customHeight="1">
      <c r="A9" s="253" t="s">
        <v>52</v>
      </c>
      <c r="B9" s="254">
        <v>1588</v>
      </c>
      <c r="C9" s="255">
        <v>1614.2</v>
      </c>
      <c r="D9" s="255">
        <v>3013.1</v>
      </c>
      <c r="E9" s="255">
        <v>2508.6</v>
      </c>
      <c r="F9" s="255"/>
      <c r="G9" s="258">
        <v>3183.9</v>
      </c>
      <c r="H9" s="257">
        <f t="shared" si="10"/>
        <v>126.91939727337957</v>
      </c>
      <c r="I9" s="258">
        <v>3189.3</v>
      </c>
      <c r="J9" s="257">
        <f t="shared" si="11"/>
        <v>100.1696033166871</v>
      </c>
      <c r="K9" s="258">
        <v>3141.5</v>
      </c>
      <c r="L9" s="259">
        <f t="shared" si="12"/>
        <v>98.501238516288836</v>
      </c>
      <c r="M9" s="255">
        <v>2935.9</v>
      </c>
      <c r="N9" s="259">
        <f t="shared" si="13"/>
        <v>93.455355721788962</v>
      </c>
      <c r="O9" s="260">
        <v>3637.3</v>
      </c>
      <c r="P9" s="261">
        <f t="shared" si="14"/>
        <v>1.2389045948431487</v>
      </c>
      <c r="Q9" s="262">
        <f>[2]Лист2!$DW$46</f>
        <v>4161.8025014495461</v>
      </c>
      <c r="R9" s="262">
        <f>[2]Лист2!$DW$17</f>
        <v>900.95</v>
      </c>
      <c r="S9" s="263">
        <f>420/400*100</f>
        <v>105</v>
      </c>
      <c r="T9" s="262">
        <f t="shared" si="15"/>
        <v>3260.8525014495463</v>
      </c>
      <c r="U9" s="263">
        <f t="shared" si="16"/>
        <v>89.650358822465734</v>
      </c>
      <c r="V9" s="264">
        <f>3437.3+915.425</f>
        <v>4352.7250000000004</v>
      </c>
      <c r="W9" s="264">
        <v>915.42499999999995</v>
      </c>
      <c r="X9" s="264">
        <f t="shared" si="17"/>
        <v>3437.3</v>
      </c>
      <c r="Y9" s="264"/>
      <c r="Z9" s="264">
        <v>3437.3</v>
      </c>
      <c r="AA9" s="264">
        <v>3305</v>
      </c>
      <c r="AB9" s="262">
        <f t="shared" si="18"/>
        <v>4712.3471395000006</v>
      </c>
      <c r="AC9" s="262">
        <f>W9*1.1*1.034</f>
        <v>1041.2043950000002</v>
      </c>
      <c r="AD9" s="263">
        <f t="shared" si="19"/>
        <v>115.56738942227651</v>
      </c>
      <c r="AE9" s="262">
        <f t="shared" si="20"/>
        <v>3671.1427445000004</v>
      </c>
      <c r="AF9" s="265">
        <f t="shared" si="21"/>
        <v>1.0680309383818696</v>
      </c>
      <c r="AG9" s="266">
        <v>5859.143</v>
      </c>
      <c r="AH9" s="267">
        <f>AB9*1.04+1043.48</f>
        <v>5944.3210250800003</v>
      </c>
      <c r="AI9" s="262">
        <f>750.98</f>
        <v>750.98</v>
      </c>
      <c r="AJ9" s="268">
        <f t="shared" si="22"/>
        <v>0.72126088173110325</v>
      </c>
      <c r="AK9" s="262">
        <f t="shared" si="23"/>
        <v>5193.3410250800007</v>
      </c>
      <c r="AL9" s="269">
        <f t="shared" si="24"/>
        <v>0.88636529695213118</v>
      </c>
      <c r="AM9" s="270">
        <f t="shared" si="25"/>
        <v>5193.3410250800007</v>
      </c>
      <c r="AN9" s="271">
        <v>6386.9170000000004</v>
      </c>
      <c r="AO9" s="272">
        <v>344.01</v>
      </c>
      <c r="AP9" s="268">
        <f t="shared" si="0"/>
        <v>0.45808144025140479</v>
      </c>
      <c r="AQ9" s="272">
        <f t="shared" si="26"/>
        <v>6042.9070000000002</v>
      </c>
      <c r="AR9" s="269">
        <f t="shared" si="1"/>
        <v>1.1635875577623775</v>
      </c>
      <c r="AS9" s="273">
        <f>(6110000+AT9)</f>
        <v>6464330.2999999998</v>
      </c>
      <c r="AT9" s="274">
        <f>AO9*1.03*1000</f>
        <v>354330.30000000005</v>
      </c>
      <c r="AU9" s="275">
        <f t="shared" si="2"/>
        <v>1030.0000000000002</v>
      </c>
      <c r="AV9" s="274">
        <f t="shared" si="27"/>
        <v>6110000</v>
      </c>
      <c r="AW9" s="269">
        <f t="shared" si="3"/>
        <v>1011.102768915689</v>
      </c>
      <c r="AX9" s="273">
        <f>AS9*1.0399993</f>
        <v>6722898.9869687902</v>
      </c>
      <c r="AY9" s="274">
        <f t="shared" ref="AX9:AY10" si="32">AT9*1.04</f>
        <v>368503.51200000005</v>
      </c>
      <c r="AZ9" s="275">
        <f t="shared" si="4"/>
        <v>1.04</v>
      </c>
      <c r="BA9" s="274">
        <f t="shared" si="28"/>
        <v>6354395.4749687901</v>
      </c>
      <c r="BB9" s="276">
        <f>BA9/AV9*100%</f>
        <v>1.0399992594056939</v>
      </c>
      <c r="BC9" s="273">
        <f t="shared" ref="BC9:BC12" si="33">AX9*1.04</f>
        <v>6991814.9464475419</v>
      </c>
      <c r="BD9" s="274">
        <f t="shared" ref="BD9:BD12" si="34">AY9*1.04</f>
        <v>383243.65248000005</v>
      </c>
      <c r="BE9" s="275">
        <f t="shared" si="6"/>
        <v>1.04</v>
      </c>
      <c r="BF9" s="274">
        <f t="shared" si="29"/>
        <v>6608571.2939675422</v>
      </c>
      <c r="BG9" s="277">
        <f>BF9/AV9</f>
        <v>1.0815992297819219</v>
      </c>
      <c r="BH9" s="273">
        <f t="shared" ref="BH9:BH12" si="35">BC9*1.04</f>
        <v>7271487.5443054438</v>
      </c>
      <c r="BI9" s="274">
        <f t="shared" si="30"/>
        <v>398573.39857920009</v>
      </c>
      <c r="BJ9" s="275">
        <f t="shared" si="8"/>
        <v>1.04</v>
      </c>
      <c r="BK9" s="274">
        <f t="shared" si="31"/>
        <v>6872914.145726244</v>
      </c>
      <c r="BL9" s="269">
        <f>BK9/BA9</f>
        <v>1.0816000000000001</v>
      </c>
    </row>
    <row r="10" spans="1:64" ht="47.25" customHeight="1">
      <c r="A10" s="253" t="s">
        <v>53</v>
      </c>
      <c r="B10" s="254">
        <v>1924.7</v>
      </c>
      <c r="C10" s="255">
        <v>1514.7</v>
      </c>
      <c r="D10" s="255">
        <v>2932.1</v>
      </c>
      <c r="E10" s="255">
        <v>1886.8</v>
      </c>
      <c r="F10" s="255"/>
      <c r="G10" s="256">
        <v>1659.7</v>
      </c>
      <c r="H10" s="257">
        <f t="shared" si="10"/>
        <v>87.963748145007429</v>
      </c>
      <c r="I10" s="258">
        <v>2062.4</v>
      </c>
      <c r="J10" s="257">
        <f t="shared" si="11"/>
        <v>124.26342110019884</v>
      </c>
      <c r="K10" s="258">
        <v>2025.7</v>
      </c>
      <c r="L10" s="259">
        <f t="shared" si="12"/>
        <v>98.220519782777345</v>
      </c>
      <c r="M10" s="255">
        <f>2070.9+100</f>
        <v>2170.9</v>
      </c>
      <c r="N10" s="259">
        <f t="shared" si="13"/>
        <v>107.16789258034261</v>
      </c>
      <c r="O10" s="260">
        <v>2866.3</v>
      </c>
      <c r="P10" s="261">
        <f t="shared" si="14"/>
        <v>1.3203279745727579</v>
      </c>
      <c r="Q10" s="262">
        <f>[3]Лист1!$FD$59/1000</f>
        <v>3759.5168579686606</v>
      </c>
      <c r="R10" s="262">
        <f>[3]Лист1!$FD$71/1000</f>
        <v>867.50751000000002</v>
      </c>
      <c r="S10" s="263">
        <v>105.5</v>
      </c>
      <c r="T10" s="262">
        <f t="shared" si="15"/>
        <v>2892.0093479686607</v>
      </c>
      <c r="U10" s="263">
        <f t="shared" si="16"/>
        <v>100.8969524463127</v>
      </c>
      <c r="V10" s="264">
        <f>772.566+2674.613</f>
        <v>3447.1790000000001</v>
      </c>
      <c r="W10" s="264">
        <v>772.56600000000003</v>
      </c>
      <c r="X10" s="264">
        <f t="shared" si="17"/>
        <v>2674.6130000000003</v>
      </c>
      <c r="Y10" s="264"/>
      <c r="Z10" s="264">
        <v>2792</v>
      </c>
      <c r="AA10" s="264">
        <v>2862.3</v>
      </c>
      <c r="AB10" s="262">
        <f t="shared" si="18"/>
        <v>3731.9849289799999</v>
      </c>
      <c r="AC10" s="262">
        <f>W10*1.078*1.04</f>
        <v>866.13919392000014</v>
      </c>
      <c r="AD10" s="263">
        <f t="shared" si="19"/>
        <v>99.842270405244122</v>
      </c>
      <c r="AE10" s="262">
        <f t="shared" si="20"/>
        <v>2865.8457350599997</v>
      </c>
      <c r="AF10" s="265">
        <f t="shared" si="21"/>
        <v>1.0264490455085959</v>
      </c>
      <c r="AG10" s="266">
        <v>2865.846</v>
      </c>
      <c r="AH10" s="267">
        <f>AB10*1.04</f>
        <v>3881.2643261392</v>
      </c>
      <c r="AI10" s="262">
        <v>859.54</v>
      </c>
      <c r="AJ10" s="268">
        <f t="shared" si="22"/>
        <v>0.99238090832706305</v>
      </c>
      <c r="AK10" s="262">
        <f t="shared" si="23"/>
        <v>3021.7243261392</v>
      </c>
      <c r="AL10" s="269">
        <f t="shared" si="24"/>
        <v>1.0543917314954119</v>
      </c>
      <c r="AM10" s="270">
        <f t="shared" si="25"/>
        <v>3021.7243261392</v>
      </c>
      <c r="AN10" s="271">
        <v>4322.2</v>
      </c>
      <c r="AO10" s="272">
        <v>905.1</v>
      </c>
      <c r="AP10" s="268">
        <f t="shared" si="0"/>
        <v>1.053005095748889</v>
      </c>
      <c r="AQ10" s="272">
        <f t="shared" si="26"/>
        <v>3417.1</v>
      </c>
      <c r="AR10" s="269">
        <f t="shared" si="1"/>
        <v>1.130844389225262</v>
      </c>
      <c r="AS10" s="273">
        <f>(4682.7-223)*1000</f>
        <v>4459700</v>
      </c>
      <c r="AT10" s="274">
        <f>AO10*1000</f>
        <v>905100</v>
      </c>
      <c r="AU10" s="275">
        <f t="shared" si="2"/>
        <v>1000</v>
      </c>
      <c r="AV10" s="274">
        <f t="shared" si="27"/>
        <v>3554600</v>
      </c>
      <c r="AW10" s="269">
        <f t="shared" si="3"/>
        <v>1040.2387989815927</v>
      </c>
      <c r="AX10" s="273">
        <f t="shared" si="32"/>
        <v>4638088</v>
      </c>
      <c r="AY10" s="274">
        <f t="shared" si="32"/>
        <v>941304</v>
      </c>
      <c r="AZ10" s="275">
        <f t="shared" si="4"/>
        <v>1.04</v>
      </c>
      <c r="BA10" s="274">
        <f t="shared" si="28"/>
        <v>3696784</v>
      </c>
      <c r="BB10" s="276">
        <f t="shared" ref="BB10:BB11" si="36">BA10/AV10</f>
        <v>1.04</v>
      </c>
      <c r="BC10" s="273">
        <f t="shared" si="33"/>
        <v>4823611.5200000005</v>
      </c>
      <c r="BD10" s="274">
        <f t="shared" si="34"/>
        <v>978956.16</v>
      </c>
      <c r="BE10" s="275">
        <f t="shared" si="6"/>
        <v>1.04</v>
      </c>
      <c r="BF10" s="274">
        <f t="shared" si="29"/>
        <v>3844655.3600000003</v>
      </c>
      <c r="BG10" s="277">
        <f t="shared" ref="BG10:BG11" si="37">BF10/BA10</f>
        <v>1.04</v>
      </c>
      <c r="BH10" s="273">
        <f t="shared" si="35"/>
        <v>5016555.980800001</v>
      </c>
      <c r="BI10" s="274">
        <f t="shared" si="30"/>
        <v>1018114.4064000001</v>
      </c>
      <c r="BJ10" s="275">
        <f t="shared" si="8"/>
        <v>1.04</v>
      </c>
      <c r="BK10" s="274">
        <f t="shared" si="31"/>
        <v>3998441.5744000007</v>
      </c>
      <c r="BL10" s="269">
        <f t="shared" ref="BL10:BL11" si="38">BK10/BF10</f>
        <v>1.04</v>
      </c>
    </row>
    <row r="11" spans="1:64" ht="36.75" customHeight="1">
      <c r="A11" s="253" t="s">
        <v>54</v>
      </c>
      <c r="B11" s="254">
        <v>850</v>
      </c>
      <c r="C11" s="255">
        <v>898</v>
      </c>
      <c r="D11" s="255">
        <v>1134.2</v>
      </c>
      <c r="E11" s="255">
        <v>1031.5999999999999</v>
      </c>
      <c r="F11" s="255"/>
      <c r="G11" s="258">
        <v>1161.9000000000001</v>
      </c>
      <c r="H11" s="257">
        <f t="shared" si="10"/>
        <v>112.63086467623111</v>
      </c>
      <c r="I11" s="258">
        <v>1034</v>
      </c>
      <c r="J11" s="257">
        <f t="shared" si="11"/>
        <v>88.992168000688523</v>
      </c>
      <c r="K11" s="258">
        <v>1272.8</v>
      </c>
      <c r="L11" s="259">
        <f t="shared" si="12"/>
        <v>123.09477756286267</v>
      </c>
      <c r="M11" s="255">
        <v>1281.8</v>
      </c>
      <c r="N11" s="259">
        <f t="shared" si="13"/>
        <v>100.70710245128849</v>
      </c>
      <c r="O11" s="260">
        <v>1485.7</v>
      </c>
      <c r="P11" s="261">
        <f t="shared" si="14"/>
        <v>1.1590731783429553</v>
      </c>
      <c r="Q11" s="262">
        <f>[4]Лист1!$CW$21/1000</f>
        <v>1837.5359478834653</v>
      </c>
      <c r="R11" s="262">
        <f>[4]Лист1!$CW$24/1000</f>
        <v>294.92595084846459</v>
      </c>
      <c r="S11" s="263">
        <f>[4]Лист1!$DF$18</f>
        <v>105.5</v>
      </c>
      <c r="T11" s="262">
        <f t="shared" si="15"/>
        <v>1542.6099970350006</v>
      </c>
      <c r="U11" s="263">
        <f t="shared" si="16"/>
        <v>103.83051740156159</v>
      </c>
      <c r="V11" s="264">
        <f>277.324+1435.7</f>
        <v>1713.0240000000001</v>
      </c>
      <c r="W11" s="264">
        <v>277.32400000000001</v>
      </c>
      <c r="X11" s="264">
        <f t="shared" si="17"/>
        <v>1435.7</v>
      </c>
      <c r="Y11" s="264"/>
      <c r="Z11" s="264">
        <v>1435.7</v>
      </c>
      <c r="AA11" s="264">
        <v>1492.6</v>
      </c>
      <c r="AB11" s="262">
        <f t="shared" si="18"/>
        <v>1854.55404288</v>
      </c>
      <c r="AC11" s="262">
        <f>W11*1*1.04</f>
        <v>288.41696000000002</v>
      </c>
      <c r="AD11" s="263">
        <f t="shared" si="19"/>
        <v>97.79300843830832</v>
      </c>
      <c r="AE11" s="262">
        <f t="shared" si="20"/>
        <v>1566.13708288</v>
      </c>
      <c r="AF11" s="265">
        <f t="shared" si="21"/>
        <v>1.090852603524413</v>
      </c>
      <c r="AG11" s="266">
        <v>1566.1369999999999</v>
      </c>
      <c r="AH11" s="267">
        <f>2965.727-120*1.04</f>
        <v>2840.9269999999997</v>
      </c>
      <c r="AI11" s="262">
        <v>339.35</v>
      </c>
      <c r="AJ11" s="268">
        <f t="shared" si="22"/>
        <v>1.1765951627809961</v>
      </c>
      <c r="AK11" s="262">
        <f t="shared" si="23"/>
        <v>2501.5769999999998</v>
      </c>
      <c r="AL11" s="269">
        <f t="shared" si="24"/>
        <v>1.5972912969938133</v>
      </c>
      <c r="AM11" s="270">
        <f t="shared" si="25"/>
        <v>2501.5769999999998</v>
      </c>
      <c r="AN11" s="271">
        <v>3371.8</v>
      </c>
      <c r="AO11" s="272">
        <v>268.07</v>
      </c>
      <c r="AP11" s="268">
        <f t="shared" si="0"/>
        <v>0.78995137763371148</v>
      </c>
      <c r="AQ11" s="272">
        <f t="shared" si="26"/>
        <v>3103.73</v>
      </c>
      <c r="AR11" s="269">
        <f t="shared" si="1"/>
        <v>1.2407093605353745</v>
      </c>
      <c r="AS11" s="273">
        <v>4045437</v>
      </c>
      <c r="AT11" s="274">
        <v>342470</v>
      </c>
      <c r="AU11" s="275">
        <f t="shared" si="2"/>
        <v>1277.5394486514717</v>
      </c>
      <c r="AV11" s="274">
        <f t="shared" si="27"/>
        <v>3702967</v>
      </c>
      <c r="AW11" s="269">
        <f t="shared" si="3"/>
        <v>1193.0699513166417</v>
      </c>
      <c r="AX11" s="273">
        <v>4087497.8</v>
      </c>
      <c r="AY11" s="274">
        <v>317850</v>
      </c>
      <c r="AZ11" s="275">
        <f t="shared" si="4"/>
        <v>0.92811049142990631</v>
      </c>
      <c r="BA11" s="274">
        <f t="shared" si="28"/>
        <v>3769647.8</v>
      </c>
      <c r="BB11" s="276">
        <f t="shared" si="36"/>
        <v>1.0180073978515065</v>
      </c>
      <c r="BC11" s="273">
        <f t="shared" si="33"/>
        <v>4250997.7120000003</v>
      </c>
      <c r="BD11" s="274">
        <f t="shared" si="34"/>
        <v>330564</v>
      </c>
      <c r="BE11" s="275">
        <f t="shared" si="6"/>
        <v>1.04</v>
      </c>
      <c r="BF11" s="274">
        <f t="shared" si="29"/>
        <v>3920433.7120000003</v>
      </c>
      <c r="BG11" s="277">
        <f t="shared" si="37"/>
        <v>1.04</v>
      </c>
      <c r="BH11" s="273">
        <f t="shared" si="35"/>
        <v>4421037.62048</v>
      </c>
      <c r="BI11" s="274">
        <f t="shared" si="30"/>
        <v>343786.56</v>
      </c>
      <c r="BJ11" s="275">
        <f t="shared" si="8"/>
        <v>1.04</v>
      </c>
      <c r="BK11" s="274">
        <f t="shared" si="31"/>
        <v>4077251.06048</v>
      </c>
      <c r="BL11" s="269">
        <f t="shared" si="38"/>
        <v>1.0399999999999998</v>
      </c>
    </row>
    <row r="12" spans="1:64" ht="48" customHeight="1">
      <c r="A12" s="394" t="s">
        <v>55</v>
      </c>
      <c r="B12" s="279">
        <f>20619.5+16818.7</f>
        <v>37438.199999999997</v>
      </c>
      <c r="C12" s="280">
        <v>52195.3</v>
      </c>
      <c r="D12" s="280">
        <v>54610.400000000001</v>
      </c>
      <c r="E12" s="280">
        <v>41809.199999999997</v>
      </c>
      <c r="F12" s="280"/>
      <c r="G12" s="281">
        <v>58156</v>
      </c>
      <c r="H12" s="282">
        <f t="shared" ref="H12:H19" si="39">G12/E12*100</f>
        <v>139.09857160624935</v>
      </c>
      <c r="I12" s="283">
        <v>68189.5</v>
      </c>
      <c r="J12" s="282">
        <f t="shared" ref="J12:J19" si="40">I12/G12*100</f>
        <v>117.25273402572391</v>
      </c>
      <c r="K12" s="283">
        <v>59184.800000000003</v>
      </c>
      <c r="L12" s="284">
        <f t="shared" ref="L12:L19" si="41">K12/I12*100</f>
        <v>86.794594475689081</v>
      </c>
      <c r="M12" s="280">
        <f>60174+1000</f>
        <v>61174</v>
      </c>
      <c r="N12" s="284">
        <f t="shared" ref="N12:N19" si="42">M12/K12*100</f>
        <v>103.36099809410524</v>
      </c>
      <c r="O12" s="285">
        <v>68144.7</v>
      </c>
      <c r="P12" s="286">
        <f t="shared" ref="P12:P23" si="43">O12/M12</f>
        <v>1.1139487363912772</v>
      </c>
      <c r="Q12" s="287">
        <f>[5]Свод!$BG$38</f>
        <v>99784.710618600016</v>
      </c>
      <c r="R12" s="287">
        <f>[5]Свод!$BG$9</f>
        <v>32462.455499999996</v>
      </c>
      <c r="S12" s="288">
        <v>105.5</v>
      </c>
      <c r="T12" s="287">
        <f>Q12-R12</f>
        <v>67322.25511860002</v>
      </c>
      <c r="U12" s="288">
        <f t="shared" ref="U12:U23" si="44">T12/O12*100</f>
        <v>98.793090465729577</v>
      </c>
      <c r="V12" s="289">
        <f>'[6]Бюджет Речпорт'!V29</f>
        <v>95309.482000000004</v>
      </c>
      <c r="W12" s="289">
        <f>'[6]Бюджет Речпорт'!W29</f>
        <v>29289.112000000001</v>
      </c>
      <c r="X12" s="289">
        <f t="shared" ref="X12:X23" si="45">V12-W12</f>
        <v>66020.37</v>
      </c>
      <c r="Y12" s="289"/>
      <c r="Z12" s="289">
        <v>63322.2</v>
      </c>
      <c r="AA12" s="289">
        <v>63887.4</v>
      </c>
      <c r="AB12" s="287">
        <f>'[6]Бюджет Речпорт'!AA29</f>
        <v>102462.27557212667</v>
      </c>
      <c r="AC12" s="287">
        <f>'[6]Бюджет Речпорт'!AB29</f>
        <v>33746.326391102404</v>
      </c>
      <c r="AD12" s="288">
        <f t="shared" ref="AD12:AD23" si="46">AC12/R12*100</f>
        <v>103.95494078105831</v>
      </c>
      <c r="AE12" s="287">
        <f t="shared" ref="AE12:AE23" si="47">AB12-AC12</f>
        <v>68715.949181024276</v>
      </c>
      <c r="AF12" s="290">
        <f t="shared" ref="AF12:AF23" si="48">AE12/Z12</f>
        <v>1.0851794344009571</v>
      </c>
      <c r="AG12" s="291">
        <v>81545.948999999993</v>
      </c>
      <c r="AH12" s="292">
        <f>AK12+AI12</f>
        <v>62934.402697176251</v>
      </c>
      <c r="AI12" s="287">
        <f>AO12/1.027</f>
        <v>17622.492697176243</v>
      </c>
      <c r="AJ12" s="293"/>
      <c r="AK12" s="287">
        <f>70656.61-AK14</f>
        <v>45311.91</v>
      </c>
      <c r="AL12" s="294"/>
      <c r="AM12" s="295">
        <f>AK12</f>
        <v>45311.91</v>
      </c>
      <c r="AN12" s="296">
        <v>78819.199999999997</v>
      </c>
      <c r="AO12" s="297">
        <v>18098.3</v>
      </c>
      <c r="AP12" s="293">
        <f t="shared" si="0"/>
        <v>1.0269999999999999</v>
      </c>
      <c r="AQ12" s="297">
        <f t="shared" ref="AQ12:AQ23" si="49">AN12-AO12</f>
        <v>60720.899999999994</v>
      </c>
      <c r="AR12" s="294">
        <f t="shared" si="1"/>
        <v>1.3400648968450015</v>
      </c>
      <c r="AS12" s="298">
        <f>(87703.58+200)*1000</f>
        <v>87903580</v>
      </c>
      <c r="AT12" s="299">
        <v>19446570</v>
      </c>
      <c r="AU12" s="300">
        <f t="shared" ref="AU12:AU23" si="50">AT12/AO12</f>
        <v>1074.4970522093236</v>
      </c>
      <c r="AV12" s="299">
        <f t="shared" ref="AV12:AV23" si="51">AS12-AT12</f>
        <v>68457010</v>
      </c>
      <c r="AW12" s="294">
        <f t="shared" si="3"/>
        <v>1127.4044027674163</v>
      </c>
      <c r="AX12" s="298">
        <v>108343310</v>
      </c>
      <c r="AY12" s="299">
        <f>19466.57*1.03*1000</f>
        <v>20050567.100000001</v>
      </c>
      <c r="AZ12" s="300">
        <f t="shared" ref="AZ12:AZ23" si="52">AY12/AT12</f>
        <v>1.0310593127734096</v>
      </c>
      <c r="BA12" s="299">
        <f t="shared" ref="BA12:BA23" si="53">AX12-AY12</f>
        <v>88292742.900000006</v>
      </c>
      <c r="BB12" s="301">
        <f t="shared" ref="BB12:BB23" si="54">BA12/AV12</f>
        <v>1.2897545905087004</v>
      </c>
      <c r="BC12" s="298">
        <f t="shared" si="33"/>
        <v>112677042.40000001</v>
      </c>
      <c r="BD12" s="299">
        <f t="shared" si="34"/>
        <v>20852589.784000002</v>
      </c>
      <c r="BE12" s="300">
        <f t="shared" ref="BE12:BE23" si="55">BD12/AY12</f>
        <v>1.04</v>
      </c>
      <c r="BF12" s="299">
        <f>BC12-BD12</f>
        <v>91824452.615999997</v>
      </c>
      <c r="BG12" s="302">
        <f t="shared" ref="BG12:BG23" si="56">BF12/BA12</f>
        <v>1.0399999999999998</v>
      </c>
      <c r="BH12" s="298">
        <f t="shared" si="35"/>
        <v>117184124.09600002</v>
      </c>
      <c r="BI12" s="299">
        <f t="shared" si="30"/>
        <v>21686693.375360001</v>
      </c>
      <c r="BJ12" s="300">
        <f t="shared" ref="BJ12:BJ23" si="57">BI12/BD12</f>
        <v>1.04</v>
      </c>
      <c r="BK12" s="299">
        <f>BH12-BI12</f>
        <v>95497430.720640019</v>
      </c>
      <c r="BL12" s="294">
        <f t="shared" ref="BL12:BL23" si="58">BK12/BF12</f>
        <v>1.0400000000000003</v>
      </c>
    </row>
    <row r="13" spans="1:64" ht="24.75" customHeight="1">
      <c r="A13" s="395" t="s">
        <v>56</v>
      </c>
      <c r="B13" s="303"/>
      <c r="C13" s="304"/>
      <c r="D13" s="304"/>
      <c r="E13" s="304"/>
      <c r="F13" s="304"/>
      <c r="G13" s="305"/>
      <c r="H13" s="306"/>
      <c r="I13" s="307"/>
      <c r="J13" s="306"/>
      <c r="K13" s="307"/>
      <c r="L13" s="308"/>
      <c r="M13" s="304"/>
      <c r="N13" s="308"/>
      <c r="O13" s="309"/>
      <c r="P13" s="310"/>
      <c r="Q13" s="311"/>
      <c r="R13" s="311"/>
      <c r="S13" s="312"/>
      <c r="T13" s="311"/>
      <c r="U13" s="312"/>
      <c r="V13" s="313"/>
      <c r="W13" s="313"/>
      <c r="X13" s="313"/>
      <c r="Y13" s="313"/>
      <c r="Z13" s="313"/>
      <c r="AA13" s="313"/>
      <c r="AB13" s="311"/>
      <c r="AC13" s="311"/>
      <c r="AD13" s="312"/>
      <c r="AE13" s="311"/>
      <c r="AF13" s="314"/>
      <c r="AG13" s="315"/>
      <c r="AH13" s="311">
        <f t="shared" ref="AH13:AI13" si="59">SUM(AH14:AH23)</f>
        <v>62293.664990455713</v>
      </c>
      <c r="AI13" s="311">
        <f t="shared" si="59"/>
        <v>21264.671584441956</v>
      </c>
      <c r="AJ13" s="311"/>
      <c r="AK13" s="311">
        <f>SUM(AK14:AK23)</f>
        <v>41028.993406013753</v>
      </c>
      <c r="AL13" s="316"/>
      <c r="AM13" s="317">
        <f>SUM(AM14:AM23)</f>
        <v>42145.025499053758</v>
      </c>
      <c r="AN13" s="311">
        <f>SUM(AN14:AN23)</f>
        <v>66080.618000000002</v>
      </c>
      <c r="AO13" s="311">
        <f>SUM(AO14:AO23)</f>
        <v>22542.34</v>
      </c>
      <c r="AP13" s="318">
        <f t="shared" si="0"/>
        <v>1.0600840887894472</v>
      </c>
      <c r="AQ13" s="311">
        <f>SUM(AQ14:AQ23)</f>
        <v>44817.57</v>
      </c>
      <c r="AR13" s="316">
        <f>AQ13/AM13</f>
        <v>1.0634130474308585</v>
      </c>
      <c r="AS13" s="319">
        <f>SUM(AS14:AS23)</f>
        <v>71892746.719999999</v>
      </c>
      <c r="AT13" s="320">
        <f>SUM(AT14:AT23)</f>
        <v>19661815.300000001</v>
      </c>
      <c r="AU13" s="321">
        <f t="shared" si="50"/>
        <v>872.21713894830793</v>
      </c>
      <c r="AV13" s="320">
        <f>SUM(AV14:AV23)</f>
        <v>59061931.420000002</v>
      </c>
      <c r="AW13" s="316">
        <f t="shared" ref="AW13:AW23" si="60">AV13/AQ13</f>
        <v>1317.8298470889877</v>
      </c>
      <c r="AX13" s="319">
        <f>SUM(AX14:AX23)</f>
        <v>79241805.588799998</v>
      </c>
      <c r="AY13" s="320">
        <f>SUM(AY14:AY23)</f>
        <v>20700764.216000002</v>
      </c>
      <c r="AZ13" s="321">
        <f t="shared" si="52"/>
        <v>1.0528409457696413</v>
      </c>
      <c r="BA13" s="320">
        <f>SUM(BA14:BA23)</f>
        <v>65645281.3728</v>
      </c>
      <c r="BB13" s="322">
        <f t="shared" si="54"/>
        <v>1.1114651992327276</v>
      </c>
      <c r="BC13" s="319">
        <f t="shared" ref="BC13:BD13" si="61">SUM(BC14:BC23)</f>
        <v>85411475.471007794</v>
      </c>
      <c r="BD13" s="320">
        <f t="shared" si="61"/>
        <v>21528794.784639999</v>
      </c>
      <c r="BE13" s="321">
        <f t="shared" si="55"/>
        <v>1.0399999999999998</v>
      </c>
      <c r="BF13" s="320">
        <f>SUM(BF14:BF23)</f>
        <v>71271090.286367804</v>
      </c>
      <c r="BG13" s="323">
        <f t="shared" si="56"/>
        <v>1.0857001264358788</v>
      </c>
      <c r="BH13" s="319">
        <f t="shared" ref="BH13:BI13" si="62">SUM(BH14:BH23)</f>
        <v>91827934.489848122</v>
      </c>
      <c r="BI13" s="320">
        <f t="shared" si="62"/>
        <v>22389946.576025598</v>
      </c>
      <c r="BJ13" s="321">
        <f t="shared" si="57"/>
        <v>1.04</v>
      </c>
      <c r="BK13" s="320">
        <f>SUM(BK14:BK23)</f>
        <v>77121939.513822511</v>
      </c>
      <c r="BL13" s="316">
        <f t="shared" si="58"/>
        <v>1.0820928823166021</v>
      </c>
    </row>
    <row r="14" spans="1:64" ht="41.25" customHeight="1">
      <c r="A14" s="253" t="s">
        <v>57</v>
      </c>
      <c r="B14" s="254"/>
      <c r="C14" s="255"/>
      <c r="D14" s="255"/>
      <c r="E14" s="255"/>
      <c r="F14" s="255"/>
      <c r="G14" s="256"/>
      <c r="H14" s="257"/>
      <c r="I14" s="258"/>
      <c r="J14" s="257"/>
      <c r="K14" s="258"/>
      <c r="L14" s="259"/>
      <c r="M14" s="255"/>
      <c r="N14" s="259"/>
      <c r="O14" s="260"/>
      <c r="P14" s="261"/>
      <c r="Q14" s="262"/>
      <c r="R14" s="262"/>
      <c r="S14" s="263"/>
      <c r="T14" s="262"/>
      <c r="U14" s="263"/>
      <c r="V14" s="264"/>
      <c r="W14" s="264"/>
      <c r="X14" s="264"/>
      <c r="Y14" s="264"/>
      <c r="Z14" s="264"/>
      <c r="AA14" s="264"/>
      <c r="AB14" s="262"/>
      <c r="AC14" s="262"/>
      <c r="AD14" s="263"/>
      <c r="AE14" s="262"/>
      <c r="AF14" s="265"/>
      <c r="AG14" s="266"/>
      <c r="AH14" s="267">
        <f>AK14+AI14</f>
        <v>40242.947322297958</v>
      </c>
      <c r="AI14" s="262">
        <f>AO14/1.027</f>
        <v>14898.247322297957</v>
      </c>
      <c r="AJ14" s="268"/>
      <c r="AK14" s="262">
        <v>25344.7</v>
      </c>
      <c r="AL14" s="269"/>
      <c r="AM14" s="270">
        <f>AK14</f>
        <v>25344.7</v>
      </c>
      <c r="AN14" s="271">
        <v>39670.199999999997</v>
      </c>
      <c r="AO14" s="272">
        <v>15300.5</v>
      </c>
      <c r="AP14" s="268">
        <f t="shared" si="0"/>
        <v>1.0269999999999999</v>
      </c>
      <c r="AQ14" s="272">
        <f t="shared" si="49"/>
        <v>24369.699999999997</v>
      </c>
      <c r="AR14" s="269">
        <f t="shared" ref="AR14:AR18" si="63">AQ14/AK14</f>
        <v>0.96153041858850163</v>
      </c>
      <c r="AS14" s="273">
        <v>45025850</v>
      </c>
      <c r="AT14" s="274">
        <f>12192930*1.03</f>
        <v>12558717.9</v>
      </c>
      <c r="AU14" s="275">
        <f t="shared" si="50"/>
        <v>820.80441162053535</v>
      </c>
      <c r="AV14" s="274">
        <f t="shared" si="51"/>
        <v>32467132.100000001</v>
      </c>
      <c r="AW14" s="269">
        <f t="shared" si="60"/>
        <v>1332.2745909879893</v>
      </c>
      <c r="AX14" s="273">
        <f>AS14*1.04</f>
        <v>46826884</v>
      </c>
      <c r="AY14" s="274">
        <f t="shared" ref="AX14:AY23" si="64">AT14*1.04</f>
        <v>13061066.616</v>
      </c>
      <c r="AZ14" s="275">
        <f t="shared" si="52"/>
        <v>1.04</v>
      </c>
      <c r="BA14" s="274">
        <f t="shared" si="53"/>
        <v>33765817.384000003</v>
      </c>
      <c r="BB14" s="276">
        <f t="shared" si="54"/>
        <v>1.04</v>
      </c>
      <c r="BC14" s="273">
        <f>AX14*1.03999995</f>
        <v>48699957.018655792</v>
      </c>
      <c r="BD14" s="274">
        <f t="shared" ref="BD14:BD23" si="65">AY14*1.04</f>
        <v>13583509.28064</v>
      </c>
      <c r="BE14" s="275">
        <f t="shared" si="55"/>
        <v>1.04</v>
      </c>
      <c r="BF14" s="274">
        <f t="shared" ref="BF14:BF19" si="66">BC14-BD14</f>
        <v>35116447.738015793</v>
      </c>
      <c r="BG14" s="277">
        <f t="shared" si="56"/>
        <v>1.0399999306593357</v>
      </c>
      <c r="BH14" s="273">
        <f>BC14*1.04</f>
        <v>50647955.299402028</v>
      </c>
      <c r="BI14" s="274">
        <f t="shared" ref="BI14:BI23" si="67">BD14*1.04</f>
        <v>14126849.651865602</v>
      </c>
      <c r="BJ14" s="275">
        <f t="shared" si="57"/>
        <v>1.04</v>
      </c>
      <c r="BK14" s="274">
        <f t="shared" ref="BK14:BK19" si="68">BH14-BI14</f>
        <v>36521105.647536427</v>
      </c>
      <c r="BL14" s="269">
        <f t="shared" si="58"/>
        <v>1.04</v>
      </c>
    </row>
    <row r="15" spans="1:64" ht="38.25" customHeight="1">
      <c r="A15" s="253" t="s">
        <v>58</v>
      </c>
      <c r="B15" s="254">
        <f>5945.2+1734.1</f>
        <v>7679.2999999999993</v>
      </c>
      <c r="C15" s="255">
        <v>6113.8</v>
      </c>
      <c r="D15" s="255">
        <f>4850.3+4536</f>
        <v>9386.2999999999993</v>
      </c>
      <c r="E15" s="255">
        <v>7613.9</v>
      </c>
      <c r="F15" s="255"/>
      <c r="G15" s="258">
        <v>7494.8</v>
      </c>
      <c r="H15" s="257">
        <f t="shared" si="39"/>
        <v>98.435755657416053</v>
      </c>
      <c r="I15" s="258">
        <v>4559.1000000000004</v>
      </c>
      <c r="J15" s="257">
        <f t="shared" si="40"/>
        <v>60.830175588407961</v>
      </c>
      <c r="K15" s="258">
        <v>7467.1</v>
      </c>
      <c r="L15" s="259">
        <f t="shared" si="41"/>
        <v>163.78451887433923</v>
      </c>
      <c r="M15" s="255">
        <v>4501.3</v>
      </c>
      <c r="N15" s="259">
        <f t="shared" si="42"/>
        <v>60.281769361599544</v>
      </c>
      <c r="O15" s="260">
        <v>6447.1</v>
      </c>
      <c r="P15" s="261">
        <f t="shared" si="43"/>
        <v>1.4322751205207385</v>
      </c>
      <c r="Q15" s="262">
        <f>'[7]Н-В Тойма'!$AB$33+'[7]Н-В Тойма'!$AB$38</f>
        <v>5503.05</v>
      </c>
      <c r="R15" s="262">
        <f>'[7]Н-В Тойма'!$AB$34</f>
        <v>889.36500000000001</v>
      </c>
      <c r="S15" s="263">
        <f>'[7]Н-В Тойма'!$AM$14</f>
        <v>105.5</v>
      </c>
      <c r="T15" s="262">
        <f t="shared" ref="T15:T23" si="69">Q15-R15</f>
        <v>4613.6850000000004</v>
      </c>
      <c r="U15" s="263">
        <f t="shared" si="44"/>
        <v>71.5621752415815</v>
      </c>
      <c r="V15" s="264">
        <f>5097.488+256.473</f>
        <v>5353.9610000000002</v>
      </c>
      <c r="W15" s="264">
        <v>256.47300000000001</v>
      </c>
      <c r="X15" s="264">
        <f t="shared" si="45"/>
        <v>5097.4880000000003</v>
      </c>
      <c r="Y15" s="264"/>
      <c r="Z15" s="264">
        <v>4513.7</v>
      </c>
      <c r="AA15" s="264">
        <v>4767.7</v>
      </c>
      <c r="AB15" s="262">
        <f t="shared" ref="AB15:AB23" si="70">V15*1.045*1.036</f>
        <v>5796.3052578200004</v>
      </c>
      <c r="AC15" s="262">
        <f>W15*1.0644*1.0353</f>
        <v>282.62640330036004</v>
      </c>
      <c r="AD15" s="263">
        <f t="shared" si="46"/>
        <v>31.778449039523711</v>
      </c>
      <c r="AE15" s="262">
        <f t="shared" si="47"/>
        <v>5513.6788545196405</v>
      </c>
      <c r="AF15" s="265">
        <f t="shared" si="48"/>
        <v>1.221543047725733</v>
      </c>
      <c r="AG15" s="266">
        <v>5513.6790000000001</v>
      </c>
      <c r="AH15" s="267">
        <f t="shared" ref="AH15:AH23" si="71">AB15*1.04</f>
        <v>6028.1574681328002</v>
      </c>
      <c r="AI15" s="262">
        <v>344.84</v>
      </c>
      <c r="AJ15" s="268">
        <f t="shared" ref="AJ15:AJ23" si="72">AI15/AC15</f>
        <v>1.2201266264338464</v>
      </c>
      <c r="AK15" s="262">
        <f t="shared" ref="AK15:AK23" si="73">AH15-AI15</f>
        <v>5683.3174681328001</v>
      </c>
      <c r="AL15" s="269">
        <f t="shared" ref="AL15:AL23" si="74">AK15/AG15</f>
        <v>1.0307668379194364</v>
      </c>
      <c r="AM15" s="324">
        <f>AK15+416</f>
        <v>6099.3174681328001</v>
      </c>
      <c r="AN15" s="271">
        <v>7191</v>
      </c>
      <c r="AO15" s="272">
        <v>863.18</v>
      </c>
      <c r="AP15" s="268">
        <f t="shared" ref="AP15:AP23" si="75">AO15/AI15</f>
        <v>2.5031318872520592</v>
      </c>
      <c r="AQ15" s="272">
        <f t="shared" si="49"/>
        <v>6327.82</v>
      </c>
      <c r="AR15" s="269">
        <f t="shared" si="63"/>
        <v>1.1134025215872632</v>
      </c>
      <c r="AS15" s="273">
        <f>AN15*1.04*1000</f>
        <v>7478640</v>
      </c>
      <c r="AT15" s="274">
        <v>897710</v>
      </c>
      <c r="AU15" s="275">
        <f t="shared" si="50"/>
        <v>1040.0032438193657</v>
      </c>
      <c r="AV15" s="274">
        <f t="shared" si="51"/>
        <v>6580930</v>
      </c>
      <c r="AW15" s="269">
        <f t="shared" si="60"/>
        <v>1039.9995575095372</v>
      </c>
      <c r="AX15" s="273">
        <f>(14646.62556-6000)*1000</f>
        <v>8646625.5600000005</v>
      </c>
      <c r="AY15" s="274">
        <f t="shared" si="64"/>
        <v>933618.4</v>
      </c>
      <c r="AZ15" s="275">
        <f t="shared" si="52"/>
        <v>1.04</v>
      </c>
      <c r="BA15" s="274">
        <f t="shared" si="53"/>
        <v>7713007.1600000001</v>
      </c>
      <c r="BB15" s="276">
        <f t="shared" si="54"/>
        <v>1.1720238872013531</v>
      </c>
      <c r="BC15" s="273">
        <f>AX15*1.04+3000000</f>
        <v>11992490.582400002</v>
      </c>
      <c r="BD15" s="274">
        <f t="shared" si="65"/>
        <v>970963.13600000006</v>
      </c>
      <c r="BE15" s="275">
        <f t="shared" si="55"/>
        <v>1.04</v>
      </c>
      <c r="BF15" s="274">
        <f t="shared" si="66"/>
        <v>11021527.446400002</v>
      </c>
      <c r="BG15" s="277">
        <f t="shared" si="56"/>
        <v>1.4289533534414613</v>
      </c>
      <c r="BH15" s="273">
        <f>BC15*1.04+3000000</f>
        <v>15472190.205696002</v>
      </c>
      <c r="BI15" s="274">
        <f t="shared" si="67"/>
        <v>1009801.6614400001</v>
      </c>
      <c r="BJ15" s="275">
        <f t="shared" si="57"/>
        <v>1.04</v>
      </c>
      <c r="BK15" s="274">
        <f t="shared" si="68"/>
        <v>14462388.544256002</v>
      </c>
      <c r="BL15" s="269">
        <f t="shared" si="58"/>
        <v>1.3121945768941401</v>
      </c>
    </row>
    <row r="16" spans="1:64" ht="28.5" hidden="1" customHeight="1">
      <c r="A16" s="253" t="s">
        <v>59</v>
      </c>
      <c r="B16" s="254">
        <v>584.9</v>
      </c>
      <c r="C16" s="255">
        <v>1113.4000000000001</v>
      </c>
      <c r="D16" s="255">
        <v>1594.6</v>
      </c>
      <c r="E16" s="255">
        <v>1306.5</v>
      </c>
      <c r="F16" s="255"/>
      <c r="G16" s="256">
        <v>2219.6</v>
      </c>
      <c r="H16" s="257">
        <f t="shared" si="39"/>
        <v>169.88901645618063</v>
      </c>
      <c r="I16" s="258">
        <v>2126.8000000000002</v>
      </c>
      <c r="J16" s="257">
        <f t="shared" si="40"/>
        <v>95.819066498468203</v>
      </c>
      <c r="K16" s="258">
        <v>2132.6999999999998</v>
      </c>
      <c r="L16" s="259">
        <f t="shared" si="41"/>
        <v>100.27741207447806</v>
      </c>
      <c r="M16" s="255">
        <f>2337.8+100</f>
        <v>2437.8000000000002</v>
      </c>
      <c r="N16" s="259">
        <f t="shared" si="42"/>
        <v>114.30580953720637</v>
      </c>
      <c r="O16" s="260">
        <v>2620.1999999999998</v>
      </c>
      <c r="P16" s="261">
        <f t="shared" si="43"/>
        <v>1.0748215604233324</v>
      </c>
      <c r="Q16" s="262">
        <f>[8]расчет!$AU$41+[8]расчет!$AU$49</f>
        <v>3458.0618075324996</v>
      </c>
      <c r="R16" s="262">
        <f>[8]расчет!$AU$44</f>
        <v>731.34710000000007</v>
      </c>
      <c r="S16" s="263">
        <v>105.5</v>
      </c>
      <c r="T16" s="262">
        <f t="shared" si="69"/>
        <v>2726.7147075324997</v>
      </c>
      <c r="U16" s="263">
        <f t="shared" si="44"/>
        <v>104.06513653661933</v>
      </c>
      <c r="V16" s="264">
        <f>2490.2+695.117</f>
        <v>3185.317</v>
      </c>
      <c r="W16" s="264">
        <v>695.11699999999996</v>
      </c>
      <c r="X16" s="264">
        <f t="shared" si="45"/>
        <v>2490.1999999999998</v>
      </c>
      <c r="Y16" s="264"/>
      <c r="Z16" s="264">
        <v>2626.7</v>
      </c>
      <c r="AA16" s="264">
        <v>2626.7</v>
      </c>
      <c r="AB16" s="262">
        <f t="shared" si="70"/>
        <v>3448.4878905399996</v>
      </c>
      <c r="AC16" s="262">
        <f>W16*1.027*1.04</f>
        <v>742.44056535999994</v>
      </c>
      <c r="AD16" s="263">
        <f t="shared" si="46"/>
        <v>101.51685367454111</v>
      </c>
      <c r="AE16" s="262">
        <f t="shared" si="47"/>
        <v>2706.0473251799995</v>
      </c>
      <c r="AF16" s="265">
        <f t="shared" si="48"/>
        <v>1.0302079891803402</v>
      </c>
      <c r="AG16" s="266">
        <v>2706.047</v>
      </c>
      <c r="AH16" s="267">
        <f t="shared" si="71"/>
        <v>3586.4274061615997</v>
      </c>
      <c r="AI16" s="262">
        <v>530.13</v>
      </c>
      <c r="AJ16" s="268">
        <f t="shared" si="72"/>
        <v>0.71403695424824576</v>
      </c>
      <c r="AK16" s="262">
        <f t="shared" si="73"/>
        <v>3056.2974061615996</v>
      </c>
      <c r="AL16" s="269">
        <f t="shared" si="74"/>
        <v>1.1294324918087526</v>
      </c>
      <c r="AM16" s="324">
        <f t="shared" ref="AM16:AM23" si="76">AK16</f>
        <v>3056.2974061615996</v>
      </c>
      <c r="AN16" s="271">
        <v>4145.8</v>
      </c>
      <c r="AO16" s="272">
        <v>552.58000000000004</v>
      </c>
      <c r="AP16" s="268">
        <f t="shared" si="75"/>
        <v>1.0423481032954183</v>
      </c>
      <c r="AQ16" s="272">
        <f t="shared" si="49"/>
        <v>3593.2200000000003</v>
      </c>
      <c r="AR16" s="269">
        <f t="shared" si="63"/>
        <v>1.1756774693313374</v>
      </c>
      <c r="AS16" s="273">
        <f>AN16*1.03*1000</f>
        <v>4270174</v>
      </c>
      <c r="AT16" s="274">
        <f>AO16*1.03*1000</f>
        <v>569157.4</v>
      </c>
      <c r="AU16" s="275">
        <f t="shared" si="50"/>
        <v>1030</v>
      </c>
      <c r="AV16" s="274">
        <f t="shared" si="51"/>
        <v>3701016.6</v>
      </c>
      <c r="AW16" s="269">
        <f t="shared" si="60"/>
        <v>1030</v>
      </c>
      <c r="AX16" s="273">
        <v>4949460</v>
      </c>
      <c r="AY16" s="274">
        <v>650000</v>
      </c>
      <c r="AZ16" s="275">
        <f t="shared" si="52"/>
        <v>1.1420390914710061</v>
      </c>
      <c r="BA16" s="274">
        <f t="shared" si="53"/>
        <v>4299460</v>
      </c>
      <c r="BB16" s="276">
        <f t="shared" si="54"/>
        <v>1.1616970321073403</v>
      </c>
      <c r="BC16" s="273">
        <f t="shared" ref="BC16:BC23" si="77">AX16*1.04</f>
        <v>5147438.4000000004</v>
      </c>
      <c r="BD16" s="274">
        <f t="shared" si="65"/>
        <v>676000</v>
      </c>
      <c r="BE16" s="275">
        <f t="shared" si="55"/>
        <v>1.04</v>
      </c>
      <c r="BF16" s="274">
        <f t="shared" si="66"/>
        <v>4471438.4000000004</v>
      </c>
      <c r="BG16" s="277">
        <f t="shared" si="56"/>
        <v>1.04</v>
      </c>
      <c r="BH16" s="273">
        <f t="shared" ref="BH16:BH23" si="78">BC16*1.04</f>
        <v>5353335.9360000007</v>
      </c>
      <c r="BI16" s="274">
        <f t="shared" si="67"/>
        <v>703040</v>
      </c>
      <c r="BJ16" s="275">
        <f t="shared" si="57"/>
        <v>1.04</v>
      </c>
      <c r="BK16" s="274">
        <f t="shared" si="68"/>
        <v>4650295.9360000007</v>
      </c>
      <c r="BL16" s="269">
        <f t="shared" si="58"/>
        <v>1.04</v>
      </c>
    </row>
    <row r="17" spans="1:64" ht="36.75" customHeight="1">
      <c r="A17" s="253" t="s">
        <v>60</v>
      </c>
      <c r="B17" s="254">
        <v>290.39999999999998</v>
      </c>
      <c r="C17" s="255">
        <v>317</v>
      </c>
      <c r="D17" s="255">
        <v>453.6</v>
      </c>
      <c r="E17" s="255">
        <v>362.8</v>
      </c>
      <c r="F17" s="255"/>
      <c r="G17" s="256">
        <v>505.7</v>
      </c>
      <c r="H17" s="257">
        <f t="shared" si="39"/>
        <v>139.38809261300992</v>
      </c>
      <c r="I17" s="258">
        <v>652.9</v>
      </c>
      <c r="J17" s="257">
        <f t="shared" si="40"/>
        <v>129.10816689736998</v>
      </c>
      <c r="K17" s="258">
        <v>677.9</v>
      </c>
      <c r="L17" s="259">
        <f t="shared" si="41"/>
        <v>103.82907030173074</v>
      </c>
      <c r="M17" s="255">
        <v>729.2</v>
      </c>
      <c r="N17" s="259">
        <f t="shared" si="42"/>
        <v>107.56748783006344</v>
      </c>
      <c r="O17" s="260">
        <v>530.29999999999995</v>
      </c>
      <c r="P17" s="261">
        <f t="shared" si="43"/>
        <v>0.72723532638507948</v>
      </c>
      <c r="Q17" s="262">
        <f>[9]Лямца!$AD$25</f>
        <v>792.19978678820542</v>
      </c>
      <c r="R17" s="262">
        <f>[9]Лямца!$AD$11</f>
        <v>157.5</v>
      </c>
      <c r="S17" s="263">
        <f>1050/1000*100</f>
        <v>105</v>
      </c>
      <c r="T17" s="262">
        <f t="shared" si="69"/>
        <v>634.69978678820542</v>
      </c>
      <c r="U17" s="263">
        <f t="shared" si="44"/>
        <v>119.68692943394407</v>
      </c>
      <c r="V17" s="264">
        <v>230.58</v>
      </c>
      <c r="W17" s="264">
        <v>24.49</v>
      </c>
      <c r="X17" s="264">
        <f t="shared" si="45"/>
        <v>206.09</v>
      </c>
      <c r="Y17" s="264"/>
      <c r="Z17" s="264">
        <f>2772.1-Z18</f>
        <v>219.92799999999988</v>
      </c>
      <c r="AA17" s="264">
        <v>219.3</v>
      </c>
      <c r="AB17" s="262">
        <f t="shared" si="70"/>
        <v>249.63051960000001</v>
      </c>
      <c r="AC17" s="262">
        <f>W17*1.1*1.036</f>
        <v>27.908804</v>
      </c>
      <c r="AD17" s="263">
        <f t="shared" si="46"/>
        <v>17.719875555555557</v>
      </c>
      <c r="AE17" s="262">
        <f t="shared" si="47"/>
        <v>221.72171560000001</v>
      </c>
      <c r="AF17" s="265">
        <f t="shared" si="48"/>
        <v>1.0081559219380893</v>
      </c>
      <c r="AG17" s="266">
        <f>AA17</f>
        <v>219.3</v>
      </c>
      <c r="AH17" s="267">
        <f t="shared" si="71"/>
        <v>259.61574038400005</v>
      </c>
      <c r="AI17" s="262">
        <v>83.28</v>
      </c>
      <c r="AJ17" s="268">
        <f t="shared" si="72"/>
        <v>2.9840046173243397</v>
      </c>
      <c r="AK17" s="262">
        <f t="shared" si="73"/>
        <v>176.33574038400005</v>
      </c>
      <c r="AL17" s="269">
        <f t="shared" si="74"/>
        <v>0.80408454347469238</v>
      </c>
      <c r="AM17" s="270">
        <f t="shared" si="76"/>
        <v>176.33574038400005</v>
      </c>
      <c r="AN17" s="271"/>
      <c r="AO17" s="272"/>
      <c r="AP17" s="268"/>
      <c r="AQ17" s="272"/>
      <c r="AR17" s="269"/>
      <c r="AS17" s="273"/>
      <c r="AT17" s="274"/>
      <c r="AU17" s="275"/>
      <c r="AV17" s="274"/>
      <c r="AW17" s="269"/>
      <c r="AX17" s="273"/>
      <c r="AY17" s="274"/>
      <c r="AZ17" s="275"/>
      <c r="BA17" s="274"/>
      <c r="BB17" s="276"/>
      <c r="BC17" s="273"/>
      <c r="BD17" s="274"/>
      <c r="BE17" s="275"/>
      <c r="BF17" s="274"/>
      <c r="BG17" s="277"/>
      <c r="BH17" s="273"/>
      <c r="BI17" s="274"/>
      <c r="BJ17" s="275"/>
      <c r="BK17" s="274"/>
      <c r="BL17" s="269"/>
    </row>
    <row r="18" spans="1:64" ht="47.25" customHeight="1">
      <c r="A18" s="253" t="s">
        <v>61</v>
      </c>
      <c r="B18" s="254">
        <v>1305.0999999999999</v>
      </c>
      <c r="C18" s="255">
        <v>1104.9000000000001</v>
      </c>
      <c r="D18" s="255">
        <v>1471.75</v>
      </c>
      <c r="E18" s="255">
        <v>1236.2</v>
      </c>
      <c r="F18" s="255"/>
      <c r="G18" s="256">
        <v>1309.2</v>
      </c>
      <c r="H18" s="257">
        <f t="shared" si="39"/>
        <v>105.9051933344119</v>
      </c>
      <c r="I18" s="258">
        <v>1367.7</v>
      </c>
      <c r="J18" s="257">
        <f t="shared" si="40"/>
        <v>104.46837763519707</v>
      </c>
      <c r="K18" s="258">
        <v>1553.6</v>
      </c>
      <c r="L18" s="259">
        <f t="shared" si="41"/>
        <v>113.59216202383561</v>
      </c>
      <c r="M18" s="255">
        <v>1797.6</v>
      </c>
      <c r="N18" s="259">
        <f t="shared" si="42"/>
        <v>115.70545829042224</v>
      </c>
      <c r="O18" s="260">
        <v>2231.8000000000002</v>
      </c>
      <c r="P18" s="261">
        <f t="shared" si="43"/>
        <v>1.2415442812639077</v>
      </c>
      <c r="Q18" s="262">
        <f>[9]Легашевская!$AE$28</f>
        <v>5804.5715572328018</v>
      </c>
      <c r="R18" s="262">
        <f>[9]Легашевская!$AE$15</f>
        <v>3565.1853625000003</v>
      </c>
      <c r="S18" s="263">
        <f>37/35*100</f>
        <v>105.71428571428572</v>
      </c>
      <c r="T18" s="262">
        <f t="shared" si="69"/>
        <v>2239.3861947328014</v>
      </c>
      <c r="U18" s="263">
        <f t="shared" si="44"/>
        <v>100.33991373477915</v>
      </c>
      <c r="V18" s="264">
        <v>5284.22</v>
      </c>
      <c r="W18" s="264">
        <v>2827.6</v>
      </c>
      <c r="X18" s="264">
        <f t="shared" si="45"/>
        <v>2456.6200000000003</v>
      </c>
      <c r="Y18" s="264"/>
      <c r="Z18" s="264">
        <f>2774.1*0.92</f>
        <v>2552.172</v>
      </c>
      <c r="AA18" s="264">
        <f>2774.1-AA17</f>
        <v>2554.7999999999997</v>
      </c>
      <c r="AB18" s="262">
        <f t="shared" si="70"/>
        <v>5720.8022564000003</v>
      </c>
      <c r="AC18" s="262">
        <f>W18*1.086*1.026</f>
        <v>3150.6137136000002</v>
      </c>
      <c r="AD18" s="263">
        <f t="shared" si="46"/>
        <v>88.371666358203271</v>
      </c>
      <c r="AE18" s="262">
        <f t="shared" si="47"/>
        <v>2570.1885428000001</v>
      </c>
      <c r="AF18" s="265">
        <f t="shared" si="48"/>
        <v>1.0070592980410411</v>
      </c>
      <c r="AG18" s="266">
        <f>2791.91-AG17</f>
        <v>2572.6099999999997</v>
      </c>
      <c r="AH18" s="267">
        <f t="shared" si="71"/>
        <v>5949.6343466560002</v>
      </c>
      <c r="AI18" s="262">
        <f>AC18*1.04</f>
        <v>3276.6382621440002</v>
      </c>
      <c r="AJ18" s="268">
        <f t="shared" si="72"/>
        <v>1.04</v>
      </c>
      <c r="AK18" s="262">
        <f t="shared" si="73"/>
        <v>2672.9960845119999</v>
      </c>
      <c r="AL18" s="269">
        <f t="shared" si="74"/>
        <v>1.039021104835945</v>
      </c>
      <c r="AM18" s="324">
        <f t="shared" si="76"/>
        <v>2672.9960845119999</v>
      </c>
      <c r="AN18" s="271">
        <f>7744.6+18+185.95</f>
        <v>7948.55</v>
      </c>
      <c r="AO18" s="272">
        <v>3875.87</v>
      </c>
      <c r="AP18" s="268">
        <f t="shared" si="75"/>
        <v>1.1828800404301891</v>
      </c>
      <c r="AQ18" s="272">
        <f t="shared" si="49"/>
        <v>4072.6800000000003</v>
      </c>
      <c r="AR18" s="269">
        <f t="shared" si="63"/>
        <v>1.5236385955064113</v>
      </c>
      <c r="AS18" s="273">
        <v>7708300</v>
      </c>
      <c r="AT18" s="274">
        <v>3608000</v>
      </c>
      <c r="AU18" s="275">
        <f t="shared" si="50"/>
        <v>930.88777487377035</v>
      </c>
      <c r="AV18" s="274">
        <f t="shared" si="51"/>
        <v>4100300</v>
      </c>
      <c r="AW18" s="269">
        <f t="shared" si="60"/>
        <v>1006.7817751456043</v>
      </c>
      <c r="AX18" s="273">
        <f t="shared" si="64"/>
        <v>8016632</v>
      </c>
      <c r="AY18" s="274">
        <f t="shared" si="64"/>
        <v>3752320</v>
      </c>
      <c r="AZ18" s="275">
        <f t="shared" si="52"/>
        <v>1.04</v>
      </c>
      <c r="BA18" s="274">
        <f t="shared" si="53"/>
        <v>4264312</v>
      </c>
      <c r="BB18" s="276">
        <f t="shared" si="54"/>
        <v>1.04</v>
      </c>
      <c r="BC18" s="273">
        <f t="shared" si="77"/>
        <v>8337297.2800000003</v>
      </c>
      <c r="BD18" s="274">
        <f t="shared" si="65"/>
        <v>3902412.8000000003</v>
      </c>
      <c r="BE18" s="275">
        <f t="shared" si="55"/>
        <v>1.04</v>
      </c>
      <c r="BF18" s="274">
        <f t="shared" si="66"/>
        <v>4434884.4800000004</v>
      </c>
      <c r="BG18" s="277">
        <f t="shared" si="56"/>
        <v>1.04</v>
      </c>
      <c r="BH18" s="273">
        <f t="shared" si="78"/>
        <v>8670789.1711999997</v>
      </c>
      <c r="BI18" s="274">
        <f t="shared" si="67"/>
        <v>4058509.3120000004</v>
      </c>
      <c r="BJ18" s="275">
        <f t="shared" si="57"/>
        <v>1.04</v>
      </c>
      <c r="BK18" s="274">
        <f t="shared" si="68"/>
        <v>4612279.8591999989</v>
      </c>
      <c r="BL18" s="269">
        <f t="shared" si="58"/>
        <v>1.0399999999999996</v>
      </c>
    </row>
    <row r="19" spans="1:64" ht="53.25" customHeight="1">
      <c r="A19" s="253" t="s">
        <v>62</v>
      </c>
      <c r="B19" s="254">
        <v>461.2</v>
      </c>
      <c r="C19" s="255">
        <v>767.6</v>
      </c>
      <c r="D19" s="255">
        <v>772.8</v>
      </c>
      <c r="E19" s="255">
        <v>767.3</v>
      </c>
      <c r="F19" s="255"/>
      <c r="G19" s="256">
        <v>846.7</v>
      </c>
      <c r="H19" s="257">
        <f t="shared" si="39"/>
        <v>110.34797341326733</v>
      </c>
      <c r="I19" s="258">
        <v>1175</v>
      </c>
      <c r="J19" s="257">
        <f t="shared" si="40"/>
        <v>138.77406401322781</v>
      </c>
      <c r="K19" s="258">
        <v>1313</v>
      </c>
      <c r="L19" s="259">
        <f t="shared" si="41"/>
        <v>111.74468085106383</v>
      </c>
      <c r="M19" s="255">
        <f>1528+50</f>
        <v>1578</v>
      </c>
      <c r="N19" s="259">
        <f t="shared" si="42"/>
        <v>120.18278750952018</v>
      </c>
      <c r="O19" s="260">
        <v>1753.4</v>
      </c>
      <c r="P19" s="261">
        <f t="shared" si="43"/>
        <v>1.1111533586818758</v>
      </c>
      <c r="Q19" s="262">
        <f>[10]Свод!$CW$31/1000</f>
        <v>2221.0256370041843</v>
      </c>
      <c r="R19" s="262">
        <f>[10]Свод!$CW$43/1000</f>
        <v>158.54849999999999</v>
      </c>
      <c r="S19" s="263">
        <f>33/30*100</f>
        <v>110.00000000000001</v>
      </c>
      <c r="T19" s="262">
        <f t="shared" si="69"/>
        <v>2062.4771370041844</v>
      </c>
      <c r="U19" s="263">
        <f t="shared" si="44"/>
        <v>117.62730335372329</v>
      </c>
      <c r="V19" s="264">
        <f>118.3+1740.65</f>
        <v>1858.95</v>
      </c>
      <c r="W19" s="264">
        <v>118.3</v>
      </c>
      <c r="X19" s="264">
        <f t="shared" si="45"/>
        <v>1740.65</v>
      </c>
      <c r="Y19" s="264"/>
      <c r="Z19" s="264">
        <v>1852.5</v>
      </c>
      <c r="AA19" s="264">
        <v>1987.4</v>
      </c>
      <c r="AB19" s="262">
        <f t="shared" si="70"/>
        <v>2012.5364490000002</v>
      </c>
      <c r="AC19" s="262">
        <f>W19*1.11*1.03</f>
        <v>135.25239000000002</v>
      </c>
      <c r="AD19" s="263">
        <f t="shared" si="46"/>
        <v>85.306634878286474</v>
      </c>
      <c r="AE19" s="262">
        <f t="shared" si="47"/>
        <v>1877.2840590000001</v>
      </c>
      <c r="AF19" s="265">
        <f t="shared" si="48"/>
        <v>1.013378709311741</v>
      </c>
      <c r="AG19" s="266">
        <v>1877.2840000000001</v>
      </c>
      <c r="AH19" s="267">
        <f t="shared" si="71"/>
        <v>2093.0379069600003</v>
      </c>
      <c r="AI19" s="262">
        <v>135.27000000000001</v>
      </c>
      <c r="AJ19" s="268">
        <f t="shared" si="72"/>
        <v>1.0001302010263922</v>
      </c>
      <c r="AK19" s="262">
        <f t="shared" si="73"/>
        <v>1957.7679069600003</v>
      </c>
      <c r="AL19" s="269">
        <f t="shared" si="74"/>
        <v>1.0428725259257525</v>
      </c>
      <c r="AM19" s="324">
        <v>2657.8</v>
      </c>
      <c r="AN19" s="271">
        <v>2967.8679999999999</v>
      </c>
      <c r="AO19" s="272">
        <v>166.16</v>
      </c>
      <c r="AP19" s="268">
        <f t="shared" si="75"/>
        <v>1.2283580986175795</v>
      </c>
      <c r="AQ19" s="272">
        <v>3781</v>
      </c>
      <c r="AR19" s="269">
        <f>AQ19/AM19</f>
        <v>1.4226051621641957</v>
      </c>
      <c r="AS19" s="273">
        <f>AN19*1.04*1000</f>
        <v>3086582.7199999997</v>
      </c>
      <c r="AT19" s="274">
        <v>172810</v>
      </c>
      <c r="AU19" s="275">
        <f t="shared" si="50"/>
        <v>1040.0216658642273</v>
      </c>
      <c r="AV19" s="274">
        <f t="shared" si="51"/>
        <v>2913772.7199999997</v>
      </c>
      <c r="AW19" s="269">
        <f t="shared" si="60"/>
        <v>770.63547209732872</v>
      </c>
      <c r="AX19" s="273">
        <f t="shared" si="64"/>
        <v>3210046.0288</v>
      </c>
      <c r="AY19" s="274">
        <f t="shared" si="64"/>
        <v>179722.4</v>
      </c>
      <c r="AZ19" s="275">
        <f t="shared" si="52"/>
        <v>1.04</v>
      </c>
      <c r="BA19" s="274">
        <f t="shared" si="53"/>
        <v>3030323.6288000001</v>
      </c>
      <c r="BB19" s="276">
        <f t="shared" si="54"/>
        <v>1.04</v>
      </c>
      <c r="BC19" s="273">
        <f t="shared" si="77"/>
        <v>3338447.8699520002</v>
      </c>
      <c r="BD19" s="274">
        <f t="shared" si="65"/>
        <v>186911.296</v>
      </c>
      <c r="BE19" s="275">
        <f t="shared" si="55"/>
        <v>1.04</v>
      </c>
      <c r="BF19" s="274">
        <f t="shared" si="66"/>
        <v>3151536.5739520001</v>
      </c>
      <c r="BG19" s="277">
        <f t="shared" si="56"/>
        <v>1.04</v>
      </c>
      <c r="BH19" s="273">
        <f t="shared" si="78"/>
        <v>3471985.7847500802</v>
      </c>
      <c r="BI19" s="274">
        <f t="shared" si="67"/>
        <v>194387.74784</v>
      </c>
      <c r="BJ19" s="275">
        <f t="shared" si="57"/>
        <v>1.04</v>
      </c>
      <c r="BK19" s="274">
        <f t="shared" si="68"/>
        <v>3277598.0369100804</v>
      </c>
      <c r="BL19" s="269">
        <f t="shared" si="58"/>
        <v>1.04</v>
      </c>
    </row>
    <row r="20" spans="1:64" ht="35.25" customHeight="1">
      <c r="A20" s="253" t="s">
        <v>63</v>
      </c>
      <c r="B20" s="254"/>
      <c r="C20" s="255"/>
      <c r="D20" s="255"/>
      <c r="E20" s="255"/>
      <c r="F20" s="255"/>
      <c r="G20" s="256"/>
      <c r="H20" s="257"/>
      <c r="I20" s="258"/>
      <c r="J20" s="257"/>
      <c r="K20" s="258"/>
      <c r="L20" s="259"/>
      <c r="M20" s="255"/>
      <c r="N20" s="259"/>
      <c r="O20" s="260"/>
      <c r="P20" s="261"/>
      <c r="Q20" s="262"/>
      <c r="R20" s="262"/>
      <c r="S20" s="263"/>
      <c r="T20" s="262"/>
      <c r="U20" s="263"/>
      <c r="V20" s="264"/>
      <c r="W20" s="264"/>
      <c r="X20" s="264"/>
      <c r="Y20" s="264"/>
      <c r="Z20" s="264">
        <v>0</v>
      </c>
      <c r="AA20" s="264">
        <v>0</v>
      </c>
      <c r="AB20" s="262">
        <v>899.90300000000002</v>
      </c>
      <c r="AC20" s="262">
        <v>246.4</v>
      </c>
      <c r="AD20" s="263"/>
      <c r="AE20" s="262">
        <f t="shared" si="47"/>
        <v>653.50300000000004</v>
      </c>
      <c r="AF20" s="265" t="s">
        <v>64</v>
      </c>
      <c r="AG20" s="266">
        <v>653.50300000000004</v>
      </c>
      <c r="AH20" s="267">
        <v>367.786</v>
      </c>
      <c r="AI20" s="262">
        <f>AC20*1.04</f>
        <v>256.25600000000003</v>
      </c>
      <c r="AJ20" s="268">
        <f t="shared" si="72"/>
        <v>1.04</v>
      </c>
      <c r="AK20" s="262">
        <f t="shared" si="73"/>
        <v>111.52999999999997</v>
      </c>
      <c r="AL20" s="269">
        <f t="shared" si="74"/>
        <v>0.17066486305342127</v>
      </c>
      <c r="AM20" s="324">
        <f t="shared" si="76"/>
        <v>111.52999999999997</v>
      </c>
      <c r="AN20" s="271"/>
      <c r="AO20" s="272"/>
      <c r="AP20" s="268"/>
      <c r="AQ20" s="272"/>
      <c r="AR20" s="269"/>
      <c r="AS20" s="273"/>
      <c r="AT20" s="274"/>
      <c r="AU20" s="275"/>
      <c r="AV20" s="274">
        <v>1431000</v>
      </c>
      <c r="AW20" s="269"/>
      <c r="AX20" s="273"/>
      <c r="AY20" s="274"/>
      <c r="AZ20" s="275"/>
      <c r="BA20" s="274">
        <f t="shared" ref="BA20:BA21" si="79">AV20*1.04</f>
        <v>1488240</v>
      </c>
      <c r="BB20" s="276">
        <f t="shared" si="54"/>
        <v>1.04</v>
      </c>
      <c r="BC20" s="273"/>
      <c r="BD20" s="274"/>
      <c r="BE20" s="275"/>
      <c r="BF20" s="274">
        <f t="shared" ref="BF20:BF22" si="80">BA20*1.04</f>
        <v>1547769.6</v>
      </c>
      <c r="BG20" s="277">
        <f t="shared" si="56"/>
        <v>1.04</v>
      </c>
      <c r="BH20" s="273"/>
      <c r="BI20" s="274"/>
      <c r="BJ20" s="275"/>
      <c r="BK20" s="274">
        <f>77121940-75512254</f>
        <v>1609686</v>
      </c>
      <c r="BL20" s="269">
        <f t="shared" si="58"/>
        <v>1.0400036284470247</v>
      </c>
    </row>
    <row r="21" spans="1:64" ht="30.75" customHeight="1">
      <c r="A21" s="325" t="s">
        <v>65</v>
      </c>
      <c r="B21" s="254"/>
      <c r="C21" s="255"/>
      <c r="D21" s="255"/>
      <c r="E21" s="255"/>
      <c r="F21" s="255"/>
      <c r="G21" s="256"/>
      <c r="H21" s="257"/>
      <c r="I21" s="258"/>
      <c r="J21" s="257"/>
      <c r="K21" s="258"/>
      <c r="L21" s="259"/>
      <c r="M21" s="255"/>
      <c r="N21" s="259"/>
      <c r="O21" s="260"/>
      <c r="P21" s="261"/>
      <c r="Q21" s="262"/>
      <c r="R21" s="262"/>
      <c r="S21" s="263"/>
      <c r="T21" s="262"/>
      <c r="U21" s="263"/>
      <c r="V21" s="264"/>
      <c r="W21" s="264"/>
      <c r="X21" s="264"/>
      <c r="Y21" s="264"/>
      <c r="Z21" s="264"/>
      <c r="AA21" s="264"/>
      <c r="AB21" s="262"/>
      <c r="AC21" s="262"/>
      <c r="AD21" s="263"/>
      <c r="AE21" s="262"/>
      <c r="AF21" s="265"/>
      <c r="AG21" s="266"/>
      <c r="AH21" s="326"/>
      <c r="AI21" s="327"/>
      <c r="AJ21" s="328"/>
      <c r="AK21" s="327"/>
      <c r="AL21" s="329"/>
      <c r="AM21" s="330"/>
      <c r="AN21" s="331"/>
      <c r="AO21" s="332"/>
      <c r="AP21" s="328"/>
      <c r="AQ21" s="332">
        <v>300</v>
      </c>
      <c r="AR21" s="329"/>
      <c r="AS21" s="333"/>
      <c r="AT21" s="334"/>
      <c r="AU21" s="335"/>
      <c r="AV21" s="334">
        <v>5400000</v>
      </c>
      <c r="AW21" s="269"/>
      <c r="AX21" s="273"/>
      <c r="AY21" s="274"/>
      <c r="AZ21" s="275"/>
      <c r="BA21" s="274">
        <f t="shared" si="79"/>
        <v>5616000</v>
      </c>
      <c r="BB21" s="276">
        <f t="shared" si="54"/>
        <v>1.04</v>
      </c>
      <c r="BC21" s="273"/>
      <c r="BD21" s="274"/>
      <c r="BE21" s="275"/>
      <c r="BF21" s="274">
        <f t="shared" si="80"/>
        <v>5840640</v>
      </c>
      <c r="BG21" s="277">
        <f t="shared" si="56"/>
        <v>1.04</v>
      </c>
      <c r="BH21" s="273"/>
      <c r="BI21" s="274"/>
      <c r="BJ21" s="275"/>
      <c r="BK21" s="274">
        <f t="shared" ref="BK21:BK22" si="81">BF21*1.04</f>
        <v>6074265.6000000006</v>
      </c>
      <c r="BL21" s="269">
        <f t="shared" si="58"/>
        <v>1.04</v>
      </c>
    </row>
    <row r="22" spans="1:64" ht="32.25" customHeight="1">
      <c r="A22" s="325" t="s">
        <v>66</v>
      </c>
      <c r="B22" s="336"/>
      <c r="C22" s="337"/>
      <c r="D22" s="337"/>
      <c r="E22" s="337"/>
      <c r="F22" s="337"/>
      <c r="G22" s="338"/>
      <c r="H22" s="339"/>
      <c r="I22" s="340"/>
      <c r="J22" s="339"/>
      <c r="K22" s="340"/>
      <c r="L22" s="341"/>
      <c r="M22" s="337"/>
      <c r="N22" s="341"/>
      <c r="O22" s="342"/>
      <c r="P22" s="343"/>
      <c r="Q22" s="327"/>
      <c r="R22" s="327"/>
      <c r="S22" s="344"/>
      <c r="T22" s="327"/>
      <c r="U22" s="344"/>
      <c r="V22" s="345"/>
      <c r="W22" s="345"/>
      <c r="X22" s="345"/>
      <c r="Y22" s="345"/>
      <c r="Z22" s="345"/>
      <c r="AA22" s="345"/>
      <c r="AB22" s="327"/>
      <c r="AC22" s="327"/>
      <c r="AD22" s="344"/>
      <c r="AE22" s="327"/>
      <c r="AF22" s="346"/>
      <c r="AG22" s="347"/>
      <c r="AH22" s="326"/>
      <c r="AI22" s="327"/>
      <c r="AJ22" s="328"/>
      <c r="AK22" s="327"/>
      <c r="AL22" s="329"/>
      <c r="AM22" s="330"/>
      <c r="AN22" s="331"/>
      <c r="AO22" s="332"/>
      <c r="AP22" s="328"/>
      <c r="AQ22" s="332"/>
      <c r="AR22" s="329"/>
      <c r="AS22" s="333"/>
      <c r="AT22" s="334"/>
      <c r="AU22" s="335"/>
      <c r="AV22" s="334"/>
      <c r="AW22" s="329"/>
      <c r="AX22" s="333">
        <f>(2949.03+147)*1000</f>
        <v>3096030</v>
      </c>
      <c r="AY22" s="334">
        <v>194400</v>
      </c>
      <c r="AZ22" s="335"/>
      <c r="BA22" s="274">
        <f t="shared" si="53"/>
        <v>2901630</v>
      </c>
      <c r="BB22" s="348"/>
      <c r="BC22" s="333">
        <f t="shared" si="77"/>
        <v>3219871.2</v>
      </c>
      <c r="BD22" s="334">
        <f t="shared" si="65"/>
        <v>202176</v>
      </c>
      <c r="BE22" s="275">
        <f t="shared" si="55"/>
        <v>1.04</v>
      </c>
      <c r="BF22" s="274">
        <f t="shared" si="80"/>
        <v>3017695.2</v>
      </c>
      <c r="BG22" s="277">
        <f t="shared" si="56"/>
        <v>1.04</v>
      </c>
      <c r="BH22" s="333">
        <f t="shared" si="78"/>
        <v>3348666.0480000004</v>
      </c>
      <c r="BI22" s="334">
        <f t="shared" si="67"/>
        <v>210263.04000000001</v>
      </c>
      <c r="BJ22" s="275">
        <f t="shared" si="57"/>
        <v>1.04</v>
      </c>
      <c r="BK22" s="274">
        <f t="shared" si="81"/>
        <v>3138403.0080000004</v>
      </c>
      <c r="BL22" s="269">
        <f t="shared" si="58"/>
        <v>1.04</v>
      </c>
    </row>
    <row r="23" spans="1:64" ht="30" customHeight="1">
      <c r="A23" s="325" t="s">
        <v>67</v>
      </c>
      <c r="B23" s="336"/>
      <c r="C23" s="337"/>
      <c r="D23" s="337"/>
      <c r="E23" s="337"/>
      <c r="F23" s="337"/>
      <c r="G23" s="338" t="s">
        <v>68</v>
      </c>
      <c r="H23" s="339" t="s">
        <v>68</v>
      </c>
      <c r="I23" s="340" t="s">
        <v>68</v>
      </c>
      <c r="J23" s="339" t="s">
        <v>68</v>
      </c>
      <c r="K23" s="340" t="s">
        <v>68</v>
      </c>
      <c r="L23" s="341" t="s">
        <v>68</v>
      </c>
      <c r="M23" s="337">
        <f>1595.8+300</f>
        <v>1895.8</v>
      </c>
      <c r="N23" s="341" t="s">
        <v>68</v>
      </c>
      <c r="O23" s="342">
        <v>2292.6</v>
      </c>
      <c r="P23" s="343">
        <f t="shared" si="43"/>
        <v>1.209304778985125</v>
      </c>
      <c r="Q23" s="327">
        <f>[11]Лист1!$M$39</f>
        <v>3044.0185510444007</v>
      </c>
      <c r="R23" s="327">
        <f>[11]Лист1!$M$18</f>
        <v>1020</v>
      </c>
      <c r="S23" s="344">
        <f>75/70*100</f>
        <v>107.14285714285714</v>
      </c>
      <c r="T23" s="327">
        <f t="shared" si="69"/>
        <v>2024.0185510444007</v>
      </c>
      <c r="U23" s="344">
        <f t="shared" si="44"/>
        <v>88.284853487062762</v>
      </c>
      <c r="V23" s="345">
        <f>1353.24+1991.6182</f>
        <v>3344.8581999999997</v>
      </c>
      <c r="W23" s="345">
        <v>1353.24</v>
      </c>
      <c r="X23" s="345">
        <f t="shared" si="45"/>
        <v>1991.6181999999997</v>
      </c>
      <c r="Y23" s="345"/>
      <c r="Z23" s="345">
        <v>2192.8000000000002</v>
      </c>
      <c r="AA23" s="345">
        <v>1974</v>
      </c>
      <c r="AB23" s="327">
        <f t="shared" si="70"/>
        <v>3621.2103844839999</v>
      </c>
      <c r="AC23" s="327">
        <f>W23*1.114*1.026</f>
        <v>1546.7046033600002</v>
      </c>
      <c r="AD23" s="344">
        <f t="shared" si="46"/>
        <v>151.63770621176474</v>
      </c>
      <c r="AE23" s="327">
        <f t="shared" si="47"/>
        <v>2074.5057811239994</v>
      </c>
      <c r="AF23" s="346">
        <f t="shared" si="48"/>
        <v>0.94605334783108319</v>
      </c>
      <c r="AG23" s="347">
        <v>2074.5059999999999</v>
      </c>
      <c r="AH23" s="326">
        <f t="shared" si="71"/>
        <v>3766.05879986336</v>
      </c>
      <c r="AI23" s="327">
        <f>1740.01</f>
        <v>1740.01</v>
      </c>
      <c r="AJ23" s="328">
        <f t="shared" si="72"/>
        <v>1.1249788719966765</v>
      </c>
      <c r="AK23" s="327">
        <f t="shared" si="73"/>
        <v>2026.04879986336</v>
      </c>
      <c r="AL23" s="329">
        <f t="shared" si="74"/>
        <v>0.97664157146971864</v>
      </c>
      <c r="AM23" s="330">
        <f t="shared" si="76"/>
        <v>2026.04879986336</v>
      </c>
      <c r="AN23" s="331">
        <v>4157.2</v>
      </c>
      <c r="AO23" s="332">
        <v>1784.05</v>
      </c>
      <c r="AP23" s="328">
        <f t="shared" si="75"/>
        <v>1.0253101993666702</v>
      </c>
      <c r="AQ23" s="332">
        <f t="shared" si="49"/>
        <v>2373.1499999999996</v>
      </c>
      <c r="AR23" s="329">
        <f>AQ23/AK23</f>
        <v>1.1713192693878098</v>
      </c>
      <c r="AS23" s="333">
        <v>4323200</v>
      </c>
      <c r="AT23" s="334">
        <v>1855420</v>
      </c>
      <c r="AU23" s="335">
        <f t="shared" si="50"/>
        <v>1040.0044841792551</v>
      </c>
      <c r="AV23" s="334">
        <f t="shared" si="51"/>
        <v>2467780</v>
      </c>
      <c r="AW23" s="329">
        <f t="shared" si="60"/>
        <v>1039.8752712639321</v>
      </c>
      <c r="AX23" s="333">
        <f t="shared" si="64"/>
        <v>4496128</v>
      </c>
      <c r="AY23" s="334">
        <f t="shared" si="64"/>
        <v>1929636.8</v>
      </c>
      <c r="AZ23" s="335">
        <f t="shared" si="52"/>
        <v>1.04</v>
      </c>
      <c r="BA23" s="334">
        <f t="shared" si="53"/>
        <v>2566491.2000000002</v>
      </c>
      <c r="BB23" s="348">
        <f t="shared" si="54"/>
        <v>1.04</v>
      </c>
      <c r="BC23" s="333">
        <f t="shared" si="77"/>
        <v>4675973.1200000001</v>
      </c>
      <c r="BD23" s="334">
        <f t="shared" si="65"/>
        <v>2006822.2720000001</v>
      </c>
      <c r="BE23" s="335">
        <f t="shared" si="55"/>
        <v>1.04</v>
      </c>
      <c r="BF23" s="334">
        <f>BC23-BD23</f>
        <v>2669150.8480000002</v>
      </c>
      <c r="BG23" s="349">
        <f t="shared" si="56"/>
        <v>1.04</v>
      </c>
      <c r="BH23" s="333">
        <f t="shared" si="78"/>
        <v>4863012.0448000003</v>
      </c>
      <c r="BI23" s="334">
        <f t="shared" si="67"/>
        <v>2087095.1628800002</v>
      </c>
      <c r="BJ23" s="335">
        <f t="shared" si="57"/>
        <v>1.04</v>
      </c>
      <c r="BK23" s="334">
        <f>BH23-BI23</f>
        <v>2775916.8819200001</v>
      </c>
      <c r="BL23" s="329">
        <f t="shared" si="58"/>
        <v>1.04</v>
      </c>
    </row>
    <row r="24" spans="1:64" ht="42.75" customHeight="1">
      <c r="A24" s="396" t="s">
        <v>69</v>
      </c>
      <c r="B24" s="350"/>
      <c r="C24" s="350"/>
      <c r="D24" s="350"/>
      <c r="E24" s="350"/>
      <c r="F24" s="350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2"/>
      <c r="AC24" s="352"/>
      <c r="AD24" s="352"/>
      <c r="AE24" s="352"/>
      <c r="AF24" s="353"/>
      <c r="AG24" s="353"/>
      <c r="AH24" s="353"/>
      <c r="AI24" s="352"/>
      <c r="AJ24" s="352"/>
      <c r="AK24" s="352"/>
      <c r="AL24" s="352"/>
      <c r="AM24" s="352"/>
      <c r="AN24" s="352"/>
      <c r="AO24" s="352"/>
      <c r="AP24" s="352"/>
      <c r="AQ24" s="352"/>
      <c r="AR24" s="352"/>
      <c r="AS24" s="353"/>
      <c r="AT24" s="352"/>
      <c r="AU24" s="352"/>
      <c r="AV24" s="354">
        <f>AV25</f>
        <v>358800</v>
      </c>
      <c r="AW24" s="352"/>
      <c r="AX24" s="355"/>
      <c r="AY24" s="351"/>
      <c r="AZ24" s="351"/>
      <c r="BA24" s="356">
        <f>BA25+BA26+BA27</f>
        <v>4500708.5491699995</v>
      </c>
      <c r="BB24" s="351"/>
      <c r="BC24" s="351"/>
      <c r="BD24" s="351"/>
      <c r="BE24" s="351"/>
      <c r="BF24" s="357">
        <f>BF25</f>
        <v>358800</v>
      </c>
      <c r="BG24" s="358"/>
      <c r="BH24" s="351"/>
      <c r="BI24" s="351"/>
      <c r="BJ24" s="351"/>
      <c r="BK24" s="357">
        <f>BK25</f>
        <v>358800</v>
      </c>
      <c r="BL24" s="358"/>
    </row>
    <row r="25" spans="1:64" ht="35.25" customHeight="1">
      <c r="A25" s="397" t="s">
        <v>70</v>
      </c>
      <c r="B25" s="359"/>
      <c r="C25" s="359"/>
      <c r="D25" s="359"/>
      <c r="E25" s="359"/>
      <c r="F25" s="359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1"/>
      <c r="AC25" s="361"/>
      <c r="AD25" s="361"/>
      <c r="AE25" s="361"/>
      <c r="AF25" s="362"/>
      <c r="AG25" s="362"/>
      <c r="AH25" s="362"/>
      <c r="AI25" s="361"/>
      <c r="AJ25" s="361"/>
      <c r="AK25" s="361"/>
      <c r="AL25" s="361"/>
      <c r="AM25" s="361"/>
      <c r="AN25" s="361"/>
      <c r="AO25" s="361"/>
      <c r="AP25" s="361"/>
      <c r="AQ25" s="361"/>
      <c r="AR25" s="361"/>
      <c r="AS25" s="362"/>
      <c r="AT25" s="361"/>
      <c r="AU25" s="361"/>
      <c r="AV25" s="363">
        <v>358800</v>
      </c>
      <c r="AW25" s="361"/>
      <c r="AX25" s="364"/>
      <c r="AY25" s="360"/>
      <c r="AZ25" s="360"/>
      <c r="BA25" s="365">
        <f>358800+753029</f>
        <v>1111829</v>
      </c>
      <c r="BB25" s="366"/>
      <c r="BC25" s="366"/>
      <c r="BD25" s="366"/>
      <c r="BE25" s="366"/>
      <c r="BF25" s="367">
        <f>AV25</f>
        <v>358800</v>
      </c>
      <c r="BG25" s="368"/>
      <c r="BH25" s="366"/>
      <c r="BI25" s="366"/>
      <c r="BJ25" s="366"/>
      <c r="BK25" s="367">
        <f>BF25</f>
        <v>358800</v>
      </c>
      <c r="BL25" s="369"/>
    </row>
    <row r="26" spans="1:64" ht="40.5" customHeight="1">
      <c r="A26" s="398" t="s">
        <v>71</v>
      </c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1"/>
      <c r="AC26" s="371"/>
      <c r="AD26" s="371"/>
      <c r="AE26" s="371"/>
      <c r="AF26" s="372"/>
      <c r="AG26" s="372"/>
      <c r="AH26" s="372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  <c r="AS26" s="372"/>
      <c r="AT26" s="371"/>
      <c r="AU26" s="371"/>
      <c r="AV26" s="373"/>
      <c r="AW26" s="371"/>
      <c r="AX26" s="370"/>
      <c r="AY26" s="370"/>
      <c r="AZ26" s="370"/>
      <c r="BA26" s="374">
        <f>(1202.585+1826.299999)*0.83*1000</f>
        <v>2513974.5491699995</v>
      </c>
      <c r="BB26" s="370"/>
      <c r="BC26" s="370"/>
      <c r="BD26" s="370"/>
      <c r="BE26" s="370"/>
      <c r="BF26" s="370"/>
      <c r="BG26" s="375"/>
      <c r="BH26" s="370"/>
      <c r="BI26" s="370"/>
      <c r="BJ26" s="370"/>
      <c r="BK26" s="370"/>
      <c r="BL26" s="375"/>
    </row>
    <row r="27" spans="1:64" ht="33" customHeight="1">
      <c r="A27" s="376" t="s">
        <v>72</v>
      </c>
      <c r="B27" s="377"/>
      <c r="C27" s="377"/>
      <c r="D27" s="377"/>
      <c r="E27" s="377"/>
      <c r="F27" s="377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8"/>
      <c r="Z27" s="378"/>
      <c r="AA27" s="378"/>
      <c r="AB27" s="379"/>
      <c r="AC27" s="379"/>
      <c r="AD27" s="379"/>
      <c r="AE27" s="379"/>
      <c r="AF27" s="380"/>
      <c r="AG27" s="380"/>
      <c r="AH27" s="380"/>
      <c r="AI27" s="379"/>
      <c r="AJ27" s="379"/>
      <c r="AK27" s="379"/>
      <c r="AL27" s="379"/>
      <c r="AM27" s="379"/>
      <c r="AN27" s="379"/>
      <c r="AO27" s="379"/>
      <c r="AP27" s="379"/>
      <c r="AQ27" s="379"/>
      <c r="AR27" s="379"/>
      <c r="AS27" s="380"/>
      <c r="AT27" s="379"/>
      <c r="AU27" s="381"/>
      <c r="AV27" s="382"/>
      <c r="AW27" s="379"/>
      <c r="AX27" s="378"/>
      <c r="AY27" s="378"/>
      <c r="AZ27" s="378"/>
      <c r="BA27" s="383">
        <v>874905</v>
      </c>
      <c r="BB27" s="378"/>
      <c r="BC27" s="378"/>
      <c r="BD27" s="378"/>
      <c r="BE27" s="378"/>
      <c r="BF27" s="378"/>
      <c r="BG27" s="384"/>
      <c r="BH27" s="378"/>
      <c r="BI27" s="378"/>
      <c r="BJ27" s="378"/>
      <c r="BK27" s="378"/>
      <c r="BL27" s="384"/>
    </row>
    <row r="28" spans="1:64" ht="67.5" customHeight="1">
      <c r="A28" s="385" t="s">
        <v>73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7"/>
      <c r="AC28" s="387"/>
      <c r="AD28" s="387"/>
      <c r="AE28" s="387"/>
      <c r="AF28" s="388"/>
      <c r="AG28" s="388"/>
      <c r="AH28" s="388"/>
      <c r="AI28" s="387"/>
      <c r="AJ28" s="387"/>
      <c r="AK28" s="387"/>
      <c r="AL28" s="387"/>
      <c r="AM28" s="387"/>
      <c r="AN28" s="387"/>
      <c r="AO28" s="387"/>
      <c r="AP28" s="387"/>
      <c r="AQ28" s="389"/>
      <c r="AR28" s="387"/>
      <c r="AS28" s="388"/>
      <c r="AT28" s="387"/>
      <c r="AU28" s="387"/>
      <c r="AV28" s="390">
        <f>AV13+AV24</f>
        <v>59420731.420000002</v>
      </c>
      <c r="AW28" s="387"/>
      <c r="AX28" s="386"/>
      <c r="AY28" s="386"/>
      <c r="AZ28" s="386"/>
      <c r="BA28" s="391">
        <f>BA13+BA24</f>
        <v>70145989.921969995</v>
      </c>
      <c r="BB28" s="386"/>
      <c r="BC28" s="386"/>
      <c r="BD28" s="386"/>
      <c r="BE28" s="386"/>
      <c r="BF28" s="391">
        <f>BF13+BF24</f>
        <v>71629890.286367804</v>
      </c>
      <c r="BG28" s="392"/>
      <c r="BH28" s="386"/>
      <c r="BI28" s="386"/>
      <c r="BJ28" s="386"/>
      <c r="BK28" s="391">
        <f>BK13+BK24</f>
        <v>77480739.513822511</v>
      </c>
      <c r="BL28" s="392"/>
    </row>
    <row r="30" spans="1:64" hidden="1"/>
    <row r="31" spans="1:64" hidden="1">
      <c r="AV31" s="393">
        <f>AV19+AV26</f>
        <v>2913772.7199999997</v>
      </c>
    </row>
  </sheetData>
  <mergeCells count="18">
    <mergeCell ref="AX5:BB5"/>
    <mergeCell ref="BC5:BG5"/>
    <mergeCell ref="BH5:BL5"/>
    <mergeCell ref="A3:BL3"/>
    <mergeCell ref="A5:A6"/>
    <mergeCell ref="D5:E5"/>
    <mergeCell ref="F5:H5"/>
    <mergeCell ref="I5:J5"/>
    <mergeCell ref="K5:L5"/>
    <mergeCell ref="M5:N5"/>
    <mergeCell ref="O5:P5"/>
    <mergeCell ref="Q5:U5"/>
    <mergeCell ref="V5:Y5"/>
    <mergeCell ref="AA5:AA6"/>
    <mergeCell ref="AB5:AF5"/>
    <mergeCell ref="AH5:AL5"/>
    <mergeCell ref="AN5:AR5"/>
    <mergeCell ref="AS5:AW5"/>
  </mergeCells>
  <pageMargins left="0.43307086614173229" right="0.43307086614173229" top="0.74803149606299213" bottom="0.74803149606299213" header="0.31496062992125984" footer="0.31496062992125984"/>
  <pageSetup paperSize="9" scale="43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5"/>
  <sheetViews>
    <sheetView topLeftCell="A2" workbookViewId="0">
      <selection activeCell="O16" sqref="O16"/>
    </sheetView>
  </sheetViews>
  <sheetFormatPr defaultRowHeight="15"/>
  <cols>
    <col min="1" max="1" width="7.42578125" bestFit="1" customWidth="1"/>
    <col min="2" max="2" width="91.140625" bestFit="1" customWidth="1"/>
    <col min="3" max="3" width="19.85546875" bestFit="1" customWidth="1"/>
    <col min="4" max="4" width="14.7109375" hidden="1" bestFit="1" customWidth="1"/>
    <col min="5" max="5" width="14.5703125" hidden="1" bestFit="1" customWidth="1"/>
    <col min="6" max="6" width="19.140625" bestFit="1" customWidth="1"/>
    <col min="7" max="7" width="20" customWidth="1"/>
    <col min="8" max="8" width="17.5703125" bestFit="1" customWidth="1"/>
    <col min="10" max="10" width="0" hidden="1" bestFit="1" customWidth="1"/>
  </cols>
  <sheetData>
    <row r="1" spans="1:14">
      <c r="B1" s="1"/>
      <c r="C1" s="1"/>
      <c r="D1" s="1"/>
      <c r="E1" s="1"/>
      <c r="F1" s="1"/>
      <c r="G1" s="1"/>
      <c r="H1" s="1"/>
    </row>
    <row r="2" spans="1:14" ht="18.75">
      <c r="A2" s="156" t="s">
        <v>74</v>
      </c>
      <c r="B2" s="156"/>
      <c r="C2" s="156"/>
      <c r="D2" s="156"/>
      <c r="E2" s="156"/>
      <c r="F2" s="156"/>
      <c r="G2" s="156"/>
      <c r="H2" s="156"/>
      <c r="I2" s="2"/>
      <c r="J2" s="2"/>
      <c r="K2" s="2"/>
      <c r="L2" s="2"/>
      <c r="M2" s="2"/>
      <c r="N2" s="3"/>
    </row>
    <row r="3" spans="1:14" ht="18.75">
      <c r="A3" s="156" t="s">
        <v>75</v>
      </c>
      <c r="B3" s="156"/>
      <c r="C3" s="156"/>
      <c r="D3" s="156"/>
      <c r="E3" s="156"/>
      <c r="F3" s="156"/>
      <c r="G3" s="156"/>
      <c r="H3" s="4"/>
      <c r="I3" s="2"/>
      <c r="J3" s="2"/>
      <c r="K3" s="2"/>
      <c r="L3" s="2"/>
      <c r="M3" s="2"/>
    </row>
    <row r="4" spans="1:14">
      <c r="B4" s="1"/>
      <c r="C4" s="1"/>
      <c r="D4" s="1"/>
      <c r="E4" s="1"/>
      <c r="F4" s="1"/>
      <c r="G4" s="1"/>
      <c r="H4" s="1"/>
    </row>
    <row r="5" spans="1:14" ht="39.75" customHeight="1">
      <c r="A5" s="5" t="s">
        <v>76</v>
      </c>
      <c r="B5" s="6" t="s">
        <v>77</v>
      </c>
      <c r="C5" s="6" t="s">
        <v>78</v>
      </c>
      <c r="D5" s="6" t="s">
        <v>79</v>
      </c>
      <c r="E5" s="6" t="s">
        <v>80</v>
      </c>
      <c r="F5" s="7" t="s">
        <v>81</v>
      </c>
      <c r="G5" s="7" t="s">
        <v>82</v>
      </c>
      <c r="H5" s="8" t="s">
        <v>83</v>
      </c>
    </row>
    <row r="6" spans="1:14" ht="18.75">
      <c r="A6" s="9">
        <v>1</v>
      </c>
      <c r="B6" s="10" t="s">
        <v>84</v>
      </c>
      <c r="C6" s="11" t="s">
        <v>85</v>
      </c>
      <c r="D6" s="12">
        <v>79.77</v>
      </c>
      <c r="E6" s="12">
        <v>87.93</v>
      </c>
      <c r="F6" s="12">
        <v>95.4</v>
      </c>
      <c r="G6" s="12">
        <v>99.789332247999994</v>
      </c>
      <c r="H6" s="13">
        <v>102.65</v>
      </c>
    </row>
    <row r="7" spans="1:14" ht="18.75">
      <c r="A7" s="14">
        <v>2</v>
      </c>
      <c r="B7" s="15" t="s">
        <v>86</v>
      </c>
      <c r="C7" s="16" t="s">
        <v>85</v>
      </c>
      <c r="D7" s="17">
        <v>28.45</v>
      </c>
      <c r="E7" s="17">
        <v>29.45</v>
      </c>
      <c r="F7" s="17">
        <f>E7*1.039999985</f>
        <v>30.627999558249996</v>
      </c>
      <c r="G7" s="17">
        <v>31.15</v>
      </c>
      <c r="H7" s="18">
        <f>G7*1.037</f>
        <v>32.302549999999997</v>
      </c>
    </row>
    <row r="8" spans="1:14" ht="18.75">
      <c r="A8" s="14">
        <v>3</v>
      </c>
      <c r="B8" s="15" t="s">
        <v>87</v>
      </c>
      <c r="C8" s="16" t="s">
        <v>88</v>
      </c>
      <c r="D8" s="17">
        <v>46.56</v>
      </c>
      <c r="E8" s="17">
        <v>42.93</v>
      </c>
      <c r="F8" s="17">
        <v>46.12</v>
      </c>
      <c r="G8" s="17">
        <v>46.12</v>
      </c>
      <c r="H8" s="18">
        <v>46.12</v>
      </c>
    </row>
    <row r="9" spans="1:14" ht="18.75">
      <c r="A9" s="14">
        <v>4</v>
      </c>
      <c r="B9" s="15" t="s">
        <v>89</v>
      </c>
      <c r="C9" s="16" t="s">
        <v>88</v>
      </c>
      <c r="D9" s="19">
        <f>D8/9.45</f>
        <v>4.9269841269841272</v>
      </c>
      <c r="E9" s="19">
        <v>4.88</v>
      </c>
      <c r="F9" s="19">
        <f>F8/9.45</f>
        <v>4.8804232804232806</v>
      </c>
      <c r="G9" s="19">
        <v>4.88</v>
      </c>
      <c r="H9" s="20">
        <v>4.88</v>
      </c>
    </row>
    <row r="10" spans="1:14" ht="18.75">
      <c r="A10" s="14">
        <v>5</v>
      </c>
      <c r="B10" s="15" t="s">
        <v>90</v>
      </c>
      <c r="C10" s="16" t="s">
        <v>91</v>
      </c>
      <c r="D10" s="17">
        <v>72643.845000000001</v>
      </c>
      <c r="E10" s="17">
        <v>66514.304000000004</v>
      </c>
      <c r="F10" s="21">
        <v>76516697</v>
      </c>
      <c r="G10" s="21">
        <f>F10</f>
        <v>76516697</v>
      </c>
      <c r="H10" s="22">
        <f>G10</f>
        <v>76516697</v>
      </c>
      <c r="J10">
        <f>E8/E9</f>
        <v>8.7971311475409841</v>
      </c>
    </row>
    <row r="11" spans="1:14" ht="18.75">
      <c r="A11" s="14">
        <v>6</v>
      </c>
      <c r="B11" s="15" t="s">
        <v>92</v>
      </c>
      <c r="C11" s="16" t="s">
        <v>93</v>
      </c>
      <c r="D11" s="17">
        <f>D10/D8</f>
        <v>1560.2200386597938</v>
      </c>
      <c r="E11" s="17">
        <v>1549.2539999999999</v>
      </c>
      <c r="F11" s="21">
        <f>F10/F8</f>
        <v>1659078.4258456202</v>
      </c>
      <c r="G11" s="21">
        <f t="shared" ref="G11:H11" si="0">G10/G8</f>
        <v>1659078.4258456202</v>
      </c>
      <c r="H11" s="22">
        <f t="shared" si="0"/>
        <v>1659078.4258456202</v>
      </c>
      <c r="J11">
        <f>E11*E8</f>
        <v>66509.474219999989</v>
      </c>
    </row>
    <row r="12" spans="1:14" ht="18.75">
      <c r="A12" s="14">
        <v>7</v>
      </c>
      <c r="B12" s="15" t="s">
        <v>94</v>
      </c>
      <c r="C12" s="23" t="s">
        <v>95</v>
      </c>
      <c r="D12" s="17">
        <f>D6*D9*D11</f>
        <v>613206.29795238096</v>
      </c>
      <c r="E12" s="17">
        <f>E6*E9*E11</f>
        <v>664782.41259359999</v>
      </c>
      <c r="F12" s="21">
        <f>F6*F9*F11</f>
        <v>772454274.47619057</v>
      </c>
      <c r="G12" s="21">
        <f t="shared" ref="G12:H12" si="1">G6*G9*G11</f>
        <v>807924641.91952336</v>
      </c>
      <c r="H12" s="22">
        <f t="shared" si="1"/>
        <v>831085474.01569831</v>
      </c>
    </row>
    <row r="13" spans="1:14" ht="18.75">
      <c r="A13" s="14">
        <v>8</v>
      </c>
      <c r="B13" s="15" t="s">
        <v>96</v>
      </c>
      <c r="C13" s="23" t="s">
        <v>95</v>
      </c>
      <c r="D13" s="17">
        <f>D7*D9*D11</f>
        <v>218700.25293650795</v>
      </c>
      <c r="E13" s="17">
        <f>E7*E9*E11</f>
        <v>222652.58786399994</v>
      </c>
      <c r="F13" s="21">
        <f>F7*F9*F11</f>
        <v>247995064.75288352</v>
      </c>
      <c r="G13" s="21">
        <f t="shared" ref="G13:H13" si="2">G7*G9*G11</f>
        <v>252199829.66964442</v>
      </c>
      <c r="H13" s="22">
        <f t="shared" si="2"/>
        <v>261531223.36742124</v>
      </c>
    </row>
    <row r="14" spans="1:14" ht="37.5">
      <c r="A14" s="24">
        <v>9</v>
      </c>
      <c r="B14" s="25" t="s">
        <v>208</v>
      </c>
      <c r="C14" s="23" t="s">
        <v>95</v>
      </c>
      <c r="D14" s="26">
        <f>D12-D13</f>
        <v>394506.04501587304</v>
      </c>
      <c r="E14" s="26">
        <f t="shared" ref="E14:H14" si="3">E12-E13</f>
        <v>442129.82472960005</v>
      </c>
      <c r="F14" s="27">
        <f t="shared" si="3"/>
        <v>524459209.72330701</v>
      </c>
      <c r="G14" s="27">
        <f t="shared" si="3"/>
        <v>555724812.24987888</v>
      </c>
      <c r="H14" s="28">
        <f t="shared" si="3"/>
        <v>569554250.64827704</v>
      </c>
    </row>
    <row r="15" spans="1:14" ht="27" customHeight="1">
      <c r="A15" s="29">
        <v>10</v>
      </c>
      <c r="B15" s="30" t="s">
        <v>97</v>
      </c>
      <c r="C15" s="31"/>
      <c r="D15" s="32"/>
      <c r="E15" s="32"/>
      <c r="F15" s="33">
        <v>28952040</v>
      </c>
      <c r="G15" s="32">
        <v>0</v>
      </c>
      <c r="H15" s="34">
        <v>0</v>
      </c>
    </row>
    <row r="16" spans="1:14" ht="29.25" customHeight="1">
      <c r="A16" s="35">
        <v>11</v>
      </c>
      <c r="B16" s="36" t="s">
        <v>98</v>
      </c>
      <c r="C16" s="36"/>
      <c r="D16" s="6"/>
      <c r="E16" s="6"/>
      <c r="F16" s="37">
        <f>F14+F15</f>
        <v>553411249.72330701</v>
      </c>
      <c r="G16" s="37">
        <f t="shared" ref="G16:H16" si="4">G14+G15</f>
        <v>555724812.24987888</v>
      </c>
      <c r="H16" s="37">
        <f t="shared" si="4"/>
        <v>569554250.64827704</v>
      </c>
    </row>
    <row r="17" spans="1:8" ht="29.25" customHeight="1">
      <c r="A17" s="157" t="s">
        <v>99</v>
      </c>
      <c r="B17" s="157"/>
      <c r="C17" s="4"/>
      <c r="D17" s="38"/>
      <c r="E17" s="38"/>
      <c r="F17" s="39"/>
      <c r="G17" s="38"/>
      <c r="H17" s="4"/>
    </row>
    <row r="18" spans="1:8" ht="64.5" customHeight="1">
      <c r="A18" s="158" t="s">
        <v>100</v>
      </c>
      <c r="B18" s="158"/>
      <c r="C18" s="158"/>
      <c r="D18" s="158"/>
      <c r="E18" s="158"/>
      <c r="F18" s="158"/>
      <c r="G18" s="158"/>
      <c r="H18" s="158"/>
    </row>
    <row r="19" spans="1:8" ht="72" customHeight="1">
      <c r="A19" s="158" t="s">
        <v>101</v>
      </c>
      <c r="B19" s="158"/>
      <c r="C19" s="158"/>
      <c r="D19" s="158"/>
      <c r="E19" s="158"/>
      <c r="F19" s="158"/>
      <c r="G19" s="158"/>
      <c r="H19" s="158"/>
    </row>
    <row r="20" spans="1:8" ht="16.5">
      <c r="B20" s="40"/>
      <c r="C20" s="40"/>
      <c r="D20" s="40"/>
      <c r="E20" s="40"/>
      <c r="F20" s="155"/>
      <c r="G20" s="155"/>
      <c r="H20" s="155"/>
    </row>
    <row r="21" spans="1:8" ht="16.5">
      <c r="B21" s="40"/>
      <c r="C21" s="40"/>
      <c r="D21" s="40"/>
      <c r="E21" s="40"/>
      <c r="F21" s="155"/>
      <c r="G21" s="155"/>
      <c r="H21" s="155"/>
    </row>
    <row r="22" spans="1:8" ht="16.5">
      <c r="B22" s="40"/>
      <c r="C22" s="40"/>
      <c r="D22" s="40"/>
      <c r="E22" s="40"/>
      <c r="F22" s="155"/>
      <c r="G22" s="155"/>
      <c r="H22" s="155"/>
    </row>
    <row r="23" spans="1:8" ht="16.5">
      <c r="B23" s="40"/>
      <c r="C23" s="40"/>
      <c r="D23" s="40"/>
      <c r="E23" s="40"/>
      <c r="F23" s="40"/>
      <c r="G23" s="40"/>
      <c r="H23" s="40"/>
    </row>
    <row r="24" spans="1:8" ht="16.5">
      <c r="B24" s="40"/>
      <c r="C24" s="40"/>
      <c r="D24" s="40"/>
      <c r="E24" s="40"/>
      <c r="F24" s="40"/>
      <c r="G24" s="40"/>
      <c r="H24" s="40"/>
    </row>
    <row r="25" spans="1:8" ht="16.5">
      <c r="B25" s="40"/>
      <c r="C25" s="40"/>
      <c r="D25" s="40"/>
      <c r="E25" s="40"/>
      <c r="F25" s="40"/>
      <c r="G25" s="40"/>
      <c r="H25" s="40"/>
    </row>
  </sheetData>
  <mergeCells count="5">
    <mergeCell ref="A2:H2"/>
    <mergeCell ref="A3:G3"/>
    <mergeCell ref="A17:B17"/>
    <mergeCell ref="A18:H18"/>
    <mergeCell ref="A19:H19"/>
  </mergeCells>
  <pageMargins left="0.70866141732283472" right="0.70866141732283472" top="0.9448818897637796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F27" sqref="F27"/>
    </sheetView>
  </sheetViews>
  <sheetFormatPr defaultRowHeight="15"/>
  <cols>
    <col min="1" max="1" width="26.28515625" bestFit="1" customWidth="1"/>
    <col min="2" max="2" width="14.28515625" bestFit="1" customWidth="1"/>
    <col min="3" max="3" width="14.85546875" bestFit="1" customWidth="1"/>
    <col min="4" max="4" width="14.42578125" bestFit="1" customWidth="1"/>
    <col min="5" max="5" width="14.7109375" bestFit="1" customWidth="1"/>
    <col min="6" max="6" width="14.28515625" bestFit="1" customWidth="1"/>
    <col min="7" max="7" width="14" bestFit="1" customWidth="1"/>
    <col min="8" max="8" width="12.5703125" bestFit="1" customWidth="1"/>
    <col min="9" max="9" width="12.42578125" bestFit="1" customWidth="1"/>
    <col min="10" max="13" width="14.5703125" bestFit="1" customWidth="1"/>
    <col min="14" max="14" width="13.42578125" bestFit="1" customWidth="1"/>
    <col min="15" max="15" width="12.7109375" bestFit="1" customWidth="1"/>
    <col min="16" max="16" width="13.7109375" bestFit="1" customWidth="1"/>
    <col min="17" max="17" width="13.140625" bestFit="1" customWidth="1"/>
  </cols>
  <sheetData>
    <row r="1" spans="1:17">
      <c r="A1" s="159" t="s">
        <v>102</v>
      </c>
      <c r="B1" s="159"/>
      <c r="C1" s="159"/>
      <c r="D1" s="159"/>
      <c r="E1" s="159"/>
      <c r="F1" s="159"/>
      <c r="G1" s="159"/>
      <c r="H1" s="159"/>
      <c r="I1" s="159"/>
    </row>
    <row r="2" spans="1:17">
      <c r="A2" s="160"/>
      <c r="B2" s="162" t="s">
        <v>14</v>
      </c>
      <c r="C2" s="163"/>
      <c r="D2" s="162" t="s">
        <v>16</v>
      </c>
      <c r="E2" s="163"/>
      <c r="F2" s="162" t="s">
        <v>103</v>
      </c>
      <c r="G2" s="164"/>
      <c r="H2" s="164"/>
      <c r="I2" s="165"/>
      <c r="J2" s="162" t="s">
        <v>104</v>
      </c>
      <c r="K2" s="164"/>
      <c r="L2" s="164"/>
      <c r="M2" s="165"/>
      <c r="N2" s="162" t="s">
        <v>105</v>
      </c>
      <c r="O2" s="164"/>
      <c r="P2" s="164"/>
      <c r="Q2" s="165"/>
    </row>
    <row r="3" spans="1:17" ht="45">
      <c r="A3" s="161"/>
      <c r="B3" s="41" t="s">
        <v>106</v>
      </c>
      <c r="C3" s="42" t="s">
        <v>107</v>
      </c>
      <c r="D3" s="41" t="s">
        <v>106</v>
      </c>
      <c r="E3" s="42" t="s">
        <v>107</v>
      </c>
      <c r="F3" s="41" t="s">
        <v>106</v>
      </c>
      <c r="G3" s="43" t="s">
        <v>107</v>
      </c>
      <c r="H3" s="43" t="s">
        <v>108</v>
      </c>
      <c r="I3" s="43" t="s">
        <v>109</v>
      </c>
      <c r="J3" s="41" t="s">
        <v>110</v>
      </c>
      <c r="K3" s="43" t="s">
        <v>111</v>
      </c>
      <c r="L3" s="43" t="s">
        <v>112</v>
      </c>
      <c r="M3" s="43" t="s">
        <v>113</v>
      </c>
      <c r="N3" s="41" t="s">
        <v>114</v>
      </c>
      <c r="O3" s="43" t="s">
        <v>115</v>
      </c>
      <c r="P3" s="43" t="s">
        <v>116</v>
      </c>
      <c r="Q3" s="43" t="s">
        <v>117</v>
      </c>
    </row>
    <row r="4" spans="1:17">
      <c r="A4" s="44" t="s">
        <v>118</v>
      </c>
      <c r="B4" s="45"/>
      <c r="C4" s="46"/>
      <c r="D4" s="45">
        <v>5527594</v>
      </c>
      <c r="E4" s="45">
        <v>4591830</v>
      </c>
      <c r="F4" s="45">
        <v>4185838</v>
      </c>
      <c r="G4" s="47">
        <v>4018569</v>
      </c>
      <c r="H4" s="47">
        <v>6705434.5800000001</v>
      </c>
      <c r="I4" s="48">
        <v>6705434.5800000001</v>
      </c>
      <c r="J4" s="45">
        <v>3691915</v>
      </c>
      <c r="K4" s="47">
        <v>3609011</v>
      </c>
      <c r="L4" s="47">
        <v>5605286.5800000001</v>
      </c>
      <c r="M4" s="47">
        <v>5605286.5800000001</v>
      </c>
      <c r="N4" s="45">
        <v>3408017</v>
      </c>
      <c r="O4" s="47">
        <v>3270491</v>
      </c>
      <c r="P4" s="47">
        <v>5251669.58</v>
      </c>
      <c r="Q4" s="47">
        <v>5251669.58</v>
      </c>
    </row>
    <row r="5" spans="1:17">
      <c r="A5" s="49" t="s">
        <v>119</v>
      </c>
      <c r="B5" s="45"/>
      <c r="C5" s="50"/>
      <c r="D5" s="45">
        <v>7808145</v>
      </c>
      <c r="E5" s="45">
        <v>6860657</v>
      </c>
      <c r="F5" s="51">
        <v>6358036</v>
      </c>
      <c r="G5" s="52">
        <v>6197280</v>
      </c>
      <c r="H5" s="52">
        <v>6681667.5800000001</v>
      </c>
      <c r="I5" s="53">
        <v>6681667.5800000001</v>
      </c>
      <c r="J5" s="51">
        <v>5783929</v>
      </c>
      <c r="K5" s="52">
        <v>5706725</v>
      </c>
      <c r="L5" s="52">
        <v>5571489.5800000001</v>
      </c>
      <c r="M5" s="52">
        <v>5571489.5800000001</v>
      </c>
      <c r="N5" s="51">
        <v>5444338</v>
      </c>
      <c r="O5" s="52">
        <v>5291845</v>
      </c>
      <c r="P5" s="52">
        <v>5223630.58</v>
      </c>
      <c r="Q5" s="52">
        <v>5223630.58</v>
      </c>
    </row>
    <row r="6" spans="1:17">
      <c r="A6" s="54" t="s">
        <v>120</v>
      </c>
      <c r="B6" s="45">
        <v>8489726</v>
      </c>
      <c r="C6" s="45">
        <v>8489726</v>
      </c>
      <c r="D6" s="45">
        <v>5250260</v>
      </c>
      <c r="E6" s="45">
        <v>4381930</v>
      </c>
      <c r="F6" s="51">
        <v>4048210</v>
      </c>
      <c r="G6" s="52">
        <v>3911494</v>
      </c>
      <c r="H6" s="52"/>
      <c r="I6" s="53"/>
      <c r="J6" s="51">
        <v>3570727</v>
      </c>
      <c r="K6" s="52">
        <v>3521186</v>
      </c>
      <c r="L6" s="52">
        <v>5330674.58</v>
      </c>
      <c r="M6" s="52">
        <v>5330674.58</v>
      </c>
      <c r="N6" s="51">
        <v>3342912</v>
      </c>
      <c r="O6" s="52">
        <v>3227365</v>
      </c>
      <c r="P6" s="52">
        <v>5021726.58</v>
      </c>
      <c r="Q6" s="52">
        <v>5021726.58</v>
      </c>
    </row>
    <row r="7" spans="1:17">
      <c r="A7" s="49" t="s">
        <v>121</v>
      </c>
      <c r="B7" s="51">
        <v>6962154</v>
      </c>
      <c r="C7" s="51">
        <v>6962154</v>
      </c>
      <c r="D7" s="51">
        <v>5482857</v>
      </c>
      <c r="E7" s="51">
        <v>4512633</v>
      </c>
      <c r="F7" s="51">
        <v>4090042</v>
      </c>
      <c r="G7" s="52">
        <v>3936136</v>
      </c>
      <c r="H7" s="52">
        <v>4925926</v>
      </c>
      <c r="I7" s="53">
        <f t="shared" ref="I7:I15" si="0">H7</f>
        <v>4925926</v>
      </c>
      <c r="J7" s="51">
        <v>3614673</v>
      </c>
      <c r="K7" s="52">
        <v>3542914</v>
      </c>
      <c r="L7" s="52">
        <v>5501084.5800000001</v>
      </c>
      <c r="M7" s="52">
        <v>5501084.5800000001</v>
      </c>
      <c r="N7" s="51">
        <v>3390448</v>
      </c>
      <c r="O7" s="52">
        <v>3244051</v>
      </c>
      <c r="P7" s="52">
        <v>5165199.58</v>
      </c>
      <c r="Q7" s="52">
        <v>5165199.58</v>
      </c>
    </row>
    <row r="8" spans="1:17">
      <c r="A8" s="54" t="s">
        <v>122</v>
      </c>
      <c r="B8" s="51">
        <v>6836109</v>
      </c>
      <c r="C8" s="51">
        <v>6836109</v>
      </c>
      <c r="D8" s="51"/>
      <c r="E8" s="51">
        <v>4422649</v>
      </c>
      <c r="F8" s="51">
        <v>4008834</v>
      </c>
      <c r="G8" s="52">
        <v>3872639</v>
      </c>
      <c r="H8" s="52">
        <v>5763303.5800000001</v>
      </c>
      <c r="I8" s="53">
        <f t="shared" si="0"/>
        <v>5763303.5800000001</v>
      </c>
      <c r="J8" s="51">
        <v>3555278</v>
      </c>
      <c r="K8" s="52">
        <v>3498713</v>
      </c>
      <c r="L8" s="52">
        <v>5399725.5800000001</v>
      </c>
      <c r="M8" s="52">
        <v>5399725.5800000001</v>
      </c>
      <c r="N8" s="51">
        <v>3364954</v>
      </c>
      <c r="O8" s="52">
        <v>3234889</v>
      </c>
      <c r="P8" s="52">
        <v>5080404.58</v>
      </c>
      <c r="Q8" s="52">
        <v>5080404.58</v>
      </c>
    </row>
    <row r="9" spans="1:17">
      <c r="A9" s="49" t="s">
        <v>123</v>
      </c>
      <c r="B9" s="51">
        <v>6941970</v>
      </c>
      <c r="C9" s="51">
        <v>6941970</v>
      </c>
      <c r="D9" s="51">
        <v>4541276</v>
      </c>
      <c r="E9" s="51">
        <v>4249268</v>
      </c>
      <c r="F9" s="51">
        <v>4005350</v>
      </c>
      <c r="G9" s="52">
        <v>3865782</v>
      </c>
      <c r="H9" s="52">
        <v>5809678.5800000001</v>
      </c>
      <c r="I9" s="53">
        <f t="shared" si="0"/>
        <v>5809678.5800000001</v>
      </c>
      <c r="J9" s="51">
        <v>3543648</v>
      </c>
      <c r="K9" s="52">
        <v>3484334</v>
      </c>
      <c r="L9" s="52">
        <v>5430666.5800000001</v>
      </c>
      <c r="M9" s="52">
        <v>5430666.5800000001</v>
      </c>
      <c r="N9" s="51">
        <v>3375232</v>
      </c>
      <c r="O9" s="52">
        <v>3238376</v>
      </c>
      <c r="P9" s="52">
        <v>5106771.58</v>
      </c>
      <c r="Q9" s="52">
        <v>5106771.58</v>
      </c>
    </row>
    <row r="10" spans="1:17">
      <c r="A10" s="54" t="s">
        <v>124</v>
      </c>
      <c r="B10" s="51">
        <v>6816327</v>
      </c>
      <c r="C10" s="51">
        <v>6816327</v>
      </c>
      <c r="D10" s="51">
        <v>4438963</v>
      </c>
      <c r="E10" s="51">
        <v>4179571</v>
      </c>
      <c r="F10" s="51">
        <v>3925826</v>
      </c>
      <c r="G10" s="52">
        <v>3804903</v>
      </c>
      <c r="H10" s="52">
        <v>5701087.5800000001</v>
      </c>
      <c r="I10" s="53">
        <f t="shared" si="0"/>
        <v>5701087.5800000001</v>
      </c>
      <c r="J10" s="51">
        <v>3485665</v>
      </c>
      <c r="K10" s="52">
        <v>3441480</v>
      </c>
      <c r="L10" s="52">
        <v>5330958.58</v>
      </c>
      <c r="M10" s="52">
        <v>5330958.58</v>
      </c>
      <c r="N10" s="51">
        <v>3350191</v>
      </c>
      <c r="O10" s="52">
        <v>3229393</v>
      </c>
      <c r="P10" s="52">
        <v>5023345.58</v>
      </c>
      <c r="Q10" s="52">
        <v>5023345.58</v>
      </c>
    </row>
    <row r="11" spans="1:17">
      <c r="A11" s="49" t="s">
        <v>125</v>
      </c>
      <c r="B11" s="51">
        <v>5270878</v>
      </c>
      <c r="C11" s="51">
        <v>5270878</v>
      </c>
      <c r="D11" s="51">
        <v>4442780</v>
      </c>
      <c r="E11" s="51">
        <v>4184842</v>
      </c>
      <c r="F11" s="51">
        <v>3918514</v>
      </c>
      <c r="G11" s="52">
        <v>3794095</v>
      </c>
      <c r="H11" s="52">
        <v>5744821.5800000001</v>
      </c>
      <c r="I11" s="53">
        <f t="shared" si="0"/>
        <v>5744821.5800000001</v>
      </c>
      <c r="J11" s="51">
        <v>3470824</v>
      </c>
      <c r="K11" s="52">
        <v>3424645</v>
      </c>
      <c r="L11" s="52">
        <v>5363855.58</v>
      </c>
      <c r="M11" s="52">
        <v>5363855.58</v>
      </c>
      <c r="N11" s="51">
        <v>3359939</v>
      </c>
      <c r="O11" s="52">
        <v>3232691</v>
      </c>
      <c r="P11" s="52">
        <v>5047290.58</v>
      </c>
      <c r="Q11" s="52">
        <v>5047290.58</v>
      </c>
    </row>
    <row r="12" spans="1:17">
      <c r="A12" s="54" t="s">
        <v>126</v>
      </c>
      <c r="B12" s="51">
        <v>5126566</v>
      </c>
      <c r="C12" s="51">
        <v>5126566</v>
      </c>
      <c r="D12" s="51">
        <v>4392928</v>
      </c>
      <c r="E12" s="51">
        <v>4152345</v>
      </c>
      <c r="F12" s="51">
        <v>3874494</v>
      </c>
      <c r="G12" s="52">
        <v>3757861</v>
      </c>
      <c r="H12" s="52">
        <v>8640296.5800000001</v>
      </c>
      <c r="I12" s="53">
        <f t="shared" si="0"/>
        <v>8640296.5800000001</v>
      </c>
      <c r="J12" s="51">
        <v>3438047</v>
      </c>
      <c r="K12" s="52">
        <v>3394434</v>
      </c>
      <c r="L12" s="52">
        <v>8166919.5800000001</v>
      </c>
      <c r="M12" s="52">
        <v>8166919.5800000001</v>
      </c>
      <c r="N12" s="51">
        <v>3352286</v>
      </c>
      <c r="O12" s="52">
        <v>3229848</v>
      </c>
      <c r="P12" s="52">
        <v>7753465.5800000001</v>
      </c>
      <c r="Q12" s="52">
        <v>7753465.5800000001</v>
      </c>
    </row>
    <row r="13" spans="1:17">
      <c r="A13" s="49" t="s">
        <v>127</v>
      </c>
      <c r="B13" s="51">
        <v>4542434</v>
      </c>
      <c r="C13" s="51">
        <v>4542434</v>
      </c>
      <c r="D13" s="51">
        <v>4293565</v>
      </c>
      <c r="E13" s="51">
        <v>4084877</v>
      </c>
      <c r="F13" s="51">
        <v>3797572</v>
      </c>
      <c r="G13" s="52">
        <v>3699463</v>
      </c>
      <c r="H13" s="52">
        <v>5631820.5800000001</v>
      </c>
      <c r="I13" s="53">
        <f t="shared" si="0"/>
        <v>5631820.5800000001</v>
      </c>
      <c r="J13" s="51">
        <v>3411135</v>
      </c>
      <c r="K13" s="52">
        <v>3353647</v>
      </c>
      <c r="L13" s="52">
        <v>5272990.58</v>
      </c>
      <c r="M13" s="52">
        <v>5272990.58</v>
      </c>
      <c r="N13" s="51">
        <v>3327929</v>
      </c>
      <c r="O13" s="52">
        <v>3221133</v>
      </c>
      <c r="P13" s="52">
        <v>4960196.58</v>
      </c>
      <c r="Q13" s="52">
        <v>4960196.58</v>
      </c>
    </row>
    <row r="14" spans="1:17">
      <c r="A14" s="54" t="s">
        <v>128</v>
      </c>
      <c r="B14" s="51">
        <v>4525388</v>
      </c>
      <c r="C14" s="51">
        <v>4525388</v>
      </c>
      <c r="D14" s="51">
        <v>4290677</v>
      </c>
      <c r="E14" s="51">
        <v>4086084</v>
      </c>
      <c r="F14" s="51">
        <v>3784345</v>
      </c>
      <c r="G14" s="52">
        <v>3684134</v>
      </c>
      <c r="H14" s="52">
        <v>5672613.5800000001</v>
      </c>
      <c r="I14" s="53">
        <f t="shared" si="0"/>
        <v>5672613.5800000001</v>
      </c>
      <c r="J14" s="51">
        <v>3423070</v>
      </c>
      <c r="K14" s="52">
        <v>3333043</v>
      </c>
      <c r="L14" s="52">
        <v>5307532.58</v>
      </c>
      <c r="M14" s="52">
        <v>5307532.58</v>
      </c>
      <c r="N14" s="51">
        <v>3336878</v>
      </c>
      <c r="O14" s="52">
        <v>3224149</v>
      </c>
      <c r="P14" s="52">
        <v>4981460.58</v>
      </c>
      <c r="Q14" s="52">
        <v>4981460.58</v>
      </c>
    </row>
    <row r="15" spans="1:17">
      <c r="A15" s="55" t="s">
        <v>129</v>
      </c>
      <c r="B15" s="56">
        <v>4500000</v>
      </c>
      <c r="C15" s="57"/>
      <c r="D15" s="56">
        <v>4193348</v>
      </c>
      <c r="E15" s="56">
        <v>4020139</v>
      </c>
      <c r="F15" s="56">
        <v>3709217</v>
      </c>
      <c r="G15" s="58">
        <v>3627431</v>
      </c>
      <c r="H15" s="58">
        <v>5567235.5800000001</v>
      </c>
      <c r="I15" s="53">
        <f t="shared" si="0"/>
        <v>5567235.5800000001</v>
      </c>
      <c r="J15" s="56">
        <v>3396604</v>
      </c>
      <c r="K15" s="58">
        <v>3293668</v>
      </c>
      <c r="L15" s="58">
        <v>5219401.58</v>
      </c>
      <c r="M15" s="58">
        <v>5219401.58</v>
      </c>
      <c r="N15" s="56">
        <v>3312980</v>
      </c>
      <c r="O15" s="58">
        <v>3215613</v>
      </c>
      <c r="P15" s="58">
        <v>4900971.58</v>
      </c>
      <c r="Q15" s="58">
        <v>4900971.58</v>
      </c>
    </row>
    <row r="16" spans="1:17">
      <c r="A16" s="59" t="s">
        <v>130</v>
      </c>
      <c r="B16" s="60">
        <f t="shared" ref="B16:C16" si="1">SUM(B4:B15)</f>
        <v>60011552</v>
      </c>
      <c r="C16" s="60">
        <f t="shared" si="1"/>
        <v>55511552</v>
      </c>
      <c r="D16" s="60">
        <f t="shared" ref="D16:E16" si="2">SUM(D4:D15)</f>
        <v>54662393</v>
      </c>
      <c r="E16" s="60">
        <f t="shared" si="2"/>
        <v>53726825</v>
      </c>
      <c r="F16" s="60">
        <f t="shared" ref="F16:G16" si="3">SUM(F4:F15)</f>
        <v>49706278</v>
      </c>
      <c r="G16" s="61">
        <f t="shared" si="3"/>
        <v>48169787</v>
      </c>
      <c r="H16" s="61">
        <f>SUM(H4:H15)</f>
        <v>66843885.79999999</v>
      </c>
      <c r="I16" s="62">
        <f>SUM(I4:I15)</f>
        <v>66843885.79999999</v>
      </c>
      <c r="J16" s="60">
        <f t="shared" ref="J16:K16" si="4">SUM(J4:J15)</f>
        <v>44385515</v>
      </c>
      <c r="K16" s="61">
        <f t="shared" si="4"/>
        <v>43603800</v>
      </c>
      <c r="L16" s="61">
        <f>SUM(L4:L15)</f>
        <v>67500585.959999993</v>
      </c>
      <c r="M16" s="62">
        <f>SUM(M4:M15)</f>
        <v>67500585.959999993</v>
      </c>
      <c r="N16" s="60">
        <f t="shared" ref="N16:O16" si="5">SUM(N4:N15)</f>
        <v>42366104</v>
      </c>
      <c r="O16" s="61">
        <f t="shared" si="5"/>
        <v>40859844</v>
      </c>
      <c r="P16" s="61">
        <f>SUM(P4:P15)</f>
        <v>63516132.959999986</v>
      </c>
      <c r="Q16" s="62">
        <f>SUM(Q4:Q15)</f>
        <v>63516132.959999986</v>
      </c>
    </row>
    <row r="17" spans="1:17">
      <c r="A17" s="63" t="s">
        <v>131</v>
      </c>
      <c r="B17" s="64">
        <f>B16/1.18</f>
        <v>50857247.457627118</v>
      </c>
      <c r="C17" s="64">
        <f>C16/1.18</f>
        <v>47043688.135593221</v>
      </c>
      <c r="D17" s="64">
        <f t="shared" ref="D17:E17" si="6">D16/1.2</f>
        <v>45551994.166666672</v>
      </c>
      <c r="E17" s="64">
        <f t="shared" si="6"/>
        <v>44772354.166666672</v>
      </c>
      <c r="F17" s="64">
        <f t="shared" ref="F17:G17" si="7">F16/1.2</f>
        <v>41421898.333333336</v>
      </c>
      <c r="G17" s="65">
        <f t="shared" si="7"/>
        <v>40141489.166666672</v>
      </c>
      <c r="H17" s="65">
        <f>H16/1.2</f>
        <v>55703238.166666657</v>
      </c>
      <c r="I17" s="66">
        <f>I16/1.2</f>
        <v>55703238.166666657</v>
      </c>
      <c r="J17" s="64">
        <f t="shared" ref="J17:K17" si="8">J16/1.2</f>
        <v>36987929.166666672</v>
      </c>
      <c r="K17" s="65">
        <f t="shared" si="8"/>
        <v>36336500</v>
      </c>
      <c r="L17" s="65">
        <f>L16/1.2</f>
        <v>56250488.299999997</v>
      </c>
      <c r="M17" s="66">
        <f>M16/1.2</f>
        <v>56250488.299999997</v>
      </c>
      <c r="N17" s="64">
        <f t="shared" ref="N17:O17" si="9">N16/1.2</f>
        <v>35305086.666666672</v>
      </c>
      <c r="O17" s="65">
        <f t="shared" si="9"/>
        <v>34049870</v>
      </c>
      <c r="P17" s="65">
        <f>P16/1.2</f>
        <v>52930110.79999999</v>
      </c>
      <c r="Q17" s="66">
        <f>Q16/1.2</f>
        <v>52930110.79999999</v>
      </c>
    </row>
    <row r="18" spans="1:17" ht="32.25" customHeight="1">
      <c r="A18" s="67" t="s">
        <v>132</v>
      </c>
      <c r="B18" s="166">
        <f>B17+C17</f>
        <v>97900935.593220338</v>
      </c>
      <c r="C18" s="167"/>
      <c r="D18" s="166">
        <f>D17+E17</f>
        <v>90324348.333333343</v>
      </c>
      <c r="E18" s="167"/>
      <c r="F18" s="168">
        <f>SUM(F17:I17)</f>
        <v>192969863.83333331</v>
      </c>
      <c r="G18" s="169"/>
      <c r="H18" s="169"/>
      <c r="I18" s="170"/>
      <c r="J18" s="168">
        <f>SUM(J17:M17)</f>
        <v>185825405.76666665</v>
      </c>
      <c r="K18" s="169"/>
      <c r="L18" s="169"/>
      <c r="M18" s="170"/>
      <c r="N18" s="168">
        <f>SUM(N17:Q17)</f>
        <v>175215178.26666665</v>
      </c>
      <c r="O18" s="169"/>
      <c r="P18" s="169"/>
      <c r="Q18" s="170"/>
    </row>
    <row r="19" spans="1:17">
      <c r="C19" s="68"/>
    </row>
    <row r="21" spans="1:17">
      <c r="B21" s="68"/>
    </row>
    <row r="27" spans="1:17">
      <c r="F27" t="s">
        <v>133</v>
      </c>
    </row>
  </sheetData>
  <mergeCells count="12">
    <mergeCell ref="J2:M2"/>
    <mergeCell ref="N2:Q2"/>
    <mergeCell ref="B18:C18"/>
    <mergeCell ref="D18:E18"/>
    <mergeCell ref="F18:I18"/>
    <mergeCell ref="J18:M18"/>
    <mergeCell ref="N18:Q18"/>
    <mergeCell ref="A1:I1"/>
    <mergeCell ref="A2:A3"/>
    <mergeCell ref="B2:C2"/>
    <mergeCell ref="D2:E2"/>
    <mergeCell ref="F2:I2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P10" sqref="P10"/>
    </sheetView>
  </sheetViews>
  <sheetFormatPr defaultRowHeight="15"/>
  <cols>
    <col min="1" max="1" width="41.42578125" bestFit="1" customWidth="1"/>
    <col min="2" max="2" width="15.140625" hidden="1" bestFit="1" customWidth="1"/>
    <col min="3" max="3" width="15.7109375" hidden="1" bestFit="1" customWidth="1"/>
    <col min="4" max="4" width="15.7109375" bestFit="1" customWidth="1"/>
    <col min="5" max="5" width="17.7109375" bestFit="1" customWidth="1"/>
    <col min="6" max="6" width="14.85546875" hidden="1" bestFit="1" customWidth="1"/>
    <col min="7" max="7" width="14.42578125" hidden="1" bestFit="1" customWidth="1"/>
    <col min="8" max="8" width="17.5703125" bestFit="1" customWidth="1"/>
    <col min="9" max="9" width="16.28515625" bestFit="1" customWidth="1"/>
    <col min="10" max="10" width="13.5703125" bestFit="1" customWidth="1"/>
    <col min="11" max="11" width="11.5703125" bestFit="1" customWidth="1"/>
    <col min="12" max="12" width="14.140625" style="3" bestFit="1" customWidth="1"/>
    <col min="13" max="13" width="13.5703125" style="3" bestFit="1" customWidth="1"/>
    <col min="14" max="14" width="15.5703125" style="3" bestFit="1" customWidth="1"/>
    <col min="15" max="15" width="17" style="3" bestFit="1" customWidth="1"/>
    <col min="16" max="16" width="15.85546875" bestFit="1" customWidth="1"/>
    <col min="17" max="21" width="9.140625" bestFit="1" customWidth="1"/>
    <col min="246" max="246" width="41.42578125" bestFit="1" customWidth="1"/>
    <col min="247" max="247" width="12.140625" bestFit="1" customWidth="1"/>
    <col min="248" max="248" width="6.140625" bestFit="1" customWidth="1"/>
    <col min="249" max="249" width="13.85546875" bestFit="1" customWidth="1"/>
    <col min="250" max="250" width="12.140625" bestFit="1" customWidth="1"/>
    <col min="251" max="251" width="6.140625" bestFit="1" customWidth="1"/>
    <col min="252" max="252" width="14.42578125" bestFit="1" customWidth="1"/>
    <col min="253" max="253" width="13.42578125" bestFit="1" customWidth="1"/>
    <col min="254" max="254" width="6.5703125" bestFit="1" customWidth="1"/>
    <col min="255" max="255" width="14.28515625" bestFit="1" customWidth="1"/>
    <col min="256" max="256" width="13.28515625" bestFit="1" customWidth="1"/>
    <col min="257" max="257" width="8.42578125" bestFit="1" customWidth="1"/>
    <col min="258" max="258" width="14" bestFit="1" customWidth="1"/>
    <col min="259" max="259" width="14.42578125" bestFit="1" customWidth="1"/>
    <col min="260" max="260" width="7.5703125" bestFit="1" customWidth="1"/>
    <col min="261" max="261" width="14.28515625" bestFit="1" customWidth="1"/>
    <col min="262" max="262" width="14.85546875" bestFit="1" customWidth="1"/>
    <col min="263" max="263" width="8.7109375" bestFit="1" customWidth="1"/>
    <col min="264" max="264" width="13.85546875" bestFit="1" customWidth="1"/>
    <col min="502" max="502" width="41.42578125" bestFit="1" customWidth="1"/>
    <col min="503" max="503" width="12.140625" bestFit="1" customWidth="1"/>
    <col min="504" max="504" width="6.140625" bestFit="1" customWidth="1"/>
    <col min="505" max="505" width="13.85546875" bestFit="1" customWidth="1"/>
    <col min="506" max="506" width="12.140625" bestFit="1" customWidth="1"/>
    <col min="507" max="507" width="6.140625" bestFit="1" customWidth="1"/>
    <col min="508" max="508" width="14.42578125" bestFit="1" customWidth="1"/>
    <col min="509" max="509" width="13.42578125" bestFit="1" customWidth="1"/>
    <col min="510" max="510" width="6.5703125" bestFit="1" customWidth="1"/>
    <col min="511" max="511" width="14.28515625" bestFit="1" customWidth="1"/>
    <col min="512" max="512" width="13.28515625" bestFit="1" customWidth="1"/>
    <col min="513" max="513" width="8.42578125" bestFit="1" customWidth="1"/>
    <col min="514" max="514" width="14" bestFit="1" customWidth="1"/>
    <col min="515" max="515" width="14.42578125" bestFit="1" customWidth="1"/>
    <col min="516" max="516" width="7.5703125" bestFit="1" customWidth="1"/>
    <col min="517" max="517" width="14.28515625" bestFit="1" customWidth="1"/>
    <col min="518" max="518" width="14.85546875" bestFit="1" customWidth="1"/>
    <col min="519" max="519" width="8.7109375" bestFit="1" customWidth="1"/>
    <col min="520" max="520" width="13.85546875" bestFit="1" customWidth="1"/>
    <col min="758" max="758" width="41.42578125" bestFit="1" customWidth="1"/>
    <col min="759" max="759" width="12.140625" bestFit="1" customWidth="1"/>
    <col min="760" max="760" width="6.140625" bestFit="1" customWidth="1"/>
    <col min="761" max="761" width="13.85546875" bestFit="1" customWidth="1"/>
    <col min="762" max="762" width="12.140625" bestFit="1" customWidth="1"/>
    <col min="763" max="763" width="6.140625" bestFit="1" customWidth="1"/>
    <col min="764" max="764" width="14.42578125" bestFit="1" customWidth="1"/>
    <col min="765" max="765" width="13.42578125" bestFit="1" customWidth="1"/>
    <col min="766" max="766" width="6.5703125" bestFit="1" customWidth="1"/>
    <col min="767" max="767" width="14.28515625" bestFit="1" customWidth="1"/>
    <col min="768" max="768" width="13.28515625" bestFit="1" customWidth="1"/>
    <col min="769" max="769" width="8.42578125" bestFit="1" customWidth="1"/>
    <col min="770" max="770" width="14" bestFit="1" customWidth="1"/>
    <col min="771" max="771" width="14.42578125" bestFit="1" customWidth="1"/>
    <col min="772" max="772" width="7.5703125" bestFit="1" customWidth="1"/>
    <col min="773" max="773" width="14.28515625" bestFit="1" customWidth="1"/>
    <col min="774" max="774" width="14.85546875" bestFit="1" customWidth="1"/>
    <col min="775" max="775" width="8.7109375" bestFit="1" customWidth="1"/>
    <col min="776" max="776" width="13.85546875" bestFit="1" customWidth="1"/>
    <col min="1014" max="1014" width="41.42578125" bestFit="1" customWidth="1"/>
    <col min="1015" max="1015" width="12.140625" bestFit="1" customWidth="1"/>
    <col min="1016" max="1016" width="6.140625" bestFit="1" customWidth="1"/>
    <col min="1017" max="1017" width="13.85546875" bestFit="1" customWidth="1"/>
    <col min="1018" max="1018" width="12.140625" bestFit="1" customWidth="1"/>
    <col min="1019" max="1019" width="6.140625" bestFit="1" customWidth="1"/>
    <col min="1020" max="1020" width="14.42578125" bestFit="1" customWidth="1"/>
    <col min="1021" max="1021" width="13.42578125" bestFit="1" customWidth="1"/>
    <col min="1022" max="1022" width="6.5703125" bestFit="1" customWidth="1"/>
    <col min="1023" max="1023" width="14.28515625" bestFit="1" customWidth="1"/>
    <col min="1024" max="1024" width="13.28515625" bestFit="1" customWidth="1"/>
    <col min="1025" max="1025" width="8.42578125" bestFit="1" customWidth="1"/>
    <col min="1026" max="1026" width="14" bestFit="1" customWidth="1"/>
    <col min="1027" max="1027" width="14.42578125" bestFit="1" customWidth="1"/>
    <col min="1028" max="1028" width="7.5703125" bestFit="1" customWidth="1"/>
    <col min="1029" max="1029" width="14.28515625" bestFit="1" customWidth="1"/>
    <col min="1030" max="1030" width="14.85546875" bestFit="1" customWidth="1"/>
    <col min="1031" max="1031" width="8.7109375" bestFit="1" customWidth="1"/>
    <col min="1032" max="1032" width="13.85546875" bestFit="1" customWidth="1"/>
    <col min="1270" max="1270" width="41.42578125" bestFit="1" customWidth="1"/>
    <col min="1271" max="1271" width="12.140625" bestFit="1" customWidth="1"/>
    <col min="1272" max="1272" width="6.140625" bestFit="1" customWidth="1"/>
    <col min="1273" max="1273" width="13.85546875" bestFit="1" customWidth="1"/>
    <col min="1274" max="1274" width="12.140625" bestFit="1" customWidth="1"/>
    <col min="1275" max="1275" width="6.140625" bestFit="1" customWidth="1"/>
    <col min="1276" max="1276" width="14.42578125" bestFit="1" customWidth="1"/>
    <col min="1277" max="1277" width="13.42578125" bestFit="1" customWidth="1"/>
    <col min="1278" max="1278" width="6.5703125" bestFit="1" customWidth="1"/>
    <col min="1279" max="1279" width="14.28515625" bestFit="1" customWidth="1"/>
    <col min="1280" max="1280" width="13.28515625" bestFit="1" customWidth="1"/>
    <col min="1281" max="1281" width="8.42578125" bestFit="1" customWidth="1"/>
    <col min="1282" max="1282" width="14" bestFit="1" customWidth="1"/>
    <col min="1283" max="1283" width="14.42578125" bestFit="1" customWidth="1"/>
    <col min="1284" max="1284" width="7.5703125" bestFit="1" customWidth="1"/>
    <col min="1285" max="1285" width="14.28515625" bestFit="1" customWidth="1"/>
    <col min="1286" max="1286" width="14.85546875" bestFit="1" customWidth="1"/>
    <col min="1287" max="1287" width="8.7109375" bestFit="1" customWidth="1"/>
    <col min="1288" max="1288" width="13.85546875" bestFit="1" customWidth="1"/>
    <col min="1526" max="1526" width="41.42578125" bestFit="1" customWidth="1"/>
    <col min="1527" max="1527" width="12.140625" bestFit="1" customWidth="1"/>
    <col min="1528" max="1528" width="6.140625" bestFit="1" customWidth="1"/>
    <col min="1529" max="1529" width="13.85546875" bestFit="1" customWidth="1"/>
    <col min="1530" max="1530" width="12.140625" bestFit="1" customWidth="1"/>
    <col min="1531" max="1531" width="6.140625" bestFit="1" customWidth="1"/>
    <col min="1532" max="1532" width="14.42578125" bestFit="1" customWidth="1"/>
    <col min="1533" max="1533" width="13.42578125" bestFit="1" customWidth="1"/>
    <col min="1534" max="1534" width="6.5703125" bestFit="1" customWidth="1"/>
    <col min="1535" max="1535" width="14.28515625" bestFit="1" customWidth="1"/>
    <col min="1536" max="1536" width="13.28515625" bestFit="1" customWidth="1"/>
    <col min="1537" max="1537" width="8.42578125" bestFit="1" customWidth="1"/>
    <col min="1538" max="1538" width="14" bestFit="1" customWidth="1"/>
    <col min="1539" max="1539" width="14.42578125" bestFit="1" customWidth="1"/>
    <col min="1540" max="1540" width="7.5703125" bestFit="1" customWidth="1"/>
    <col min="1541" max="1541" width="14.28515625" bestFit="1" customWidth="1"/>
    <col min="1542" max="1542" width="14.85546875" bestFit="1" customWidth="1"/>
    <col min="1543" max="1543" width="8.7109375" bestFit="1" customWidth="1"/>
    <col min="1544" max="1544" width="13.85546875" bestFit="1" customWidth="1"/>
    <col min="1782" max="1782" width="41.42578125" bestFit="1" customWidth="1"/>
    <col min="1783" max="1783" width="12.140625" bestFit="1" customWidth="1"/>
    <col min="1784" max="1784" width="6.140625" bestFit="1" customWidth="1"/>
    <col min="1785" max="1785" width="13.85546875" bestFit="1" customWidth="1"/>
    <col min="1786" max="1786" width="12.140625" bestFit="1" customWidth="1"/>
    <col min="1787" max="1787" width="6.140625" bestFit="1" customWidth="1"/>
    <col min="1788" max="1788" width="14.42578125" bestFit="1" customWidth="1"/>
    <col min="1789" max="1789" width="13.42578125" bestFit="1" customWidth="1"/>
    <col min="1790" max="1790" width="6.5703125" bestFit="1" customWidth="1"/>
    <col min="1791" max="1791" width="14.28515625" bestFit="1" customWidth="1"/>
    <col min="1792" max="1792" width="13.28515625" bestFit="1" customWidth="1"/>
    <col min="1793" max="1793" width="8.42578125" bestFit="1" customWidth="1"/>
    <col min="1794" max="1794" width="14" bestFit="1" customWidth="1"/>
    <col min="1795" max="1795" width="14.42578125" bestFit="1" customWidth="1"/>
    <col min="1796" max="1796" width="7.5703125" bestFit="1" customWidth="1"/>
    <col min="1797" max="1797" width="14.28515625" bestFit="1" customWidth="1"/>
    <col min="1798" max="1798" width="14.85546875" bestFit="1" customWidth="1"/>
    <col min="1799" max="1799" width="8.7109375" bestFit="1" customWidth="1"/>
    <col min="1800" max="1800" width="13.85546875" bestFit="1" customWidth="1"/>
    <col min="2038" max="2038" width="41.42578125" bestFit="1" customWidth="1"/>
    <col min="2039" max="2039" width="12.140625" bestFit="1" customWidth="1"/>
    <col min="2040" max="2040" width="6.140625" bestFit="1" customWidth="1"/>
    <col min="2041" max="2041" width="13.85546875" bestFit="1" customWidth="1"/>
    <col min="2042" max="2042" width="12.140625" bestFit="1" customWidth="1"/>
    <col min="2043" max="2043" width="6.140625" bestFit="1" customWidth="1"/>
    <col min="2044" max="2044" width="14.42578125" bestFit="1" customWidth="1"/>
    <col min="2045" max="2045" width="13.42578125" bestFit="1" customWidth="1"/>
    <col min="2046" max="2046" width="6.5703125" bestFit="1" customWidth="1"/>
    <col min="2047" max="2047" width="14.28515625" bestFit="1" customWidth="1"/>
    <col min="2048" max="2048" width="13.28515625" bestFit="1" customWidth="1"/>
    <col min="2049" max="2049" width="8.42578125" bestFit="1" customWidth="1"/>
    <col min="2050" max="2050" width="14" bestFit="1" customWidth="1"/>
    <col min="2051" max="2051" width="14.42578125" bestFit="1" customWidth="1"/>
    <col min="2052" max="2052" width="7.5703125" bestFit="1" customWidth="1"/>
    <col min="2053" max="2053" width="14.28515625" bestFit="1" customWidth="1"/>
    <col min="2054" max="2054" width="14.85546875" bestFit="1" customWidth="1"/>
    <col min="2055" max="2055" width="8.7109375" bestFit="1" customWidth="1"/>
    <col min="2056" max="2056" width="13.85546875" bestFit="1" customWidth="1"/>
    <col min="2294" max="2294" width="41.42578125" bestFit="1" customWidth="1"/>
    <col min="2295" max="2295" width="12.140625" bestFit="1" customWidth="1"/>
    <col min="2296" max="2296" width="6.140625" bestFit="1" customWidth="1"/>
    <col min="2297" max="2297" width="13.85546875" bestFit="1" customWidth="1"/>
    <col min="2298" max="2298" width="12.140625" bestFit="1" customWidth="1"/>
    <col min="2299" max="2299" width="6.140625" bestFit="1" customWidth="1"/>
    <col min="2300" max="2300" width="14.42578125" bestFit="1" customWidth="1"/>
    <col min="2301" max="2301" width="13.42578125" bestFit="1" customWidth="1"/>
    <col min="2302" max="2302" width="6.5703125" bestFit="1" customWidth="1"/>
    <col min="2303" max="2303" width="14.28515625" bestFit="1" customWidth="1"/>
    <col min="2304" max="2304" width="13.28515625" bestFit="1" customWidth="1"/>
    <col min="2305" max="2305" width="8.42578125" bestFit="1" customWidth="1"/>
    <col min="2306" max="2306" width="14" bestFit="1" customWidth="1"/>
    <col min="2307" max="2307" width="14.42578125" bestFit="1" customWidth="1"/>
    <col min="2308" max="2308" width="7.5703125" bestFit="1" customWidth="1"/>
    <col min="2309" max="2309" width="14.28515625" bestFit="1" customWidth="1"/>
    <col min="2310" max="2310" width="14.85546875" bestFit="1" customWidth="1"/>
    <col min="2311" max="2311" width="8.7109375" bestFit="1" customWidth="1"/>
    <col min="2312" max="2312" width="13.85546875" bestFit="1" customWidth="1"/>
    <col min="2550" max="2550" width="41.42578125" bestFit="1" customWidth="1"/>
    <col min="2551" max="2551" width="12.140625" bestFit="1" customWidth="1"/>
    <col min="2552" max="2552" width="6.140625" bestFit="1" customWidth="1"/>
    <col min="2553" max="2553" width="13.85546875" bestFit="1" customWidth="1"/>
    <col min="2554" max="2554" width="12.140625" bestFit="1" customWidth="1"/>
    <col min="2555" max="2555" width="6.140625" bestFit="1" customWidth="1"/>
    <col min="2556" max="2556" width="14.42578125" bestFit="1" customWidth="1"/>
    <col min="2557" max="2557" width="13.42578125" bestFit="1" customWidth="1"/>
    <col min="2558" max="2558" width="6.5703125" bestFit="1" customWidth="1"/>
    <col min="2559" max="2559" width="14.28515625" bestFit="1" customWidth="1"/>
    <col min="2560" max="2560" width="13.28515625" bestFit="1" customWidth="1"/>
    <col min="2561" max="2561" width="8.42578125" bestFit="1" customWidth="1"/>
    <col min="2562" max="2562" width="14" bestFit="1" customWidth="1"/>
    <col min="2563" max="2563" width="14.42578125" bestFit="1" customWidth="1"/>
    <col min="2564" max="2564" width="7.5703125" bestFit="1" customWidth="1"/>
    <col min="2565" max="2565" width="14.28515625" bestFit="1" customWidth="1"/>
    <col min="2566" max="2566" width="14.85546875" bestFit="1" customWidth="1"/>
    <col min="2567" max="2567" width="8.7109375" bestFit="1" customWidth="1"/>
    <col min="2568" max="2568" width="13.85546875" bestFit="1" customWidth="1"/>
    <col min="2806" max="2806" width="41.42578125" bestFit="1" customWidth="1"/>
    <col min="2807" max="2807" width="12.140625" bestFit="1" customWidth="1"/>
    <col min="2808" max="2808" width="6.140625" bestFit="1" customWidth="1"/>
    <col min="2809" max="2809" width="13.85546875" bestFit="1" customWidth="1"/>
    <col min="2810" max="2810" width="12.140625" bestFit="1" customWidth="1"/>
    <col min="2811" max="2811" width="6.140625" bestFit="1" customWidth="1"/>
    <col min="2812" max="2812" width="14.42578125" bestFit="1" customWidth="1"/>
    <col min="2813" max="2813" width="13.42578125" bestFit="1" customWidth="1"/>
    <col min="2814" max="2814" width="6.5703125" bestFit="1" customWidth="1"/>
    <col min="2815" max="2815" width="14.28515625" bestFit="1" customWidth="1"/>
    <col min="2816" max="2816" width="13.28515625" bestFit="1" customWidth="1"/>
    <col min="2817" max="2817" width="8.42578125" bestFit="1" customWidth="1"/>
    <col min="2818" max="2818" width="14" bestFit="1" customWidth="1"/>
    <col min="2819" max="2819" width="14.42578125" bestFit="1" customWidth="1"/>
    <col min="2820" max="2820" width="7.5703125" bestFit="1" customWidth="1"/>
    <col min="2821" max="2821" width="14.28515625" bestFit="1" customWidth="1"/>
    <col min="2822" max="2822" width="14.85546875" bestFit="1" customWidth="1"/>
    <col min="2823" max="2823" width="8.7109375" bestFit="1" customWidth="1"/>
    <col min="2824" max="2824" width="13.85546875" bestFit="1" customWidth="1"/>
    <col min="3062" max="3062" width="41.42578125" bestFit="1" customWidth="1"/>
    <col min="3063" max="3063" width="12.140625" bestFit="1" customWidth="1"/>
    <col min="3064" max="3064" width="6.140625" bestFit="1" customWidth="1"/>
    <col min="3065" max="3065" width="13.85546875" bestFit="1" customWidth="1"/>
    <col min="3066" max="3066" width="12.140625" bestFit="1" customWidth="1"/>
    <col min="3067" max="3067" width="6.140625" bestFit="1" customWidth="1"/>
    <col min="3068" max="3068" width="14.42578125" bestFit="1" customWidth="1"/>
    <col min="3069" max="3069" width="13.42578125" bestFit="1" customWidth="1"/>
    <col min="3070" max="3070" width="6.5703125" bestFit="1" customWidth="1"/>
    <col min="3071" max="3071" width="14.28515625" bestFit="1" customWidth="1"/>
    <col min="3072" max="3072" width="13.28515625" bestFit="1" customWidth="1"/>
    <col min="3073" max="3073" width="8.42578125" bestFit="1" customWidth="1"/>
    <col min="3074" max="3074" width="14" bestFit="1" customWidth="1"/>
    <col min="3075" max="3075" width="14.42578125" bestFit="1" customWidth="1"/>
    <col min="3076" max="3076" width="7.5703125" bestFit="1" customWidth="1"/>
    <col min="3077" max="3077" width="14.28515625" bestFit="1" customWidth="1"/>
    <col min="3078" max="3078" width="14.85546875" bestFit="1" customWidth="1"/>
    <col min="3079" max="3079" width="8.7109375" bestFit="1" customWidth="1"/>
    <col min="3080" max="3080" width="13.85546875" bestFit="1" customWidth="1"/>
    <col min="3318" max="3318" width="41.42578125" bestFit="1" customWidth="1"/>
    <col min="3319" max="3319" width="12.140625" bestFit="1" customWidth="1"/>
    <col min="3320" max="3320" width="6.140625" bestFit="1" customWidth="1"/>
    <col min="3321" max="3321" width="13.85546875" bestFit="1" customWidth="1"/>
    <col min="3322" max="3322" width="12.140625" bestFit="1" customWidth="1"/>
    <col min="3323" max="3323" width="6.140625" bestFit="1" customWidth="1"/>
    <col min="3324" max="3324" width="14.42578125" bestFit="1" customWidth="1"/>
    <col min="3325" max="3325" width="13.42578125" bestFit="1" customWidth="1"/>
    <col min="3326" max="3326" width="6.5703125" bestFit="1" customWidth="1"/>
    <col min="3327" max="3327" width="14.28515625" bestFit="1" customWidth="1"/>
    <col min="3328" max="3328" width="13.28515625" bestFit="1" customWidth="1"/>
    <col min="3329" max="3329" width="8.42578125" bestFit="1" customWidth="1"/>
    <col min="3330" max="3330" width="14" bestFit="1" customWidth="1"/>
    <col min="3331" max="3331" width="14.42578125" bestFit="1" customWidth="1"/>
    <col min="3332" max="3332" width="7.5703125" bestFit="1" customWidth="1"/>
    <col min="3333" max="3333" width="14.28515625" bestFit="1" customWidth="1"/>
    <col min="3334" max="3334" width="14.85546875" bestFit="1" customWidth="1"/>
    <col min="3335" max="3335" width="8.7109375" bestFit="1" customWidth="1"/>
    <col min="3336" max="3336" width="13.85546875" bestFit="1" customWidth="1"/>
    <col min="3574" max="3574" width="41.42578125" bestFit="1" customWidth="1"/>
    <col min="3575" max="3575" width="12.140625" bestFit="1" customWidth="1"/>
    <col min="3576" max="3576" width="6.140625" bestFit="1" customWidth="1"/>
    <col min="3577" max="3577" width="13.85546875" bestFit="1" customWidth="1"/>
    <col min="3578" max="3578" width="12.140625" bestFit="1" customWidth="1"/>
    <col min="3579" max="3579" width="6.140625" bestFit="1" customWidth="1"/>
    <col min="3580" max="3580" width="14.42578125" bestFit="1" customWidth="1"/>
    <col min="3581" max="3581" width="13.42578125" bestFit="1" customWidth="1"/>
    <col min="3582" max="3582" width="6.5703125" bestFit="1" customWidth="1"/>
    <col min="3583" max="3583" width="14.28515625" bestFit="1" customWidth="1"/>
    <col min="3584" max="3584" width="13.28515625" bestFit="1" customWidth="1"/>
    <col min="3585" max="3585" width="8.42578125" bestFit="1" customWidth="1"/>
    <col min="3586" max="3586" width="14" bestFit="1" customWidth="1"/>
    <col min="3587" max="3587" width="14.42578125" bestFit="1" customWidth="1"/>
    <col min="3588" max="3588" width="7.5703125" bestFit="1" customWidth="1"/>
    <col min="3589" max="3589" width="14.28515625" bestFit="1" customWidth="1"/>
    <col min="3590" max="3590" width="14.85546875" bestFit="1" customWidth="1"/>
    <col min="3591" max="3591" width="8.7109375" bestFit="1" customWidth="1"/>
    <col min="3592" max="3592" width="13.85546875" bestFit="1" customWidth="1"/>
    <col min="3830" max="3830" width="41.42578125" bestFit="1" customWidth="1"/>
    <col min="3831" max="3831" width="12.140625" bestFit="1" customWidth="1"/>
    <col min="3832" max="3832" width="6.140625" bestFit="1" customWidth="1"/>
    <col min="3833" max="3833" width="13.85546875" bestFit="1" customWidth="1"/>
    <col min="3834" max="3834" width="12.140625" bestFit="1" customWidth="1"/>
    <col min="3835" max="3835" width="6.140625" bestFit="1" customWidth="1"/>
    <col min="3836" max="3836" width="14.42578125" bestFit="1" customWidth="1"/>
    <col min="3837" max="3837" width="13.42578125" bestFit="1" customWidth="1"/>
    <col min="3838" max="3838" width="6.5703125" bestFit="1" customWidth="1"/>
    <col min="3839" max="3839" width="14.28515625" bestFit="1" customWidth="1"/>
    <col min="3840" max="3840" width="13.28515625" bestFit="1" customWidth="1"/>
    <col min="3841" max="3841" width="8.42578125" bestFit="1" customWidth="1"/>
    <col min="3842" max="3842" width="14" bestFit="1" customWidth="1"/>
    <col min="3843" max="3843" width="14.42578125" bestFit="1" customWidth="1"/>
    <col min="3844" max="3844" width="7.5703125" bestFit="1" customWidth="1"/>
    <col min="3845" max="3845" width="14.28515625" bestFit="1" customWidth="1"/>
    <col min="3846" max="3846" width="14.85546875" bestFit="1" customWidth="1"/>
    <col min="3847" max="3847" width="8.7109375" bestFit="1" customWidth="1"/>
    <col min="3848" max="3848" width="13.85546875" bestFit="1" customWidth="1"/>
    <col min="4086" max="4086" width="41.42578125" bestFit="1" customWidth="1"/>
    <col min="4087" max="4087" width="12.140625" bestFit="1" customWidth="1"/>
    <col min="4088" max="4088" width="6.140625" bestFit="1" customWidth="1"/>
    <col min="4089" max="4089" width="13.85546875" bestFit="1" customWidth="1"/>
    <col min="4090" max="4090" width="12.140625" bestFit="1" customWidth="1"/>
    <col min="4091" max="4091" width="6.140625" bestFit="1" customWidth="1"/>
    <col min="4092" max="4092" width="14.42578125" bestFit="1" customWidth="1"/>
    <col min="4093" max="4093" width="13.42578125" bestFit="1" customWidth="1"/>
    <col min="4094" max="4094" width="6.5703125" bestFit="1" customWidth="1"/>
    <col min="4095" max="4095" width="14.28515625" bestFit="1" customWidth="1"/>
    <col min="4096" max="4096" width="13.28515625" bestFit="1" customWidth="1"/>
    <col min="4097" max="4097" width="8.42578125" bestFit="1" customWidth="1"/>
    <col min="4098" max="4098" width="14" bestFit="1" customWidth="1"/>
    <col min="4099" max="4099" width="14.42578125" bestFit="1" customWidth="1"/>
    <col min="4100" max="4100" width="7.5703125" bestFit="1" customWidth="1"/>
    <col min="4101" max="4101" width="14.28515625" bestFit="1" customWidth="1"/>
    <col min="4102" max="4102" width="14.85546875" bestFit="1" customWidth="1"/>
    <col min="4103" max="4103" width="8.7109375" bestFit="1" customWidth="1"/>
    <col min="4104" max="4104" width="13.85546875" bestFit="1" customWidth="1"/>
    <col min="4342" max="4342" width="41.42578125" bestFit="1" customWidth="1"/>
    <col min="4343" max="4343" width="12.140625" bestFit="1" customWidth="1"/>
    <col min="4344" max="4344" width="6.140625" bestFit="1" customWidth="1"/>
    <col min="4345" max="4345" width="13.85546875" bestFit="1" customWidth="1"/>
    <col min="4346" max="4346" width="12.140625" bestFit="1" customWidth="1"/>
    <col min="4347" max="4347" width="6.140625" bestFit="1" customWidth="1"/>
    <col min="4348" max="4348" width="14.42578125" bestFit="1" customWidth="1"/>
    <col min="4349" max="4349" width="13.42578125" bestFit="1" customWidth="1"/>
    <col min="4350" max="4350" width="6.5703125" bestFit="1" customWidth="1"/>
    <col min="4351" max="4351" width="14.28515625" bestFit="1" customWidth="1"/>
    <col min="4352" max="4352" width="13.28515625" bestFit="1" customWidth="1"/>
    <col min="4353" max="4353" width="8.42578125" bestFit="1" customWidth="1"/>
    <col min="4354" max="4354" width="14" bestFit="1" customWidth="1"/>
    <col min="4355" max="4355" width="14.42578125" bestFit="1" customWidth="1"/>
    <col min="4356" max="4356" width="7.5703125" bestFit="1" customWidth="1"/>
    <col min="4357" max="4357" width="14.28515625" bestFit="1" customWidth="1"/>
    <col min="4358" max="4358" width="14.85546875" bestFit="1" customWidth="1"/>
    <col min="4359" max="4359" width="8.7109375" bestFit="1" customWidth="1"/>
    <col min="4360" max="4360" width="13.85546875" bestFit="1" customWidth="1"/>
    <col min="4598" max="4598" width="41.42578125" bestFit="1" customWidth="1"/>
    <col min="4599" max="4599" width="12.140625" bestFit="1" customWidth="1"/>
    <col min="4600" max="4600" width="6.140625" bestFit="1" customWidth="1"/>
    <col min="4601" max="4601" width="13.85546875" bestFit="1" customWidth="1"/>
    <col min="4602" max="4602" width="12.140625" bestFit="1" customWidth="1"/>
    <col min="4603" max="4603" width="6.140625" bestFit="1" customWidth="1"/>
    <col min="4604" max="4604" width="14.42578125" bestFit="1" customWidth="1"/>
    <col min="4605" max="4605" width="13.42578125" bestFit="1" customWidth="1"/>
    <col min="4606" max="4606" width="6.5703125" bestFit="1" customWidth="1"/>
    <col min="4607" max="4607" width="14.28515625" bestFit="1" customWidth="1"/>
    <col min="4608" max="4608" width="13.28515625" bestFit="1" customWidth="1"/>
    <col min="4609" max="4609" width="8.42578125" bestFit="1" customWidth="1"/>
    <col min="4610" max="4610" width="14" bestFit="1" customWidth="1"/>
    <col min="4611" max="4611" width="14.42578125" bestFit="1" customWidth="1"/>
    <col min="4612" max="4612" width="7.5703125" bestFit="1" customWidth="1"/>
    <col min="4613" max="4613" width="14.28515625" bestFit="1" customWidth="1"/>
    <col min="4614" max="4614" width="14.85546875" bestFit="1" customWidth="1"/>
    <col min="4615" max="4615" width="8.7109375" bestFit="1" customWidth="1"/>
    <col min="4616" max="4616" width="13.85546875" bestFit="1" customWidth="1"/>
    <col min="4854" max="4854" width="41.42578125" bestFit="1" customWidth="1"/>
    <col min="4855" max="4855" width="12.140625" bestFit="1" customWidth="1"/>
    <col min="4856" max="4856" width="6.140625" bestFit="1" customWidth="1"/>
    <col min="4857" max="4857" width="13.85546875" bestFit="1" customWidth="1"/>
    <col min="4858" max="4858" width="12.140625" bestFit="1" customWidth="1"/>
    <col min="4859" max="4859" width="6.140625" bestFit="1" customWidth="1"/>
    <col min="4860" max="4860" width="14.42578125" bestFit="1" customWidth="1"/>
    <col min="4861" max="4861" width="13.42578125" bestFit="1" customWidth="1"/>
    <col min="4862" max="4862" width="6.5703125" bestFit="1" customWidth="1"/>
    <col min="4863" max="4863" width="14.28515625" bestFit="1" customWidth="1"/>
    <col min="4864" max="4864" width="13.28515625" bestFit="1" customWidth="1"/>
    <col min="4865" max="4865" width="8.42578125" bestFit="1" customWidth="1"/>
    <col min="4866" max="4866" width="14" bestFit="1" customWidth="1"/>
    <col min="4867" max="4867" width="14.42578125" bestFit="1" customWidth="1"/>
    <col min="4868" max="4868" width="7.5703125" bestFit="1" customWidth="1"/>
    <col min="4869" max="4869" width="14.28515625" bestFit="1" customWidth="1"/>
    <col min="4870" max="4870" width="14.85546875" bestFit="1" customWidth="1"/>
    <col min="4871" max="4871" width="8.7109375" bestFit="1" customWidth="1"/>
    <col min="4872" max="4872" width="13.85546875" bestFit="1" customWidth="1"/>
    <col min="5110" max="5110" width="41.42578125" bestFit="1" customWidth="1"/>
    <col min="5111" max="5111" width="12.140625" bestFit="1" customWidth="1"/>
    <col min="5112" max="5112" width="6.140625" bestFit="1" customWidth="1"/>
    <col min="5113" max="5113" width="13.85546875" bestFit="1" customWidth="1"/>
    <col min="5114" max="5114" width="12.140625" bestFit="1" customWidth="1"/>
    <col min="5115" max="5115" width="6.140625" bestFit="1" customWidth="1"/>
    <col min="5116" max="5116" width="14.42578125" bestFit="1" customWidth="1"/>
    <col min="5117" max="5117" width="13.42578125" bestFit="1" customWidth="1"/>
    <col min="5118" max="5118" width="6.5703125" bestFit="1" customWidth="1"/>
    <col min="5119" max="5119" width="14.28515625" bestFit="1" customWidth="1"/>
    <col min="5120" max="5120" width="13.28515625" bestFit="1" customWidth="1"/>
    <col min="5121" max="5121" width="8.42578125" bestFit="1" customWidth="1"/>
    <col min="5122" max="5122" width="14" bestFit="1" customWidth="1"/>
    <col min="5123" max="5123" width="14.42578125" bestFit="1" customWidth="1"/>
    <col min="5124" max="5124" width="7.5703125" bestFit="1" customWidth="1"/>
    <col min="5125" max="5125" width="14.28515625" bestFit="1" customWidth="1"/>
    <col min="5126" max="5126" width="14.85546875" bestFit="1" customWidth="1"/>
    <col min="5127" max="5127" width="8.7109375" bestFit="1" customWidth="1"/>
    <col min="5128" max="5128" width="13.85546875" bestFit="1" customWidth="1"/>
    <col min="5366" max="5366" width="41.42578125" bestFit="1" customWidth="1"/>
    <col min="5367" max="5367" width="12.140625" bestFit="1" customWidth="1"/>
    <col min="5368" max="5368" width="6.140625" bestFit="1" customWidth="1"/>
    <col min="5369" max="5369" width="13.85546875" bestFit="1" customWidth="1"/>
    <col min="5370" max="5370" width="12.140625" bestFit="1" customWidth="1"/>
    <col min="5371" max="5371" width="6.140625" bestFit="1" customWidth="1"/>
    <col min="5372" max="5372" width="14.42578125" bestFit="1" customWidth="1"/>
    <col min="5373" max="5373" width="13.42578125" bestFit="1" customWidth="1"/>
    <col min="5374" max="5374" width="6.5703125" bestFit="1" customWidth="1"/>
    <col min="5375" max="5375" width="14.28515625" bestFit="1" customWidth="1"/>
    <col min="5376" max="5376" width="13.28515625" bestFit="1" customWidth="1"/>
    <col min="5377" max="5377" width="8.42578125" bestFit="1" customWidth="1"/>
    <col min="5378" max="5378" width="14" bestFit="1" customWidth="1"/>
    <col min="5379" max="5379" width="14.42578125" bestFit="1" customWidth="1"/>
    <col min="5380" max="5380" width="7.5703125" bestFit="1" customWidth="1"/>
    <col min="5381" max="5381" width="14.28515625" bestFit="1" customWidth="1"/>
    <col min="5382" max="5382" width="14.85546875" bestFit="1" customWidth="1"/>
    <col min="5383" max="5383" width="8.7109375" bestFit="1" customWidth="1"/>
    <col min="5384" max="5384" width="13.85546875" bestFit="1" customWidth="1"/>
    <col min="5622" max="5622" width="41.42578125" bestFit="1" customWidth="1"/>
    <col min="5623" max="5623" width="12.140625" bestFit="1" customWidth="1"/>
    <col min="5624" max="5624" width="6.140625" bestFit="1" customWidth="1"/>
    <col min="5625" max="5625" width="13.85546875" bestFit="1" customWidth="1"/>
    <col min="5626" max="5626" width="12.140625" bestFit="1" customWidth="1"/>
    <col min="5627" max="5627" width="6.140625" bestFit="1" customWidth="1"/>
    <col min="5628" max="5628" width="14.42578125" bestFit="1" customWidth="1"/>
    <col min="5629" max="5629" width="13.42578125" bestFit="1" customWidth="1"/>
    <col min="5630" max="5630" width="6.5703125" bestFit="1" customWidth="1"/>
    <col min="5631" max="5631" width="14.28515625" bestFit="1" customWidth="1"/>
    <col min="5632" max="5632" width="13.28515625" bestFit="1" customWidth="1"/>
    <col min="5633" max="5633" width="8.42578125" bestFit="1" customWidth="1"/>
    <col min="5634" max="5634" width="14" bestFit="1" customWidth="1"/>
    <col min="5635" max="5635" width="14.42578125" bestFit="1" customWidth="1"/>
    <col min="5636" max="5636" width="7.5703125" bestFit="1" customWidth="1"/>
    <col min="5637" max="5637" width="14.28515625" bestFit="1" customWidth="1"/>
    <col min="5638" max="5638" width="14.85546875" bestFit="1" customWidth="1"/>
    <col min="5639" max="5639" width="8.7109375" bestFit="1" customWidth="1"/>
    <col min="5640" max="5640" width="13.85546875" bestFit="1" customWidth="1"/>
    <col min="5878" max="5878" width="41.42578125" bestFit="1" customWidth="1"/>
    <col min="5879" max="5879" width="12.140625" bestFit="1" customWidth="1"/>
    <col min="5880" max="5880" width="6.140625" bestFit="1" customWidth="1"/>
    <col min="5881" max="5881" width="13.85546875" bestFit="1" customWidth="1"/>
    <col min="5882" max="5882" width="12.140625" bestFit="1" customWidth="1"/>
    <col min="5883" max="5883" width="6.140625" bestFit="1" customWidth="1"/>
    <col min="5884" max="5884" width="14.42578125" bestFit="1" customWidth="1"/>
    <col min="5885" max="5885" width="13.42578125" bestFit="1" customWidth="1"/>
    <col min="5886" max="5886" width="6.5703125" bestFit="1" customWidth="1"/>
    <col min="5887" max="5887" width="14.28515625" bestFit="1" customWidth="1"/>
    <col min="5888" max="5888" width="13.28515625" bestFit="1" customWidth="1"/>
    <col min="5889" max="5889" width="8.42578125" bestFit="1" customWidth="1"/>
    <col min="5890" max="5890" width="14" bestFit="1" customWidth="1"/>
    <col min="5891" max="5891" width="14.42578125" bestFit="1" customWidth="1"/>
    <col min="5892" max="5892" width="7.5703125" bestFit="1" customWidth="1"/>
    <col min="5893" max="5893" width="14.28515625" bestFit="1" customWidth="1"/>
    <col min="5894" max="5894" width="14.85546875" bestFit="1" customWidth="1"/>
    <col min="5895" max="5895" width="8.7109375" bestFit="1" customWidth="1"/>
    <col min="5896" max="5896" width="13.85546875" bestFit="1" customWidth="1"/>
    <col min="6134" max="6134" width="41.42578125" bestFit="1" customWidth="1"/>
    <col min="6135" max="6135" width="12.140625" bestFit="1" customWidth="1"/>
    <col min="6136" max="6136" width="6.140625" bestFit="1" customWidth="1"/>
    <col min="6137" max="6137" width="13.85546875" bestFit="1" customWidth="1"/>
    <col min="6138" max="6138" width="12.140625" bestFit="1" customWidth="1"/>
    <col min="6139" max="6139" width="6.140625" bestFit="1" customWidth="1"/>
    <col min="6140" max="6140" width="14.42578125" bestFit="1" customWidth="1"/>
    <col min="6141" max="6141" width="13.42578125" bestFit="1" customWidth="1"/>
    <col min="6142" max="6142" width="6.5703125" bestFit="1" customWidth="1"/>
    <col min="6143" max="6143" width="14.28515625" bestFit="1" customWidth="1"/>
    <col min="6144" max="6144" width="13.28515625" bestFit="1" customWidth="1"/>
    <col min="6145" max="6145" width="8.42578125" bestFit="1" customWidth="1"/>
    <col min="6146" max="6146" width="14" bestFit="1" customWidth="1"/>
    <col min="6147" max="6147" width="14.42578125" bestFit="1" customWidth="1"/>
    <col min="6148" max="6148" width="7.5703125" bestFit="1" customWidth="1"/>
    <col min="6149" max="6149" width="14.28515625" bestFit="1" customWidth="1"/>
    <col min="6150" max="6150" width="14.85546875" bestFit="1" customWidth="1"/>
    <col min="6151" max="6151" width="8.7109375" bestFit="1" customWidth="1"/>
    <col min="6152" max="6152" width="13.85546875" bestFit="1" customWidth="1"/>
    <col min="6390" max="6390" width="41.42578125" bestFit="1" customWidth="1"/>
    <col min="6391" max="6391" width="12.140625" bestFit="1" customWidth="1"/>
    <col min="6392" max="6392" width="6.140625" bestFit="1" customWidth="1"/>
    <col min="6393" max="6393" width="13.85546875" bestFit="1" customWidth="1"/>
    <col min="6394" max="6394" width="12.140625" bestFit="1" customWidth="1"/>
    <col min="6395" max="6395" width="6.140625" bestFit="1" customWidth="1"/>
    <col min="6396" max="6396" width="14.42578125" bestFit="1" customWidth="1"/>
    <col min="6397" max="6397" width="13.42578125" bestFit="1" customWidth="1"/>
    <col min="6398" max="6398" width="6.5703125" bestFit="1" customWidth="1"/>
    <col min="6399" max="6399" width="14.28515625" bestFit="1" customWidth="1"/>
    <col min="6400" max="6400" width="13.28515625" bestFit="1" customWidth="1"/>
    <col min="6401" max="6401" width="8.42578125" bestFit="1" customWidth="1"/>
    <col min="6402" max="6402" width="14" bestFit="1" customWidth="1"/>
    <col min="6403" max="6403" width="14.42578125" bestFit="1" customWidth="1"/>
    <col min="6404" max="6404" width="7.5703125" bestFit="1" customWidth="1"/>
    <col min="6405" max="6405" width="14.28515625" bestFit="1" customWidth="1"/>
    <col min="6406" max="6406" width="14.85546875" bestFit="1" customWidth="1"/>
    <col min="6407" max="6407" width="8.7109375" bestFit="1" customWidth="1"/>
    <col min="6408" max="6408" width="13.85546875" bestFit="1" customWidth="1"/>
    <col min="6646" max="6646" width="41.42578125" bestFit="1" customWidth="1"/>
    <col min="6647" max="6647" width="12.140625" bestFit="1" customWidth="1"/>
    <col min="6648" max="6648" width="6.140625" bestFit="1" customWidth="1"/>
    <col min="6649" max="6649" width="13.85546875" bestFit="1" customWidth="1"/>
    <col min="6650" max="6650" width="12.140625" bestFit="1" customWidth="1"/>
    <col min="6651" max="6651" width="6.140625" bestFit="1" customWidth="1"/>
    <col min="6652" max="6652" width="14.42578125" bestFit="1" customWidth="1"/>
    <col min="6653" max="6653" width="13.42578125" bestFit="1" customWidth="1"/>
    <col min="6654" max="6654" width="6.5703125" bestFit="1" customWidth="1"/>
    <col min="6655" max="6655" width="14.28515625" bestFit="1" customWidth="1"/>
    <col min="6656" max="6656" width="13.28515625" bestFit="1" customWidth="1"/>
    <col min="6657" max="6657" width="8.42578125" bestFit="1" customWidth="1"/>
    <col min="6658" max="6658" width="14" bestFit="1" customWidth="1"/>
    <col min="6659" max="6659" width="14.42578125" bestFit="1" customWidth="1"/>
    <col min="6660" max="6660" width="7.5703125" bestFit="1" customWidth="1"/>
    <col min="6661" max="6661" width="14.28515625" bestFit="1" customWidth="1"/>
    <col min="6662" max="6662" width="14.85546875" bestFit="1" customWidth="1"/>
    <col min="6663" max="6663" width="8.7109375" bestFit="1" customWidth="1"/>
    <col min="6664" max="6664" width="13.85546875" bestFit="1" customWidth="1"/>
    <col min="6902" max="6902" width="41.42578125" bestFit="1" customWidth="1"/>
    <col min="6903" max="6903" width="12.140625" bestFit="1" customWidth="1"/>
    <col min="6904" max="6904" width="6.140625" bestFit="1" customWidth="1"/>
    <col min="6905" max="6905" width="13.85546875" bestFit="1" customWidth="1"/>
    <col min="6906" max="6906" width="12.140625" bestFit="1" customWidth="1"/>
    <col min="6907" max="6907" width="6.140625" bestFit="1" customWidth="1"/>
    <col min="6908" max="6908" width="14.42578125" bestFit="1" customWidth="1"/>
    <col min="6909" max="6909" width="13.42578125" bestFit="1" customWidth="1"/>
    <col min="6910" max="6910" width="6.5703125" bestFit="1" customWidth="1"/>
    <col min="6911" max="6911" width="14.28515625" bestFit="1" customWidth="1"/>
    <col min="6912" max="6912" width="13.28515625" bestFit="1" customWidth="1"/>
    <col min="6913" max="6913" width="8.42578125" bestFit="1" customWidth="1"/>
    <col min="6914" max="6914" width="14" bestFit="1" customWidth="1"/>
    <col min="6915" max="6915" width="14.42578125" bestFit="1" customWidth="1"/>
    <col min="6916" max="6916" width="7.5703125" bestFit="1" customWidth="1"/>
    <col min="6917" max="6917" width="14.28515625" bestFit="1" customWidth="1"/>
    <col min="6918" max="6918" width="14.85546875" bestFit="1" customWidth="1"/>
    <col min="6919" max="6919" width="8.7109375" bestFit="1" customWidth="1"/>
    <col min="6920" max="6920" width="13.85546875" bestFit="1" customWidth="1"/>
    <col min="7158" max="7158" width="41.42578125" bestFit="1" customWidth="1"/>
    <col min="7159" max="7159" width="12.140625" bestFit="1" customWidth="1"/>
    <col min="7160" max="7160" width="6.140625" bestFit="1" customWidth="1"/>
    <col min="7161" max="7161" width="13.85546875" bestFit="1" customWidth="1"/>
    <col min="7162" max="7162" width="12.140625" bestFit="1" customWidth="1"/>
    <col min="7163" max="7163" width="6.140625" bestFit="1" customWidth="1"/>
    <col min="7164" max="7164" width="14.42578125" bestFit="1" customWidth="1"/>
    <col min="7165" max="7165" width="13.42578125" bestFit="1" customWidth="1"/>
    <col min="7166" max="7166" width="6.5703125" bestFit="1" customWidth="1"/>
    <col min="7167" max="7167" width="14.28515625" bestFit="1" customWidth="1"/>
    <col min="7168" max="7168" width="13.28515625" bestFit="1" customWidth="1"/>
    <col min="7169" max="7169" width="8.42578125" bestFit="1" customWidth="1"/>
    <col min="7170" max="7170" width="14" bestFit="1" customWidth="1"/>
    <col min="7171" max="7171" width="14.42578125" bestFit="1" customWidth="1"/>
    <col min="7172" max="7172" width="7.5703125" bestFit="1" customWidth="1"/>
    <col min="7173" max="7173" width="14.28515625" bestFit="1" customWidth="1"/>
    <col min="7174" max="7174" width="14.85546875" bestFit="1" customWidth="1"/>
    <col min="7175" max="7175" width="8.7109375" bestFit="1" customWidth="1"/>
    <col min="7176" max="7176" width="13.85546875" bestFit="1" customWidth="1"/>
    <col min="7414" max="7414" width="41.42578125" bestFit="1" customWidth="1"/>
    <col min="7415" max="7415" width="12.140625" bestFit="1" customWidth="1"/>
    <col min="7416" max="7416" width="6.140625" bestFit="1" customWidth="1"/>
    <col min="7417" max="7417" width="13.85546875" bestFit="1" customWidth="1"/>
    <col min="7418" max="7418" width="12.140625" bestFit="1" customWidth="1"/>
    <col min="7419" max="7419" width="6.140625" bestFit="1" customWidth="1"/>
    <col min="7420" max="7420" width="14.42578125" bestFit="1" customWidth="1"/>
    <col min="7421" max="7421" width="13.42578125" bestFit="1" customWidth="1"/>
    <col min="7422" max="7422" width="6.5703125" bestFit="1" customWidth="1"/>
    <col min="7423" max="7423" width="14.28515625" bestFit="1" customWidth="1"/>
    <col min="7424" max="7424" width="13.28515625" bestFit="1" customWidth="1"/>
    <col min="7425" max="7425" width="8.42578125" bestFit="1" customWidth="1"/>
    <col min="7426" max="7426" width="14" bestFit="1" customWidth="1"/>
    <col min="7427" max="7427" width="14.42578125" bestFit="1" customWidth="1"/>
    <col min="7428" max="7428" width="7.5703125" bestFit="1" customWidth="1"/>
    <col min="7429" max="7429" width="14.28515625" bestFit="1" customWidth="1"/>
    <col min="7430" max="7430" width="14.85546875" bestFit="1" customWidth="1"/>
    <col min="7431" max="7431" width="8.7109375" bestFit="1" customWidth="1"/>
    <col min="7432" max="7432" width="13.85546875" bestFit="1" customWidth="1"/>
    <col min="7670" max="7670" width="41.42578125" bestFit="1" customWidth="1"/>
    <col min="7671" max="7671" width="12.140625" bestFit="1" customWidth="1"/>
    <col min="7672" max="7672" width="6.140625" bestFit="1" customWidth="1"/>
    <col min="7673" max="7673" width="13.85546875" bestFit="1" customWidth="1"/>
    <col min="7674" max="7674" width="12.140625" bestFit="1" customWidth="1"/>
    <col min="7675" max="7675" width="6.140625" bestFit="1" customWidth="1"/>
    <col min="7676" max="7676" width="14.42578125" bestFit="1" customWidth="1"/>
    <col min="7677" max="7677" width="13.42578125" bestFit="1" customWidth="1"/>
    <col min="7678" max="7678" width="6.5703125" bestFit="1" customWidth="1"/>
    <col min="7679" max="7679" width="14.28515625" bestFit="1" customWidth="1"/>
    <col min="7680" max="7680" width="13.28515625" bestFit="1" customWidth="1"/>
    <col min="7681" max="7681" width="8.42578125" bestFit="1" customWidth="1"/>
    <col min="7682" max="7682" width="14" bestFit="1" customWidth="1"/>
    <col min="7683" max="7683" width="14.42578125" bestFit="1" customWidth="1"/>
    <col min="7684" max="7684" width="7.5703125" bestFit="1" customWidth="1"/>
    <col min="7685" max="7685" width="14.28515625" bestFit="1" customWidth="1"/>
    <col min="7686" max="7686" width="14.85546875" bestFit="1" customWidth="1"/>
    <col min="7687" max="7687" width="8.7109375" bestFit="1" customWidth="1"/>
    <col min="7688" max="7688" width="13.85546875" bestFit="1" customWidth="1"/>
    <col min="7926" max="7926" width="41.42578125" bestFit="1" customWidth="1"/>
    <col min="7927" max="7927" width="12.140625" bestFit="1" customWidth="1"/>
    <col min="7928" max="7928" width="6.140625" bestFit="1" customWidth="1"/>
    <col min="7929" max="7929" width="13.85546875" bestFit="1" customWidth="1"/>
    <col min="7930" max="7930" width="12.140625" bestFit="1" customWidth="1"/>
    <col min="7931" max="7931" width="6.140625" bestFit="1" customWidth="1"/>
    <col min="7932" max="7932" width="14.42578125" bestFit="1" customWidth="1"/>
    <col min="7933" max="7933" width="13.42578125" bestFit="1" customWidth="1"/>
    <col min="7934" max="7934" width="6.5703125" bestFit="1" customWidth="1"/>
    <col min="7935" max="7935" width="14.28515625" bestFit="1" customWidth="1"/>
    <col min="7936" max="7936" width="13.28515625" bestFit="1" customWidth="1"/>
    <col min="7937" max="7937" width="8.42578125" bestFit="1" customWidth="1"/>
    <col min="7938" max="7938" width="14" bestFit="1" customWidth="1"/>
    <col min="7939" max="7939" width="14.42578125" bestFit="1" customWidth="1"/>
    <col min="7940" max="7940" width="7.5703125" bestFit="1" customWidth="1"/>
    <col min="7941" max="7941" width="14.28515625" bestFit="1" customWidth="1"/>
    <col min="7942" max="7942" width="14.85546875" bestFit="1" customWidth="1"/>
    <col min="7943" max="7943" width="8.7109375" bestFit="1" customWidth="1"/>
    <col min="7944" max="7944" width="13.85546875" bestFit="1" customWidth="1"/>
    <col min="8182" max="8182" width="41.42578125" bestFit="1" customWidth="1"/>
    <col min="8183" max="8183" width="12.140625" bestFit="1" customWidth="1"/>
    <col min="8184" max="8184" width="6.140625" bestFit="1" customWidth="1"/>
    <col min="8185" max="8185" width="13.85546875" bestFit="1" customWidth="1"/>
    <col min="8186" max="8186" width="12.140625" bestFit="1" customWidth="1"/>
    <col min="8187" max="8187" width="6.140625" bestFit="1" customWidth="1"/>
    <col min="8188" max="8188" width="14.42578125" bestFit="1" customWidth="1"/>
    <col min="8189" max="8189" width="13.42578125" bestFit="1" customWidth="1"/>
    <col min="8190" max="8190" width="6.5703125" bestFit="1" customWidth="1"/>
    <col min="8191" max="8191" width="14.28515625" bestFit="1" customWidth="1"/>
    <col min="8192" max="8192" width="13.28515625" bestFit="1" customWidth="1"/>
    <col min="8193" max="8193" width="8.42578125" bestFit="1" customWidth="1"/>
    <col min="8194" max="8194" width="14" bestFit="1" customWidth="1"/>
    <col min="8195" max="8195" width="14.42578125" bestFit="1" customWidth="1"/>
    <col min="8196" max="8196" width="7.5703125" bestFit="1" customWidth="1"/>
    <col min="8197" max="8197" width="14.28515625" bestFit="1" customWidth="1"/>
    <col min="8198" max="8198" width="14.85546875" bestFit="1" customWidth="1"/>
    <col min="8199" max="8199" width="8.7109375" bestFit="1" customWidth="1"/>
    <col min="8200" max="8200" width="13.85546875" bestFit="1" customWidth="1"/>
    <col min="8438" max="8438" width="41.42578125" bestFit="1" customWidth="1"/>
    <col min="8439" max="8439" width="12.140625" bestFit="1" customWidth="1"/>
    <col min="8440" max="8440" width="6.140625" bestFit="1" customWidth="1"/>
    <col min="8441" max="8441" width="13.85546875" bestFit="1" customWidth="1"/>
    <col min="8442" max="8442" width="12.140625" bestFit="1" customWidth="1"/>
    <col min="8443" max="8443" width="6.140625" bestFit="1" customWidth="1"/>
    <col min="8444" max="8444" width="14.42578125" bestFit="1" customWidth="1"/>
    <col min="8445" max="8445" width="13.42578125" bestFit="1" customWidth="1"/>
    <col min="8446" max="8446" width="6.5703125" bestFit="1" customWidth="1"/>
    <col min="8447" max="8447" width="14.28515625" bestFit="1" customWidth="1"/>
    <col min="8448" max="8448" width="13.28515625" bestFit="1" customWidth="1"/>
    <col min="8449" max="8449" width="8.42578125" bestFit="1" customWidth="1"/>
    <col min="8450" max="8450" width="14" bestFit="1" customWidth="1"/>
    <col min="8451" max="8451" width="14.42578125" bestFit="1" customWidth="1"/>
    <col min="8452" max="8452" width="7.5703125" bestFit="1" customWidth="1"/>
    <col min="8453" max="8453" width="14.28515625" bestFit="1" customWidth="1"/>
    <col min="8454" max="8454" width="14.85546875" bestFit="1" customWidth="1"/>
    <col min="8455" max="8455" width="8.7109375" bestFit="1" customWidth="1"/>
    <col min="8456" max="8456" width="13.85546875" bestFit="1" customWidth="1"/>
    <col min="8694" max="8694" width="41.42578125" bestFit="1" customWidth="1"/>
    <col min="8695" max="8695" width="12.140625" bestFit="1" customWidth="1"/>
    <col min="8696" max="8696" width="6.140625" bestFit="1" customWidth="1"/>
    <col min="8697" max="8697" width="13.85546875" bestFit="1" customWidth="1"/>
    <col min="8698" max="8698" width="12.140625" bestFit="1" customWidth="1"/>
    <col min="8699" max="8699" width="6.140625" bestFit="1" customWidth="1"/>
    <col min="8700" max="8700" width="14.42578125" bestFit="1" customWidth="1"/>
    <col min="8701" max="8701" width="13.42578125" bestFit="1" customWidth="1"/>
    <col min="8702" max="8702" width="6.5703125" bestFit="1" customWidth="1"/>
    <col min="8703" max="8703" width="14.28515625" bestFit="1" customWidth="1"/>
    <col min="8704" max="8704" width="13.28515625" bestFit="1" customWidth="1"/>
    <col min="8705" max="8705" width="8.42578125" bestFit="1" customWidth="1"/>
    <col min="8706" max="8706" width="14" bestFit="1" customWidth="1"/>
    <col min="8707" max="8707" width="14.42578125" bestFit="1" customWidth="1"/>
    <col min="8708" max="8708" width="7.5703125" bestFit="1" customWidth="1"/>
    <col min="8709" max="8709" width="14.28515625" bestFit="1" customWidth="1"/>
    <col min="8710" max="8710" width="14.85546875" bestFit="1" customWidth="1"/>
    <col min="8711" max="8711" width="8.7109375" bestFit="1" customWidth="1"/>
    <col min="8712" max="8712" width="13.85546875" bestFit="1" customWidth="1"/>
    <col min="8950" max="8950" width="41.42578125" bestFit="1" customWidth="1"/>
    <col min="8951" max="8951" width="12.140625" bestFit="1" customWidth="1"/>
    <col min="8952" max="8952" width="6.140625" bestFit="1" customWidth="1"/>
    <col min="8953" max="8953" width="13.85546875" bestFit="1" customWidth="1"/>
    <col min="8954" max="8954" width="12.140625" bestFit="1" customWidth="1"/>
    <col min="8955" max="8955" width="6.140625" bestFit="1" customWidth="1"/>
    <col min="8956" max="8956" width="14.42578125" bestFit="1" customWidth="1"/>
    <col min="8957" max="8957" width="13.42578125" bestFit="1" customWidth="1"/>
    <col min="8958" max="8958" width="6.5703125" bestFit="1" customWidth="1"/>
    <col min="8959" max="8959" width="14.28515625" bestFit="1" customWidth="1"/>
    <col min="8960" max="8960" width="13.28515625" bestFit="1" customWidth="1"/>
    <col min="8961" max="8961" width="8.42578125" bestFit="1" customWidth="1"/>
    <col min="8962" max="8962" width="14" bestFit="1" customWidth="1"/>
    <col min="8963" max="8963" width="14.42578125" bestFit="1" customWidth="1"/>
    <col min="8964" max="8964" width="7.5703125" bestFit="1" customWidth="1"/>
    <col min="8965" max="8965" width="14.28515625" bestFit="1" customWidth="1"/>
    <col min="8966" max="8966" width="14.85546875" bestFit="1" customWidth="1"/>
    <col min="8967" max="8967" width="8.7109375" bestFit="1" customWidth="1"/>
    <col min="8968" max="8968" width="13.85546875" bestFit="1" customWidth="1"/>
    <col min="9206" max="9206" width="41.42578125" bestFit="1" customWidth="1"/>
    <col min="9207" max="9207" width="12.140625" bestFit="1" customWidth="1"/>
    <col min="9208" max="9208" width="6.140625" bestFit="1" customWidth="1"/>
    <col min="9209" max="9209" width="13.85546875" bestFit="1" customWidth="1"/>
    <col min="9210" max="9210" width="12.140625" bestFit="1" customWidth="1"/>
    <col min="9211" max="9211" width="6.140625" bestFit="1" customWidth="1"/>
    <col min="9212" max="9212" width="14.42578125" bestFit="1" customWidth="1"/>
    <col min="9213" max="9213" width="13.42578125" bestFit="1" customWidth="1"/>
    <col min="9214" max="9214" width="6.5703125" bestFit="1" customWidth="1"/>
    <col min="9215" max="9215" width="14.28515625" bestFit="1" customWidth="1"/>
    <col min="9216" max="9216" width="13.28515625" bestFit="1" customWidth="1"/>
    <col min="9217" max="9217" width="8.42578125" bestFit="1" customWidth="1"/>
    <col min="9218" max="9218" width="14" bestFit="1" customWidth="1"/>
    <col min="9219" max="9219" width="14.42578125" bestFit="1" customWidth="1"/>
    <col min="9220" max="9220" width="7.5703125" bestFit="1" customWidth="1"/>
    <col min="9221" max="9221" width="14.28515625" bestFit="1" customWidth="1"/>
    <col min="9222" max="9222" width="14.85546875" bestFit="1" customWidth="1"/>
    <col min="9223" max="9223" width="8.7109375" bestFit="1" customWidth="1"/>
    <col min="9224" max="9224" width="13.85546875" bestFit="1" customWidth="1"/>
    <col min="9462" max="9462" width="41.42578125" bestFit="1" customWidth="1"/>
    <col min="9463" max="9463" width="12.140625" bestFit="1" customWidth="1"/>
    <col min="9464" max="9464" width="6.140625" bestFit="1" customWidth="1"/>
    <col min="9465" max="9465" width="13.85546875" bestFit="1" customWidth="1"/>
    <col min="9466" max="9466" width="12.140625" bestFit="1" customWidth="1"/>
    <col min="9467" max="9467" width="6.140625" bestFit="1" customWidth="1"/>
    <col min="9468" max="9468" width="14.42578125" bestFit="1" customWidth="1"/>
    <col min="9469" max="9469" width="13.42578125" bestFit="1" customWidth="1"/>
    <col min="9470" max="9470" width="6.5703125" bestFit="1" customWidth="1"/>
    <col min="9471" max="9471" width="14.28515625" bestFit="1" customWidth="1"/>
    <col min="9472" max="9472" width="13.28515625" bestFit="1" customWidth="1"/>
    <col min="9473" max="9473" width="8.42578125" bestFit="1" customWidth="1"/>
    <col min="9474" max="9474" width="14" bestFit="1" customWidth="1"/>
    <col min="9475" max="9475" width="14.42578125" bestFit="1" customWidth="1"/>
    <col min="9476" max="9476" width="7.5703125" bestFit="1" customWidth="1"/>
    <col min="9477" max="9477" width="14.28515625" bestFit="1" customWidth="1"/>
    <col min="9478" max="9478" width="14.85546875" bestFit="1" customWidth="1"/>
    <col min="9479" max="9479" width="8.7109375" bestFit="1" customWidth="1"/>
    <col min="9480" max="9480" width="13.85546875" bestFit="1" customWidth="1"/>
    <col min="9718" max="9718" width="41.42578125" bestFit="1" customWidth="1"/>
    <col min="9719" max="9719" width="12.140625" bestFit="1" customWidth="1"/>
    <col min="9720" max="9720" width="6.140625" bestFit="1" customWidth="1"/>
    <col min="9721" max="9721" width="13.85546875" bestFit="1" customWidth="1"/>
    <col min="9722" max="9722" width="12.140625" bestFit="1" customWidth="1"/>
    <col min="9723" max="9723" width="6.140625" bestFit="1" customWidth="1"/>
    <col min="9724" max="9724" width="14.42578125" bestFit="1" customWidth="1"/>
    <col min="9725" max="9725" width="13.42578125" bestFit="1" customWidth="1"/>
    <col min="9726" max="9726" width="6.5703125" bestFit="1" customWidth="1"/>
    <col min="9727" max="9727" width="14.28515625" bestFit="1" customWidth="1"/>
    <col min="9728" max="9728" width="13.28515625" bestFit="1" customWidth="1"/>
    <col min="9729" max="9729" width="8.42578125" bestFit="1" customWidth="1"/>
    <col min="9730" max="9730" width="14" bestFit="1" customWidth="1"/>
    <col min="9731" max="9731" width="14.42578125" bestFit="1" customWidth="1"/>
    <col min="9732" max="9732" width="7.5703125" bestFit="1" customWidth="1"/>
    <col min="9733" max="9733" width="14.28515625" bestFit="1" customWidth="1"/>
    <col min="9734" max="9734" width="14.85546875" bestFit="1" customWidth="1"/>
    <col min="9735" max="9735" width="8.7109375" bestFit="1" customWidth="1"/>
    <col min="9736" max="9736" width="13.85546875" bestFit="1" customWidth="1"/>
    <col min="9974" max="9974" width="41.42578125" bestFit="1" customWidth="1"/>
    <col min="9975" max="9975" width="12.140625" bestFit="1" customWidth="1"/>
    <col min="9976" max="9976" width="6.140625" bestFit="1" customWidth="1"/>
    <col min="9977" max="9977" width="13.85546875" bestFit="1" customWidth="1"/>
    <col min="9978" max="9978" width="12.140625" bestFit="1" customWidth="1"/>
    <col min="9979" max="9979" width="6.140625" bestFit="1" customWidth="1"/>
    <col min="9980" max="9980" width="14.42578125" bestFit="1" customWidth="1"/>
    <col min="9981" max="9981" width="13.42578125" bestFit="1" customWidth="1"/>
    <col min="9982" max="9982" width="6.5703125" bestFit="1" customWidth="1"/>
    <col min="9983" max="9983" width="14.28515625" bestFit="1" customWidth="1"/>
    <col min="9984" max="9984" width="13.28515625" bestFit="1" customWidth="1"/>
    <col min="9985" max="9985" width="8.42578125" bestFit="1" customWidth="1"/>
    <col min="9986" max="9986" width="14" bestFit="1" customWidth="1"/>
    <col min="9987" max="9987" width="14.42578125" bestFit="1" customWidth="1"/>
    <col min="9988" max="9988" width="7.5703125" bestFit="1" customWidth="1"/>
    <col min="9989" max="9989" width="14.28515625" bestFit="1" customWidth="1"/>
    <col min="9990" max="9990" width="14.85546875" bestFit="1" customWidth="1"/>
    <col min="9991" max="9991" width="8.7109375" bestFit="1" customWidth="1"/>
    <col min="9992" max="9992" width="13.85546875" bestFit="1" customWidth="1"/>
    <col min="10230" max="10230" width="41.42578125" bestFit="1" customWidth="1"/>
    <col min="10231" max="10231" width="12.140625" bestFit="1" customWidth="1"/>
    <col min="10232" max="10232" width="6.140625" bestFit="1" customWidth="1"/>
    <col min="10233" max="10233" width="13.85546875" bestFit="1" customWidth="1"/>
    <col min="10234" max="10234" width="12.140625" bestFit="1" customWidth="1"/>
    <col min="10235" max="10235" width="6.140625" bestFit="1" customWidth="1"/>
    <col min="10236" max="10236" width="14.42578125" bestFit="1" customWidth="1"/>
    <col min="10237" max="10237" width="13.42578125" bestFit="1" customWidth="1"/>
    <col min="10238" max="10238" width="6.5703125" bestFit="1" customWidth="1"/>
    <col min="10239" max="10239" width="14.28515625" bestFit="1" customWidth="1"/>
    <col min="10240" max="10240" width="13.28515625" bestFit="1" customWidth="1"/>
    <col min="10241" max="10241" width="8.42578125" bestFit="1" customWidth="1"/>
    <col min="10242" max="10242" width="14" bestFit="1" customWidth="1"/>
    <col min="10243" max="10243" width="14.42578125" bestFit="1" customWidth="1"/>
    <col min="10244" max="10244" width="7.5703125" bestFit="1" customWidth="1"/>
    <col min="10245" max="10245" width="14.28515625" bestFit="1" customWidth="1"/>
    <col min="10246" max="10246" width="14.85546875" bestFit="1" customWidth="1"/>
    <col min="10247" max="10247" width="8.7109375" bestFit="1" customWidth="1"/>
    <col min="10248" max="10248" width="13.85546875" bestFit="1" customWidth="1"/>
    <col min="10486" max="10486" width="41.42578125" bestFit="1" customWidth="1"/>
    <col min="10487" max="10487" width="12.140625" bestFit="1" customWidth="1"/>
    <col min="10488" max="10488" width="6.140625" bestFit="1" customWidth="1"/>
    <col min="10489" max="10489" width="13.85546875" bestFit="1" customWidth="1"/>
    <col min="10490" max="10490" width="12.140625" bestFit="1" customWidth="1"/>
    <col min="10491" max="10491" width="6.140625" bestFit="1" customWidth="1"/>
    <col min="10492" max="10492" width="14.42578125" bestFit="1" customWidth="1"/>
    <col min="10493" max="10493" width="13.42578125" bestFit="1" customWidth="1"/>
    <col min="10494" max="10494" width="6.5703125" bestFit="1" customWidth="1"/>
    <col min="10495" max="10495" width="14.28515625" bestFit="1" customWidth="1"/>
    <col min="10496" max="10496" width="13.28515625" bestFit="1" customWidth="1"/>
    <col min="10497" max="10497" width="8.42578125" bestFit="1" customWidth="1"/>
    <col min="10498" max="10498" width="14" bestFit="1" customWidth="1"/>
    <col min="10499" max="10499" width="14.42578125" bestFit="1" customWidth="1"/>
    <col min="10500" max="10500" width="7.5703125" bestFit="1" customWidth="1"/>
    <col min="10501" max="10501" width="14.28515625" bestFit="1" customWidth="1"/>
    <col min="10502" max="10502" width="14.85546875" bestFit="1" customWidth="1"/>
    <col min="10503" max="10503" width="8.7109375" bestFit="1" customWidth="1"/>
    <col min="10504" max="10504" width="13.85546875" bestFit="1" customWidth="1"/>
    <col min="10742" max="10742" width="41.42578125" bestFit="1" customWidth="1"/>
    <col min="10743" max="10743" width="12.140625" bestFit="1" customWidth="1"/>
    <col min="10744" max="10744" width="6.140625" bestFit="1" customWidth="1"/>
    <col min="10745" max="10745" width="13.85546875" bestFit="1" customWidth="1"/>
    <col min="10746" max="10746" width="12.140625" bestFit="1" customWidth="1"/>
    <col min="10747" max="10747" width="6.140625" bestFit="1" customWidth="1"/>
    <col min="10748" max="10748" width="14.42578125" bestFit="1" customWidth="1"/>
    <col min="10749" max="10749" width="13.42578125" bestFit="1" customWidth="1"/>
    <col min="10750" max="10750" width="6.5703125" bestFit="1" customWidth="1"/>
    <col min="10751" max="10751" width="14.28515625" bestFit="1" customWidth="1"/>
    <col min="10752" max="10752" width="13.28515625" bestFit="1" customWidth="1"/>
    <col min="10753" max="10753" width="8.42578125" bestFit="1" customWidth="1"/>
    <col min="10754" max="10754" width="14" bestFit="1" customWidth="1"/>
    <col min="10755" max="10755" width="14.42578125" bestFit="1" customWidth="1"/>
    <col min="10756" max="10756" width="7.5703125" bestFit="1" customWidth="1"/>
    <col min="10757" max="10757" width="14.28515625" bestFit="1" customWidth="1"/>
    <col min="10758" max="10758" width="14.85546875" bestFit="1" customWidth="1"/>
    <col min="10759" max="10759" width="8.7109375" bestFit="1" customWidth="1"/>
    <col min="10760" max="10760" width="13.85546875" bestFit="1" customWidth="1"/>
    <col min="10998" max="10998" width="41.42578125" bestFit="1" customWidth="1"/>
    <col min="10999" max="10999" width="12.140625" bestFit="1" customWidth="1"/>
    <col min="11000" max="11000" width="6.140625" bestFit="1" customWidth="1"/>
    <col min="11001" max="11001" width="13.85546875" bestFit="1" customWidth="1"/>
    <col min="11002" max="11002" width="12.140625" bestFit="1" customWidth="1"/>
    <col min="11003" max="11003" width="6.140625" bestFit="1" customWidth="1"/>
    <col min="11004" max="11004" width="14.42578125" bestFit="1" customWidth="1"/>
    <col min="11005" max="11005" width="13.42578125" bestFit="1" customWidth="1"/>
    <col min="11006" max="11006" width="6.5703125" bestFit="1" customWidth="1"/>
    <col min="11007" max="11007" width="14.28515625" bestFit="1" customWidth="1"/>
    <col min="11008" max="11008" width="13.28515625" bestFit="1" customWidth="1"/>
    <col min="11009" max="11009" width="8.42578125" bestFit="1" customWidth="1"/>
    <col min="11010" max="11010" width="14" bestFit="1" customWidth="1"/>
    <col min="11011" max="11011" width="14.42578125" bestFit="1" customWidth="1"/>
    <col min="11012" max="11012" width="7.5703125" bestFit="1" customWidth="1"/>
    <col min="11013" max="11013" width="14.28515625" bestFit="1" customWidth="1"/>
    <col min="11014" max="11014" width="14.85546875" bestFit="1" customWidth="1"/>
    <col min="11015" max="11015" width="8.7109375" bestFit="1" customWidth="1"/>
    <col min="11016" max="11016" width="13.85546875" bestFit="1" customWidth="1"/>
    <col min="11254" max="11254" width="41.42578125" bestFit="1" customWidth="1"/>
    <col min="11255" max="11255" width="12.140625" bestFit="1" customWidth="1"/>
    <col min="11256" max="11256" width="6.140625" bestFit="1" customWidth="1"/>
    <col min="11257" max="11257" width="13.85546875" bestFit="1" customWidth="1"/>
    <col min="11258" max="11258" width="12.140625" bestFit="1" customWidth="1"/>
    <col min="11259" max="11259" width="6.140625" bestFit="1" customWidth="1"/>
    <col min="11260" max="11260" width="14.42578125" bestFit="1" customWidth="1"/>
    <col min="11261" max="11261" width="13.42578125" bestFit="1" customWidth="1"/>
    <col min="11262" max="11262" width="6.5703125" bestFit="1" customWidth="1"/>
    <col min="11263" max="11263" width="14.28515625" bestFit="1" customWidth="1"/>
    <col min="11264" max="11264" width="13.28515625" bestFit="1" customWidth="1"/>
    <col min="11265" max="11265" width="8.42578125" bestFit="1" customWidth="1"/>
    <col min="11266" max="11266" width="14" bestFit="1" customWidth="1"/>
    <col min="11267" max="11267" width="14.42578125" bestFit="1" customWidth="1"/>
    <col min="11268" max="11268" width="7.5703125" bestFit="1" customWidth="1"/>
    <col min="11269" max="11269" width="14.28515625" bestFit="1" customWidth="1"/>
    <col min="11270" max="11270" width="14.85546875" bestFit="1" customWidth="1"/>
    <col min="11271" max="11271" width="8.7109375" bestFit="1" customWidth="1"/>
    <col min="11272" max="11272" width="13.85546875" bestFit="1" customWidth="1"/>
    <col min="11510" max="11510" width="41.42578125" bestFit="1" customWidth="1"/>
    <col min="11511" max="11511" width="12.140625" bestFit="1" customWidth="1"/>
    <col min="11512" max="11512" width="6.140625" bestFit="1" customWidth="1"/>
    <col min="11513" max="11513" width="13.85546875" bestFit="1" customWidth="1"/>
    <col min="11514" max="11514" width="12.140625" bestFit="1" customWidth="1"/>
    <col min="11515" max="11515" width="6.140625" bestFit="1" customWidth="1"/>
    <col min="11516" max="11516" width="14.42578125" bestFit="1" customWidth="1"/>
    <col min="11517" max="11517" width="13.42578125" bestFit="1" customWidth="1"/>
    <col min="11518" max="11518" width="6.5703125" bestFit="1" customWidth="1"/>
    <col min="11519" max="11519" width="14.28515625" bestFit="1" customWidth="1"/>
    <col min="11520" max="11520" width="13.28515625" bestFit="1" customWidth="1"/>
    <col min="11521" max="11521" width="8.42578125" bestFit="1" customWidth="1"/>
    <col min="11522" max="11522" width="14" bestFit="1" customWidth="1"/>
    <col min="11523" max="11523" width="14.42578125" bestFit="1" customWidth="1"/>
    <col min="11524" max="11524" width="7.5703125" bestFit="1" customWidth="1"/>
    <col min="11525" max="11525" width="14.28515625" bestFit="1" customWidth="1"/>
    <col min="11526" max="11526" width="14.85546875" bestFit="1" customWidth="1"/>
    <col min="11527" max="11527" width="8.7109375" bestFit="1" customWidth="1"/>
    <col min="11528" max="11528" width="13.85546875" bestFit="1" customWidth="1"/>
    <col min="11766" max="11766" width="41.42578125" bestFit="1" customWidth="1"/>
    <col min="11767" max="11767" width="12.140625" bestFit="1" customWidth="1"/>
    <col min="11768" max="11768" width="6.140625" bestFit="1" customWidth="1"/>
    <col min="11769" max="11769" width="13.85546875" bestFit="1" customWidth="1"/>
    <col min="11770" max="11770" width="12.140625" bestFit="1" customWidth="1"/>
    <col min="11771" max="11771" width="6.140625" bestFit="1" customWidth="1"/>
    <col min="11772" max="11772" width="14.42578125" bestFit="1" customWidth="1"/>
    <col min="11773" max="11773" width="13.42578125" bestFit="1" customWidth="1"/>
    <col min="11774" max="11774" width="6.5703125" bestFit="1" customWidth="1"/>
    <col min="11775" max="11775" width="14.28515625" bestFit="1" customWidth="1"/>
    <col min="11776" max="11776" width="13.28515625" bestFit="1" customWidth="1"/>
    <col min="11777" max="11777" width="8.42578125" bestFit="1" customWidth="1"/>
    <col min="11778" max="11778" width="14" bestFit="1" customWidth="1"/>
    <col min="11779" max="11779" width="14.42578125" bestFit="1" customWidth="1"/>
    <col min="11780" max="11780" width="7.5703125" bestFit="1" customWidth="1"/>
    <col min="11781" max="11781" width="14.28515625" bestFit="1" customWidth="1"/>
    <col min="11782" max="11782" width="14.85546875" bestFit="1" customWidth="1"/>
    <col min="11783" max="11783" width="8.7109375" bestFit="1" customWidth="1"/>
    <col min="11784" max="11784" width="13.85546875" bestFit="1" customWidth="1"/>
    <col min="12022" max="12022" width="41.42578125" bestFit="1" customWidth="1"/>
    <col min="12023" max="12023" width="12.140625" bestFit="1" customWidth="1"/>
    <col min="12024" max="12024" width="6.140625" bestFit="1" customWidth="1"/>
    <col min="12025" max="12025" width="13.85546875" bestFit="1" customWidth="1"/>
    <col min="12026" max="12026" width="12.140625" bestFit="1" customWidth="1"/>
    <col min="12027" max="12027" width="6.140625" bestFit="1" customWidth="1"/>
    <col min="12028" max="12028" width="14.42578125" bestFit="1" customWidth="1"/>
    <col min="12029" max="12029" width="13.42578125" bestFit="1" customWidth="1"/>
    <col min="12030" max="12030" width="6.5703125" bestFit="1" customWidth="1"/>
    <col min="12031" max="12031" width="14.28515625" bestFit="1" customWidth="1"/>
    <col min="12032" max="12032" width="13.28515625" bestFit="1" customWidth="1"/>
    <col min="12033" max="12033" width="8.42578125" bestFit="1" customWidth="1"/>
    <col min="12034" max="12034" width="14" bestFit="1" customWidth="1"/>
    <col min="12035" max="12035" width="14.42578125" bestFit="1" customWidth="1"/>
    <col min="12036" max="12036" width="7.5703125" bestFit="1" customWidth="1"/>
    <col min="12037" max="12037" width="14.28515625" bestFit="1" customWidth="1"/>
    <col min="12038" max="12038" width="14.85546875" bestFit="1" customWidth="1"/>
    <col min="12039" max="12039" width="8.7109375" bestFit="1" customWidth="1"/>
    <col min="12040" max="12040" width="13.85546875" bestFit="1" customWidth="1"/>
    <col min="12278" max="12278" width="41.42578125" bestFit="1" customWidth="1"/>
    <col min="12279" max="12279" width="12.140625" bestFit="1" customWidth="1"/>
    <col min="12280" max="12280" width="6.140625" bestFit="1" customWidth="1"/>
    <col min="12281" max="12281" width="13.85546875" bestFit="1" customWidth="1"/>
    <col min="12282" max="12282" width="12.140625" bestFit="1" customWidth="1"/>
    <col min="12283" max="12283" width="6.140625" bestFit="1" customWidth="1"/>
    <col min="12284" max="12284" width="14.42578125" bestFit="1" customWidth="1"/>
    <col min="12285" max="12285" width="13.42578125" bestFit="1" customWidth="1"/>
    <col min="12286" max="12286" width="6.5703125" bestFit="1" customWidth="1"/>
    <col min="12287" max="12287" width="14.28515625" bestFit="1" customWidth="1"/>
    <col min="12288" max="12288" width="13.28515625" bestFit="1" customWidth="1"/>
    <col min="12289" max="12289" width="8.42578125" bestFit="1" customWidth="1"/>
    <col min="12290" max="12290" width="14" bestFit="1" customWidth="1"/>
    <col min="12291" max="12291" width="14.42578125" bestFit="1" customWidth="1"/>
    <col min="12292" max="12292" width="7.5703125" bestFit="1" customWidth="1"/>
    <col min="12293" max="12293" width="14.28515625" bestFit="1" customWidth="1"/>
    <col min="12294" max="12294" width="14.85546875" bestFit="1" customWidth="1"/>
    <col min="12295" max="12295" width="8.7109375" bestFit="1" customWidth="1"/>
    <col min="12296" max="12296" width="13.85546875" bestFit="1" customWidth="1"/>
    <col min="12534" max="12534" width="41.42578125" bestFit="1" customWidth="1"/>
    <col min="12535" max="12535" width="12.140625" bestFit="1" customWidth="1"/>
    <col min="12536" max="12536" width="6.140625" bestFit="1" customWidth="1"/>
    <col min="12537" max="12537" width="13.85546875" bestFit="1" customWidth="1"/>
    <col min="12538" max="12538" width="12.140625" bestFit="1" customWidth="1"/>
    <col min="12539" max="12539" width="6.140625" bestFit="1" customWidth="1"/>
    <col min="12540" max="12540" width="14.42578125" bestFit="1" customWidth="1"/>
    <col min="12541" max="12541" width="13.42578125" bestFit="1" customWidth="1"/>
    <col min="12542" max="12542" width="6.5703125" bestFit="1" customWidth="1"/>
    <col min="12543" max="12543" width="14.28515625" bestFit="1" customWidth="1"/>
    <col min="12544" max="12544" width="13.28515625" bestFit="1" customWidth="1"/>
    <col min="12545" max="12545" width="8.42578125" bestFit="1" customWidth="1"/>
    <col min="12546" max="12546" width="14" bestFit="1" customWidth="1"/>
    <col min="12547" max="12547" width="14.42578125" bestFit="1" customWidth="1"/>
    <col min="12548" max="12548" width="7.5703125" bestFit="1" customWidth="1"/>
    <col min="12549" max="12549" width="14.28515625" bestFit="1" customWidth="1"/>
    <col min="12550" max="12550" width="14.85546875" bestFit="1" customWidth="1"/>
    <col min="12551" max="12551" width="8.7109375" bestFit="1" customWidth="1"/>
    <col min="12552" max="12552" width="13.85546875" bestFit="1" customWidth="1"/>
    <col min="12790" max="12790" width="41.42578125" bestFit="1" customWidth="1"/>
    <col min="12791" max="12791" width="12.140625" bestFit="1" customWidth="1"/>
    <col min="12792" max="12792" width="6.140625" bestFit="1" customWidth="1"/>
    <col min="12793" max="12793" width="13.85546875" bestFit="1" customWidth="1"/>
    <col min="12794" max="12794" width="12.140625" bestFit="1" customWidth="1"/>
    <col min="12795" max="12795" width="6.140625" bestFit="1" customWidth="1"/>
    <col min="12796" max="12796" width="14.42578125" bestFit="1" customWidth="1"/>
    <col min="12797" max="12797" width="13.42578125" bestFit="1" customWidth="1"/>
    <col min="12798" max="12798" width="6.5703125" bestFit="1" customWidth="1"/>
    <col min="12799" max="12799" width="14.28515625" bestFit="1" customWidth="1"/>
    <col min="12800" max="12800" width="13.28515625" bestFit="1" customWidth="1"/>
    <col min="12801" max="12801" width="8.42578125" bestFit="1" customWidth="1"/>
    <col min="12802" max="12802" width="14" bestFit="1" customWidth="1"/>
    <col min="12803" max="12803" width="14.42578125" bestFit="1" customWidth="1"/>
    <col min="12804" max="12804" width="7.5703125" bestFit="1" customWidth="1"/>
    <col min="12805" max="12805" width="14.28515625" bestFit="1" customWidth="1"/>
    <col min="12806" max="12806" width="14.85546875" bestFit="1" customWidth="1"/>
    <col min="12807" max="12807" width="8.7109375" bestFit="1" customWidth="1"/>
    <col min="12808" max="12808" width="13.85546875" bestFit="1" customWidth="1"/>
    <col min="13046" max="13046" width="41.42578125" bestFit="1" customWidth="1"/>
    <col min="13047" max="13047" width="12.140625" bestFit="1" customWidth="1"/>
    <col min="13048" max="13048" width="6.140625" bestFit="1" customWidth="1"/>
    <col min="13049" max="13049" width="13.85546875" bestFit="1" customWidth="1"/>
    <col min="13050" max="13050" width="12.140625" bestFit="1" customWidth="1"/>
    <col min="13051" max="13051" width="6.140625" bestFit="1" customWidth="1"/>
    <col min="13052" max="13052" width="14.42578125" bestFit="1" customWidth="1"/>
    <col min="13053" max="13053" width="13.42578125" bestFit="1" customWidth="1"/>
    <col min="13054" max="13054" width="6.5703125" bestFit="1" customWidth="1"/>
    <col min="13055" max="13055" width="14.28515625" bestFit="1" customWidth="1"/>
    <col min="13056" max="13056" width="13.28515625" bestFit="1" customWidth="1"/>
    <col min="13057" max="13057" width="8.42578125" bestFit="1" customWidth="1"/>
    <col min="13058" max="13058" width="14" bestFit="1" customWidth="1"/>
    <col min="13059" max="13059" width="14.42578125" bestFit="1" customWidth="1"/>
    <col min="13060" max="13060" width="7.5703125" bestFit="1" customWidth="1"/>
    <col min="13061" max="13061" width="14.28515625" bestFit="1" customWidth="1"/>
    <col min="13062" max="13062" width="14.85546875" bestFit="1" customWidth="1"/>
    <col min="13063" max="13063" width="8.7109375" bestFit="1" customWidth="1"/>
    <col min="13064" max="13064" width="13.85546875" bestFit="1" customWidth="1"/>
    <col min="13302" max="13302" width="41.42578125" bestFit="1" customWidth="1"/>
    <col min="13303" max="13303" width="12.140625" bestFit="1" customWidth="1"/>
    <col min="13304" max="13304" width="6.140625" bestFit="1" customWidth="1"/>
    <col min="13305" max="13305" width="13.85546875" bestFit="1" customWidth="1"/>
    <col min="13306" max="13306" width="12.140625" bestFit="1" customWidth="1"/>
    <col min="13307" max="13307" width="6.140625" bestFit="1" customWidth="1"/>
    <col min="13308" max="13308" width="14.42578125" bestFit="1" customWidth="1"/>
    <col min="13309" max="13309" width="13.42578125" bestFit="1" customWidth="1"/>
    <col min="13310" max="13310" width="6.5703125" bestFit="1" customWidth="1"/>
    <col min="13311" max="13311" width="14.28515625" bestFit="1" customWidth="1"/>
    <col min="13312" max="13312" width="13.28515625" bestFit="1" customWidth="1"/>
    <col min="13313" max="13313" width="8.42578125" bestFit="1" customWidth="1"/>
    <col min="13314" max="13314" width="14" bestFit="1" customWidth="1"/>
    <col min="13315" max="13315" width="14.42578125" bestFit="1" customWidth="1"/>
    <col min="13316" max="13316" width="7.5703125" bestFit="1" customWidth="1"/>
    <col min="13317" max="13317" width="14.28515625" bestFit="1" customWidth="1"/>
    <col min="13318" max="13318" width="14.85546875" bestFit="1" customWidth="1"/>
    <col min="13319" max="13319" width="8.7109375" bestFit="1" customWidth="1"/>
    <col min="13320" max="13320" width="13.85546875" bestFit="1" customWidth="1"/>
    <col min="13558" max="13558" width="41.42578125" bestFit="1" customWidth="1"/>
    <col min="13559" max="13559" width="12.140625" bestFit="1" customWidth="1"/>
    <col min="13560" max="13560" width="6.140625" bestFit="1" customWidth="1"/>
    <col min="13561" max="13561" width="13.85546875" bestFit="1" customWidth="1"/>
    <col min="13562" max="13562" width="12.140625" bestFit="1" customWidth="1"/>
    <col min="13563" max="13563" width="6.140625" bestFit="1" customWidth="1"/>
    <col min="13564" max="13564" width="14.42578125" bestFit="1" customWidth="1"/>
    <col min="13565" max="13565" width="13.42578125" bestFit="1" customWidth="1"/>
    <col min="13566" max="13566" width="6.5703125" bestFit="1" customWidth="1"/>
    <col min="13567" max="13567" width="14.28515625" bestFit="1" customWidth="1"/>
    <col min="13568" max="13568" width="13.28515625" bestFit="1" customWidth="1"/>
    <col min="13569" max="13569" width="8.42578125" bestFit="1" customWidth="1"/>
    <col min="13570" max="13570" width="14" bestFit="1" customWidth="1"/>
    <col min="13571" max="13571" width="14.42578125" bestFit="1" customWidth="1"/>
    <col min="13572" max="13572" width="7.5703125" bestFit="1" customWidth="1"/>
    <col min="13573" max="13573" width="14.28515625" bestFit="1" customWidth="1"/>
    <col min="13574" max="13574" width="14.85546875" bestFit="1" customWidth="1"/>
    <col min="13575" max="13575" width="8.7109375" bestFit="1" customWidth="1"/>
    <col min="13576" max="13576" width="13.85546875" bestFit="1" customWidth="1"/>
    <col min="13814" max="13814" width="41.42578125" bestFit="1" customWidth="1"/>
    <col min="13815" max="13815" width="12.140625" bestFit="1" customWidth="1"/>
    <col min="13816" max="13816" width="6.140625" bestFit="1" customWidth="1"/>
    <col min="13817" max="13817" width="13.85546875" bestFit="1" customWidth="1"/>
    <col min="13818" max="13818" width="12.140625" bestFit="1" customWidth="1"/>
    <col min="13819" max="13819" width="6.140625" bestFit="1" customWidth="1"/>
    <col min="13820" max="13820" width="14.42578125" bestFit="1" customWidth="1"/>
    <col min="13821" max="13821" width="13.42578125" bestFit="1" customWidth="1"/>
    <col min="13822" max="13822" width="6.5703125" bestFit="1" customWidth="1"/>
    <col min="13823" max="13823" width="14.28515625" bestFit="1" customWidth="1"/>
    <col min="13824" max="13824" width="13.28515625" bestFit="1" customWidth="1"/>
    <col min="13825" max="13825" width="8.42578125" bestFit="1" customWidth="1"/>
    <col min="13826" max="13826" width="14" bestFit="1" customWidth="1"/>
    <col min="13827" max="13827" width="14.42578125" bestFit="1" customWidth="1"/>
    <col min="13828" max="13828" width="7.5703125" bestFit="1" customWidth="1"/>
    <col min="13829" max="13829" width="14.28515625" bestFit="1" customWidth="1"/>
    <col min="13830" max="13830" width="14.85546875" bestFit="1" customWidth="1"/>
    <col min="13831" max="13831" width="8.7109375" bestFit="1" customWidth="1"/>
    <col min="13832" max="13832" width="13.85546875" bestFit="1" customWidth="1"/>
    <col min="14070" max="14070" width="41.42578125" bestFit="1" customWidth="1"/>
    <col min="14071" max="14071" width="12.140625" bestFit="1" customWidth="1"/>
    <col min="14072" max="14072" width="6.140625" bestFit="1" customWidth="1"/>
    <col min="14073" max="14073" width="13.85546875" bestFit="1" customWidth="1"/>
    <col min="14074" max="14074" width="12.140625" bestFit="1" customWidth="1"/>
    <col min="14075" max="14075" width="6.140625" bestFit="1" customWidth="1"/>
    <col min="14076" max="14076" width="14.42578125" bestFit="1" customWidth="1"/>
    <col min="14077" max="14077" width="13.42578125" bestFit="1" customWidth="1"/>
    <col min="14078" max="14078" width="6.5703125" bestFit="1" customWidth="1"/>
    <col min="14079" max="14079" width="14.28515625" bestFit="1" customWidth="1"/>
    <col min="14080" max="14080" width="13.28515625" bestFit="1" customWidth="1"/>
    <col min="14081" max="14081" width="8.42578125" bestFit="1" customWidth="1"/>
    <col min="14082" max="14082" width="14" bestFit="1" customWidth="1"/>
    <col min="14083" max="14083" width="14.42578125" bestFit="1" customWidth="1"/>
    <col min="14084" max="14084" width="7.5703125" bestFit="1" customWidth="1"/>
    <col min="14085" max="14085" width="14.28515625" bestFit="1" customWidth="1"/>
    <col min="14086" max="14086" width="14.85546875" bestFit="1" customWidth="1"/>
    <col min="14087" max="14087" width="8.7109375" bestFit="1" customWidth="1"/>
    <col min="14088" max="14088" width="13.85546875" bestFit="1" customWidth="1"/>
    <col min="14326" max="14326" width="41.42578125" bestFit="1" customWidth="1"/>
    <col min="14327" max="14327" width="12.140625" bestFit="1" customWidth="1"/>
    <col min="14328" max="14328" width="6.140625" bestFit="1" customWidth="1"/>
    <col min="14329" max="14329" width="13.85546875" bestFit="1" customWidth="1"/>
    <col min="14330" max="14330" width="12.140625" bestFit="1" customWidth="1"/>
    <col min="14331" max="14331" width="6.140625" bestFit="1" customWidth="1"/>
    <col min="14332" max="14332" width="14.42578125" bestFit="1" customWidth="1"/>
    <col min="14333" max="14333" width="13.42578125" bestFit="1" customWidth="1"/>
    <col min="14334" max="14334" width="6.5703125" bestFit="1" customWidth="1"/>
    <col min="14335" max="14335" width="14.28515625" bestFit="1" customWidth="1"/>
    <col min="14336" max="14336" width="13.28515625" bestFit="1" customWidth="1"/>
    <col min="14337" max="14337" width="8.42578125" bestFit="1" customWidth="1"/>
    <col min="14338" max="14338" width="14" bestFit="1" customWidth="1"/>
    <col min="14339" max="14339" width="14.42578125" bestFit="1" customWidth="1"/>
    <col min="14340" max="14340" width="7.5703125" bestFit="1" customWidth="1"/>
    <col min="14341" max="14341" width="14.28515625" bestFit="1" customWidth="1"/>
    <col min="14342" max="14342" width="14.85546875" bestFit="1" customWidth="1"/>
    <col min="14343" max="14343" width="8.7109375" bestFit="1" customWidth="1"/>
    <col min="14344" max="14344" width="13.85546875" bestFit="1" customWidth="1"/>
    <col min="14582" max="14582" width="41.42578125" bestFit="1" customWidth="1"/>
    <col min="14583" max="14583" width="12.140625" bestFit="1" customWidth="1"/>
    <col min="14584" max="14584" width="6.140625" bestFit="1" customWidth="1"/>
    <col min="14585" max="14585" width="13.85546875" bestFit="1" customWidth="1"/>
    <col min="14586" max="14586" width="12.140625" bestFit="1" customWidth="1"/>
    <col min="14587" max="14587" width="6.140625" bestFit="1" customWidth="1"/>
    <col min="14588" max="14588" width="14.42578125" bestFit="1" customWidth="1"/>
    <col min="14589" max="14589" width="13.42578125" bestFit="1" customWidth="1"/>
    <col min="14590" max="14590" width="6.5703125" bestFit="1" customWidth="1"/>
    <col min="14591" max="14591" width="14.28515625" bestFit="1" customWidth="1"/>
    <col min="14592" max="14592" width="13.28515625" bestFit="1" customWidth="1"/>
    <col min="14593" max="14593" width="8.42578125" bestFit="1" customWidth="1"/>
    <col min="14594" max="14594" width="14" bestFit="1" customWidth="1"/>
    <col min="14595" max="14595" width="14.42578125" bestFit="1" customWidth="1"/>
    <col min="14596" max="14596" width="7.5703125" bestFit="1" customWidth="1"/>
    <col min="14597" max="14597" width="14.28515625" bestFit="1" customWidth="1"/>
    <col min="14598" max="14598" width="14.85546875" bestFit="1" customWidth="1"/>
    <col min="14599" max="14599" width="8.7109375" bestFit="1" customWidth="1"/>
    <col min="14600" max="14600" width="13.85546875" bestFit="1" customWidth="1"/>
    <col min="14838" max="14838" width="41.42578125" bestFit="1" customWidth="1"/>
    <col min="14839" max="14839" width="12.140625" bestFit="1" customWidth="1"/>
    <col min="14840" max="14840" width="6.140625" bestFit="1" customWidth="1"/>
    <col min="14841" max="14841" width="13.85546875" bestFit="1" customWidth="1"/>
    <col min="14842" max="14842" width="12.140625" bestFit="1" customWidth="1"/>
    <col min="14843" max="14843" width="6.140625" bestFit="1" customWidth="1"/>
    <col min="14844" max="14844" width="14.42578125" bestFit="1" customWidth="1"/>
    <col min="14845" max="14845" width="13.42578125" bestFit="1" customWidth="1"/>
    <col min="14846" max="14846" width="6.5703125" bestFit="1" customWidth="1"/>
    <col min="14847" max="14847" width="14.28515625" bestFit="1" customWidth="1"/>
    <col min="14848" max="14848" width="13.28515625" bestFit="1" customWidth="1"/>
    <col min="14849" max="14849" width="8.42578125" bestFit="1" customWidth="1"/>
    <col min="14850" max="14850" width="14" bestFit="1" customWidth="1"/>
    <col min="14851" max="14851" width="14.42578125" bestFit="1" customWidth="1"/>
    <col min="14852" max="14852" width="7.5703125" bestFit="1" customWidth="1"/>
    <col min="14853" max="14853" width="14.28515625" bestFit="1" customWidth="1"/>
    <col min="14854" max="14854" width="14.85546875" bestFit="1" customWidth="1"/>
    <col min="14855" max="14855" width="8.7109375" bestFit="1" customWidth="1"/>
    <col min="14856" max="14856" width="13.85546875" bestFit="1" customWidth="1"/>
    <col min="15094" max="15094" width="41.42578125" bestFit="1" customWidth="1"/>
    <col min="15095" max="15095" width="12.140625" bestFit="1" customWidth="1"/>
    <col min="15096" max="15096" width="6.140625" bestFit="1" customWidth="1"/>
    <col min="15097" max="15097" width="13.85546875" bestFit="1" customWidth="1"/>
    <col min="15098" max="15098" width="12.140625" bestFit="1" customWidth="1"/>
    <col min="15099" max="15099" width="6.140625" bestFit="1" customWidth="1"/>
    <col min="15100" max="15100" width="14.42578125" bestFit="1" customWidth="1"/>
    <col min="15101" max="15101" width="13.42578125" bestFit="1" customWidth="1"/>
    <col min="15102" max="15102" width="6.5703125" bestFit="1" customWidth="1"/>
    <col min="15103" max="15103" width="14.28515625" bestFit="1" customWidth="1"/>
    <col min="15104" max="15104" width="13.28515625" bestFit="1" customWidth="1"/>
    <col min="15105" max="15105" width="8.42578125" bestFit="1" customWidth="1"/>
    <col min="15106" max="15106" width="14" bestFit="1" customWidth="1"/>
    <col min="15107" max="15107" width="14.42578125" bestFit="1" customWidth="1"/>
    <col min="15108" max="15108" width="7.5703125" bestFit="1" customWidth="1"/>
    <col min="15109" max="15109" width="14.28515625" bestFit="1" customWidth="1"/>
    <col min="15110" max="15110" width="14.85546875" bestFit="1" customWidth="1"/>
    <col min="15111" max="15111" width="8.7109375" bestFit="1" customWidth="1"/>
    <col min="15112" max="15112" width="13.85546875" bestFit="1" customWidth="1"/>
    <col min="15350" max="15350" width="41.42578125" bestFit="1" customWidth="1"/>
    <col min="15351" max="15351" width="12.140625" bestFit="1" customWidth="1"/>
    <col min="15352" max="15352" width="6.140625" bestFit="1" customWidth="1"/>
    <col min="15353" max="15353" width="13.85546875" bestFit="1" customWidth="1"/>
    <col min="15354" max="15354" width="12.140625" bestFit="1" customWidth="1"/>
    <col min="15355" max="15355" width="6.140625" bestFit="1" customWidth="1"/>
    <col min="15356" max="15356" width="14.42578125" bestFit="1" customWidth="1"/>
    <col min="15357" max="15357" width="13.42578125" bestFit="1" customWidth="1"/>
    <col min="15358" max="15358" width="6.5703125" bestFit="1" customWidth="1"/>
    <col min="15359" max="15359" width="14.28515625" bestFit="1" customWidth="1"/>
    <col min="15360" max="15360" width="13.28515625" bestFit="1" customWidth="1"/>
    <col min="15361" max="15361" width="8.42578125" bestFit="1" customWidth="1"/>
    <col min="15362" max="15362" width="14" bestFit="1" customWidth="1"/>
    <col min="15363" max="15363" width="14.42578125" bestFit="1" customWidth="1"/>
    <col min="15364" max="15364" width="7.5703125" bestFit="1" customWidth="1"/>
    <col min="15365" max="15365" width="14.28515625" bestFit="1" customWidth="1"/>
    <col min="15366" max="15366" width="14.85546875" bestFit="1" customWidth="1"/>
    <col min="15367" max="15367" width="8.7109375" bestFit="1" customWidth="1"/>
    <col min="15368" max="15368" width="13.85546875" bestFit="1" customWidth="1"/>
    <col min="15606" max="15606" width="41.42578125" bestFit="1" customWidth="1"/>
    <col min="15607" max="15607" width="12.140625" bestFit="1" customWidth="1"/>
    <col min="15608" max="15608" width="6.140625" bestFit="1" customWidth="1"/>
    <col min="15609" max="15609" width="13.85546875" bestFit="1" customWidth="1"/>
    <col min="15610" max="15610" width="12.140625" bestFit="1" customWidth="1"/>
    <col min="15611" max="15611" width="6.140625" bestFit="1" customWidth="1"/>
    <col min="15612" max="15612" width="14.42578125" bestFit="1" customWidth="1"/>
    <col min="15613" max="15613" width="13.42578125" bestFit="1" customWidth="1"/>
    <col min="15614" max="15614" width="6.5703125" bestFit="1" customWidth="1"/>
    <col min="15615" max="15615" width="14.28515625" bestFit="1" customWidth="1"/>
    <col min="15616" max="15616" width="13.28515625" bestFit="1" customWidth="1"/>
    <col min="15617" max="15617" width="8.42578125" bestFit="1" customWidth="1"/>
    <col min="15618" max="15618" width="14" bestFit="1" customWidth="1"/>
    <col min="15619" max="15619" width="14.42578125" bestFit="1" customWidth="1"/>
    <col min="15620" max="15620" width="7.5703125" bestFit="1" customWidth="1"/>
    <col min="15621" max="15621" width="14.28515625" bestFit="1" customWidth="1"/>
    <col min="15622" max="15622" width="14.85546875" bestFit="1" customWidth="1"/>
    <col min="15623" max="15623" width="8.7109375" bestFit="1" customWidth="1"/>
    <col min="15624" max="15624" width="13.85546875" bestFit="1" customWidth="1"/>
    <col min="15862" max="15862" width="41.42578125" bestFit="1" customWidth="1"/>
    <col min="15863" max="15863" width="12.140625" bestFit="1" customWidth="1"/>
    <col min="15864" max="15864" width="6.140625" bestFit="1" customWidth="1"/>
    <col min="15865" max="15865" width="13.85546875" bestFit="1" customWidth="1"/>
    <col min="15866" max="15866" width="12.140625" bestFit="1" customWidth="1"/>
    <col min="15867" max="15867" width="6.140625" bestFit="1" customWidth="1"/>
    <col min="15868" max="15868" width="14.42578125" bestFit="1" customWidth="1"/>
    <col min="15869" max="15869" width="13.42578125" bestFit="1" customWidth="1"/>
    <col min="15870" max="15870" width="6.5703125" bestFit="1" customWidth="1"/>
    <col min="15871" max="15871" width="14.28515625" bestFit="1" customWidth="1"/>
    <col min="15872" max="15872" width="13.28515625" bestFit="1" customWidth="1"/>
    <col min="15873" max="15873" width="8.42578125" bestFit="1" customWidth="1"/>
    <col min="15874" max="15874" width="14" bestFit="1" customWidth="1"/>
    <col min="15875" max="15875" width="14.42578125" bestFit="1" customWidth="1"/>
    <col min="15876" max="15876" width="7.5703125" bestFit="1" customWidth="1"/>
    <col min="15877" max="15877" width="14.28515625" bestFit="1" customWidth="1"/>
    <col min="15878" max="15878" width="14.85546875" bestFit="1" customWidth="1"/>
    <col min="15879" max="15879" width="8.7109375" bestFit="1" customWidth="1"/>
    <col min="15880" max="15880" width="13.85546875" bestFit="1" customWidth="1"/>
    <col min="16118" max="16118" width="41.42578125" bestFit="1" customWidth="1"/>
    <col min="16119" max="16119" width="12.140625" bestFit="1" customWidth="1"/>
    <col min="16120" max="16120" width="6.140625" bestFit="1" customWidth="1"/>
    <col min="16121" max="16121" width="13.85546875" bestFit="1" customWidth="1"/>
    <col min="16122" max="16122" width="12.140625" bestFit="1" customWidth="1"/>
    <col min="16123" max="16123" width="6.140625" bestFit="1" customWidth="1"/>
    <col min="16124" max="16124" width="14.42578125" bestFit="1" customWidth="1"/>
    <col min="16125" max="16125" width="13.42578125" bestFit="1" customWidth="1"/>
    <col min="16126" max="16126" width="6.5703125" bestFit="1" customWidth="1"/>
    <col min="16127" max="16127" width="14.28515625" bestFit="1" customWidth="1"/>
    <col min="16128" max="16128" width="13.28515625" bestFit="1" customWidth="1"/>
    <col min="16129" max="16129" width="8.42578125" bestFit="1" customWidth="1"/>
    <col min="16130" max="16130" width="14" bestFit="1" customWidth="1"/>
    <col min="16131" max="16131" width="14.42578125" bestFit="1" customWidth="1"/>
    <col min="16132" max="16132" width="7.5703125" bestFit="1" customWidth="1"/>
    <col min="16133" max="16133" width="14.28515625" bestFit="1" customWidth="1"/>
    <col min="16134" max="16134" width="14.85546875" bestFit="1" customWidth="1"/>
    <col min="16135" max="16135" width="8.7109375" bestFit="1" customWidth="1"/>
    <col min="16136" max="16136" width="13.85546875" bestFit="1" customWidth="1"/>
  </cols>
  <sheetData>
    <row r="1" spans="1:23" ht="34.5" customHeight="1">
      <c r="A1" s="171" t="s">
        <v>134</v>
      </c>
      <c r="B1" s="171"/>
      <c r="C1" s="171"/>
      <c r="D1" s="171"/>
      <c r="E1" s="171"/>
      <c r="F1" s="171"/>
      <c r="G1" s="171"/>
      <c r="H1" s="171"/>
      <c r="I1" s="171"/>
      <c r="K1" s="172" t="s">
        <v>135</v>
      </c>
      <c r="L1" s="172"/>
      <c r="M1" s="172"/>
      <c r="N1" s="172"/>
      <c r="O1" s="172"/>
      <c r="P1" s="172"/>
    </row>
    <row r="2" spans="1:23" s="69" customFormat="1" ht="17.25" customHeight="1">
      <c r="A2" s="173"/>
      <c r="B2" s="176" t="s">
        <v>136</v>
      </c>
      <c r="C2" s="177"/>
      <c r="D2" s="177"/>
      <c r="E2" s="177"/>
      <c r="F2" s="177"/>
      <c r="G2" s="177"/>
      <c r="H2" s="177"/>
      <c r="I2" s="178"/>
      <c r="K2" s="179"/>
      <c r="L2" s="181" t="s">
        <v>137</v>
      </c>
      <c r="M2" s="181" t="s">
        <v>138</v>
      </c>
      <c r="N2" s="183" t="s">
        <v>139</v>
      </c>
      <c r="O2" s="184"/>
      <c r="P2" s="70" t="s">
        <v>130</v>
      </c>
    </row>
    <row r="3" spans="1:23" s="69" customFormat="1" ht="14.25" customHeight="1">
      <c r="A3" s="174"/>
      <c r="C3" s="71"/>
      <c r="D3" s="185" t="s">
        <v>140</v>
      </c>
      <c r="E3" s="186"/>
      <c r="G3" s="72"/>
      <c r="H3" s="187" t="s">
        <v>141</v>
      </c>
      <c r="I3" s="188"/>
      <c r="K3" s="180"/>
      <c r="L3" s="182"/>
      <c r="M3" s="182"/>
      <c r="N3" s="73" t="s">
        <v>141</v>
      </c>
      <c r="O3" s="73" t="s">
        <v>142</v>
      </c>
      <c r="P3" s="74"/>
    </row>
    <row r="4" spans="1:23" s="69" customFormat="1" ht="43.5" customHeight="1">
      <c r="A4" s="175"/>
      <c r="B4" s="75" t="s">
        <v>143</v>
      </c>
      <c r="C4" s="76" t="s">
        <v>144</v>
      </c>
      <c r="D4" s="77" t="s">
        <v>145</v>
      </c>
      <c r="E4" s="78" t="s">
        <v>146</v>
      </c>
      <c r="F4" s="79" t="s">
        <v>143</v>
      </c>
      <c r="G4" s="80" t="s">
        <v>144</v>
      </c>
      <c r="H4" s="41" t="s">
        <v>145</v>
      </c>
      <c r="I4" s="81" t="s">
        <v>146</v>
      </c>
      <c r="K4" s="82" t="s">
        <v>147</v>
      </c>
      <c r="L4" s="83">
        <f>L8*1.6</f>
        <v>270.40000000000003</v>
      </c>
      <c r="M4" s="83">
        <v>301.10000000000002</v>
      </c>
      <c r="N4" s="83">
        <f>(2567.1-O4-M4)*1.1</f>
        <v>1898.71</v>
      </c>
      <c r="O4" s="83">
        <f>210.6+243.3+33.5+52.5</f>
        <v>539.9</v>
      </c>
      <c r="P4" s="84"/>
    </row>
    <row r="5" spans="1:23" s="69" customFormat="1" ht="15.75">
      <c r="A5" s="85" t="s">
        <v>148</v>
      </c>
      <c r="B5" s="86">
        <v>8976699.6984082852</v>
      </c>
      <c r="C5" s="87"/>
      <c r="D5" s="86">
        <v>40708.810024072765</v>
      </c>
      <c r="E5" s="88">
        <f>D5*U16*T16</f>
        <v>44325.787794711629</v>
      </c>
      <c r="F5" s="86">
        <v>49190613.190936193</v>
      </c>
      <c r="G5" s="89"/>
      <c r="H5" s="86">
        <v>29410.548677729334</v>
      </c>
      <c r="I5" s="88">
        <f>H5*U16*T16</f>
        <v>32023.675927745582</v>
      </c>
      <c r="K5" s="90" t="s">
        <v>149</v>
      </c>
      <c r="L5" s="91">
        <f>E26*L4</f>
        <v>70682618.70526363</v>
      </c>
      <c r="M5" s="91">
        <f>M4*E26</f>
        <v>78707605.370395258</v>
      </c>
      <c r="N5" s="91">
        <f>I26*N4</f>
        <v>152688670.31058294</v>
      </c>
      <c r="O5" s="91">
        <f>O4*E26</f>
        <v>141129977.2151325</v>
      </c>
      <c r="P5" s="92">
        <f>L5+M5+N5+O5</f>
        <v>443208871.60137427</v>
      </c>
    </row>
    <row r="6" spans="1:23" s="69" customFormat="1" ht="15" customHeight="1">
      <c r="A6" s="93" t="s">
        <v>150</v>
      </c>
      <c r="B6" s="94">
        <v>3119462.7771668993</v>
      </c>
      <c r="C6" s="95"/>
      <c r="D6" s="94">
        <v>14146.581910874334</v>
      </c>
      <c r="E6" s="96">
        <f>D6*T16*U16</f>
        <v>15403.505713655519</v>
      </c>
      <c r="F6" s="94">
        <v>17350310.768736202</v>
      </c>
      <c r="G6" s="97"/>
      <c r="H6" s="94">
        <v>10373.567767024126</v>
      </c>
      <c r="I6" s="96">
        <f>H6*U16*T16</f>
        <v>11295.259263124219</v>
      </c>
      <c r="K6" s="90" t="s">
        <v>151</v>
      </c>
      <c r="L6" s="98">
        <v>28</v>
      </c>
      <c r="M6" s="98"/>
      <c r="N6" s="98"/>
      <c r="O6" s="98"/>
      <c r="P6" s="99"/>
    </row>
    <row r="7" spans="1:23" s="69" customFormat="1" ht="15.75">
      <c r="A7" s="93" t="s">
        <v>152</v>
      </c>
      <c r="B7" s="94">
        <v>95784.316229978445</v>
      </c>
      <c r="C7" s="95"/>
      <c r="D7" s="94">
        <v>434.37629236759534</v>
      </c>
      <c r="E7" s="96">
        <f>D7</f>
        <v>434.37629236759534</v>
      </c>
      <c r="F7" s="94">
        <v>472628.74838074559</v>
      </c>
      <c r="G7" s="97"/>
      <c r="H7" s="94">
        <v>282.57974253729071</v>
      </c>
      <c r="I7" s="96">
        <f>H7</f>
        <v>282.57974253729071</v>
      </c>
      <c r="K7" s="90" t="s">
        <v>153</v>
      </c>
      <c r="L7" s="98">
        <f>7500*1.037</f>
        <v>7777.4999999999991</v>
      </c>
      <c r="M7" s="98"/>
      <c r="N7" s="98"/>
      <c r="O7" s="98"/>
      <c r="P7" s="99"/>
    </row>
    <row r="8" spans="1:23" s="69" customFormat="1" ht="30">
      <c r="A8" s="93" t="s">
        <v>154</v>
      </c>
      <c r="B8" s="94">
        <v>3425187.2900346247</v>
      </c>
      <c r="C8" s="95"/>
      <c r="D8" s="94">
        <v>15533.024760938846</v>
      </c>
      <c r="E8" s="96">
        <f>E10+E12+E14</f>
        <v>16816.487530885701</v>
      </c>
      <c r="F8" s="94">
        <v>30759500.195529565</v>
      </c>
      <c r="G8" s="97"/>
      <c r="H8" s="94">
        <v>18390.780661582354</v>
      </c>
      <c r="I8" s="96">
        <f>I10+I12+I14+I15+I16+I17</f>
        <v>19910.374086087581</v>
      </c>
      <c r="K8" s="100" t="s">
        <v>155</v>
      </c>
      <c r="L8" s="98">
        <v>169</v>
      </c>
      <c r="M8" s="98"/>
      <c r="N8" s="98"/>
      <c r="O8" s="98"/>
      <c r="P8" s="99"/>
    </row>
    <row r="9" spans="1:23" s="69" customFormat="1" ht="15.75">
      <c r="A9" s="101" t="s">
        <v>156</v>
      </c>
      <c r="B9" s="94"/>
      <c r="C9" s="95"/>
      <c r="D9" s="94"/>
      <c r="E9" s="96"/>
      <c r="F9" s="94"/>
      <c r="G9" s="97"/>
      <c r="H9" s="94"/>
      <c r="I9" s="96"/>
      <c r="K9" s="90" t="s">
        <v>157</v>
      </c>
      <c r="L9" s="91">
        <f>L6*L7*L8</f>
        <v>36803129.999999993</v>
      </c>
      <c r="M9" s="91">
        <f>'Воздушный транспорт'!AO14*1000</f>
        <v>8042580</v>
      </c>
      <c r="N9" s="191">
        <v>68322.31</v>
      </c>
      <c r="O9" s="192"/>
      <c r="P9" s="92">
        <f>'Воздушный транспорт'!AO15*1000</f>
        <v>113168019.99999999</v>
      </c>
    </row>
    <row r="10" spans="1:23" s="69" customFormat="1">
      <c r="A10" s="102" t="s">
        <v>158</v>
      </c>
      <c r="B10" s="103">
        <v>2980511.7638669768</v>
      </c>
      <c r="C10" s="104"/>
      <c r="D10" s="105">
        <v>13516.447162790699</v>
      </c>
      <c r="E10" s="106">
        <f>D10*U17*T17</f>
        <v>14633.284158957767</v>
      </c>
      <c r="F10" s="103">
        <v>24392221.669475846</v>
      </c>
      <c r="G10" s="104"/>
      <c r="H10" s="105">
        <v>14583.852004110997</v>
      </c>
      <c r="I10" s="106">
        <f>H10*U17*T17</f>
        <v>15788.88652750668</v>
      </c>
      <c r="K10" s="107" t="s">
        <v>159</v>
      </c>
      <c r="L10" s="108">
        <f>L5-L9</f>
        <v>33879488.705263637</v>
      </c>
      <c r="M10" s="108">
        <f>M5-M9</f>
        <v>70665025.370395258</v>
      </c>
      <c r="N10" s="193">
        <f>N5+O5-N9</f>
        <v>293750325.21571547</v>
      </c>
      <c r="O10" s="194"/>
      <c r="P10" s="109">
        <f>'Воздушный транспорт'!AQ15*1000</f>
        <v>330040851.60137439</v>
      </c>
    </row>
    <row r="11" spans="1:23" s="69" customFormat="1">
      <c r="A11" s="102" t="s">
        <v>160</v>
      </c>
      <c r="B11" s="103">
        <v>0</v>
      </c>
      <c r="C11" s="104"/>
      <c r="D11" s="105">
        <v>0</v>
      </c>
      <c r="E11" s="106"/>
      <c r="F11" s="103">
        <v>0</v>
      </c>
      <c r="G11" s="104"/>
      <c r="H11" s="105"/>
      <c r="I11" s="106"/>
    </row>
    <row r="12" spans="1:23" s="69" customFormat="1">
      <c r="A12" s="102" t="s">
        <v>161</v>
      </c>
      <c r="B12" s="103">
        <v>81423.762214159447</v>
      </c>
      <c r="C12" s="104"/>
      <c r="D12" s="105">
        <v>369.25201675279783</v>
      </c>
      <c r="E12" s="106">
        <f>D12*U17*T17</f>
        <v>399.762572393048</v>
      </c>
      <c r="F12" s="103">
        <v>539702.34816745401</v>
      </c>
      <c r="G12" s="104"/>
      <c r="H12" s="105">
        <v>322.68234023942722</v>
      </c>
      <c r="I12" s="106">
        <f>H12*U17*T17</f>
        <v>349.3449366487306</v>
      </c>
      <c r="K12" s="159" t="s">
        <v>102</v>
      </c>
      <c r="L12" s="159"/>
      <c r="M12" s="159"/>
      <c r="N12" s="159"/>
      <c r="O12" s="159"/>
      <c r="P12" s="159"/>
    </row>
    <row r="13" spans="1:23" s="69" customFormat="1" ht="45">
      <c r="A13" s="102" t="s">
        <v>162</v>
      </c>
      <c r="B13" s="103"/>
      <c r="C13" s="104"/>
      <c r="D13" s="105"/>
      <c r="E13" s="106"/>
      <c r="F13" s="103">
        <v>0</v>
      </c>
      <c r="G13" s="104"/>
      <c r="H13" s="105"/>
      <c r="I13" s="106"/>
      <c r="K13" s="110"/>
      <c r="L13" s="111" t="s">
        <v>106</v>
      </c>
      <c r="M13" s="111" t="s">
        <v>107</v>
      </c>
      <c r="N13" s="111" t="s">
        <v>163</v>
      </c>
      <c r="O13" s="111" t="s">
        <v>163</v>
      </c>
      <c r="P13" s="112" t="s">
        <v>164</v>
      </c>
    </row>
    <row r="14" spans="1:23" s="69" customFormat="1" ht="24">
      <c r="A14" s="102" t="s">
        <v>165</v>
      </c>
      <c r="B14" s="103">
        <v>363251.76395348838</v>
      </c>
      <c r="C14" s="104"/>
      <c r="D14" s="105">
        <v>1647.325581395349</v>
      </c>
      <c r="E14" s="106">
        <f>D14*U17*T17</f>
        <v>1783.4407995348838</v>
      </c>
      <c r="F14" s="103">
        <v>2558098.471976704</v>
      </c>
      <c r="G14" s="104"/>
      <c r="H14" s="105">
        <v>1529.4600890715997</v>
      </c>
      <c r="I14" s="106">
        <f>H14*U17*T17</f>
        <v>1655.8363173114076</v>
      </c>
      <c r="K14" s="113" t="s">
        <v>118</v>
      </c>
      <c r="L14" s="114">
        <v>4185838</v>
      </c>
      <c r="M14" s="114">
        <v>4018569</v>
      </c>
      <c r="N14" s="114">
        <v>6705434.5800000001</v>
      </c>
      <c r="O14" s="114">
        <v>6705434.5800000001</v>
      </c>
      <c r="P14" s="115"/>
    </row>
    <row r="15" spans="1:23" s="69" customFormat="1">
      <c r="A15" s="116" t="s">
        <v>166</v>
      </c>
      <c r="B15" s="103"/>
      <c r="C15" s="104"/>
      <c r="D15" s="105"/>
      <c r="E15" s="106"/>
      <c r="F15" s="103">
        <v>3147941.9375128467</v>
      </c>
      <c r="G15" s="104"/>
      <c r="H15" s="105">
        <v>1882.1212744090442</v>
      </c>
      <c r="I15" s="106">
        <f>H15*U17*T17</f>
        <v>2037.6371910709147</v>
      </c>
      <c r="K15" s="117" t="s">
        <v>119</v>
      </c>
      <c r="L15" s="52">
        <v>6358036</v>
      </c>
      <c r="M15" s="52">
        <v>6197280</v>
      </c>
      <c r="N15" s="52">
        <v>6681667.5800000001</v>
      </c>
      <c r="O15" s="52">
        <v>6681667.5800000001</v>
      </c>
      <c r="P15" s="118"/>
      <c r="S15" s="119"/>
      <c r="T15" s="120">
        <v>2019</v>
      </c>
      <c r="U15" s="120">
        <v>2020</v>
      </c>
      <c r="V15" s="120">
        <v>2021</v>
      </c>
      <c r="W15" s="120">
        <v>2022</v>
      </c>
    </row>
    <row r="16" spans="1:23" s="69" customFormat="1" ht="24">
      <c r="A16" s="102" t="s">
        <v>167</v>
      </c>
      <c r="B16" s="103"/>
      <c r="C16" s="104"/>
      <c r="D16" s="105"/>
      <c r="E16" s="106"/>
      <c r="F16" s="103">
        <v>7263.1873244261724</v>
      </c>
      <c r="G16" s="104"/>
      <c r="H16" s="105">
        <v>4.3425830763960258</v>
      </c>
      <c r="I16" s="106">
        <f>H16*U17*T17</f>
        <v>4.701402030832476</v>
      </c>
      <c r="K16" s="121" t="s">
        <v>120</v>
      </c>
      <c r="L16" s="52">
        <v>4048210</v>
      </c>
      <c r="M16" s="52">
        <v>3911494</v>
      </c>
      <c r="N16" s="52"/>
      <c r="O16" s="52"/>
      <c r="P16" s="118"/>
      <c r="S16" s="122" t="s">
        <v>168</v>
      </c>
      <c r="T16" s="122">
        <v>1.05</v>
      </c>
      <c r="U16" s="122">
        <v>1.0369999999999999</v>
      </c>
      <c r="V16" s="119">
        <v>1.04</v>
      </c>
      <c r="W16" s="122">
        <v>1.04</v>
      </c>
    </row>
    <row r="17" spans="1:23" s="69" customFormat="1">
      <c r="A17" s="102" t="s">
        <v>169</v>
      </c>
      <c r="B17" s="103"/>
      <c r="C17" s="104"/>
      <c r="D17" s="105"/>
      <c r="E17" s="106"/>
      <c r="F17" s="103">
        <v>114272.58107228501</v>
      </c>
      <c r="G17" s="104"/>
      <c r="H17" s="105">
        <v>68.32237067488866</v>
      </c>
      <c r="I17" s="106">
        <f>H17*U17*T17</f>
        <v>73.967711519013349</v>
      </c>
      <c r="K17" s="117" t="s">
        <v>121</v>
      </c>
      <c r="L17" s="52">
        <v>4090042</v>
      </c>
      <c r="M17" s="52">
        <v>3936136</v>
      </c>
      <c r="N17" s="123">
        <v>4925926</v>
      </c>
      <c r="O17" s="123">
        <v>4925926</v>
      </c>
      <c r="P17" s="118"/>
      <c r="S17" s="124" t="s">
        <v>170</v>
      </c>
      <c r="T17" s="125">
        <v>1.044</v>
      </c>
      <c r="U17" s="125">
        <v>1.0369999999999999</v>
      </c>
      <c r="V17" s="119">
        <v>1.038</v>
      </c>
      <c r="W17" s="126">
        <v>1.04</v>
      </c>
    </row>
    <row r="18" spans="1:23" s="69" customFormat="1" ht="15" customHeight="1">
      <c r="A18" s="127" t="s">
        <v>171</v>
      </c>
      <c r="B18" s="94">
        <v>51794066.893672287</v>
      </c>
      <c r="C18" s="95"/>
      <c r="D18" s="94">
        <v>234883.07511528861</v>
      </c>
      <c r="E18" s="96">
        <f>E20+E21+E23+E24+E25</f>
        <v>184420.05977364443</v>
      </c>
      <c r="F18" s="94">
        <v>26820319.815585203</v>
      </c>
      <c r="G18" s="95"/>
      <c r="H18" s="94">
        <v>16035.586269818663</v>
      </c>
      <c r="I18" s="96">
        <f>I20+I21+I23+I24+I25</f>
        <v>16905.167987938232</v>
      </c>
      <c r="K18" s="121" t="s">
        <v>122</v>
      </c>
      <c r="L18" s="52">
        <v>4008834</v>
      </c>
      <c r="M18" s="52">
        <v>3872639</v>
      </c>
      <c r="N18" s="52">
        <v>5763303.5800000001</v>
      </c>
      <c r="O18" s="52">
        <v>5763303.5800000001</v>
      </c>
      <c r="P18" s="118"/>
      <c r="S18" s="124" t="s">
        <v>172</v>
      </c>
      <c r="T18" s="125">
        <v>1.0009999999999999</v>
      </c>
      <c r="U18" s="125">
        <v>0.99099999999999999</v>
      </c>
      <c r="V18" s="119">
        <v>1.014</v>
      </c>
      <c r="W18" s="128">
        <v>1.0169999999999999</v>
      </c>
    </row>
    <row r="19" spans="1:23" s="69" customFormat="1">
      <c r="A19" s="101" t="s">
        <v>156</v>
      </c>
      <c r="B19" s="105"/>
      <c r="C19" s="129"/>
      <c r="D19" s="105"/>
      <c r="E19" s="106"/>
      <c r="F19" s="105"/>
      <c r="G19" s="129"/>
      <c r="H19" s="105"/>
      <c r="I19" s="106"/>
      <c r="K19" s="117" t="s">
        <v>123</v>
      </c>
      <c r="L19" s="52">
        <v>4005350</v>
      </c>
      <c r="M19" s="52">
        <v>3865782</v>
      </c>
      <c r="N19" s="52">
        <v>5809678.5800000001</v>
      </c>
      <c r="O19" s="52">
        <v>5809678.5800000001</v>
      </c>
      <c r="P19" s="118"/>
    </row>
    <row r="20" spans="1:23" s="69" customFormat="1" ht="33" customHeight="1">
      <c r="A20" s="102" t="s">
        <v>173</v>
      </c>
      <c r="B20" s="103">
        <v>232636</v>
      </c>
      <c r="C20" s="104"/>
      <c r="D20" s="105">
        <v>1054.9907033694617</v>
      </c>
      <c r="E20" s="106">
        <f>D20*U16*T16</f>
        <v>1148.7266273638384</v>
      </c>
      <c r="F20" s="103">
        <v>215646</v>
      </c>
      <c r="G20" s="104"/>
      <c r="H20" s="105">
        <v>128.93246838659533</v>
      </c>
      <c r="I20" s="106">
        <f>H20*U16*T16</f>
        <v>140.38811820274432</v>
      </c>
      <c r="K20" s="121" t="s">
        <v>124</v>
      </c>
      <c r="L20" s="52">
        <v>3925826</v>
      </c>
      <c r="M20" s="52">
        <v>3804903</v>
      </c>
      <c r="N20" s="52">
        <v>5701087.5800000001</v>
      </c>
      <c r="O20" s="52">
        <v>5701087.5800000001</v>
      </c>
      <c r="P20" s="118"/>
    </row>
    <row r="21" spans="1:23" s="69" customFormat="1" ht="21.75" customHeight="1">
      <c r="A21" s="102" t="s">
        <v>174</v>
      </c>
      <c r="B21" s="103">
        <v>3206083.15</v>
      </c>
      <c r="C21" s="104"/>
      <c r="D21" s="105">
        <v>14539.400253956737</v>
      </c>
      <c r="E21" s="106">
        <f>D21*U16*T16</f>
        <v>15831.225966520791</v>
      </c>
      <c r="F21" s="103">
        <v>8833879.6999999993</v>
      </c>
      <c r="G21" s="104"/>
      <c r="H21" s="105">
        <v>5281.6834773250421</v>
      </c>
      <c r="I21" s="106">
        <f>H21*U16*T16</f>
        <v>5750.9610542853716</v>
      </c>
      <c r="K21" s="117" t="s">
        <v>125</v>
      </c>
      <c r="L21" s="52">
        <v>3918514</v>
      </c>
      <c r="M21" s="52">
        <v>3794095</v>
      </c>
      <c r="N21" s="52">
        <v>5744821.5800000001</v>
      </c>
      <c r="O21" s="52">
        <v>5744821.5800000001</v>
      </c>
      <c r="P21" s="118"/>
    </row>
    <row r="22" spans="1:23" s="69" customFormat="1" ht="15" customHeight="1">
      <c r="A22" s="102" t="s">
        <v>175</v>
      </c>
      <c r="B22" s="103"/>
      <c r="C22" s="104"/>
      <c r="D22" s="105"/>
      <c r="E22" s="106"/>
      <c r="F22" s="103">
        <v>309135</v>
      </c>
      <c r="G22" s="104"/>
      <c r="H22" s="105">
        <v>184.82855520014351</v>
      </c>
      <c r="I22" s="106">
        <f>H22*U16*T16</f>
        <v>201.25057232967626</v>
      </c>
      <c r="K22" s="121" t="s">
        <v>126</v>
      </c>
      <c r="L22" s="52">
        <v>3874494</v>
      </c>
      <c r="M22" s="52">
        <v>3757861</v>
      </c>
      <c r="N22" s="52">
        <v>8640296.5800000001</v>
      </c>
      <c r="O22" s="52">
        <v>8640296.5800000001</v>
      </c>
      <c r="P22" s="118"/>
    </row>
    <row r="23" spans="1:23" s="69" customFormat="1">
      <c r="A23" s="102" t="s">
        <v>176</v>
      </c>
      <c r="B23" s="103">
        <v>64983.784186046512</v>
      </c>
      <c r="C23" s="104"/>
      <c r="D23" s="105">
        <v>294.69767441860466</v>
      </c>
      <c r="E23" s="106">
        <f>D23*U16*T16</f>
        <v>320.88156279069767</v>
      </c>
      <c r="F23" s="103">
        <v>245086.16022610481</v>
      </c>
      <c r="G23" s="104"/>
      <c r="H23" s="105">
        <v>146.5344295991778</v>
      </c>
      <c r="I23" s="106">
        <f>H23*U16*T16</f>
        <v>159.55401366906474</v>
      </c>
      <c r="K23" s="117" t="s">
        <v>127</v>
      </c>
      <c r="L23" s="52">
        <v>3797572</v>
      </c>
      <c r="M23" s="52">
        <v>3699463</v>
      </c>
      <c r="N23" s="52">
        <v>5631820.5800000001</v>
      </c>
      <c r="O23" s="52">
        <v>5631820.5800000001</v>
      </c>
      <c r="P23" s="118"/>
    </row>
    <row r="24" spans="1:23" s="69" customFormat="1" ht="46.5" customHeight="1">
      <c r="A24" s="102" t="s">
        <v>177</v>
      </c>
      <c r="B24" s="103">
        <v>45363118.741000004</v>
      </c>
      <c r="C24" s="104"/>
      <c r="D24" s="130">
        <v>205719.10000000003</v>
      </c>
      <c r="E24" s="131">
        <f>P30</f>
        <v>156264.96081518804</v>
      </c>
      <c r="F24" s="103">
        <v>0</v>
      </c>
      <c r="G24" s="104"/>
      <c r="H24" s="132"/>
      <c r="I24" s="133"/>
      <c r="K24" s="121" t="s">
        <v>128</v>
      </c>
      <c r="L24" s="52">
        <v>3784345</v>
      </c>
      <c r="M24" s="52">
        <v>3684134</v>
      </c>
      <c r="N24" s="52">
        <v>5672613.5800000001</v>
      </c>
      <c r="O24" s="52">
        <v>5672613.5800000001</v>
      </c>
      <c r="P24" s="118"/>
    </row>
    <row r="25" spans="1:23" s="69" customFormat="1" ht="24">
      <c r="A25" s="134" t="s">
        <v>178</v>
      </c>
      <c r="B25" s="103">
        <v>2198166.8103418658</v>
      </c>
      <c r="C25" s="104"/>
      <c r="D25" s="105">
        <v>9968.5583889250647</v>
      </c>
      <c r="E25" s="106">
        <f>D25*U16*T16</f>
        <v>10854.264801781057</v>
      </c>
      <c r="F25" s="103">
        <v>16672912.333396608</v>
      </c>
      <c r="G25" s="104"/>
      <c r="H25" s="105">
        <v>9968.5583889250593</v>
      </c>
      <c r="I25" s="106">
        <f>H25*U16*T16</f>
        <v>10854.264801781052</v>
      </c>
      <c r="K25" s="117" t="s">
        <v>129</v>
      </c>
      <c r="L25" s="52">
        <v>3709217</v>
      </c>
      <c r="M25" s="52">
        <v>3627431</v>
      </c>
      <c r="N25" s="52">
        <v>5567235.5800000001</v>
      </c>
      <c r="O25" s="52">
        <v>5567235.5800000001</v>
      </c>
      <c r="P25" s="118"/>
    </row>
    <row r="26" spans="1:23" s="69" customFormat="1">
      <c r="A26" s="135" t="s">
        <v>179</v>
      </c>
      <c r="B26" s="136">
        <v>67411200.975512072</v>
      </c>
      <c r="C26" s="137">
        <f>220.51+260.39</f>
        <v>480.9</v>
      </c>
      <c r="D26" s="138">
        <v>305705.86810354213</v>
      </c>
      <c r="E26" s="139">
        <f>E5+E6+E7+E8+E18</f>
        <v>261400.21710526489</v>
      </c>
      <c r="F26" s="136">
        <v>124593372.71916789</v>
      </c>
      <c r="G26" s="140">
        <v>1672.55</v>
      </c>
      <c r="H26" s="141">
        <v>74493.063118691774</v>
      </c>
      <c r="I26" s="139">
        <f>I5+I6+I7+I8+I18</f>
        <v>80417.057007432901</v>
      </c>
      <c r="K26" s="142" t="s">
        <v>130</v>
      </c>
      <c r="L26" s="65">
        <f t="shared" ref="L26:M26" si="0">SUM(L14:L25)</f>
        <v>49706278</v>
      </c>
      <c r="M26" s="65">
        <f t="shared" si="0"/>
        <v>48169787</v>
      </c>
      <c r="N26" s="65">
        <f>SUM(N14:N25)</f>
        <v>66843885.79999999</v>
      </c>
      <c r="O26" s="65">
        <f>SUM(O14:O25)</f>
        <v>66843885.79999999</v>
      </c>
      <c r="P26" s="118"/>
    </row>
    <row r="27" spans="1:23" s="69" customFormat="1" ht="29.25" customHeight="1">
      <c r="K27" s="143" t="s">
        <v>131</v>
      </c>
      <c r="L27" s="144">
        <f t="shared" ref="L27:M27" si="1">L26/1.2</f>
        <v>41421898.333333336</v>
      </c>
      <c r="M27" s="144">
        <f t="shared" si="1"/>
        <v>40141489.166666672</v>
      </c>
      <c r="N27" s="144">
        <f>N26/1.2</f>
        <v>55703238.166666657</v>
      </c>
      <c r="O27" s="144">
        <f>O26/1.2</f>
        <v>55703238.166666657</v>
      </c>
      <c r="P27" s="145">
        <f>SUM(L27:O27)</f>
        <v>192969863.83333331</v>
      </c>
      <c r="Q27" s="146"/>
      <c r="R27" s="146"/>
      <c r="S27" s="146"/>
      <c r="T27" s="146"/>
    </row>
    <row r="28" spans="1:23" s="69" customFormat="1" ht="22.5" customHeight="1">
      <c r="K28" s="195" t="s">
        <v>180</v>
      </c>
      <c r="L28" s="196"/>
      <c r="M28" s="196"/>
      <c r="N28" s="196"/>
      <c r="O28" s="196"/>
      <c r="P28" s="147">
        <f>P27*0.9</f>
        <v>173672877.44999999</v>
      </c>
      <c r="Q28" s="148"/>
    </row>
    <row r="29" spans="1:23" ht="15" customHeight="1">
      <c r="K29" s="197" t="s">
        <v>181</v>
      </c>
      <c r="L29" s="198"/>
      <c r="M29" s="198"/>
      <c r="N29" s="198"/>
      <c r="O29" s="198"/>
      <c r="P29" s="149">
        <f>O4+L4+M4</f>
        <v>1111.4000000000001</v>
      </c>
      <c r="Q29" s="148"/>
      <c r="R29" s="148"/>
    </row>
    <row r="30" spans="1:23" ht="19.5" customHeight="1">
      <c r="K30" s="189" t="s">
        <v>182</v>
      </c>
      <c r="L30" s="190"/>
      <c r="M30" s="190"/>
      <c r="N30" s="190"/>
      <c r="O30" s="190"/>
      <c r="P30" s="150">
        <f>P28/P29</f>
        <v>156264.96081518804</v>
      </c>
      <c r="Q30" s="148"/>
      <c r="R30" s="148"/>
    </row>
    <row r="31" spans="1:23" ht="13.5" customHeight="1">
      <c r="Q31" s="148"/>
      <c r="R31" s="148"/>
    </row>
    <row r="32" spans="1:23">
      <c r="Q32" s="148"/>
      <c r="R32" s="148"/>
    </row>
    <row r="33" spans="17:19">
      <c r="Q33" s="148"/>
    </row>
    <row r="34" spans="17:19">
      <c r="Q34" s="148"/>
    </row>
    <row r="35" spans="17:19">
      <c r="Q35" s="148"/>
    </row>
    <row r="36" spans="17:19">
      <c r="Q36" s="148"/>
    </row>
    <row r="37" spans="17:19">
      <c r="Q37" s="148"/>
    </row>
    <row r="38" spans="17:19">
      <c r="Q38" s="148"/>
    </row>
    <row r="39" spans="17:19">
      <c r="Q39" s="148"/>
    </row>
    <row r="40" spans="17:19">
      <c r="Q40" s="148"/>
    </row>
    <row r="41" spans="17:19">
      <c r="Q41" s="148"/>
    </row>
    <row r="42" spans="17:19">
      <c r="Q42" s="148"/>
    </row>
    <row r="43" spans="17:19" ht="15" customHeight="1">
      <c r="Q43" s="151"/>
      <c r="R43" s="151"/>
      <c r="S43" s="152"/>
    </row>
    <row r="44" spans="17:19" ht="15.75" customHeight="1">
      <c r="Q44" s="151"/>
      <c r="R44" s="151"/>
      <c r="S44" s="152"/>
    </row>
    <row r="45" spans="17:19">
      <c r="Q45" s="153"/>
      <c r="R45" s="153"/>
      <c r="S45" s="154"/>
    </row>
    <row r="46" spans="17:19" ht="19.5" customHeight="1"/>
    <row r="47" spans="17:19" ht="16.5" customHeight="1"/>
  </sheetData>
  <mergeCells count="16">
    <mergeCell ref="K30:O30"/>
    <mergeCell ref="N9:O9"/>
    <mergeCell ref="N10:O10"/>
    <mergeCell ref="K12:P12"/>
    <mergeCell ref="K28:O28"/>
    <mergeCell ref="K29:O29"/>
    <mergeCell ref="A1:I1"/>
    <mergeCell ref="K1:P1"/>
    <mergeCell ref="A2:A4"/>
    <mergeCell ref="B2:I2"/>
    <mergeCell ref="K2:K3"/>
    <mergeCell ref="L2:L3"/>
    <mergeCell ref="M2:M3"/>
    <mergeCell ref="N2:O2"/>
    <mergeCell ref="D3:E3"/>
    <mergeCell ref="H3:I3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M28"/>
  <sheetViews>
    <sheetView zoomScale="80" workbookViewId="0">
      <selection activeCell="AW22" sqref="AW22"/>
    </sheetView>
  </sheetViews>
  <sheetFormatPr defaultColWidth="55" defaultRowHeight="15.75" outlineLevelRow="1" outlineLevelCol="1"/>
  <cols>
    <col min="1" max="1" width="34.85546875" style="199" bestFit="1" customWidth="1"/>
    <col min="2" max="2" width="2.5703125" style="199" hidden="1" bestFit="1" customWidth="1" outlineLevel="1"/>
    <col min="3" max="3" width="3.28515625" style="199" hidden="1" bestFit="1" customWidth="1" outlineLevel="1"/>
    <col min="4" max="4" width="16.5703125" style="199" hidden="1" bestFit="1" customWidth="1" outlineLevel="1"/>
    <col min="5" max="5" width="18.28515625" style="199" hidden="1" bestFit="1" customWidth="1" outlineLevel="1"/>
    <col min="6" max="6" width="14.7109375" style="199" hidden="1" bestFit="1" customWidth="1" outlineLevel="1"/>
    <col min="7" max="7" width="17.28515625" style="199" hidden="1" bestFit="1" customWidth="1" outlineLevel="1"/>
    <col min="8" max="8" width="10" style="199" hidden="1" bestFit="1" customWidth="1" outlineLevel="1"/>
    <col min="9" max="9" width="17.140625" style="199" hidden="1" bestFit="1" customWidth="1" outlineLevel="1"/>
    <col min="10" max="10" width="10" style="199" hidden="1" bestFit="1" customWidth="1" outlineLevel="1"/>
    <col min="11" max="11" width="17.140625" style="199" hidden="1" bestFit="1" customWidth="1" outlineLevel="1"/>
    <col min="12" max="12" width="10.28515625" style="199" hidden="1" bestFit="1" customWidth="1" outlineLevel="1"/>
    <col min="13" max="13" width="17.140625" style="199" hidden="1" bestFit="1" customWidth="1" outlineLevel="1"/>
    <col min="14" max="14" width="10.28515625" style="199" hidden="1" bestFit="1" customWidth="1" outlineLevel="1"/>
    <col min="15" max="15" width="17.140625" style="199" hidden="1" bestFit="1" customWidth="1" outlineLevel="1" collapsed="1"/>
    <col min="16" max="16" width="23.5703125" style="199" hidden="1" bestFit="1" customWidth="1" outlineLevel="1"/>
    <col min="17" max="17" width="13.140625" style="199" hidden="1" bestFit="1" customWidth="1" outlineLevel="1"/>
    <col min="18" max="18" width="12.28515625" style="199" hidden="1" bestFit="1" customWidth="1" outlineLevel="1"/>
    <col min="19" max="19" width="12.140625" style="199" hidden="1" bestFit="1" customWidth="1" outlineLevel="1"/>
    <col min="20" max="20" width="11.28515625" style="199" hidden="1" bestFit="1" customWidth="1" outlineLevel="1"/>
    <col min="21" max="21" width="9.42578125" style="199" hidden="1" bestFit="1" customWidth="1" outlineLevel="1"/>
    <col min="22" max="22" width="13.42578125" style="199" hidden="1" bestFit="1" customWidth="1" outlineLevel="1"/>
    <col min="23" max="23" width="12.5703125" style="199" hidden="1" bestFit="1" customWidth="1" outlineLevel="1"/>
    <col min="24" max="24" width="13.28515625" style="199" hidden="1" bestFit="1" customWidth="1" outlineLevel="1"/>
    <col min="25" max="25" width="9.42578125" style="199" hidden="1" bestFit="1" customWidth="1" outlineLevel="1" collapsed="1"/>
    <col min="26" max="26" width="17.85546875" style="199" hidden="1" bestFit="1" customWidth="1" collapsed="1"/>
    <col min="27" max="27" width="17" style="199" hidden="1" bestFit="1" customWidth="1"/>
    <col min="28" max="28" width="14.85546875" style="200" hidden="1" bestFit="1" customWidth="1"/>
    <col min="29" max="29" width="14.7109375" style="200" hidden="1" bestFit="1" customWidth="1"/>
    <col min="30" max="30" width="12.140625" style="200" hidden="1" bestFit="1" customWidth="1"/>
    <col min="31" max="31" width="14.7109375" style="200" hidden="1" bestFit="1" customWidth="1"/>
    <col min="32" max="32" width="11.7109375" style="201" hidden="1" bestFit="1" customWidth="1"/>
    <col min="33" max="33" width="18.7109375" style="201" hidden="1" bestFit="1" customWidth="1"/>
    <col min="34" max="34" width="15" style="201" hidden="1" bestFit="1" customWidth="1"/>
    <col min="35" max="35" width="14.42578125" style="200" hidden="1" bestFit="1" customWidth="1"/>
    <col min="36" max="36" width="12.28515625" style="200" hidden="1" bestFit="1" customWidth="1"/>
    <col min="37" max="37" width="14.5703125" style="200" hidden="1" bestFit="1" customWidth="1"/>
    <col min="38" max="38" width="12.5703125" style="200" hidden="1" bestFit="1" customWidth="1"/>
    <col min="39" max="39" width="17" style="200" hidden="1" bestFit="1" customWidth="1"/>
    <col min="40" max="40" width="15.85546875" style="200" hidden="1" bestFit="1" customWidth="1"/>
    <col min="41" max="42" width="13.140625" style="200" hidden="1" bestFit="1" customWidth="1"/>
    <col min="43" max="43" width="15.85546875" style="200" hidden="1" bestFit="1" customWidth="1"/>
    <col min="44" max="44" width="12.85546875" style="200" hidden="1" bestFit="1" customWidth="1"/>
    <col min="45" max="45" width="16.28515625" style="200" hidden="1" bestFit="1" customWidth="1"/>
    <col min="46" max="46" width="12.85546875" style="200" hidden="1" bestFit="1" customWidth="1"/>
    <col min="47" max="47" width="16.28515625" style="201" bestFit="1" customWidth="1"/>
    <col min="48" max="48" width="14.140625" style="200" bestFit="1" customWidth="1"/>
    <col min="49" max="49" width="16.5703125" style="399" customWidth="1"/>
    <col min="50" max="50" width="10.7109375" style="200" bestFit="1" customWidth="1"/>
    <col min="51" max="51" width="17.42578125" style="199" bestFit="1" customWidth="1"/>
    <col min="52" max="52" width="17.7109375" style="199" customWidth="1"/>
    <col min="53" max="53" width="11.28515625" style="199" bestFit="1" customWidth="1"/>
    <col min="54" max="54" width="16.7109375" style="199" customWidth="1"/>
    <col min="55" max="55" width="12" style="199" bestFit="1" customWidth="1"/>
    <col min="56" max="56" width="15.42578125" style="199" bestFit="1" customWidth="1"/>
    <col min="57" max="57" width="13.140625" style="199" bestFit="1" customWidth="1"/>
    <col min="58" max="58" width="12.140625" style="199" customWidth="1"/>
    <col min="59" max="59" width="14.140625" style="199" bestFit="1" customWidth="1"/>
    <col min="60" max="60" width="12.5703125" style="199" customWidth="1"/>
    <col min="61" max="61" width="14.85546875" style="199" bestFit="1" customWidth="1"/>
    <col min="62" max="62" width="14.5703125" style="199" bestFit="1" customWidth="1"/>
    <col min="63" max="63" width="10.5703125" style="199" bestFit="1" customWidth="1"/>
    <col min="64" max="64" width="14" style="199" bestFit="1" customWidth="1"/>
    <col min="65" max="65" width="11.85546875" style="199" customWidth="1"/>
    <col min="66" max="66" width="55" style="199" bestFit="1"/>
    <col min="67" max="16384" width="55" style="199"/>
  </cols>
  <sheetData>
    <row r="1" spans="1:65" ht="60" customHeight="1">
      <c r="A1" s="203" t="s">
        <v>183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</row>
    <row r="2" spans="1:65" ht="14.25" customHeight="1">
      <c r="B2" s="204"/>
      <c r="C2" s="204"/>
      <c r="D2" s="204"/>
      <c r="E2" s="204"/>
      <c r="F2" s="204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S2" s="205"/>
      <c r="AX2" s="199"/>
      <c r="BC2" s="206"/>
      <c r="BL2" s="199" t="s">
        <v>207</v>
      </c>
    </row>
    <row r="3" spans="1:65" ht="30.75" customHeight="1">
      <c r="A3" s="207" t="s">
        <v>184</v>
      </c>
      <c r="B3" s="208" t="s">
        <v>1</v>
      </c>
      <c r="C3" s="209" t="s">
        <v>2</v>
      </c>
      <c r="D3" s="210" t="s">
        <v>3</v>
      </c>
      <c r="E3" s="211"/>
      <c r="F3" s="210" t="s">
        <v>4</v>
      </c>
      <c r="G3" s="212"/>
      <c r="H3" s="212"/>
      <c r="I3" s="210" t="s">
        <v>5</v>
      </c>
      <c r="J3" s="211"/>
      <c r="K3" s="212" t="s">
        <v>6</v>
      </c>
      <c r="L3" s="211"/>
      <c r="M3" s="210" t="s">
        <v>7</v>
      </c>
      <c r="N3" s="212"/>
      <c r="O3" s="213" t="s">
        <v>8</v>
      </c>
      <c r="P3" s="214"/>
      <c r="Q3" s="215" t="s">
        <v>9</v>
      </c>
      <c r="R3" s="216"/>
      <c r="S3" s="216"/>
      <c r="T3" s="216"/>
      <c r="U3" s="216"/>
      <c r="V3" s="216" t="s">
        <v>10</v>
      </c>
      <c r="W3" s="216"/>
      <c r="X3" s="216"/>
      <c r="Y3" s="217"/>
      <c r="Z3" s="218" t="s">
        <v>11</v>
      </c>
      <c r="AA3" s="219" t="s">
        <v>12</v>
      </c>
      <c r="AB3" s="215" t="s">
        <v>13</v>
      </c>
      <c r="AC3" s="216"/>
      <c r="AD3" s="216"/>
      <c r="AE3" s="216"/>
      <c r="AF3" s="217"/>
      <c r="AG3" s="218" t="s">
        <v>14</v>
      </c>
      <c r="AH3" s="213" t="s">
        <v>15</v>
      </c>
      <c r="AI3" s="216"/>
      <c r="AJ3" s="216"/>
      <c r="AK3" s="216"/>
      <c r="AL3" s="214"/>
      <c r="AM3" s="400" t="s">
        <v>16</v>
      </c>
      <c r="AN3" s="210" t="s">
        <v>17</v>
      </c>
      <c r="AO3" s="212"/>
      <c r="AP3" s="212"/>
      <c r="AQ3" s="212"/>
      <c r="AR3" s="212"/>
      <c r="AS3" s="213" t="s">
        <v>185</v>
      </c>
      <c r="AT3" s="214" t="s">
        <v>186</v>
      </c>
      <c r="AU3" s="215" t="s">
        <v>187</v>
      </c>
      <c r="AV3" s="216"/>
      <c r="AW3" s="216"/>
      <c r="AX3" s="214"/>
      <c r="AY3" s="215" t="s">
        <v>19</v>
      </c>
      <c r="AZ3" s="216"/>
      <c r="BA3" s="216"/>
      <c r="BB3" s="216"/>
      <c r="BC3" s="214"/>
      <c r="BD3" s="215" t="s">
        <v>20</v>
      </c>
      <c r="BE3" s="216"/>
      <c r="BF3" s="216"/>
      <c r="BG3" s="216"/>
      <c r="BH3" s="214"/>
      <c r="BI3" s="215" t="s">
        <v>21</v>
      </c>
      <c r="BJ3" s="216"/>
      <c r="BK3" s="216"/>
      <c r="BL3" s="216"/>
      <c r="BM3" s="214"/>
    </row>
    <row r="4" spans="1:65" ht="74.25" customHeight="1">
      <c r="A4" s="401"/>
      <c r="B4" s="402" t="s">
        <v>22</v>
      </c>
      <c r="C4" s="403" t="s">
        <v>23</v>
      </c>
      <c r="D4" s="403" t="s">
        <v>24</v>
      </c>
      <c r="E4" s="403" t="s">
        <v>25</v>
      </c>
      <c r="F4" s="403" t="s">
        <v>24</v>
      </c>
      <c r="G4" s="404" t="s">
        <v>26</v>
      </c>
      <c r="H4" s="405" t="s">
        <v>27</v>
      </c>
      <c r="I4" s="404" t="s">
        <v>28</v>
      </c>
      <c r="J4" s="406" t="s">
        <v>29</v>
      </c>
      <c r="K4" s="407" t="s">
        <v>30</v>
      </c>
      <c r="L4" s="406" t="s">
        <v>29</v>
      </c>
      <c r="M4" s="404" t="s">
        <v>31</v>
      </c>
      <c r="N4" s="405" t="s">
        <v>32</v>
      </c>
      <c r="O4" s="408" t="s">
        <v>33</v>
      </c>
      <c r="P4" s="409" t="s">
        <v>34</v>
      </c>
      <c r="Q4" s="410" t="s">
        <v>35</v>
      </c>
      <c r="R4" s="411" t="s">
        <v>36</v>
      </c>
      <c r="S4" s="411" t="s">
        <v>37</v>
      </c>
      <c r="T4" s="411" t="s">
        <v>38</v>
      </c>
      <c r="U4" s="411" t="s">
        <v>39</v>
      </c>
      <c r="V4" s="411" t="s">
        <v>35</v>
      </c>
      <c r="W4" s="411" t="s">
        <v>36</v>
      </c>
      <c r="X4" s="411" t="s">
        <v>38</v>
      </c>
      <c r="Y4" s="412"/>
      <c r="Z4" s="413" t="s">
        <v>40</v>
      </c>
      <c r="AA4" s="414"/>
      <c r="AB4" s="410" t="s">
        <v>35</v>
      </c>
      <c r="AC4" s="411" t="s">
        <v>36</v>
      </c>
      <c r="AD4" s="411" t="s">
        <v>41</v>
      </c>
      <c r="AE4" s="411" t="s">
        <v>38</v>
      </c>
      <c r="AF4" s="412" t="s">
        <v>42</v>
      </c>
      <c r="AG4" s="413" t="s">
        <v>43</v>
      </c>
      <c r="AH4" s="408" t="s">
        <v>35</v>
      </c>
      <c r="AI4" s="411" t="s">
        <v>36</v>
      </c>
      <c r="AJ4" s="411" t="s">
        <v>37</v>
      </c>
      <c r="AK4" s="411" t="s">
        <v>38</v>
      </c>
      <c r="AL4" s="409" t="s">
        <v>44</v>
      </c>
      <c r="AM4" s="415" t="s">
        <v>188</v>
      </c>
      <c r="AN4" s="416" t="s">
        <v>35</v>
      </c>
      <c r="AO4" s="417" t="s">
        <v>36</v>
      </c>
      <c r="AP4" s="417" t="s">
        <v>37</v>
      </c>
      <c r="AQ4" s="417" t="s">
        <v>38</v>
      </c>
      <c r="AR4" s="418" t="s">
        <v>47</v>
      </c>
      <c r="AS4" s="419"/>
      <c r="AT4" s="420"/>
      <c r="AU4" s="230" t="s">
        <v>35</v>
      </c>
      <c r="AV4" s="231" t="s">
        <v>36</v>
      </c>
      <c r="AW4" s="231" t="s">
        <v>38</v>
      </c>
      <c r="AX4" s="229" t="s">
        <v>189</v>
      </c>
      <c r="AY4" s="410" t="s">
        <v>35</v>
      </c>
      <c r="AZ4" s="411" t="s">
        <v>36</v>
      </c>
      <c r="BA4" s="411" t="s">
        <v>37</v>
      </c>
      <c r="BB4" s="411" t="s">
        <v>38</v>
      </c>
      <c r="BC4" s="409" t="s">
        <v>204</v>
      </c>
      <c r="BD4" s="410" t="s">
        <v>35</v>
      </c>
      <c r="BE4" s="411" t="s">
        <v>36</v>
      </c>
      <c r="BF4" s="411" t="s">
        <v>37</v>
      </c>
      <c r="BG4" s="411" t="s">
        <v>38</v>
      </c>
      <c r="BH4" s="409" t="s">
        <v>205</v>
      </c>
      <c r="BI4" s="410" t="s">
        <v>35</v>
      </c>
      <c r="BJ4" s="411" t="s">
        <v>36</v>
      </c>
      <c r="BK4" s="411" t="s">
        <v>37</v>
      </c>
      <c r="BL4" s="411" t="s">
        <v>38</v>
      </c>
      <c r="BM4" s="409" t="s">
        <v>206</v>
      </c>
    </row>
    <row r="5" spans="1:65" ht="45.75" hidden="1" customHeight="1">
      <c r="A5" s="421" t="s">
        <v>190</v>
      </c>
      <c r="B5" s="422"/>
      <c r="C5" s="423"/>
      <c r="D5" s="423"/>
      <c r="E5" s="423"/>
      <c r="F5" s="423"/>
      <c r="G5" s="423"/>
      <c r="H5" s="423"/>
      <c r="I5" s="424"/>
      <c r="J5" s="424"/>
      <c r="K5" s="423"/>
      <c r="L5" s="425"/>
      <c r="M5" s="425"/>
      <c r="N5" s="425"/>
      <c r="O5" s="425"/>
      <c r="P5" s="426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7"/>
      <c r="AC5" s="427"/>
      <c r="AD5" s="427"/>
      <c r="AE5" s="427"/>
      <c r="AF5" s="428"/>
      <c r="AG5" s="429"/>
      <c r="AH5" s="430"/>
      <c r="AI5" s="431"/>
      <c r="AJ5" s="432"/>
      <c r="AK5" s="431"/>
      <c r="AL5" s="433"/>
      <c r="AM5" s="434"/>
      <c r="AN5" s="435"/>
      <c r="AO5" s="436"/>
      <c r="AP5" s="437"/>
      <c r="AQ5" s="436"/>
      <c r="AR5" s="438"/>
      <c r="AS5" s="439"/>
      <c r="AT5" s="440"/>
      <c r="AU5" s="430"/>
      <c r="AV5" s="431"/>
      <c r="AW5" s="441"/>
      <c r="AX5" s="442"/>
      <c r="AY5" s="443"/>
      <c r="AZ5" s="431"/>
      <c r="BA5" s="444"/>
      <c r="BB5" s="431"/>
      <c r="BC5" s="442"/>
      <c r="BD5" s="430"/>
      <c r="BE5" s="431"/>
      <c r="BF5" s="444"/>
      <c r="BG5" s="431"/>
      <c r="BH5" s="442"/>
      <c r="BI5" s="430"/>
      <c r="BJ5" s="431"/>
      <c r="BK5" s="444"/>
      <c r="BL5" s="431"/>
      <c r="BM5" s="442"/>
    </row>
    <row r="6" spans="1:65" ht="25.5" hidden="1" customHeight="1">
      <c r="A6" s="445" t="s">
        <v>191</v>
      </c>
      <c r="B6" s="446">
        <v>15037.3</v>
      </c>
      <c r="C6" s="447">
        <v>19769.599999999999</v>
      </c>
      <c r="D6" s="447">
        <v>44729</v>
      </c>
      <c r="E6" s="447">
        <v>24788.3</v>
      </c>
      <c r="F6" s="447"/>
      <c r="G6" s="448">
        <v>24788.3</v>
      </c>
      <c r="H6" s="449">
        <f t="shared" ref="H6:H8" si="0">G6/E6*100</f>
        <v>100</v>
      </c>
      <c r="I6" s="354">
        <v>38190.800000000003</v>
      </c>
      <c r="J6" s="449">
        <f t="shared" ref="J6:J7" si="1">I6/G6*100</f>
        <v>154.06784652436835</v>
      </c>
      <c r="K6" s="450">
        <v>41729</v>
      </c>
      <c r="L6" s="451">
        <f t="shared" ref="L6:L7" si="2">K6/I6*100</f>
        <v>109.26453491416781</v>
      </c>
      <c r="M6" s="447">
        <v>47067.6</v>
      </c>
      <c r="N6" s="451">
        <f>M6/K6*100</f>
        <v>112.79350092261976</v>
      </c>
      <c r="O6" s="452">
        <f>57596.8+604.4</f>
        <v>58201.200000000004</v>
      </c>
      <c r="P6" s="453">
        <f>O6/M6</f>
        <v>1.2365448843790634</v>
      </c>
      <c r="Q6" s="454">
        <v>123212.2</v>
      </c>
      <c r="R6" s="454">
        <v>49149.7</v>
      </c>
      <c r="S6" s="455">
        <v>105.5</v>
      </c>
      <c r="T6" s="454">
        <f t="shared" ref="T6:T9" si="3">Q6-R6</f>
        <v>74062.5</v>
      </c>
      <c r="U6" s="455">
        <f>T6/O6*100</f>
        <v>127.25253087565204</v>
      </c>
      <c r="V6" s="456">
        <v>132560.47099999999</v>
      </c>
      <c r="W6" s="456">
        <v>60013.67</v>
      </c>
      <c r="X6" s="456">
        <v>72222.84</v>
      </c>
      <c r="Y6" s="457"/>
      <c r="Z6" s="456">
        <f>80899.9-21230.9</f>
        <v>59668.999999999993</v>
      </c>
      <c r="AA6" s="456">
        <v>73725</v>
      </c>
      <c r="AB6" s="458">
        <f>Q6*1.045*1.036+56108.06</f>
        <v>189500.05196399998</v>
      </c>
      <c r="AC6" s="458">
        <f t="shared" ref="AC6:AC9" si="4">R6*1.07*1.04</f>
        <v>54693.786159999996</v>
      </c>
      <c r="AD6" s="459">
        <f t="shared" ref="AD6:AD15" si="5">AC6/R6*100</f>
        <v>111.28</v>
      </c>
      <c r="AE6" s="458">
        <f t="shared" ref="AE6:AE9" si="6">AB6-AC6</f>
        <v>134806.265804</v>
      </c>
      <c r="AF6" s="460">
        <f>(AE6+AE8+AE9)/Z6</f>
        <v>2.4991025499002832</v>
      </c>
      <c r="AG6" s="461">
        <v>149118.99</v>
      </c>
      <c r="AH6" s="462">
        <f>AB6*1.04-56108.06+63616.61+AB8*1.04+AB9*1.04</f>
        <v>248787.11984399997</v>
      </c>
      <c r="AI6" s="463">
        <f>77381.24</f>
        <v>77381.240000000005</v>
      </c>
      <c r="AJ6" s="464">
        <f>AI6/AC6</f>
        <v>1.4148086178131942</v>
      </c>
      <c r="AK6" s="463">
        <f>AH6-AI6</f>
        <v>171405.87984399998</v>
      </c>
      <c r="AL6" s="465">
        <f>AK6/(AG6)</f>
        <v>1.1494570868807521</v>
      </c>
      <c r="AM6" s="466">
        <v>213589.6</v>
      </c>
      <c r="AN6" s="467">
        <f>('авиа расчет'!N5+'авиа расчет'!O5)/1000</f>
        <v>293818.64752571547</v>
      </c>
      <c r="AO6" s="468">
        <f>45839.12+10657.14+11826.05</f>
        <v>68322.31</v>
      </c>
      <c r="AP6" s="464">
        <f>AO6/AI6</f>
        <v>0.88293118590500741</v>
      </c>
      <c r="AQ6" s="468">
        <f>AN6-AO6</f>
        <v>225496.33752571547</v>
      </c>
      <c r="AR6" s="469">
        <f>(AQ6+AQ11+AQ14)/AM6</f>
        <v>1.5452103079989588</v>
      </c>
      <c r="AS6" s="470"/>
      <c r="AT6" s="471"/>
      <c r="AU6" s="472"/>
      <c r="AV6" s="473"/>
      <c r="AW6" s="474"/>
      <c r="AX6" s="475"/>
      <c r="AY6" s="476"/>
      <c r="AZ6" s="477"/>
      <c r="BA6" s="478"/>
      <c r="BB6" s="477"/>
      <c r="BC6" s="479"/>
      <c r="BD6" s="480"/>
      <c r="BE6" s="477"/>
      <c r="BF6" s="478"/>
      <c r="BG6" s="477"/>
      <c r="BH6" s="479"/>
      <c r="BI6" s="480"/>
      <c r="BJ6" s="477"/>
      <c r="BK6" s="478"/>
      <c r="BL6" s="477"/>
      <c r="BM6" s="479"/>
    </row>
    <row r="7" spans="1:65" ht="25.5" hidden="1" customHeight="1" outlineLevel="1">
      <c r="A7" s="278" t="s">
        <v>192</v>
      </c>
      <c r="B7" s="254">
        <v>18284.400000000001</v>
      </c>
      <c r="C7" s="255">
        <v>15302</v>
      </c>
      <c r="D7" s="255">
        <v>23922.37</v>
      </c>
      <c r="E7" s="255">
        <v>17466.900000000001</v>
      </c>
      <c r="F7" s="255"/>
      <c r="G7" s="258">
        <v>17466.900000000001</v>
      </c>
      <c r="H7" s="257">
        <f t="shared" si="0"/>
        <v>100</v>
      </c>
      <c r="I7" s="258">
        <v>27103.9</v>
      </c>
      <c r="J7" s="257">
        <f t="shared" si="1"/>
        <v>155.1729270792184</v>
      </c>
      <c r="K7" s="258">
        <v>21887.7</v>
      </c>
      <c r="L7" s="259">
        <f t="shared" si="2"/>
        <v>80.754799124849185</v>
      </c>
      <c r="M7" s="259" t="s">
        <v>68</v>
      </c>
      <c r="N7" s="259" t="s">
        <v>68</v>
      </c>
      <c r="O7" s="481"/>
      <c r="P7" s="261" t="e">
        <f>O7/M7*100</f>
        <v>#VALUE!</v>
      </c>
      <c r="Q7" s="482"/>
      <c r="R7" s="482"/>
      <c r="S7" s="483">
        <v>107</v>
      </c>
      <c r="T7" s="482">
        <f t="shared" si="3"/>
        <v>0</v>
      </c>
      <c r="U7" s="483" t="e">
        <f>T7/M7*100</f>
        <v>#VALUE!</v>
      </c>
      <c r="V7" s="484"/>
      <c r="W7" s="484"/>
      <c r="X7" s="484"/>
      <c r="Y7" s="485"/>
      <c r="Z7" s="484"/>
      <c r="AA7" s="484"/>
      <c r="AB7" s="264">
        <f t="shared" ref="AB7:AB9" si="7">Q7*1.045*1.036</f>
        <v>0</v>
      </c>
      <c r="AC7" s="264">
        <f t="shared" si="4"/>
        <v>0</v>
      </c>
      <c r="AD7" s="263" t="e">
        <f t="shared" si="5"/>
        <v>#DIV/0!</v>
      </c>
      <c r="AE7" s="264">
        <f t="shared" si="6"/>
        <v>0</v>
      </c>
      <c r="AF7" s="486"/>
      <c r="AG7" s="487"/>
      <c r="AH7" s="488"/>
      <c r="AI7" s="489"/>
      <c r="AJ7" s="490"/>
      <c r="AK7" s="489"/>
      <c r="AL7" s="491"/>
      <c r="AM7" s="492"/>
      <c r="AN7" s="493"/>
      <c r="AO7" s="494"/>
      <c r="AP7" s="490"/>
      <c r="AQ7" s="494"/>
      <c r="AR7" s="495"/>
      <c r="AS7" s="496"/>
      <c r="AT7" s="497"/>
      <c r="AU7" s="498"/>
      <c r="AV7" s="499"/>
      <c r="AW7" s="262"/>
      <c r="AX7" s="500"/>
      <c r="AY7" s="501"/>
      <c r="AZ7" s="502"/>
      <c r="BA7" s="503"/>
      <c r="BB7" s="502"/>
      <c r="BC7" s="504"/>
      <c r="BD7" s="505"/>
      <c r="BE7" s="502"/>
      <c r="BF7" s="503"/>
      <c r="BG7" s="502"/>
      <c r="BH7" s="504"/>
      <c r="BI7" s="505"/>
      <c r="BJ7" s="502"/>
      <c r="BK7" s="503"/>
      <c r="BL7" s="502"/>
      <c r="BM7" s="504"/>
    </row>
    <row r="8" spans="1:65" ht="43.5" customHeight="1" collapsed="1">
      <c r="A8" s="253" t="s">
        <v>193</v>
      </c>
      <c r="B8" s="254">
        <v>0</v>
      </c>
      <c r="C8" s="255">
        <v>0</v>
      </c>
      <c r="D8" s="255">
        <v>15000</v>
      </c>
      <c r="E8" s="255">
        <v>14035.4</v>
      </c>
      <c r="F8" s="255"/>
      <c r="G8" s="258">
        <v>14035.4</v>
      </c>
      <c r="H8" s="257">
        <f t="shared" si="0"/>
        <v>100</v>
      </c>
      <c r="I8" s="258" t="s">
        <v>68</v>
      </c>
      <c r="J8" s="257"/>
      <c r="K8" s="258">
        <v>5000</v>
      </c>
      <c r="L8" s="259" t="s">
        <v>68</v>
      </c>
      <c r="M8" s="255">
        <v>3399.8</v>
      </c>
      <c r="N8" s="259">
        <f>M8/K8*100</f>
        <v>67.995999999999995</v>
      </c>
      <c r="O8" s="481">
        <v>1467.8</v>
      </c>
      <c r="P8" s="261">
        <f>O8/M8</f>
        <v>0.4317312783104888</v>
      </c>
      <c r="Q8" s="482">
        <v>21025.9</v>
      </c>
      <c r="R8" s="482">
        <v>12664.4</v>
      </c>
      <c r="S8" s="483">
        <f t="shared" ref="S8:S9" si="8">4700/4430*100</f>
        <v>106.09480812641084</v>
      </c>
      <c r="T8" s="482">
        <f t="shared" si="3"/>
        <v>8361.5000000000018</v>
      </c>
      <c r="U8" s="483">
        <f>T8/O8*100</f>
        <v>569.66207930235737</v>
      </c>
      <c r="V8" s="484"/>
      <c r="W8" s="484"/>
      <c r="X8" s="484"/>
      <c r="Y8" s="485"/>
      <c r="Z8" s="484"/>
      <c r="AA8" s="484"/>
      <c r="AB8" s="264">
        <f t="shared" si="7"/>
        <v>22763.059858000001</v>
      </c>
      <c r="AC8" s="264">
        <f t="shared" si="4"/>
        <v>14092.944320000002</v>
      </c>
      <c r="AD8" s="263">
        <f t="shared" si="5"/>
        <v>111.28000000000003</v>
      </c>
      <c r="AE8" s="264">
        <f t="shared" si="6"/>
        <v>8670.1155379999982</v>
      </c>
      <c r="AF8" s="486"/>
      <c r="AG8" s="487"/>
      <c r="AH8" s="488"/>
      <c r="AI8" s="489"/>
      <c r="AJ8" s="490"/>
      <c r="AK8" s="489"/>
      <c r="AL8" s="491"/>
      <c r="AM8" s="492"/>
      <c r="AN8" s="493"/>
      <c r="AO8" s="494"/>
      <c r="AP8" s="490"/>
      <c r="AQ8" s="494"/>
      <c r="AR8" s="495"/>
      <c r="AS8" s="506">
        <v>225496.33752571547</v>
      </c>
      <c r="AT8" s="507">
        <v>251702.89</v>
      </c>
      <c r="AU8" s="508">
        <f>48089102*2+233595.5</f>
        <v>96411799.5</v>
      </c>
      <c r="AV8" s="509">
        <f>10830409*2</f>
        <v>21660818</v>
      </c>
      <c r="AW8" s="509">
        <f t="shared" ref="AW8:AW14" si="9">AU8-AV8</f>
        <v>74750981.5</v>
      </c>
      <c r="AX8" s="510">
        <f>(AW8+AW9+AW10)/AS8/1000</f>
        <v>0.90058905491908903</v>
      </c>
      <c r="AY8" s="511">
        <v>115348995.40000001</v>
      </c>
      <c r="AZ8" s="511">
        <v>26173446.5</v>
      </c>
      <c r="BA8" s="512">
        <f t="shared" ref="BA8:BA14" si="10">AZ8/AV8</f>
        <v>1.2083313981955806</v>
      </c>
      <c r="BB8" s="509">
        <f t="shared" ref="BB8:BB14" si="11">AY8-AZ8</f>
        <v>89175548.900000006</v>
      </c>
      <c r="BC8" s="269">
        <f t="shared" ref="BC8:BC14" si="12">BB8/AW8</f>
        <v>1.1929682675805402</v>
      </c>
      <c r="BD8" s="513">
        <f t="shared" ref="BD8:BD14" si="13">AY8*1.04</f>
        <v>119962955.21600001</v>
      </c>
      <c r="BE8" s="514">
        <f t="shared" ref="BE8:BE14" si="14">AZ8*1.04</f>
        <v>27220384.359999999</v>
      </c>
      <c r="BF8" s="515">
        <f t="shared" ref="BF8:BF15" si="15">BE8/AZ8</f>
        <v>1.04</v>
      </c>
      <c r="BG8" s="509">
        <f t="shared" ref="BG8:BG14" si="16">BD8-BE8</f>
        <v>92742570.856000006</v>
      </c>
      <c r="BH8" s="277">
        <f t="shared" ref="BH8:BH14" si="17">BG8/BB8</f>
        <v>1.04</v>
      </c>
      <c r="BI8" s="513">
        <f t="shared" ref="BI8:BI14" si="18">BD8*1.04</f>
        <v>124761473.42464001</v>
      </c>
      <c r="BJ8" s="514">
        <f t="shared" ref="BJ8:BJ14" si="19">BE8*1.04</f>
        <v>28309199.7344</v>
      </c>
      <c r="BK8" s="515">
        <f t="shared" ref="BK8:BK15" si="20">BJ8/BE8</f>
        <v>1.04</v>
      </c>
      <c r="BL8" s="509">
        <f t="shared" ref="BL8:BL14" si="21">BI8-BJ8</f>
        <v>96452273.690240011</v>
      </c>
      <c r="BM8" s="277">
        <f t="shared" ref="BM8:BM14" si="22">BL8/BG8</f>
        <v>1.04</v>
      </c>
    </row>
    <row r="9" spans="1:65" ht="48" customHeight="1">
      <c r="A9" s="253" t="s">
        <v>194</v>
      </c>
      <c r="B9" s="254"/>
      <c r="C9" s="255"/>
      <c r="D9" s="255"/>
      <c r="E9" s="255"/>
      <c r="F9" s="255"/>
      <c r="G9" s="258"/>
      <c r="H9" s="257"/>
      <c r="I9" s="258"/>
      <c r="J9" s="257"/>
      <c r="K9" s="258"/>
      <c r="L9" s="259"/>
      <c r="M9" s="255"/>
      <c r="N9" s="259"/>
      <c r="O9" s="481" t="s">
        <v>68</v>
      </c>
      <c r="P9" s="261" t="s">
        <v>68</v>
      </c>
      <c r="Q9" s="482">
        <v>18229.400000000001</v>
      </c>
      <c r="R9" s="482">
        <v>12664.4</v>
      </c>
      <c r="S9" s="483">
        <f t="shared" si="8"/>
        <v>106.09480812641084</v>
      </c>
      <c r="T9" s="482">
        <f t="shared" si="3"/>
        <v>5565.0000000000018</v>
      </c>
      <c r="U9" s="483" t="s">
        <v>68</v>
      </c>
      <c r="V9" s="484"/>
      <c r="W9" s="484"/>
      <c r="X9" s="484"/>
      <c r="Y9" s="485"/>
      <c r="Z9" s="484"/>
      <c r="AA9" s="484"/>
      <c r="AB9" s="264">
        <f t="shared" si="7"/>
        <v>19735.513028000001</v>
      </c>
      <c r="AC9" s="264">
        <f t="shared" si="4"/>
        <v>14092.944320000002</v>
      </c>
      <c r="AD9" s="263">
        <f t="shared" si="5"/>
        <v>111.28000000000003</v>
      </c>
      <c r="AE9" s="264">
        <f t="shared" si="6"/>
        <v>5642.5687079999989</v>
      </c>
      <c r="AF9" s="486"/>
      <c r="AG9" s="487"/>
      <c r="AH9" s="488"/>
      <c r="AI9" s="489"/>
      <c r="AJ9" s="490"/>
      <c r="AK9" s="489"/>
      <c r="AL9" s="491"/>
      <c r="AM9" s="492"/>
      <c r="AN9" s="493"/>
      <c r="AO9" s="494"/>
      <c r="AP9" s="490"/>
      <c r="AQ9" s="494"/>
      <c r="AR9" s="495"/>
      <c r="AS9" s="516"/>
      <c r="AT9" s="507"/>
      <c r="AU9" s="508">
        <f>65605561*2</f>
        <v>131211122</v>
      </c>
      <c r="AV9" s="509">
        <f>16093356*2</f>
        <v>32186712</v>
      </c>
      <c r="AW9" s="509">
        <f t="shared" si="9"/>
        <v>99024410</v>
      </c>
      <c r="AX9" s="510"/>
      <c r="AY9" s="511">
        <v>131591614.40000001</v>
      </c>
      <c r="AZ9" s="514">
        <v>31992352.5</v>
      </c>
      <c r="BA9" s="512">
        <f t="shared" si="10"/>
        <v>0.99396149877005147</v>
      </c>
      <c r="BB9" s="509">
        <f t="shared" si="11"/>
        <v>99599261.900000006</v>
      </c>
      <c r="BC9" s="269">
        <f t="shared" si="12"/>
        <v>1.0058051534970014</v>
      </c>
      <c r="BD9" s="513">
        <f t="shared" si="13"/>
        <v>136855278.97600001</v>
      </c>
      <c r="BE9" s="514">
        <f t="shared" si="14"/>
        <v>33272046.600000001</v>
      </c>
      <c r="BF9" s="515">
        <f t="shared" si="15"/>
        <v>1.04</v>
      </c>
      <c r="BG9" s="509">
        <f t="shared" si="16"/>
        <v>103583232.37600002</v>
      </c>
      <c r="BH9" s="277">
        <f t="shared" si="17"/>
        <v>1.04</v>
      </c>
      <c r="BI9" s="513">
        <f t="shared" si="18"/>
        <v>142329490.13504001</v>
      </c>
      <c r="BJ9" s="514">
        <f t="shared" si="19"/>
        <v>34602928.464000002</v>
      </c>
      <c r="BK9" s="515">
        <f t="shared" si="20"/>
        <v>1.04</v>
      </c>
      <c r="BL9" s="509">
        <f t="shared" si="21"/>
        <v>107726561.67104001</v>
      </c>
      <c r="BM9" s="277">
        <f t="shared" si="22"/>
        <v>1.04</v>
      </c>
    </row>
    <row r="10" spans="1:65" ht="36" customHeight="1">
      <c r="A10" s="253" t="s">
        <v>195</v>
      </c>
      <c r="B10" s="254"/>
      <c r="C10" s="255"/>
      <c r="D10" s="255"/>
      <c r="E10" s="255"/>
      <c r="F10" s="255"/>
      <c r="G10" s="258"/>
      <c r="H10" s="257"/>
      <c r="I10" s="258"/>
      <c r="J10" s="257"/>
      <c r="K10" s="258"/>
      <c r="L10" s="259"/>
      <c r="M10" s="255"/>
      <c r="N10" s="259"/>
      <c r="O10" s="481"/>
      <c r="P10" s="261"/>
      <c r="Q10" s="482"/>
      <c r="R10" s="482"/>
      <c r="S10" s="483"/>
      <c r="T10" s="482"/>
      <c r="U10" s="483"/>
      <c r="V10" s="485"/>
      <c r="W10" s="485"/>
      <c r="X10" s="485"/>
      <c r="Y10" s="485"/>
      <c r="Z10" s="485"/>
      <c r="AA10" s="485"/>
      <c r="AB10" s="264"/>
      <c r="AC10" s="264"/>
      <c r="AD10" s="263"/>
      <c r="AE10" s="264"/>
      <c r="AF10" s="265"/>
      <c r="AG10" s="266"/>
      <c r="AH10" s="267"/>
      <c r="AI10" s="262"/>
      <c r="AJ10" s="268"/>
      <c r="AK10" s="262"/>
      <c r="AL10" s="269"/>
      <c r="AM10" s="492"/>
      <c r="AN10" s="271"/>
      <c r="AO10" s="272"/>
      <c r="AP10" s="268"/>
      <c r="AQ10" s="272"/>
      <c r="AR10" s="495"/>
      <c r="AS10" s="517"/>
      <c r="AT10" s="507"/>
      <c r="AU10" s="508">
        <f>(14577460+5432695)*2</f>
        <v>40020310</v>
      </c>
      <c r="AV10" s="509">
        <f>(3847607+1510477)*2</f>
        <v>10716168</v>
      </c>
      <c r="AW10" s="509">
        <f>AU10-AV10</f>
        <v>29304142</v>
      </c>
      <c r="AX10" s="510"/>
      <c r="AY10" s="511">
        <v>52515338.399999999</v>
      </c>
      <c r="AZ10" s="514">
        <v>13769282.5</v>
      </c>
      <c r="BA10" s="512">
        <f t="shared" si="10"/>
        <v>1.2849073008187255</v>
      </c>
      <c r="BB10" s="509">
        <f t="shared" si="11"/>
        <v>38746055.899999999</v>
      </c>
      <c r="BC10" s="269">
        <f t="shared" si="12"/>
        <v>1.3222040727211872</v>
      </c>
      <c r="BD10" s="513">
        <f t="shared" si="13"/>
        <v>54615951.935999997</v>
      </c>
      <c r="BE10" s="514">
        <f t="shared" si="14"/>
        <v>14320053.800000001</v>
      </c>
      <c r="BF10" s="515">
        <f t="shared" si="15"/>
        <v>1.04</v>
      </c>
      <c r="BG10" s="509">
        <f t="shared" si="16"/>
        <v>40295898.135999992</v>
      </c>
      <c r="BH10" s="277">
        <f t="shared" si="17"/>
        <v>1.0399999999999998</v>
      </c>
      <c r="BI10" s="513">
        <f t="shared" si="18"/>
        <v>56800590.013439998</v>
      </c>
      <c r="BJ10" s="514">
        <f t="shared" si="19"/>
        <v>14892855.952000001</v>
      </c>
      <c r="BK10" s="515">
        <f t="shared" si="20"/>
        <v>1.04</v>
      </c>
      <c r="BL10" s="509">
        <f t="shared" si="21"/>
        <v>41907734.061439998</v>
      </c>
      <c r="BM10" s="277">
        <f t="shared" si="22"/>
        <v>1.0400000000000003</v>
      </c>
    </row>
    <row r="11" spans="1:65" ht="51" customHeight="1">
      <c r="A11" s="253" t="s">
        <v>196</v>
      </c>
      <c r="B11" s="254"/>
      <c r="C11" s="255"/>
      <c r="D11" s="255"/>
      <c r="E11" s="255"/>
      <c r="F11" s="255"/>
      <c r="G11" s="258"/>
      <c r="H11" s="257"/>
      <c r="I11" s="258"/>
      <c r="J11" s="257"/>
      <c r="K11" s="258"/>
      <c r="L11" s="259"/>
      <c r="M11" s="255"/>
      <c r="N11" s="259"/>
      <c r="O11" s="481"/>
      <c r="P11" s="261"/>
      <c r="Q11" s="482"/>
      <c r="R11" s="482"/>
      <c r="S11" s="483"/>
      <c r="T11" s="482"/>
      <c r="U11" s="483"/>
      <c r="V11" s="485"/>
      <c r="W11" s="485"/>
      <c r="X11" s="485"/>
      <c r="Y11" s="485"/>
      <c r="Z11" s="485"/>
      <c r="AA11" s="485"/>
      <c r="AB11" s="264"/>
      <c r="AC11" s="264"/>
      <c r="AD11" s="263"/>
      <c r="AE11" s="264"/>
      <c r="AF11" s="265"/>
      <c r="AG11" s="266"/>
      <c r="AH11" s="267"/>
      <c r="AI11" s="262"/>
      <c r="AJ11" s="268"/>
      <c r="AK11" s="262"/>
      <c r="AL11" s="269"/>
      <c r="AM11" s="492"/>
      <c r="AN11" s="271">
        <f>'авиа расчет'!L5/1000</f>
        <v>70682.618705263623</v>
      </c>
      <c r="AO11" s="272">
        <f>'авиа расчет'!L9/1000</f>
        <v>36803.12999999999</v>
      </c>
      <c r="AP11" s="268"/>
      <c r="AQ11" s="272">
        <f>AN11-AO11</f>
        <v>33879.488705263633</v>
      </c>
      <c r="AR11" s="495"/>
      <c r="AS11" s="518">
        <v>33879.488705263633</v>
      </c>
      <c r="AT11" s="507"/>
      <c r="AU11" s="508">
        <f>27719318*2</f>
        <v>55438636</v>
      </c>
      <c r="AV11" s="509">
        <f>11556090*2</f>
        <v>23112180</v>
      </c>
      <c r="AW11" s="509">
        <f t="shared" si="9"/>
        <v>32326456</v>
      </c>
      <c r="AX11" s="277">
        <f>AW11/AS11/1000</f>
        <v>0.95416009023116244</v>
      </c>
      <c r="AY11" s="511">
        <v>89611662.400000006</v>
      </c>
      <c r="AZ11" s="514">
        <v>37286350</v>
      </c>
      <c r="BA11" s="512">
        <f t="shared" si="10"/>
        <v>1.6132770686278837</v>
      </c>
      <c r="BB11" s="509">
        <f t="shared" si="11"/>
        <v>52325312.400000006</v>
      </c>
      <c r="BC11" s="269">
        <f t="shared" si="12"/>
        <v>1.6186529200726489</v>
      </c>
      <c r="BD11" s="513">
        <f t="shared" si="13"/>
        <v>93196128.896000013</v>
      </c>
      <c r="BE11" s="514">
        <f t="shared" si="14"/>
        <v>38777804</v>
      </c>
      <c r="BF11" s="515">
        <f t="shared" si="15"/>
        <v>1.04</v>
      </c>
      <c r="BG11" s="509">
        <f t="shared" si="16"/>
        <v>54418324.896000013</v>
      </c>
      <c r="BH11" s="277">
        <f t="shared" si="17"/>
        <v>1.04</v>
      </c>
      <c r="BI11" s="513">
        <f t="shared" si="18"/>
        <v>96923974.051840022</v>
      </c>
      <c r="BJ11" s="514">
        <f t="shared" si="19"/>
        <v>40328916.160000004</v>
      </c>
      <c r="BK11" s="515">
        <f t="shared" si="20"/>
        <v>1.04</v>
      </c>
      <c r="BL11" s="509">
        <f t="shared" si="21"/>
        <v>56595057.891840018</v>
      </c>
      <c r="BM11" s="277">
        <f t="shared" si="22"/>
        <v>1.04</v>
      </c>
    </row>
    <row r="12" spans="1:65" ht="50.25" customHeight="1">
      <c r="A12" s="253" t="s">
        <v>197</v>
      </c>
      <c r="B12" s="254"/>
      <c r="C12" s="255"/>
      <c r="D12" s="255"/>
      <c r="E12" s="255"/>
      <c r="F12" s="255"/>
      <c r="G12" s="258"/>
      <c r="H12" s="257"/>
      <c r="I12" s="258"/>
      <c r="J12" s="257"/>
      <c r="K12" s="258"/>
      <c r="L12" s="259"/>
      <c r="M12" s="255"/>
      <c r="N12" s="259"/>
      <c r="O12" s="481"/>
      <c r="P12" s="261"/>
      <c r="Q12" s="482"/>
      <c r="R12" s="482"/>
      <c r="S12" s="483"/>
      <c r="T12" s="482"/>
      <c r="U12" s="483"/>
      <c r="V12" s="485"/>
      <c r="W12" s="485"/>
      <c r="X12" s="485"/>
      <c r="Y12" s="485"/>
      <c r="Z12" s="485"/>
      <c r="AA12" s="485"/>
      <c r="AB12" s="264"/>
      <c r="AC12" s="264"/>
      <c r="AD12" s="263"/>
      <c r="AE12" s="264"/>
      <c r="AF12" s="265"/>
      <c r="AG12" s="266"/>
      <c r="AH12" s="267"/>
      <c r="AI12" s="262"/>
      <c r="AJ12" s="268"/>
      <c r="AK12" s="262"/>
      <c r="AL12" s="269"/>
      <c r="AM12" s="492"/>
      <c r="AN12" s="271"/>
      <c r="AO12" s="272"/>
      <c r="AP12" s="268"/>
      <c r="AQ12" s="272"/>
      <c r="AR12" s="495"/>
      <c r="AS12" s="496"/>
      <c r="AT12" s="507"/>
      <c r="AU12" s="508">
        <f>22385224*2</f>
        <v>44770448</v>
      </c>
      <c r="AV12" s="509">
        <f>1392912*2</f>
        <v>2785824</v>
      </c>
      <c r="AW12" s="509">
        <f t="shared" si="9"/>
        <v>41984624</v>
      </c>
      <c r="AX12" s="269"/>
      <c r="AY12" s="511">
        <v>66349804.399999999</v>
      </c>
      <c r="AZ12" s="514">
        <v>4120651.5</v>
      </c>
      <c r="BA12" s="515">
        <f t="shared" si="10"/>
        <v>1.4791499750163686</v>
      </c>
      <c r="BB12" s="509">
        <f t="shared" si="11"/>
        <v>62229152.899999999</v>
      </c>
      <c r="BC12" s="269">
        <f t="shared" si="12"/>
        <v>1.4821891199978354</v>
      </c>
      <c r="BD12" s="513">
        <f>AY12*1.03999993</f>
        <v>69003791.931513697</v>
      </c>
      <c r="BE12" s="514">
        <f t="shared" si="14"/>
        <v>4285477.5600000005</v>
      </c>
      <c r="BF12" s="515">
        <f t="shared" si="15"/>
        <v>1.04</v>
      </c>
      <c r="BG12" s="509">
        <f t="shared" si="16"/>
        <v>64718314.371513695</v>
      </c>
      <c r="BH12" s="277">
        <f t="shared" si="17"/>
        <v>1.0399999253647834</v>
      </c>
      <c r="BI12" s="513">
        <f t="shared" si="18"/>
        <v>71763943.608774245</v>
      </c>
      <c r="BJ12" s="514">
        <f>BE12*1.0399995</f>
        <v>4456894.5196612207</v>
      </c>
      <c r="BK12" s="515">
        <f t="shared" si="20"/>
        <v>1.0399995</v>
      </c>
      <c r="BL12" s="509">
        <f t="shared" si="21"/>
        <v>67307049.089113027</v>
      </c>
      <c r="BM12" s="277">
        <f t="shared" si="22"/>
        <v>1.0400000331086927</v>
      </c>
    </row>
    <row r="13" spans="1:65" ht="43.5" customHeight="1">
      <c r="A13" s="253" t="s">
        <v>198</v>
      </c>
      <c r="B13" s="254"/>
      <c r="C13" s="255"/>
      <c r="D13" s="255"/>
      <c r="E13" s="255"/>
      <c r="F13" s="255"/>
      <c r="G13" s="258"/>
      <c r="H13" s="257"/>
      <c r="I13" s="258"/>
      <c r="J13" s="257"/>
      <c r="K13" s="258"/>
      <c r="L13" s="259"/>
      <c r="M13" s="255"/>
      <c r="N13" s="259"/>
      <c r="O13" s="481"/>
      <c r="P13" s="261"/>
      <c r="Q13" s="482"/>
      <c r="R13" s="482"/>
      <c r="S13" s="483"/>
      <c r="T13" s="482"/>
      <c r="U13" s="483"/>
      <c r="V13" s="485"/>
      <c r="W13" s="485"/>
      <c r="X13" s="485"/>
      <c r="Y13" s="485"/>
      <c r="Z13" s="485"/>
      <c r="AA13" s="485"/>
      <c r="AB13" s="264"/>
      <c r="AC13" s="264"/>
      <c r="AD13" s="263"/>
      <c r="AE13" s="264"/>
      <c r="AF13" s="265"/>
      <c r="AG13" s="266"/>
      <c r="AH13" s="267"/>
      <c r="AI13" s="262"/>
      <c r="AJ13" s="268"/>
      <c r="AK13" s="262"/>
      <c r="AL13" s="269"/>
      <c r="AM13" s="492"/>
      <c r="AN13" s="271"/>
      <c r="AO13" s="272"/>
      <c r="AP13" s="268"/>
      <c r="AQ13" s="272"/>
      <c r="AR13" s="495"/>
      <c r="AS13" s="496"/>
      <c r="AT13" s="507"/>
      <c r="AU13" s="508">
        <f>25059907*2</f>
        <v>50119814</v>
      </c>
      <c r="AV13" s="509">
        <f>3799971*2</f>
        <v>7599942</v>
      </c>
      <c r="AW13" s="509">
        <f t="shared" si="9"/>
        <v>42519872</v>
      </c>
      <c r="AX13" s="277"/>
      <c r="AY13" s="511">
        <v>58089185.399999999</v>
      </c>
      <c r="AZ13" s="514">
        <v>7400749.5</v>
      </c>
      <c r="BA13" s="515">
        <f t="shared" si="10"/>
        <v>0.97379026050461959</v>
      </c>
      <c r="BB13" s="509">
        <f t="shared" si="11"/>
        <v>50688435.899999999</v>
      </c>
      <c r="BC13" s="269">
        <f t="shared" si="12"/>
        <v>1.1921116766296944</v>
      </c>
      <c r="BD13" s="513">
        <f t="shared" si="13"/>
        <v>60412752.816</v>
      </c>
      <c r="BE13" s="514">
        <f t="shared" si="14"/>
        <v>7696779.4800000004</v>
      </c>
      <c r="BF13" s="515">
        <f t="shared" si="15"/>
        <v>1.04</v>
      </c>
      <c r="BG13" s="509">
        <f t="shared" si="16"/>
        <v>52715973.335999995</v>
      </c>
      <c r="BH13" s="277">
        <f t="shared" si="17"/>
        <v>1.04</v>
      </c>
      <c r="BI13" s="513">
        <f t="shared" si="18"/>
        <v>62829262.928640001</v>
      </c>
      <c r="BJ13" s="514">
        <f t="shared" si="19"/>
        <v>8004650.6592000006</v>
      </c>
      <c r="BK13" s="515">
        <f t="shared" si="20"/>
        <v>1.04</v>
      </c>
      <c r="BL13" s="509">
        <f t="shared" si="21"/>
        <v>54824612.269440003</v>
      </c>
      <c r="BM13" s="277">
        <f t="shared" si="22"/>
        <v>1.04</v>
      </c>
    </row>
    <row r="14" spans="1:65" ht="42.75" customHeight="1">
      <c r="A14" s="253" t="s">
        <v>199</v>
      </c>
      <c r="B14" s="254"/>
      <c r="C14" s="255"/>
      <c r="D14" s="255"/>
      <c r="E14" s="255"/>
      <c r="F14" s="255"/>
      <c r="G14" s="258"/>
      <c r="H14" s="257"/>
      <c r="I14" s="258"/>
      <c r="J14" s="257"/>
      <c r="K14" s="258" t="s">
        <v>68</v>
      </c>
      <c r="L14" s="259" t="s">
        <v>68</v>
      </c>
      <c r="M14" s="255">
        <v>21352.9</v>
      </c>
      <c r="N14" s="259" t="s">
        <v>68</v>
      </c>
      <c r="O14" s="481">
        <v>21230.9</v>
      </c>
      <c r="P14" s="261">
        <f t="shared" ref="P14:P15" si="23">O14/M14</f>
        <v>0.99428649035962324</v>
      </c>
      <c r="Q14" s="482">
        <f>'[12]Расчет субсидии'!$H$13</f>
        <v>39525.347176898591</v>
      </c>
      <c r="R14" s="482">
        <f>'[12]Расчет субсидии'!$H$14</f>
        <v>18740.909090909088</v>
      </c>
      <c r="S14" s="483">
        <f>4750/4500*100</f>
        <v>105.55555555555556</v>
      </c>
      <c r="T14" s="482">
        <f>Q14-R14</f>
        <v>20784.438085989503</v>
      </c>
      <c r="U14" s="483">
        <f t="shared" ref="U14:U15" si="24">T14/O14*100</f>
        <v>97.897112632952442</v>
      </c>
      <c r="V14" s="485">
        <v>44673.517999999996</v>
      </c>
      <c r="W14" s="485">
        <v>13366.364</v>
      </c>
      <c r="X14" s="485">
        <v>29109.922999999999</v>
      </c>
      <c r="Y14" s="485"/>
      <c r="Z14" s="485">
        <v>21230.9</v>
      </c>
      <c r="AA14" s="485">
        <v>4452.8</v>
      </c>
      <c r="AB14" s="264">
        <f>Q14</f>
        <v>39525.347176898591</v>
      </c>
      <c r="AC14" s="264">
        <f>R14</f>
        <v>18740.909090909088</v>
      </c>
      <c r="AD14" s="263">
        <f t="shared" si="5"/>
        <v>100</v>
      </c>
      <c r="AE14" s="264">
        <f>AB14-AC14</f>
        <v>20784.438085989503</v>
      </c>
      <c r="AF14" s="519">
        <f t="shared" ref="AF14:AF15" si="25">AE14/X14</f>
        <v>0.71399838762849022</v>
      </c>
      <c r="AG14" s="520">
        <f>2340.102+18444.308</f>
        <v>20784.41</v>
      </c>
      <c r="AH14" s="267">
        <f>AB14*1.04</f>
        <v>41106.361063974538</v>
      </c>
      <c r="AI14" s="262">
        <v>13901.02</v>
      </c>
      <c r="AJ14" s="268">
        <f t="shared" ref="AJ14:AJ15" si="26">AI14/AC14</f>
        <v>0.74174736842105271</v>
      </c>
      <c r="AK14" s="262">
        <f>AH14-AI14</f>
        <v>27205.341063974538</v>
      </c>
      <c r="AL14" s="269">
        <f t="shared" ref="AL14:AL15" si="27">AK14/AG14</f>
        <v>1.3089301579392698</v>
      </c>
      <c r="AM14" s="492"/>
      <c r="AN14" s="271">
        <f>'авиа расчет'!M5/1000</f>
        <v>78707.605370395264</v>
      </c>
      <c r="AO14" s="272">
        <v>8042.58</v>
      </c>
      <c r="AP14" s="268">
        <f t="shared" ref="AP14:AP15" si="28">AO14/AI14</f>
        <v>0.57856042218484682</v>
      </c>
      <c r="AQ14" s="272">
        <f>AN14-AO14</f>
        <v>70665.025370395262</v>
      </c>
      <c r="AR14" s="495"/>
      <c r="AS14" s="518">
        <v>70665.025370395262</v>
      </c>
      <c r="AT14" s="507"/>
      <c r="AU14" s="508">
        <f>40510034*2</f>
        <v>81020068</v>
      </c>
      <c r="AV14" s="509">
        <f>3104529*2</f>
        <v>6209058</v>
      </c>
      <c r="AW14" s="509">
        <f t="shared" si="9"/>
        <v>74811010</v>
      </c>
      <c r="AX14" s="277">
        <f t="shared" ref="AX14:AX15" si="29">AW14/AS14/1000</f>
        <v>1.0586709565003805</v>
      </c>
      <c r="AY14" s="511">
        <v>97027670.400000006</v>
      </c>
      <c r="AZ14" s="514">
        <v>13782818.5</v>
      </c>
      <c r="BA14" s="515">
        <f t="shared" si="10"/>
        <v>2.2197921971416599</v>
      </c>
      <c r="BB14" s="509">
        <f t="shared" si="11"/>
        <v>83244851.900000006</v>
      </c>
      <c r="BC14" s="269">
        <f t="shared" si="12"/>
        <v>1.1127353032661904</v>
      </c>
      <c r="BD14" s="513">
        <f t="shared" si="13"/>
        <v>100908777.21600001</v>
      </c>
      <c r="BE14" s="514">
        <f t="shared" si="14"/>
        <v>14334131.24</v>
      </c>
      <c r="BF14" s="515">
        <f t="shared" si="15"/>
        <v>1.04</v>
      </c>
      <c r="BG14" s="509">
        <f t="shared" si="16"/>
        <v>86574645.976000011</v>
      </c>
      <c r="BH14" s="277">
        <f t="shared" si="17"/>
        <v>1.04</v>
      </c>
      <c r="BI14" s="513">
        <f t="shared" si="18"/>
        <v>104945128.30464001</v>
      </c>
      <c r="BJ14" s="514">
        <f t="shared" si="19"/>
        <v>14907496.489600001</v>
      </c>
      <c r="BK14" s="515">
        <f t="shared" si="20"/>
        <v>1.04</v>
      </c>
      <c r="BL14" s="509">
        <f t="shared" si="21"/>
        <v>90037631.815040007</v>
      </c>
      <c r="BM14" s="277">
        <f t="shared" si="22"/>
        <v>1.04</v>
      </c>
    </row>
    <row r="15" spans="1:65" s="540" customFormat="1" ht="48" customHeight="1">
      <c r="A15" s="521" t="s">
        <v>200</v>
      </c>
      <c r="B15" s="279">
        <f>B6+B7+B8</f>
        <v>33321.699999999997</v>
      </c>
      <c r="C15" s="280">
        <f>C6+C7+C8</f>
        <v>35071.599999999999</v>
      </c>
      <c r="D15" s="280">
        <f>D6+D7+D8</f>
        <v>83651.37</v>
      </c>
      <c r="E15" s="280">
        <f>SUM(E6:E8)</f>
        <v>56290.6</v>
      </c>
      <c r="F15" s="280">
        <f>F6+F7+F8</f>
        <v>0</v>
      </c>
      <c r="G15" s="283">
        <f>G6+G7+G8</f>
        <v>56290.6</v>
      </c>
      <c r="H15" s="522">
        <f>G15/E15*100</f>
        <v>100</v>
      </c>
      <c r="I15" s="283">
        <f>SUM(I6:I8)+15346.6</f>
        <v>80641.3</v>
      </c>
      <c r="J15" s="522">
        <f>I15/G15*100</f>
        <v>143.2589100133948</v>
      </c>
      <c r="K15" s="283">
        <f>K6+K7+K8</f>
        <v>68616.7</v>
      </c>
      <c r="L15" s="523">
        <f>K15/I15*100</f>
        <v>85.088782050884589</v>
      </c>
      <c r="M15" s="280">
        <f>M6+M8+M14</f>
        <v>71820.3</v>
      </c>
      <c r="N15" s="523">
        <f>M15/K15*100</f>
        <v>104.66883426337905</v>
      </c>
      <c r="O15" s="524">
        <f>O6+O8+O14</f>
        <v>80899.900000000009</v>
      </c>
      <c r="P15" s="525">
        <f t="shared" si="23"/>
        <v>1.1264210815048115</v>
      </c>
      <c r="Q15" s="526">
        <f>Q6+Q8+Q9+Q14</f>
        <v>201992.84717689859</v>
      </c>
      <c r="R15" s="526">
        <f>R6+R8+R9+R14</f>
        <v>93219.409090909088</v>
      </c>
      <c r="S15" s="527">
        <f>R15/(R6/S6*100+R8/S8*100+R14/S14*100+R9/S9*100)*100</f>
        <v>105.67215373660299</v>
      </c>
      <c r="T15" s="526">
        <f>T6+T8+T9+T14</f>
        <v>108773.4380859895</v>
      </c>
      <c r="U15" s="527">
        <f t="shared" si="24"/>
        <v>134.45435419078328</v>
      </c>
      <c r="V15" s="526">
        <f>V6+V14</f>
        <v>177233.989</v>
      </c>
      <c r="W15" s="526">
        <f>W6+W14</f>
        <v>73380.034</v>
      </c>
      <c r="X15" s="526">
        <f>X6+X14</f>
        <v>101332.76299999999</v>
      </c>
      <c r="Y15" s="526"/>
      <c r="Z15" s="526">
        <v>80899.899999999994</v>
      </c>
      <c r="AA15" s="526">
        <f>AA6+AA14</f>
        <v>78177.8</v>
      </c>
      <c r="AB15" s="287">
        <f>AB6+AB8+AB9+AB14</f>
        <v>271523.97202689853</v>
      </c>
      <c r="AC15" s="287">
        <f>AC6+AC8+AC9+AC14</f>
        <v>101620.5838909091</v>
      </c>
      <c r="AD15" s="528">
        <f t="shared" si="5"/>
        <v>109.01225923005696</v>
      </c>
      <c r="AE15" s="287">
        <f>AE6+AE8+AE9+AE14</f>
        <v>169903.38813598949</v>
      </c>
      <c r="AF15" s="529">
        <f t="shared" si="25"/>
        <v>1.6766876092778551</v>
      </c>
      <c r="AG15" s="291">
        <f>AG6+AG14</f>
        <v>169903.4</v>
      </c>
      <c r="AH15" s="292">
        <f>AH6+AH8+AH9+AH14</f>
        <v>289893.48090797453</v>
      </c>
      <c r="AI15" s="287">
        <f>AI6+AI8+AI9+AI14</f>
        <v>91282.260000000009</v>
      </c>
      <c r="AJ15" s="530">
        <f t="shared" si="26"/>
        <v>0.89826545474283637</v>
      </c>
      <c r="AK15" s="287">
        <f>AK6+AK8+AK9+AK14</f>
        <v>198611.22090797452</v>
      </c>
      <c r="AL15" s="531">
        <f t="shared" si="27"/>
        <v>1.1689655469400526</v>
      </c>
      <c r="AM15" s="532">
        <f>AM6</f>
        <v>213589.6</v>
      </c>
      <c r="AN15" s="296">
        <f>AN6+AN14+AN11</f>
        <v>443208.87160137435</v>
      </c>
      <c r="AO15" s="297">
        <f>AO6+AO14+AO11</f>
        <v>113168.01999999999</v>
      </c>
      <c r="AP15" s="530">
        <f t="shared" si="28"/>
        <v>1.2397591821236675</v>
      </c>
      <c r="AQ15" s="297">
        <f>AQ6+AQ14+AQ11</f>
        <v>330040.85160137439</v>
      </c>
      <c r="AR15" s="533">
        <f>AQ15/AM15</f>
        <v>1.5452103079989588</v>
      </c>
      <c r="AS15" s="296">
        <f>AS8+AS11+AS14</f>
        <v>330040.85160137439</v>
      </c>
      <c r="AT15" s="534"/>
      <c r="AU15" s="535">
        <f>SUM(AU8:AU14)</f>
        <v>498992197.5</v>
      </c>
      <c r="AV15" s="536">
        <f t="shared" ref="AV15:AW15" si="30">SUM(AV8:AV14)</f>
        <v>104270702</v>
      </c>
      <c r="AW15" s="537">
        <f t="shared" si="30"/>
        <v>394721495.5</v>
      </c>
      <c r="AX15" s="302">
        <f t="shared" si="29"/>
        <v>1.1959776905943369</v>
      </c>
      <c r="AY15" s="538">
        <f>SUM(AY8:AY14)</f>
        <v>610534270.79999995</v>
      </c>
      <c r="AZ15" s="297">
        <f>SUM(AZ8:AZ14)</f>
        <v>134525651</v>
      </c>
      <c r="BA15" s="297">
        <f>SUM(BA8:BA14)</f>
        <v>9.77320969907489</v>
      </c>
      <c r="BB15" s="536">
        <f>SUM(BB8:BB14)</f>
        <v>476008619.79999995</v>
      </c>
      <c r="BC15" s="294">
        <f>BB15/AW15</f>
        <v>1.2059353879297408</v>
      </c>
      <c r="BD15" s="535">
        <f>SUM(BD8:BD14)</f>
        <v>634955636.98751366</v>
      </c>
      <c r="BE15" s="536">
        <f>SUM(BE8:BE14)</f>
        <v>139906677.04000002</v>
      </c>
      <c r="BF15" s="539">
        <f t="shared" si="15"/>
        <v>1.0400000000000003</v>
      </c>
      <c r="BG15" s="536">
        <f>SUM(BG8:BG14)</f>
        <v>495048959.94751376</v>
      </c>
      <c r="BH15" s="302">
        <f>BG15/BB15</f>
        <v>1.0399999902428527</v>
      </c>
      <c r="BI15" s="535">
        <f>SUM(BI8:BI14)</f>
        <v>660353862.46701431</v>
      </c>
      <c r="BJ15" s="536">
        <f>SUM(BJ8:BJ14)</f>
        <v>145502941.97886121</v>
      </c>
      <c r="BK15" s="539">
        <f t="shared" si="20"/>
        <v>1.0399999846845136</v>
      </c>
      <c r="BL15" s="536">
        <f>SUM(BL8:BL14)</f>
        <v>514850920.48815304</v>
      </c>
      <c r="BM15" s="302">
        <f>BL15/BG15</f>
        <v>1.0400000043283371</v>
      </c>
    </row>
    <row r="16" spans="1:65" ht="22.5" hidden="1" customHeight="1">
      <c r="A16" s="541" t="s">
        <v>99</v>
      </c>
      <c r="B16" s="541"/>
      <c r="C16" s="541"/>
      <c r="D16" s="541"/>
      <c r="E16" s="541"/>
      <c r="F16" s="541"/>
      <c r="G16" s="541"/>
      <c r="H16" s="541"/>
      <c r="I16" s="541"/>
      <c r="J16" s="541"/>
      <c r="K16" s="541"/>
      <c r="L16" s="541"/>
      <c r="M16" s="541"/>
      <c r="N16" s="541"/>
      <c r="O16" s="541"/>
      <c r="P16" s="541"/>
      <c r="Q16" s="541"/>
      <c r="R16" s="541"/>
      <c r="S16" s="541"/>
      <c r="T16" s="541"/>
      <c r="U16" s="541"/>
      <c r="V16" s="542"/>
      <c r="W16" s="542"/>
      <c r="X16" s="542"/>
      <c r="Y16" s="542"/>
      <c r="Z16" s="542"/>
      <c r="AA16" s="542"/>
      <c r="AB16" s="543"/>
      <c r="AC16" s="543"/>
      <c r="AD16" s="543"/>
      <c r="AE16" s="544"/>
      <c r="AF16" s="545"/>
      <c r="AG16" s="545"/>
      <c r="AH16" s="545"/>
      <c r="AI16" s="543"/>
      <c r="AJ16" s="543"/>
      <c r="AK16" s="543"/>
      <c r="AL16" s="543"/>
      <c r="AM16" s="543"/>
      <c r="AN16" s="543"/>
      <c r="AO16" s="543"/>
      <c r="AP16" s="543"/>
      <c r="AQ16" s="543"/>
      <c r="AR16" s="543"/>
      <c r="AS16" s="543"/>
      <c r="AT16" s="543"/>
      <c r="AU16" s="545"/>
      <c r="AV16" s="543"/>
      <c r="AW16" s="546"/>
      <c r="AX16" s="543"/>
      <c r="AY16" s="547"/>
      <c r="AZ16" s="547"/>
      <c r="BA16" s="547"/>
      <c r="BB16" s="547"/>
      <c r="BC16" s="547"/>
    </row>
    <row r="17" spans="1:65" ht="39" hidden="1" customHeight="1">
      <c r="A17" s="548" t="s">
        <v>201</v>
      </c>
      <c r="B17" s="548"/>
      <c r="C17" s="548"/>
      <c r="D17" s="548"/>
      <c r="E17" s="548"/>
      <c r="F17" s="548"/>
      <c r="G17" s="548"/>
      <c r="H17" s="548"/>
      <c r="I17" s="548"/>
      <c r="J17" s="548"/>
      <c r="K17" s="548"/>
      <c r="L17" s="548"/>
      <c r="M17" s="548"/>
      <c r="N17" s="548"/>
      <c r="O17" s="548"/>
      <c r="P17" s="548"/>
      <c r="Q17" s="548"/>
      <c r="R17" s="548"/>
      <c r="S17" s="548"/>
      <c r="T17" s="548"/>
      <c r="U17" s="548"/>
      <c r="V17" s="548"/>
      <c r="W17" s="548"/>
      <c r="X17" s="548"/>
      <c r="Y17" s="548"/>
      <c r="Z17" s="548"/>
      <c r="AA17" s="548"/>
      <c r="AB17" s="548"/>
      <c r="AC17" s="548"/>
      <c r="AD17" s="548"/>
      <c r="AE17" s="548"/>
      <c r="AF17" s="548"/>
      <c r="AG17" s="548"/>
      <c r="AH17" s="548"/>
      <c r="AI17" s="548"/>
      <c r="AJ17" s="548"/>
      <c r="AK17" s="548"/>
      <c r="AL17" s="548"/>
      <c r="AM17" s="548"/>
      <c r="AN17" s="548"/>
      <c r="AO17" s="548"/>
      <c r="AP17" s="548"/>
      <c r="AQ17" s="548"/>
      <c r="AR17" s="548"/>
      <c r="AS17" s="548"/>
      <c r="AT17" s="548"/>
      <c r="AU17" s="548"/>
      <c r="AV17" s="548"/>
      <c r="AW17" s="548"/>
      <c r="AX17" s="548"/>
      <c r="AY17" s="548"/>
      <c r="AZ17" s="548"/>
      <c r="BA17" s="548"/>
      <c r="BB17" s="548"/>
      <c r="BC17" s="548"/>
      <c r="BD17" s="548"/>
      <c r="BE17" s="548"/>
      <c r="BF17" s="548"/>
      <c r="BG17" s="548"/>
      <c r="BH17" s="548"/>
      <c r="BI17" s="548"/>
      <c r="BJ17" s="548"/>
      <c r="BK17" s="548"/>
      <c r="BL17" s="548"/>
      <c r="BM17" s="548"/>
    </row>
    <row r="18" spans="1:65" ht="39" hidden="1" customHeight="1">
      <c r="A18" s="548" t="s">
        <v>202</v>
      </c>
      <c r="B18" s="548"/>
      <c r="C18" s="548"/>
      <c r="D18" s="548"/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8"/>
      <c r="U18" s="548"/>
      <c r="V18" s="548"/>
      <c r="W18" s="548"/>
      <c r="X18" s="548"/>
      <c r="Y18" s="548"/>
      <c r="Z18" s="548"/>
      <c r="AA18" s="548"/>
      <c r="AB18" s="548"/>
      <c r="AC18" s="548"/>
      <c r="AD18" s="548"/>
      <c r="AE18" s="548"/>
      <c r="AF18" s="548"/>
      <c r="AG18" s="548"/>
      <c r="AH18" s="548"/>
      <c r="AI18" s="548"/>
      <c r="AJ18" s="548"/>
      <c r="AK18" s="548"/>
      <c r="AL18" s="548"/>
      <c r="AM18" s="548"/>
      <c r="AN18" s="548"/>
      <c r="AO18" s="548"/>
      <c r="AP18" s="548"/>
      <c r="AQ18" s="548"/>
      <c r="AR18" s="548"/>
      <c r="AS18" s="548"/>
      <c r="AT18" s="548"/>
      <c r="AU18" s="548"/>
      <c r="AV18" s="548"/>
      <c r="AW18" s="548"/>
      <c r="AX18" s="548"/>
      <c r="AY18" s="548"/>
      <c r="AZ18" s="548"/>
      <c r="BA18" s="548"/>
      <c r="BB18" s="548"/>
      <c r="BC18" s="548"/>
      <c r="BD18" s="548"/>
      <c r="BE18" s="548"/>
      <c r="BF18" s="548"/>
      <c r="BG18" s="548"/>
      <c r="BH18" s="548"/>
      <c r="BI18" s="548"/>
      <c r="BJ18" s="548"/>
      <c r="BK18" s="548"/>
      <c r="BL18" s="548"/>
      <c r="BM18" s="548"/>
    </row>
    <row r="19" spans="1:65" ht="65.25" hidden="1" customHeight="1">
      <c r="A19" s="548" t="s">
        <v>203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8"/>
      <c r="V19" s="548"/>
      <c r="W19" s="548"/>
      <c r="X19" s="548"/>
      <c r="Y19" s="548"/>
      <c r="Z19" s="548"/>
      <c r="AA19" s="548"/>
      <c r="AB19" s="548"/>
      <c r="AC19" s="548"/>
      <c r="AD19" s="548"/>
      <c r="AE19" s="548"/>
      <c r="AF19" s="548"/>
      <c r="AG19" s="548"/>
      <c r="AH19" s="548"/>
      <c r="AI19" s="548"/>
      <c r="AJ19" s="548"/>
      <c r="AK19" s="548"/>
      <c r="AL19" s="548"/>
      <c r="AM19" s="548"/>
      <c r="AN19" s="548"/>
      <c r="AO19" s="548"/>
      <c r="AP19" s="548"/>
      <c r="AQ19" s="548"/>
      <c r="AR19" s="548"/>
      <c r="AS19" s="548"/>
      <c r="AT19" s="548"/>
      <c r="AU19" s="548"/>
      <c r="AV19" s="548"/>
      <c r="AW19" s="548"/>
      <c r="AX19" s="548"/>
      <c r="AY19" s="548"/>
      <c r="AZ19" s="548"/>
      <c r="BA19" s="548"/>
      <c r="BB19" s="548"/>
      <c r="BC19" s="548"/>
      <c r="BD19" s="548"/>
      <c r="BE19" s="548"/>
      <c r="BF19" s="548"/>
      <c r="BG19" s="548"/>
      <c r="BH19" s="548"/>
      <c r="BI19" s="548"/>
      <c r="BJ19" s="548"/>
      <c r="BK19" s="548"/>
      <c r="BL19" s="548"/>
      <c r="BM19" s="548"/>
    </row>
    <row r="20" spans="1:65">
      <c r="A20" s="549"/>
      <c r="B20" s="550"/>
      <c r="C20" s="550"/>
      <c r="D20" s="550"/>
      <c r="E20" s="550"/>
      <c r="F20" s="550"/>
    </row>
    <row r="21" spans="1:65">
      <c r="A21" s="222"/>
      <c r="B21" s="222"/>
      <c r="C21" s="222"/>
      <c r="D21" s="222"/>
      <c r="E21" s="222"/>
      <c r="F21" s="222"/>
    </row>
    <row r="22" spans="1:65">
      <c r="A22" s="551"/>
      <c r="B22" s="550"/>
      <c r="C22" s="550"/>
      <c r="D22" s="550"/>
      <c r="E22" s="550"/>
      <c r="F22" s="550"/>
    </row>
    <row r="23" spans="1:65">
      <c r="A23" s="551"/>
      <c r="B23" s="550"/>
      <c r="C23" s="550"/>
      <c r="D23" s="550"/>
      <c r="E23" s="550"/>
      <c r="F23" s="550"/>
    </row>
    <row r="25" spans="1:65">
      <c r="A25" s="552"/>
      <c r="B25" s="552"/>
      <c r="C25" s="552"/>
      <c r="D25" s="552"/>
      <c r="E25" s="552"/>
      <c r="F25" s="552"/>
    </row>
    <row r="26" spans="1:65">
      <c r="A26" s="553"/>
      <c r="B26" s="553"/>
      <c r="C26" s="553"/>
      <c r="D26" s="553"/>
      <c r="E26" s="553"/>
      <c r="F26" s="553"/>
    </row>
    <row r="28" spans="1:65">
      <c r="A28" s="554"/>
      <c r="B28" s="554"/>
      <c r="C28" s="554"/>
      <c r="D28" s="554"/>
      <c r="E28" s="554"/>
      <c r="F28" s="554"/>
    </row>
  </sheetData>
  <mergeCells count="46">
    <mergeCell ref="AX8:AX10"/>
    <mergeCell ref="A16:U16"/>
    <mergeCell ref="A17:BM17"/>
    <mergeCell ref="A18:BM18"/>
    <mergeCell ref="A19:BM19"/>
    <mergeCell ref="AP6:AP9"/>
    <mergeCell ref="AQ6:AQ9"/>
    <mergeCell ref="AR6:AR14"/>
    <mergeCell ref="AS8:AS10"/>
    <mergeCell ref="AT8:AT15"/>
    <mergeCell ref="AK6:AK9"/>
    <mergeCell ref="AL6:AL9"/>
    <mergeCell ref="AM6:AM14"/>
    <mergeCell ref="AN6:AN9"/>
    <mergeCell ref="AO6:AO9"/>
    <mergeCell ref="AF6:AF9"/>
    <mergeCell ref="AG6:AG9"/>
    <mergeCell ref="AH6:AH9"/>
    <mergeCell ref="AI6:AI9"/>
    <mergeCell ref="AJ6:AJ9"/>
    <mergeCell ref="V6:V9"/>
    <mergeCell ref="W6:W9"/>
    <mergeCell ref="X6:X9"/>
    <mergeCell ref="Z6:Z9"/>
    <mergeCell ref="AA6:AA9"/>
    <mergeCell ref="AU3:AX3"/>
    <mergeCell ref="AY3:BC3"/>
    <mergeCell ref="BD3:BH3"/>
    <mergeCell ref="BI3:BM3"/>
    <mergeCell ref="I5:J5"/>
    <mergeCell ref="A1:BM1"/>
    <mergeCell ref="A3:A4"/>
    <mergeCell ref="D3:E3"/>
    <mergeCell ref="F3:H3"/>
    <mergeCell ref="I3:J3"/>
    <mergeCell ref="K3:L3"/>
    <mergeCell ref="M3:N3"/>
    <mergeCell ref="O3:P3"/>
    <mergeCell ref="Q3:U3"/>
    <mergeCell ref="V3:Y3"/>
    <mergeCell ref="AA3:AA4"/>
    <mergeCell ref="AB3:AF3"/>
    <mergeCell ref="AH3:AL3"/>
    <mergeCell ref="AN3:AR3"/>
    <mergeCell ref="AS3:AS4"/>
    <mergeCell ref="AT3:AT4"/>
  </mergeCells>
  <pageMargins left="0.51181102362204722" right="0.31496062992125984" top="0.94488188976377963" bottom="0.74803149606299213" header="0.31496062992125984" footer="0.31496062992125984"/>
  <pageSetup paperSize="9" scale="45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Водный транспорт</vt:lpstr>
      <vt:lpstr>ЖД транспорт </vt:lpstr>
      <vt:lpstr>Лизинг</vt:lpstr>
      <vt:lpstr>авиа расчет</vt:lpstr>
      <vt:lpstr>Воздушный транспорт</vt:lpstr>
      <vt:lpstr>'авиа расчет'!Область_печати</vt:lpstr>
      <vt:lpstr>'Водный транспорт'!Область_печати</vt:lpstr>
      <vt:lpstr>'Воздушный транспорт'!Область_печати</vt:lpstr>
      <vt:lpstr>'ЖД транспорт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revision>4</cp:revision>
  <cp:lastPrinted>2021-10-25T16:03:39Z</cp:lastPrinted>
  <dcterms:created xsi:type="dcterms:W3CDTF">2017-08-04T07:55:22Z</dcterms:created>
  <dcterms:modified xsi:type="dcterms:W3CDTF">2021-10-25T16:03:42Z</dcterms:modified>
</cp:coreProperties>
</file>