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900" windowWidth="28800" windowHeight="11235"/>
  </bookViews>
  <sheets>
    <sheet name="2022" sheetId="13" r:id="rId1"/>
  </sheets>
  <definedNames>
    <definedName name="_xlnm.Print_Titles" localSheetId="0">'2022'!$A:$A</definedName>
    <definedName name="_xlnm.Print_Area" localSheetId="0">'2022'!$A$1:$R$61</definedName>
  </definedNam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8" i="13"/>
  <c r="F29"/>
  <c r="F27" l="1"/>
  <c r="F54" l="1"/>
  <c r="N8" l="1"/>
  <c r="N9"/>
  <c r="N10"/>
  <c r="N12"/>
  <c r="N13"/>
  <c r="N14"/>
  <c r="N15"/>
  <c r="N16"/>
  <c r="N17"/>
  <c r="N18"/>
  <c r="N19"/>
  <c r="N20"/>
  <c r="N21"/>
  <c r="N22"/>
  <c r="N23"/>
  <c r="N24"/>
  <c r="N25"/>
  <c r="N26"/>
  <c r="N28"/>
  <c r="N29"/>
  <c r="N30"/>
  <c r="N31"/>
  <c r="N32"/>
  <c r="N33"/>
  <c r="N34"/>
  <c r="N35"/>
  <c r="N36"/>
  <c r="N37"/>
  <c r="N38"/>
  <c r="N39"/>
  <c r="N40"/>
  <c r="N41"/>
  <c r="N42"/>
  <c r="N43"/>
  <c r="N44"/>
  <c r="N45"/>
  <c r="N46"/>
  <c r="N47"/>
  <c r="N48"/>
  <c r="N50"/>
  <c r="N51"/>
  <c r="N52"/>
  <c r="N55"/>
  <c r="N56"/>
  <c r="N57"/>
  <c r="N58"/>
  <c r="N59"/>
  <c r="N60"/>
  <c r="N7"/>
  <c r="L53"/>
  <c r="N53" s="1"/>
  <c r="L54"/>
  <c r="N54" s="1"/>
  <c r="N65" l="1"/>
  <c r="D32"/>
  <c r="L11"/>
  <c r="L61" s="1"/>
  <c r="N11" l="1"/>
  <c r="K49" l="1"/>
  <c r="N49" s="1"/>
  <c r="K27" l="1"/>
  <c r="N27" s="1"/>
  <c r="N61" s="1"/>
  <c r="I54"/>
  <c r="H32" l="1"/>
  <c r="J32" s="1"/>
  <c r="O32" s="1"/>
  <c r="F53" l="1"/>
  <c r="F7"/>
  <c r="I59" l="1"/>
  <c r="I57"/>
  <c r="I56"/>
  <c r="I55"/>
  <c r="I51"/>
  <c r="I50"/>
  <c r="I49"/>
  <c r="I48"/>
  <c r="I47"/>
  <c r="I43"/>
  <c r="I38"/>
  <c r="I33"/>
  <c r="I31"/>
  <c r="I30"/>
  <c r="I29"/>
  <c r="I27"/>
  <c r="I16"/>
  <c r="I14"/>
  <c r="I13"/>
  <c r="I12"/>
  <c r="I7"/>
  <c r="F34" l="1"/>
  <c r="M34"/>
  <c r="M43"/>
  <c r="M48"/>
  <c r="M49"/>
  <c r="M52"/>
  <c r="M53"/>
  <c r="M55"/>
  <c r="M56"/>
  <c r="M57"/>
  <c r="M58"/>
  <c r="M59"/>
  <c r="I61"/>
  <c r="K61"/>
  <c r="M47" l="1"/>
  <c r="M60"/>
  <c r="M33" l="1"/>
  <c r="M32"/>
  <c r="M31"/>
  <c r="M29"/>
  <c r="M27"/>
  <c r="M22"/>
  <c r="M15"/>
  <c r="M14"/>
  <c r="M13"/>
  <c r="M12"/>
  <c r="M11"/>
  <c r="M10"/>
  <c r="M9"/>
  <c r="M7"/>
  <c r="F61" l="1"/>
  <c r="F64" s="1"/>
  <c r="F65" s="1"/>
  <c r="M61"/>
  <c r="C32"/>
  <c r="D38" l="1"/>
  <c r="H38" s="1"/>
  <c r="J38" s="1"/>
  <c r="O38" s="1"/>
  <c r="D44"/>
  <c r="H44" s="1"/>
  <c r="J44" s="1"/>
  <c r="O44" s="1"/>
  <c r="D50"/>
  <c r="H50" s="1"/>
  <c r="J50" s="1"/>
  <c r="O50" s="1"/>
  <c r="P50" s="1"/>
  <c r="D56"/>
  <c r="D8"/>
  <c r="H8" s="1"/>
  <c r="J8" s="1"/>
  <c r="O8" s="1"/>
  <c r="D14"/>
  <c r="H14" s="1"/>
  <c r="J14" s="1"/>
  <c r="O14" s="1"/>
  <c r="P14" s="1"/>
  <c r="D20"/>
  <c r="H20" s="1"/>
  <c r="J20" s="1"/>
  <c r="O20" s="1"/>
  <c r="P20" s="1"/>
  <c r="D26"/>
  <c r="H26" s="1"/>
  <c r="J26" s="1"/>
  <c r="O26" s="1"/>
  <c r="D7"/>
  <c r="H7" s="1"/>
  <c r="D39"/>
  <c r="H39" s="1"/>
  <c r="J39" s="1"/>
  <c r="O39" s="1"/>
  <c r="D45"/>
  <c r="H45" s="1"/>
  <c r="J45" s="1"/>
  <c r="O45" s="1"/>
  <c r="D51"/>
  <c r="H51" s="1"/>
  <c r="J51" s="1"/>
  <c r="O51" s="1"/>
  <c r="D57"/>
  <c r="H57" s="1"/>
  <c r="J57" s="1"/>
  <c r="O57" s="1"/>
  <c r="D9"/>
  <c r="H9" s="1"/>
  <c r="J9" s="1"/>
  <c r="O9" s="1"/>
  <c r="D15"/>
  <c r="H15" s="1"/>
  <c r="J15" s="1"/>
  <c r="O15" s="1"/>
  <c r="P15" s="1"/>
  <c r="D21"/>
  <c r="H21" s="1"/>
  <c r="J21" s="1"/>
  <c r="O21" s="1"/>
  <c r="P21" s="1"/>
  <c r="D27"/>
  <c r="H27" s="1"/>
  <c r="J27" s="1"/>
  <c r="O27" s="1"/>
  <c r="D34"/>
  <c r="H34" s="1"/>
  <c r="J34" s="1"/>
  <c r="O34" s="1"/>
  <c r="D40"/>
  <c r="H40" s="1"/>
  <c r="J40" s="1"/>
  <c r="O40" s="1"/>
  <c r="D46"/>
  <c r="H46" s="1"/>
  <c r="J46" s="1"/>
  <c r="O46" s="1"/>
  <c r="D52"/>
  <c r="H52" s="1"/>
  <c r="J52" s="1"/>
  <c r="O52" s="1"/>
  <c r="D58"/>
  <c r="H58" s="1"/>
  <c r="J58" s="1"/>
  <c r="O58" s="1"/>
  <c r="D10"/>
  <c r="H10" s="1"/>
  <c r="J10" s="1"/>
  <c r="O10" s="1"/>
  <c r="D16"/>
  <c r="H16" s="1"/>
  <c r="J16" s="1"/>
  <c r="O16" s="1"/>
  <c r="P16" s="1"/>
  <c r="D22"/>
  <c r="H22" s="1"/>
  <c r="J22" s="1"/>
  <c r="O22" s="1"/>
  <c r="D28"/>
  <c r="H28" s="1"/>
  <c r="J28" s="1"/>
  <c r="O28" s="1"/>
  <c r="D35"/>
  <c r="H35" s="1"/>
  <c r="J35" s="1"/>
  <c r="O35" s="1"/>
  <c r="D41"/>
  <c r="H41" s="1"/>
  <c r="J41" s="1"/>
  <c r="O41" s="1"/>
  <c r="D47"/>
  <c r="D53"/>
  <c r="H53" s="1"/>
  <c r="J53" s="1"/>
  <c r="O53" s="1"/>
  <c r="D59"/>
  <c r="H59" s="1"/>
  <c r="J59" s="1"/>
  <c r="O59" s="1"/>
  <c r="D11"/>
  <c r="H11" s="1"/>
  <c r="J11" s="1"/>
  <c r="O11" s="1"/>
  <c r="D17"/>
  <c r="H17" s="1"/>
  <c r="J17" s="1"/>
  <c r="O17" s="1"/>
  <c r="P17" s="1"/>
  <c r="D23"/>
  <c r="H23" s="1"/>
  <c r="J23" s="1"/>
  <c r="O23" s="1"/>
  <c r="D29"/>
  <c r="H29" s="1"/>
  <c r="J29" s="1"/>
  <c r="O29" s="1"/>
  <c r="D36"/>
  <c r="H36" s="1"/>
  <c r="J36" s="1"/>
  <c r="O36" s="1"/>
  <c r="D42"/>
  <c r="H42" s="1"/>
  <c r="J42" s="1"/>
  <c r="O42" s="1"/>
  <c r="D48"/>
  <c r="H48" s="1"/>
  <c r="J48" s="1"/>
  <c r="O48" s="1"/>
  <c r="D54"/>
  <c r="D60"/>
  <c r="H60" s="1"/>
  <c r="J60" s="1"/>
  <c r="O60" s="1"/>
  <c r="D12"/>
  <c r="H12" s="1"/>
  <c r="J12" s="1"/>
  <c r="O12" s="1"/>
  <c r="D18"/>
  <c r="H18" s="1"/>
  <c r="J18" s="1"/>
  <c r="O18" s="1"/>
  <c r="P18" s="1"/>
  <c r="D24"/>
  <c r="H24" s="1"/>
  <c r="J24" s="1"/>
  <c r="O24" s="1"/>
  <c r="D30"/>
  <c r="H30" s="1"/>
  <c r="J30" s="1"/>
  <c r="O30" s="1"/>
  <c r="D37"/>
  <c r="H37" s="1"/>
  <c r="J37" s="1"/>
  <c r="O37" s="1"/>
  <c r="D43"/>
  <c r="H43" s="1"/>
  <c r="J43" s="1"/>
  <c r="O43" s="1"/>
  <c r="D49"/>
  <c r="H49" s="1"/>
  <c r="J49" s="1"/>
  <c r="O49" s="1"/>
  <c r="D55"/>
  <c r="H55" s="1"/>
  <c r="J55" s="1"/>
  <c r="O55" s="1"/>
  <c r="D33"/>
  <c r="H33" s="1"/>
  <c r="J33" s="1"/>
  <c r="O33" s="1"/>
  <c r="D13"/>
  <c r="H13" s="1"/>
  <c r="J13" s="1"/>
  <c r="O13" s="1"/>
  <c r="D19"/>
  <c r="H19" s="1"/>
  <c r="J19" s="1"/>
  <c r="O19" s="1"/>
  <c r="P19" s="1"/>
  <c r="D25"/>
  <c r="H25" s="1"/>
  <c r="J25" s="1"/>
  <c r="O25" s="1"/>
  <c r="D31"/>
  <c r="H31" s="1"/>
  <c r="J31" s="1"/>
  <c r="O31" s="1"/>
  <c r="C49"/>
  <c r="C40"/>
  <c r="C50" l="1"/>
  <c r="C37"/>
  <c r="C35"/>
  <c r="C34"/>
  <c r="C11"/>
  <c r="C26"/>
  <c r="C36"/>
  <c r="C51"/>
  <c r="C48"/>
  <c r="C39"/>
  <c r="C58"/>
  <c r="C38"/>
  <c r="C42"/>
  <c r="C59"/>
  <c r="C57"/>
  <c r="H56"/>
  <c r="J56" s="1"/>
  <c r="O56" s="1"/>
  <c r="P56" s="1"/>
  <c r="R56" s="1"/>
  <c r="C56"/>
  <c r="H47"/>
  <c r="J47" s="1"/>
  <c r="O47" s="1"/>
  <c r="P47" s="1"/>
  <c r="R47" s="1"/>
  <c r="C47"/>
  <c r="H54"/>
  <c r="J54" s="1"/>
  <c r="O54" s="1"/>
  <c r="C54"/>
  <c r="C41"/>
  <c r="C60"/>
  <c r="P41"/>
  <c r="R41" s="1"/>
  <c r="P37"/>
  <c r="R37" s="1"/>
  <c r="P36"/>
  <c r="R36" s="1"/>
  <c r="P34"/>
  <c r="R34" s="1"/>
  <c r="P38"/>
  <c r="R38" s="1"/>
  <c r="P49"/>
  <c r="R49" s="1"/>
  <c r="P40"/>
  <c r="R40" s="1"/>
  <c r="P39"/>
  <c r="R39" s="1"/>
  <c r="P51"/>
  <c r="R51" s="1"/>
  <c r="P42"/>
  <c r="R42" s="1"/>
  <c r="P32"/>
  <c r="R32" s="1"/>
  <c r="P58"/>
  <c r="R58" s="1"/>
  <c r="P35"/>
  <c r="R35" s="1"/>
  <c r="P48"/>
  <c r="R48" s="1"/>
  <c r="R50"/>
  <c r="P59"/>
  <c r="R59" s="1"/>
  <c r="P57"/>
  <c r="R57" s="1"/>
  <c r="P60"/>
  <c r="R60" s="1"/>
  <c r="P11"/>
  <c r="R11" s="1"/>
  <c r="P26"/>
  <c r="R26" s="1"/>
  <c r="C45"/>
  <c r="C43"/>
  <c r="C44"/>
  <c r="C55"/>
  <c r="C53"/>
  <c r="C52"/>
  <c r="C46"/>
  <c r="H61" l="1"/>
  <c r="P54"/>
  <c r="R54" s="1"/>
  <c r="P45"/>
  <c r="R45" s="1"/>
  <c r="P46"/>
  <c r="R46" s="1"/>
  <c r="P43"/>
  <c r="R43" s="1"/>
  <c r="P55"/>
  <c r="R55" s="1"/>
  <c r="P44"/>
  <c r="R44" s="1"/>
  <c r="P52"/>
  <c r="R52" s="1"/>
  <c r="P53"/>
  <c r="R53" s="1"/>
  <c r="C10"/>
  <c r="C18"/>
  <c r="C13"/>
  <c r="C9"/>
  <c r="C23"/>
  <c r="C16"/>
  <c r="C7"/>
  <c r="C22"/>
  <c r="C24"/>
  <c r="C12"/>
  <c r="C27"/>
  <c r="C20"/>
  <c r="C15"/>
  <c r="C33"/>
  <c r="C17"/>
  <c r="R17"/>
  <c r="C21"/>
  <c r="R21"/>
  <c r="C28"/>
  <c r="C14"/>
  <c r="C8"/>
  <c r="C25"/>
  <c r="C19"/>
  <c r="C30"/>
  <c r="C29"/>
  <c r="C31"/>
  <c r="R20" l="1"/>
  <c r="R16"/>
  <c r="R18"/>
  <c r="R19"/>
  <c r="R15"/>
  <c r="R14"/>
  <c r="P13"/>
  <c r="R13" s="1"/>
  <c r="P9"/>
  <c r="R9" s="1"/>
  <c r="P29"/>
  <c r="R29" s="1"/>
  <c r="P8"/>
  <c r="R8" s="1"/>
  <c r="P28"/>
  <c r="R28" s="1"/>
  <c r="P27"/>
  <c r="R27" s="1"/>
  <c r="P31"/>
  <c r="R31" s="1"/>
  <c r="P30"/>
  <c r="R30" s="1"/>
  <c r="P33"/>
  <c r="R33" s="1"/>
  <c r="P10"/>
  <c r="R10" s="1"/>
  <c r="P12"/>
  <c r="R12" s="1"/>
  <c r="D61"/>
  <c r="C61" s="1"/>
  <c r="P24"/>
  <c r="R24" s="1"/>
  <c r="P23"/>
  <c r="R23" s="1"/>
  <c r="P25"/>
  <c r="R25" s="1"/>
  <c r="J7"/>
  <c r="J61" l="1"/>
  <c r="O7"/>
  <c r="P7" s="1"/>
  <c r="P22"/>
  <c r="R22" s="1"/>
  <c r="O61" l="1"/>
  <c r="P61"/>
  <c r="R7" l="1"/>
  <c r="R61" s="1"/>
</calcChain>
</file>

<file path=xl/sharedStrings.xml><?xml version="1.0" encoding="utf-8"?>
<sst xmlns="http://schemas.openxmlformats.org/spreadsheetml/2006/main" count="91" uniqueCount="90">
  <si>
    <t>Наименование муниципального образования</t>
  </si>
  <si>
    <t>Коэффициент начислений на выплаты по оплате труда</t>
  </si>
  <si>
    <t>Количество месяцев  
в году</t>
  </si>
  <si>
    <t>8=гр.4*гр.5*гр.6*гр.7</t>
  </si>
  <si>
    <t>МО "Котласский муниципальный район"</t>
  </si>
  <si>
    <t>МО "Красноборский муниципальный район"</t>
  </si>
  <si>
    <t xml:space="preserve">МО "Ленский муниципальный район" </t>
  </si>
  <si>
    <t xml:space="preserve">МО "Лешуконский муниципальный район" </t>
  </si>
  <si>
    <t xml:space="preserve">МО "Мезенский муниципальный район" </t>
  </si>
  <si>
    <t>МО "Няндомский муниципальный район"</t>
  </si>
  <si>
    <t>МО "Онежский муниципальный район"</t>
  </si>
  <si>
    <t>МО "Пинежский муниципальный район"</t>
  </si>
  <si>
    <t>МО "Плесецкий муниципальный район"</t>
  </si>
  <si>
    <t>МО "Приморский муниципальный район"</t>
  </si>
  <si>
    <t>МО "Устьянский муниципальный район"</t>
  </si>
  <si>
    <t>МО "Холмогорский муниципальный район"</t>
  </si>
  <si>
    <t>МО "Шенкурский муниципальный район"</t>
  </si>
  <si>
    <t>МО "Город Архангельск"</t>
  </si>
  <si>
    <t>МО "Город Северодвинск"</t>
  </si>
  <si>
    <t>МО "Котлас"</t>
  </si>
  <si>
    <t>МО "Город Новодвинск"</t>
  </si>
  <si>
    <t>МО "Город Коряжма"</t>
  </si>
  <si>
    <t>МО "Мирный"</t>
  </si>
  <si>
    <t>Итого</t>
  </si>
  <si>
    <t>Кузнецова Вероника Владимировна</t>
  </si>
  <si>
    <t>+7 (8182) 288-136</t>
  </si>
  <si>
    <t>12а=гр.9+гр.12</t>
  </si>
  <si>
    <t>14а</t>
  </si>
  <si>
    <t>МО "Коношское"</t>
  </si>
  <si>
    <t>МО "Волошское"</t>
  </si>
  <si>
    <t>МО "Вохтомское"</t>
  </si>
  <si>
    <t>МО "Ерцевское"</t>
  </si>
  <si>
    <t>МО "Климовское"</t>
  </si>
  <si>
    <t>МО "Подюжское"</t>
  </si>
  <si>
    <t>МО "Тавреньгское"</t>
  </si>
  <si>
    <t>МО "Урдомское"</t>
  </si>
  <si>
    <t>МО "Черевковское"</t>
  </si>
  <si>
    <t>МО "Пинежское"</t>
  </si>
  <si>
    <t>МО Шилегское"</t>
  </si>
  <si>
    <t>МО "Березницкое"</t>
  </si>
  <si>
    <t>МО "Октябрьское"</t>
  </si>
  <si>
    <t>сельское поселение "Кодинское"</t>
  </si>
  <si>
    <t>городское поселение "Малошуйское"</t>
  </si>
  <si>
    <t>сельское поселение "Нименьгское"</t>
  </si>
  <si>
    <t>городское поселение "Онежское"</t>
  </si>
  <si>
    <t>сельское поселение "Покровское"</t>
  </si>
  <si>
    <t>сельское поселение "Порожское"</t>
  </si>
  <si>
    <t>сельское поселение "Чекуевское"</t>
  </si>
  <si>
    <t>сельское поселение "Золотухское"</t>
  </si>
  <si>
    <t>городское поселение "Вельское"</t>
  </si>
  <si>
    <t>МО Сольвычегодское"</t>
  </si>
  <si>
    <t>МО "Черемушское"</t>
  </si>
  <si>
    <t>МО "Шипицынское"</t>
  </si>
  <si>
    <t>МО "Карпогорское"</t>
  </si>
  <si>
    <t>МО "Приводинское"</t>
  </si>
  <si>
    <t>Планируемая в муниципальном образовании средняя заработная  плата работников муниципальных учреждений культуры,  рублей</t>
  </si>
  <si>
    <t xml:space="preserve"> Фонд оплаты труда с начислениями на 2020 год,  предусмотреннвй всего, руб.</t>
  </si>
  <si>
    <t>Коэффициент соотношения средней ЗП работников муниципальных учреждений культуры и средней ЗП в Архангельской области</t>
  </si>
  <si>
    <t>Объем софинансирования из местного бюджета субсидии на повышение средней ЗП работников МУ культуры, рублей</t>
  </si>
  <si>
    <t>Вельский муниципальный район АО</t>
  </si>
  <si>
    <t>Верхнетоемский муниципальный округ АО</t>
  </si>
  <si>
    <t>Вилегодский муниципальный округ АО</t>
  </si>
  <si>
    <t>Виноградовский муниципальный округ АО</t>
  </si>
  <si>
    <t>Каргопольский муниципальный округ АО</t>
  </si>
  <si>
    <t>Коношский муниципальный район АО</t>
  </si>
  <si>
    <t>Городское поселение "Шенкурское"</t>
  </si>
  <si>
    <t xml:space="preserve"> Фонд оплаты труда с начислениями на 2022 год,  предусмотреннвй в бюджете БЕЗ МСП, рублей </t>
  </si>
  <si>
    <t xml:space="preserve"> Фонд оплаты труда с начислениями на 2022 год,  предусмотреннвй в бюджете с МСП, рублей</t>
  </si>
  <si>
    <t>Дополнительная потребность на повышение средней ЗП работников МУ культуры до уровня 99,8 процентов к средней заработной плате в Архангельской области, рублей</t>
  </si>
  <si>
    <t>Процент софинансирования муниципальных образований согласн постановлению Правительства от 30.09.2021 № 535-пп</t>
  </si>
  <si>
    <t xml:space="preserve">ФОТ </t>
  </si>
  <si>
    <t>ФОТ без Мезени</t>
  </si>
  <si>
    <t xml:space="preserve">Численность </t>
  </si>
  <si>
    <t>з. плата</t>
  </si>
  <si>
    <t>Численность работников муниципальных учреждений культуры, работающих на территории муниципального образования (за 2021 год), человек</t>
  </si>
  <si>
    <t>Планируемый фонд оплаты труда с начислениями по муниципальным работникам  культуры  на 2022 год, формируемый за счет всех источников финансирования, руб.</t>
  </si>
  <si>
    <t>Планируемый фонд оплаты труда с начислениями по муниципальным работникам  культуры  на 2022 год, формируемый за счет бюджета, руб.</t>
  </si>
  <si>
    <t xml:space="preserve">Расчет субсидий бюджетам муниципальных образований на повышение средней заработной платы работников муниципальных учреждений культуры на 2022 год </t>
  </si>
  <si>
    <t>Средняя заработная плата в Архангельской области на 2022 год (прогноз минэкономпромнауки Архангельской области), рублей</t>
  </si>
  <si>
    <t>Меры социальной поддержки (МСП) (фактически сложившийся уровень 2021 года), рублей</t>
  </si>
  <si>
    <t>ФОТ за счет внебюджетных средств (фактически сложившийся уровень 2019 года)</t>
  </si>
  <si>
    <t>гр.4=гр.2*гр.3</t>
  </si>
  <si>
    <t>гр.10=гр.8-гр.9</t>
  </si>
  <si>
    <t>гр.12а=гр.11+гр.12</t>
  </si>
  <si>
    <t>гр.13=гр.10-гр.12а</t>
  </si>
  <si>
    <t>гр.14=гр.13* % софин. (535-пп)</t>
  </si>
  <si>
    <t>гр.15=гр.13-гр.14</t>
  </si>
  <si>
    <t>Объем субсидии на повышение средней ЗП работников МУ культуры до уровня 95,5 процентов к средней заработной плате в Архангельской области, рублей за счет средств субсидии субъекта</t>
  </si>
  <si>
    <t>Приложение № 19</t>
  </si>
  <si>
    <t>к пояснительной записке</t>
  </si>
</sst>
</file>

<file path=xl/styles.xml><?xml version="1.0" encoding="utf-8"?>
<styleSheet xmlns="http://schemas.openxmlformats.org/spreadsheetml/2006/main">
  <numFmts count="6">
    <numFmt numFmtId="43" formatCode="_-* #,##0.00\ _₽_-;\-* #,##0.00\ _₽_-;_-* &quot;-&quot;??\ _₽_-;_-@_-"/>
    <numFmt numFmtId="164" formatCode="_-* #,##0.00_р_._-;\-* #,##0.00_р_._-;_-* &quot;-&quot;??_р_._-;_-@_-"/>
    <numFmt numFmtId="165" formatCode="#,##0.0"/>
    <numFmt numFmtId="166" formatCode="&quot;Да&quot;;&quot;Да&quot;;&quot;Нет&quot;"/>
    <numFmt numFmtId="167" formatCode="_-* #,##0.00000\ _₽_-;\-* #,##0.00000\ _₽_-;_-* &quot;-&quot;??\ _₽_-;_-@_-"/>
    <numFmt numFmtId="168" formatCode="#,##0.000"/>
  </numFmts>
  <fonts count="18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4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 Cyr"/>
      <charset val="204"/>
    </font>
    <font>
      <sz val="8"/>
      <color indexed="8"/>
      <name val="Arial"/>
      <family val="2"/>
      <charset val="204"/>
    </font>
    <font>
      <sz val="11"/>
      <name val="Calibri"/>
      <family val="2"/>
      <charset val="204"/>
    </font>
    <font>
      <b/>
      <sz val="14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0"/>
      <name val="Arial"/>
      <family val="2"/>
      <charset val="204"/>
    </font>
    <font>
      <sz val="11"/>
      <color theme="0"/>
      <name val="Calibri"/>
      <family val="2"/>
      <charset val="204"/>
    </font>
    <font>
      <sz val="11"/>
      <name val="Times New Roman CYR"/>
      <family val="1"/>
      <charset val="204"/>
    </font>
    <font>
      <sz val="14"/>
      <color theme="0"/>
      <name val="Calibri"/>
      <family val="2"/>
      <charset val="204"/>
    </font>
    <font>
      <b/>
      <sz val="16"/>
      <name val="Times New Roman"/>
      <family val="1"/>
      <charset val="204"/>
    </font>
    <font>
      <sz val="14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41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5">
    <xf numFmtId="0" fontId="0" fillId="0" borderId="0"/>
    <xf numFmtId="164" fontId="6" fillId="0" borderId="0" applyFont="0" applyFill="0" applyBorder="0" applyAlignment="0" applyProtection="0"/>
    <xf numFmtId="0" fontId="1" fillId="0" borderId="0"/>
    <xf numFmtId="166" fontId="11" fillId="0" borderId="0" applyBorder="0" applyProtection="0"/>
    <xf numFmtId="0" fontId="12" fillId="0" borderId="0"/>
  </cellStyleXfs>
  <cellXfs count="68">
    <xf numFmtId="0" fontId="0" fillId="0" borderId="0" xfId="0"/>
    <xf numFmtId="0" fontId="1" fillId="0" borderId="0" xfId="2"/>
    <xf numFmtId="0" fontId="2" fillId="2" borderId="2" xfId="2" applyFont="1" applyFill="1" applyBorder="1" applyAlignment="1">
      <alignment horizontal="center" vertical="center" wrapText="1"/>
    </xf>
    <xf numFmtId="0" fontId="7" fillId="0" borderId="0" xfId="2" applyFont="1" applyAlignment="1">
      <alignment horizontal="center" vertical="center" wrapText="1"/>
    </xf>
    <xf numFmtId="0" fontId="2" fillId="2" borderId="2" xfId="2" applyFont="1" applyFill="1" applyBorder="1" applyAlignment="1">
      <alignment horizontal="left" vertical="center" indent="1"/>
    </xf>
    <xf numFmtId="0" fontId="1" fillId="2" borderId="0" xfId="2" applyFill="1"/>
    <xf numFmtId="0" fontId="5" fillId="2" borderId="2" xfId="2" applyFont="1" applyFill="1" applyBorder="1" applyAlignment="1">
      <alignment horizontal="left" vertical="center" indent="1"/>
    </xf>
    <xf numFmtId="0" fontId="8" fillId="2" borderId="0" xfId="2" applyFont="1" applyFill="1"/>
    <xf numFmtId="0" fontId="9" fillId="2" borderId="2" xfId="2" applyFont="1" applyFill="1" applyBorder="1" applyAlignment="1">
      <alignment horizontal="left" vertical="center" indent="1"/>
    </xf>
    <xf numFmtId="0" fontId="5" fillId="2" borderId="0" xfId="2" applyFont="1" applyFill="1"/>
    <xf numFmtId="0" fontId="8" fillId="2" borderId="0" xfId="2" applyFont="1" applyFill="1" applyBorder="1"/>
    <xf numFmtId="49" fontId="5" fillId="2" borderId="0" xfId="2" applyNumberFormat="1" applyFont="1" applyFill="1"/>
    <xf numFmtId="0" fontId="8" fillId="0" borderId="0" xfId="2" applyFont="1"/>
    <xf numFmtId="0" fontId="13" fillId="2" borderId="0" xfId="2" applyFont="1" applyFill="1"/>
    <xf numFmtId="0" fontId="14" fillId="2" borderId="0" xfId="2" applyFont="1" applyFill="1"/>
    <xf numFmtId="0" fontId="13" fillId="0" borderId="0" xfId="2" applyFont="1"/>
    <xf numFmtId="0" fontId="2" fillId="0" borderId="2" xfId="2" applyFont="1" applyBorder="1" applyAlignment="1">
      <alignment horizontal="center" vertical="center" wrapText="1"/>
    </xf>
    <xf numFmtId="0" fontId="15" fillId="2" borderId="0" xfId="2" applyFont="1" applyFill="1" applyBorder="1"/>
    <xf numFmtId="165" fontId="15" fillId="2" borderId="0" xfId="2" applyNumberFormat="1" applyFont="1" applyFill="1" applyBorder="1"/>
    <xf numFmtId="165" fontId="13" fillId="2" borderId="0" xfId="2" applyNumberFormat="1" applyFont="1" applyFill="1" applyBorder="1"/>
    <xf numFmtId="0" fontId="13" fillId="2" borderId="0" xfId="2" applyFont="1" applyFill="1" applyBorder="1"/>
    <xf numFmtId="0" fontId="4" fillId="0" borderId="4" xfId="2" applyFont="1" applyBorder="1" applyAlignment="1">
      <alignment vertical="center" wrapText="1"/>
    </xf>
    <xf numFmtId="4" fontId="5" fillId="2" borderId="2" xfId="1" applyNumberFormat="1" applyFont="1" applyFill="1" applyBorder="1" applyAlignment="1"/>
    <xf numFmtId="4" fontId="2" fillId="2" borderId="2" xfId="1" applyNumberFormat="1" applyFont="1" applyFill="1" applyBorder="1" applyAlignment="1"/>
    <xf numFmtId="4" fontId="5" fillId="2" borderId="2" xfId="2" applyNumberFormat="1" applyFont="1" applyFill="1" applyBorder="1" applyAlignment="1"/>
    <xf numFmtId="4" fontId="5" fillId="2" borderId="2" xfId="0" applyNumberFormat="1" applyFont="1" applyFill="1" applyBorder="1" applyAlignment="1"/>
    <xf numFmtId="4" fontId="2" fillId="2" borderId="2" xfId="2" applyNumberFormat="1" applyFont="1" applyFill="1" applyBorder="1" applyAlignment="1"/>
    <xf numFmtId="4" fontId="9" fillId="2" borderId="2" xfId="2" applyNumberFormat="1" applyFont="1" applyFill="1" applyBorder="1" applyAlignment="1"/>
    <xf numFmtId="168" fontId="5" fillId="2" borderId="2" xfId="1" applyNumberFormat="1" applyFont="1" applyFill="1" applyBorder="1" applyAlignment="1"/>
    <xf numFmtId="168" fontId="9" fillId="2" borderId="2" xfId="2" applyNumberFormat="1" applyFont="1" applyFill="1" applyBorder="1" applyAlignment="1"/>
    <xf numFmtId="168" fontId="5" fillId="2" borderId="2" xfId="2" applyNumberFormat="1" applyFont="1" applyFill="1" applyBorder="1" applyAlignment="1"/>
    <xf numFmtId="168" fontId="2" fillId="2" borderId="2" xfId="2" applyNumberFormat="1" applyFont="1" applyFill="1" applyBorder="1" applyAlignment="1"/>
    <xf numFmtId="165" fontId="10" fillId="2" borderId="2" xfId="1" applyNumberFormat="1" applyFont="1" applyFill="1" applyBorder="1" applyAlignment="1"/>
    <xf numFmtId="165" fontId="9" fillId="2" borderId="2" xfId="2" applyNumberFormat="1" applyFont="1" applyFill="1" applyBorder="1" applyAlignment="1"/>
    <xf numFmtId="3" fontId="5" fillId="2" borderId="2" xfId="1" applyNumberFormat="1" applyFont="1" applyFill="1" applyBorder="1" applyAlignment="1"/>
    <xf numFmtId="3" fontId="9" fillId="2" borderId="2" xfId="2" applyNumberFormat="1" applyFont="1" applyFill="1" applyBorder="1" applyAlignment="1"/>
    <xf numFmtId="4" fontId="8" fillId="2" borderId="0" xfId="2" applyNumberFormat="1" applyFont="1" applyFill="1"/>
    <xf numFmtId="0" fontId="5" fillId="2" borderId="2" xfId="2" applyFont="1" applyFill="1" applyBorder="1" applyAlignment="1">
      <alignment horizontal="center" vertical="center" wrapText="1"/>
    </xf>
    <xf numFmtId="4" fontId="4" fillId="2" borderId="2" xfId="2" applyNumberFormat="1" applyFont="1" applyFill="1" applyBorder="1" applyAlignment="1"/>
    <xf numFmtId="0" fontId="8" fillId="3" borderId="0" xfId="2" applyFont="1" applyFill="1"/>
    <xf numFmtId="0" fontId="17" fillId="2" borderId="0" xfId="2" applyFont="1" applyFill="1" applyBorder="1"/>
    <xf numFmtId="4" fontId="5" fillId="4" borderId="5" xfId="1" applyNumberFormat="1" applyFont="1" applyFill="1" applyBorder="1" applyAlignment="1" applyProtection="1"/>
    <xf numFmtId="4" fontId="5" fillId="2" borderId="5" xfId="1" applyNumberFormat="1" applyFont="1" applyFill="1" applyBorder="1" applyAlignment="1" applyProtection="1"/>
    <xf numFmtId="43" fontId="15" fillId="2" borderId="0" xfId="2" applyNumberFormat="1" applyFont="1" applyFill="1" applyBorder="1"/>
    <xf numFmtId="0" fontId="15" fillId="2" borderId="0" xfId="2" applyFont="1" applyFill="1" applyBorder="1" applyAlignment="1">
      <alignment horizontal="right"/>
    </xf>
    <xf numFmtId="164" fontId="15" fillId="2" borderId="0" xfId="1" applyFont="1" applyFill="1" applyBorder="1"/>
    <xf numFmtId="164" fontId="15" fillId="0" borderId="0" xfId="1" applyFont="1" applyBorder="1"/>
    <xf numFmtId="0" fontId="13" fillId="0" borderId="0" xfId="2" applyFont="1" applyBorder="1"/>
    <xf numFmtId="43" fontId="15" fillId="0" borderId="0" xfId="2" applyNumberFormat="1" applyFont="1" applyBorder="1"/>
    <xf numFmtId="0" fontId="8" fillId="0" borderId="0" xfId="2" applyFont="1" applyBorder="1"/>
    <xf numFmtId="0" fontId="1" fillId="2" borderId="0" xfId="2" applyFont="1" applyFill="1"/>
    <xf numFmtId="164" fontId="2" fillId="2" borderId="2" xfId="1" applyFont="1" applyFill="1" applyBorder="1" applyAlignment="1"/>
    <xf numFmtId="164" fontId="5" fillId="2" borderId="2" xfId="1" applyFont="1" applyFill="1" applyBorder="1" applyAlignment="1"/>
    <xf numFmtId="4" fontId="9" fillId="0" borderId="2" xfId="2" applyNumberFormat="1" applyFont="1" applyFill="1" applyBorder="1" applyAlignment="1"/>
    <xf numFmtId="167" fontId="15" fillId="2" borderId="0" xfId="2" applyNumberFormat="1" applyFont="1" applyFill="1" applyBorder="1" applyAlignment="1">
      <alignment horizontal="center"/>
    </xf>
    <xf numFmtId="0" fontId="10" fillId="2" borderId="1" xfId="2" applyFont="1" applyFill="1" applyBorder="1" applyAlignment="1">
      <alignment horizontal="center" vertical="center" wrapText="1"/>
    </xf>
    <xf numFmtId="0" fontId="10" fillId="2" borderId="3" xfId="2" applyFont="1" applyFill="1" applyBorder="1" applyAlignment="1">
      <alignment horizontal="center" vertical="center" wrapText="1"/>
    </xf>
    <xf numFmtId="0" fontId="10" fillId="2" borderId="2" xfId="2" applyFont="1" applyFill="1" applyBorder="1" applyAlignment="1">
      <alignment horizontal="center" vertical="center" wrapText="1"/>
    </xf>
    <xf numFmtId="0" fontId="3" fillId="0" borderId="1" xfId="2" applyFont="1" applyBorder="1" applyAlignment="1">
      <alignment horizontal="center" vertical="center" wrapText="1"/>
    </xf>
    <xf numFmtId="0" fontId="3" fillId="0" borderId="3" xfId="2" applyFont="1" applyBorder="1" applyAlignment="1">
      <alignment horizontal="center" vertical="center" wrapText="1"/>
    </xf>
    <xf numFmtId="0" fontId="5" fillId="2" borderId="1" xfId="2" applyFont="1" applyFill="1" applyBorder="1" applyAlignment="1">
      <alignment horizontal="center" vertical="center" wrapText="1"/>
    </xf>
    <xf numFmtId="0" fontId="5" fillId="2" borderId="3" xfId="2" applyFont="1" applyFill="1" applyBorder="1" applyAlignment="1">
      <alignment horizontal="center" vertical="center" wrapText="1"/>
    </xf>
    <xf numFmtId="0" fontId="2" fillId="0" borderId="2" xfId="2" applyFont="1" applyBorder="1" applyAlignment="1">
      <alignment horizontal="center" vertical="center" wrapText="1"/>
    </xf>
    <xf numFmtId="0" fontId="16" fillId="0" borderId="4" xfId="2" applyFont="1" applyBorder="1" applyAlignment="1">
      <alignment horizontal="center" vertical="center" wrapText="1"/>
    </xf>
    <xf numFmtId="0" fontId="2" fillId="2" borderId="1" xfId="2" applyFont="1" applyFill="1" applyBorder="1" applyAlignment="1">
      <alignment horizontal="center" vertical="center" wrapText="1"/>
    </xf>
    <xf numFmtId="0" fontId="2" fillId="2" borderId="3" xfId="2" applyFont="1" applyFill="1" applyBorder="1" applyAlignment="1">
      <alignment horizontal="center" vertical="center" wrapText="1"/>
    </xf>
    <xf numFmtId="0" fontId="2" fillId="0" borderId="0" xfId="2" applyFont="1" applyAlignment="1">
      <alignment vertical="center"/>
    </xf>
    <xf numFmtId="0" fontId="2" fillId="2" borderId="0" xfId="2" applyFont="1" applyFill="1" applyAlignment="1">
      <alignment vertical="center"/>
    </xf>
  </cellXfs>
  <cellStyles count="5">
    <cellStyle name="Excel Built-in Normal" xfId="3"/>
    <cellStyle name="Обычный" xfId="0" builtinId="0"/>
    <cellStyle name="Обычный 2" xfId="4"/>
    <cellStyle name="Обычный 3" xfId="2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74"/>
  <sheetViews>
    <sheetView tabSelected="1" view="pageBreakPreview" zoomScale="60" zoomScaleNormal="6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Q3" sqref="Q3"/>
    </sheetView>
  </sheetViews>
  <sheetFormatPr defaultRowHeight="15"/>
  <cols>
    <col min="1" max="1" width="56.5703125" style="1" customWidth="1"/>
    <col min="2" max="2" width="18.42578125" style="1" customWidth="1"/>
    <col min="3" max="3" width="16.28515625" style="1" customWidth="1"/>
    <col min="4" max="4" width="19.140625" style="1" customWidth="1"/>
    <col min="5" max="5" width="10.140625" style="1" customWidth="1"/>
    <col min="6" max="6" width="21.140625" style="1" customWidth="1"/>
    <col min="7" max="7" width="9.28515625" style="1" customWidth="1"/>
    <col min="8" max="8" width="29" style="1" customWidth="1"/>
    <col min="9" max="9" width="20" style="1" customWidth="1"/>
    <col min="10" max="10" width="23.28515625" style="1" customWidth="1"/>
    <col min="11" max="11" width="18.28515625" style="1" customWidth="1"/>
    <col min="12" max="12" width="21.140625" style="7" customWidth="1"/>
    <col min="13" max="13" width="4.28515625" style="1" hidden="1" customWidth="1"/>
    <col min="14" max="15" width="24.28515625" style="1" customWidth="1"/>
    <col min="16" max="16" width="25.28515625" style="1" customWidth="1"/>
    <col min="17" max="17" width="20.5703125" style="1" customWidth="1"/>
    <col min="18" max="18" width="17.85546875" style="5" customWidth="1"/>
    <col min="19" max="16384" width="9.140625" style="1"/>
  </cols>
  <sheetData>
    <row r="1" spans="1:18" ht="21" customHeight="1">
      <c r="Q1" s="66" t="s">
        <v>88</v>
      </c>
      <c r="R1" s="66"/>
    </row>
    <row r="2" spans="1:18" ht="18.75">
      <c r="Q2" s="66" t="s">
        <v>89</v>
      </c>
      <c r="R2" s="67"/>
    </row>
    <row r="3" spans="1:18" ht="25.5" customHeight="1">
      <c r="A3" s="21"/>
      <c r="B3" s="63" t="s">
        <v>77</v>
      </c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21"/>
      <c r="R3" s="21"/>
    </row>
    <row r="4" spans="1:18" ht="37.5" customHeight="1">
      <c r="A4" s="62" t="s">
        <v>0</v>
      </c>
      <c r="B4" s="58" t="s">
        <v>78</v>
      </c>
      <c r="C4" s="58" t="s">
        <v>57</v>
      </c>
      <c r="D4" s="58" t="s">
        <v>55</v>
      </c>
      <c r="E4" s="55" t="s">
        <v>1</v>
      </c>
      <c r="F4" s="58" t="s">
        <v>74</v>
      </c>
      <c r="G4" s="58" t="s">
        <v>2</v>
      </c>
      <c r="H4" s="58" t="s">
        <v>75</v>
      </c>
      <c r="I4" s="58" t="s">
        <v>80</v>
      </c>
      <c r="J4" s="58" t="s">
        <v>76</v>
      </c>
      <c r="K4" s="58" t="s">
        <v>79</v>
      </c>
      <c r="L4" s="60" t="s">
        <v>66</v>
      </c>
      <c r="M4" s="58" t="s">
        <v>56</v>
      </c>
      <c r="N4" s="64" t="s">
        <v>67</v>
      </c>
      <c r="O4" s="57" t="s">
        <v>68</v>
      </c>
      <c r="P4" s="57" t="s">
        <v>87</v>
      </c>
      <c r="Q4" s="55" t="s">
        <v>69</v>
      </c>
      <c r="R4" s="57" t="s">
        <v>58</v>
      </c>
    </row>
    <row r="5" spans="1:18" ht="132.75" customHeight="1">
      <c r="A5" s="62"/>
      <c r="B5" s="59"/>
      <c r="C5" s="59"/>
      <c r="D5" s="59"/>
      <c r="E5" s="56"/>
      <c r="F5" s="59"/>
      <c r="G5" s="59"/>
      <c r="H5" s="59"/>
      <c r="I5" s="59"/>
      <c r="J5" s="59"/>
      <c r="K5" s="59"/>
      <c r="L5" s="61"/>
      <c r="M5" s="59"/>
      <c r="N5" s="65"/>
      <c r="O5" s="57"/>
      <c r="P5" s="57"/>
      <c r="Q5" s="56"/>
      <c r="R5" s="57"/>
    </row>
    <row r="6" spans="1:18" s="3" customFormat="1" ht="39" customHeight="1">
      <c r="A6" s="16">
        <v>1</v>
      </c>
      <c r="B6" s="16">
        <v>2</v>
      </c>
      <c r="C6" s="16">
        <v>3</v>
      </c>
      <c r="D6" s="16" t="s">
        <v>81</v>
      </c>
      <c r="E6" s="2">
        <v>5</v>
      </c>
      <c r="F6" s="16">
        <v>6</v>
      </c>
      <c r="G6" s="16">
        <v>7</v>
      </c>
      <c r="H6" s="16" t="s">
        <v>3</v>
      </c>
      <c r="I6" s="16">
        <v>9</v>
      </c>
      <c r="J6" s="16" t="s">
        <v>82</v>
      </c>
      <c r="K6" s="16">
        <v>11</v>
      </c>
      <c r="L6" s="37">
        <v>12</v>
      </c>
      <c r="M6" s="2" t="s">
        <v>26</v>
      </c>
      <c r="N6" s="2" t="s">
        <v>83</v>
      </c>
      <c r="O6" s="2" t="s">
        <v>84</v>
      </c>
      <c r="P6" s="2" t="s">
        <v>85</v>
      </c>
      <c r="Q6" s="2" t="s">
        <v>27</v>
      </c>
      <c r="R6" s="2" t="s">
        <v>86</v>
      </c>
    </row>
    <row r="7" spans="1:18" s="5" customFormat="1" ht="21" customHeight="1">
      <c r="A7" s="4" t="s">
        <v>59</v>
      </c>
      <c r="B7" s="22">
        <v>52017.48</v>
      </c>
      <c r="C7" s="28">
        <f>D7/B7</f>
        <v>0.95542857827096928</v>
      </c>
      <c r="D7" s="22">
        <f>$F$65</f>
        <v>49698.986961638584</v>
      </c>
      <c r="E7" s="31">
        <v>1.302</v>
      </c>
      <c r="F7" s="32">
        <f>172.1-11.6</f>
        <v>160.5</v>
      </c>
      <c r="G7" s="34">
        <v>12</v>
      </c>
      <c r="H7" s="25">
        <f>ROUND(D7*E7*F7*G7,3)</f>
        <v>124627764.052</v>
      </c>
      <c r="I7" s="25">
        <f>60.15*1000</f>
        <v>60150</v>
      </c>
      <c r="J7" s="25">
        <f>H7-I7</f>
        <v>124567614.052</v>
      </c>
      <c r="K7" s="25">
        <v>23180</v>
      </c>
      <c r="L7" s="22">
        <v>118965423.67795999</v>
      </c>
      <c r="M7" s="23">
        <f>L7+I7</f>
        <v>119025573.67795999</v>
      </c>
      <c r="N7" s="22">
        <f>K7+L7</f>
        <v>118988603.67795999</v>
      </c>
      <c r="O7" s="26">
        <f>J7-N7</f>
        <v>5579010.3740400076</v>
      </c>
      <c r="P7" s="26">
        <f>O7*0.93</f>
        <v>5188479.6478572069</v>
      </c>
      <c r="Q7" s="51">
        <v>93</v>
      </c>
      <c r="R7" s="26">
        <f t="shared" ref="R7:R31" si="0">O7-P7</f>
        <v>390530.72618280072</v>
      </c>
    </row>
    <row r="8" spans="1:18" s="5" customFormat="1" ht="21" customHeight="1">
      <c r="A8" s="4" t="s">
        <v>49</v>
      </c>
      <c r="B8" s="22">
        <v>52017.48</v>
      </c>
      <c r="C8" s="28">
        <f t="shared" ref="C8:C9" si="1">D8/B8</f>
        <v>0.95542857827096928</v>
      </c>
      <c r="D8" s="22">
        <f t="shared" ref="D8:D60" si="2">$F$65</f>
        <v>49698.986961638584</v>
      </c>
      <c r="E8" s="31">
        <v>1.302</v>
      </c>
      <c r="F8" s="32">
        <v>11.6</v>
      </c>
      <c r="G8" s="34">
        <v>12</v>
      </c>
      <c r="H8" s="25">
        <f t="shared" ref="H8:H60" si="3">ROUND(D8*E8*F8*G8,3)</f>
        <v>9007364.8790000007</v>
      </c>
      <c r="I8" s="25">
        <v>0</v>
      </c>
      <c r="J8" s="25">
        <f t="shared" ref="J8:J60" si="4">H8-I8</f>
        <v>9007364.8790000007</v>
      </c>
      <c r="K8" s="25">
        <v>0</v>
      </c>
      <c r="L8" s="22">
        <v>8605309.1618099995</v>
      </c>
      <c r="M8" s="23"/>
      <c r="N8" s="22">
        <f t="shared" ref="N8:N60" si="5">K8+L8</f>
        <v>8605309.1618099995</v>
      </c>
      <c r="O8" s="26">
        <f t="shared" ref="O8:O60" si="6">J8-N8</f>
        <v>402055.71719000116</v>
      </c>
      <c r="P8" s="26">
        <f>O8*0.93</f>
        <v>373911.8169867011</v>
      </c>
      <c r="Q8" s="51">
        <v>93</v>
      </c>
      <c r="R8" s="26">
        <f t="shared" si="0"/>
        <v>28143.900203300058</v>
      </c>
    </row>
    <row r="9" spans="1:18" s="5" customFormat="1" ht="21" customHeight="1">
      <c r="A9" s="4" t="s">
        <v>60</v>
      </c>
      <c r="B9" s="22">
        <v>52017.48</v>
      </c>
      <c r="C9" s="28">
        <f t="shared" si="1"/>
        <v>0.95542857827096928</v>
      </c>
      <c r="D9" s="22">
        <f t="shared" si="2"/>
        <v>49698.986961638584</v>
      </c>
      <c r="E9" s="31">
        <v>1.302</v>
      </c>
      <c r="F9" s="32">
        <v>65</v>
      </c>
      <c r="G9" s="34">
        <v>12</v>
      </c>
      <c r="H9" s="25">
        <f t="shared" si="3"/>
        <v>50472303.199000001</v>
      </c>
      <c r="I9" s="25">
        <v>0</v>
      </c>
      <c r="J9" s="25">
        <f t="shared" si="4"/>
        <v>50472303.199000001</v>
      </c>
      <c r="K9" s="25">
        <v>1019080</v>
      </c>
      <c r="L9" s="22">
        <v>47698229.886849999</v>
      </c>
      <c r="M9" s="23">
        <f t="shared" ref="M9:M60" si="7">L9+I9</f>
        <v>47698229.886849999</v>
      </c>
      <c r="N9" s="22">
        <f t="shared" si="5"/>
        <v>48717309.886849999</v>
      </c>
      <c r="O9" s="26">
        <f t="shared" si="6"/>
        <v>1754993.3121500015</v>
      </c>
      <c r="P9" s="26">
        <f t="shared" ref="P9:P28" si="8">O9*0.95</f>
        <v>1667243.6465425014</v>
      </c>
      <c r="Q9" s="51">
        <v>95</v>
      </c>
      <c r="R9" s="26">
        <f t="shared" si="0"/>
        <v>87749.665607500123</v>
      </c>
    </row>
    <row r="10" spans="1:18" s="7" customFormat="1" ht="21" customHeight="1">
      <c r="A10" s="6" t="s">
        <v>61</v>
      </c>
      <c r="B10" s="22">
        <v>52017.48</v>
      </c>
      <c r="C10" s="28">
        <f t="shared" ref="C10:C60" si="9">D10/B10</f>
        <v>0.95542857827096928</v>
      </c>
      <c r="D10" s="22">
        <f t="shared" si="2"/>
        <v>49698.986961638584</v>
      </c>
      <c r="E10" s="30">
        <v>1.302</v>
      </c>
      <c r="F10" s="32">
        <v>101.3</v>
      </c>
      <c r="G10" s="34">
        <v>12</v>
      </c>
      <c r="H10" s="25">
        <f t="shared" si="3"/>
        <v>78659143.292999998</v>
      </c>
      <c r="I10" s="25">
        <v>0</v>
      </c>
      <c r="J10" s="25">
        <f t="shared" si="4"/>
        <v>78659143.292999998</v>
      </c>
      <c r="K10" s="25">
        <v>1157870</v>
      </c>
      <c r="L10" s="22">
        <v>73959560.970899999</v>
      </c>
      <c r="M10" s="22">
        <f t="shared" si="7"/>
        <v>73959560.970899999</v>
      </c>
      <c r="N10" s="22">
        <f t="shared" si="5"/>
        <v>75117430.970899999</v>
      </c>
      <c r="O10" s="26">
        <f t="shared" si="6"/>
        <v>3541712.3220999986</v>
      </c>
      <c r="P10" s="24">
        <f t="shared" si="8"/>
        <v>3364626.7059949986</v>
      </c>
      <c r="Q10" s="52">
        <v>95</v>
      </c>
      <c r="R10" s="24">
        <f t="shared" si="0"/>
        <v>177085.61610500002</v>
      </c>
    </row>
    <row r="11" spans="1:18" s="7" customFormat="1" ht="21" customHeight="1">
      <c r="A11" s="6" t="s">
        <v>62</v>
      </c>
      <c r="B11" s="22">
        <v>52017.48</v>
      </c>
      <c r="C11" s="28">
        <f t="shared" si="9"/>
        <v>0.95542857827096928</v>
      </c>
      <c r="D11" s="22">
        <f t="shared" si="2"/>
        <v>49698.986961638584</v>
      </c>
      <c r="E11" s="30">
        <v>1.302</v>
      </c>
      <c r="F11" s="32">
        <v>89.8</v>
      </c>
      <c r="G11" s="34">
        <v>12</v>
      </c>
      <c r="H11" s="25">
        <f t="shared" si="3"/>
        <v>69729428.112000003</v>
      </c>
      <c r="I11" s="25">
        <v>0</v>
      </c>
      <c r="J11" s="25">
        <f t="shared" si="4"/>
        <v>69729428.112000003</v>
      </c>
      <c r="K11" s="25">
        <v>390600</v>
      </c>
      <c r="L11" s="22">
        <f>35980436.04201+12689672.44+4451021.98+1261122.89+2596429.49+2077143.59+5326378.58+1632041.39</f>
        <v>66014246.402010001</v>
      </c>
      <c r="M11" s="22">
        <f t="shared" si="7"/>
        <v>66014246.402010001</v>
      </c>
      <c r="N11" s="22">
        <f t="shared" si="5"/>
        <v>66404846.402010001</v>
      </c>
      <c r="O11" s="26">
        <f t="shared" si="6"/>
        <v>3324581.7099900022</v>
      </c>
      <c r="P11" s="24">
        <f>O11*0.91</f>
        <v>3025369.3560909024</v>
      </c>
      <c r="Q11" s="52">
        <v>91</v>
      </c>
      <c r="R11" s="24">
        <f t="shared" si="0"/>
        <v>299212.35389909986</v>
      </c>
    </row>
    <row r="12" spans="1:18" s="5" customFormat="1" ht="21" customHeight="1">
      <c r="A12" s="4" t="s">
        <v>63</v>
      </c>
      <c r="B12" s="22">
        <v>52017.48</v>
      </c>
      <c r="C12" s="28">
        <f t="shared" si="9"/>
        <v>0.95542857827096928</v>
      </c>
      <c r="D12" s="22">
        <f t="shared" si="2"/>
        <v>49698.986961638584</v>
      </c>
      <c r="E12" s="31">
        <v>1.302</v>
      </c>
      <c r="F12" s="32">
        <v>114</v>
      </c>
      <c r="G12" s="34">
        <v>12</v>
      </c>
      <c r="H12" s="25">
        <f t="shared" si="3"/>
        <v>88520654.841000006</v>
      </c>
      <c r="I12" s="25">
        <f>1339.37*1000</f>
        <v>1339370</v>
      </c>
      <c r="J12" s="25">
        <f t="shared" si="4"/>
        <v>87181284.841000006</v>
      </c>
      <c r="K12" s="25">
        <v>0</v>
      </c>
      <c r="L12" s="22">
        <v>83216653.930000007</v>
      </c>
      <c r="M12" s="23">
        <f t="shared" si="7"/>
        <v>84556023.930000007</v>
      </c>
      <c r="N12" s="22">
        <f t="shared" si="5"/>
        <v>83216653.930000007</v>
      </c>
      <c r="O12" s="26">
        <f t="shared" si="6"/>
        <v>3964630.9109999985</v>
      </c>
      <c r="P12" s="26">
        <f>O12*0.95</f>
        <v>3766399.3654499985</v>
      </c>
      <c r="Q12" s="51">
        <v>95</v>
      </c>
      <c r="R12" s="26">
        <f t="shared" si="0"/>
        <v>198231.54554999992</v>
      </c>
    </row>
    <row r="13" spans="1:18" s="5" customFormat="1" ht="21" customHeight="1">
      <c r="A13" s="4" t="s">
        <v>64</v>
      </c>
      <c r="B13" s="22">
        <v>52017.48</v>
      </c>
      <c r="C13" s="28">
        <f t="shared" si="9"/>
        <v>0.95542857827096928</v>
      </c>
      <c r="D13" s="22">
        <f t="shared" si="2"/>
        <v>49698.986961638584</v>
      </c>
      <c r="E13" s="31">
        <v>1.302</v>
      </c>
      <c r="F13" s="32">
        <v>71.400000000000006</v>
      </c>
      <c r="G13" s="34">
        <v>12</v>
      </c>
      <c r="H13" s="25">
        <f t="shared" si="3"/>
        <v>55441883.821000002</v>
      </c>
      <c r="I13" s="25">
        <f>147.6*1000</f>
        <v>147600</v>
      </c>
      <c r="J13" s="25">
        <f t="shared" si="4"/>
        <v>55294283.821000002</v>
      </c>
      <c r="K13" s="25">
        <v>1390670</v>
      </c>
      <c r="L13" s="22">
        <v>51100434.662650004</v>
      </c>
      <c r="M13" s="23">
        <f t="shared" si="7"/>
        <v>51248034.662650004</v>
      </c>
      <c r="N13" s="22">
        <f t="shared" si="5"/>
        <v>52491104.662650004</v>
      </c>
      <c r="O13" s="26">
        <f t="shared" si="6"/>
        <v>2803179.1583499983</v>
      </c>
      <c r="P13" s="26">
        <f>O13*0.93</f>
        <v>2606956.6172654987</v>
      </c>
      <c r="Q13" s="51">
        <v>93</v>
      </c>
      <c r="R13" s="26">
        <f t="shared" si="0"/>
        <v>196222.54108449956</v>
      </c>
    </row>
    <row r="14" spans="1:18" s="5" customFormat="1" ht="21" customHeight="1">
      <c r="A14" s="4" t="s">
        <v>28</v>
      </c>
      <c r="B14" s="22">
        <v>52017.48</v>
      </c>
      <c r="C14" s="28">
        <f t="shared" si="9"/>
        <v>0.95542857827096928</v>
      </c>
      <c r="D14" s="22">
        <f t="shared" si="2"/>
        <v>49698.986961638584</v>
      </c>
      <c r="E14" s="31">
        <v>1.302</v>
      </c>
      <c r="F14" s="32">
        <v>14.3</v>
      </c>
      <c r="G14" s="34">
        <v>12</v>
      </c>
      <c r="H14" s="25">
        <f t="shared" si="3"/>
        <v>11103906.704</v>
      </c>
      <c r="I14" s="25">
        <f>265.36*1000</f>
        <v>265360</v>
      </c>
      <c r="J14" s="25">
        <f t="shared" si="4"/>
        <v>10838546.704</v>
      </c>
      <c r="K14" s="25">
        <v>79290</v>
      </c>
      <c r="L14" s="22">
        <v>10251128.78056</v>
      </c>
      <c r="M14" s="23">
        <f t="shared" si="7"/>
        <v>10516488.78056</v>
      </c>
      <c r="N14" s="22">
        <f t="shared" si="5"/>
        <v>10330418.78056</v>
      </c>
      <c r="O14" s="26">
        <f t="shared" si="6"/>
        <v>508127.92344000004</v>
      </c>
      <c r="P14" s="26">
        <f t="shared" ref="P14:P21" si="10">O14*0.93</f>
        <v>472558.96879920008</v>
      </c>
      <c r="Q14" s="51">
        <v>93</v>
      </c>
      <c r="R14" s="26">
        <f t="shared" si="0"/>
        <v>35568.954640799959</v>
      </c>
    </row>
    <row r="15" spans="1:18" s="5" customFormat="1" ht="21" customHeight="1">
      <c r="A15" s="4" t="s">
        <v>29</v>
      </c>
      <c r="B15" s="22">
        <v>52017.48</v>
      </c>
      <c r="C15" s="28">
        <f t="shared" si="9"/>
        <v>0.95542857827096928</v>
      </c>
      <c r="D15" s="22">
        <f t="shared" si="2"/>
        <v>49698.986961638584</v>
      </c>
      <c r="E15" s="31">
        <v>1.302</v>
      </c>
      <c r="F15" s="32">
        <v>2.2000000000000002</v>
      </c>
      <c r="G15" s="34">
        <v>12</v>
      </c>
      <c r="H15" s="25">
        <f t="shared" si="3"/>
        <v>1708293.3389999999</v>
      </c>
      <c r="I15" s="25">
        <v>0</v>
      </c>
      <c r="J15" s="25">
        <f t="shared" si="4"/>
        <v>1708293.3389999999</v>
      </c>
      <c r="K15" s="25">
        <v>0</v>
      </c>
      <c r="L15" s="22">
        <v>1631350.82739</v>
      </c>
      <c r="M15" s="23">
        <f t="shared" si="7"/>
        <v>1631350.82739</v>
      </c>
      <c r="N15" s="22">
        <f t="shared" si="5"/>
        <v>1631350.82739</v>
      </c>
      <c r="O15" s="26">
        <f t="shared" si="6"/>
        <v>76942.511609999929</v>
      </c>
      <c r="P15" s="26">
        <f t="shared" si="10"/>
        <v>71556.535797299934</v>
      </c>
      <c r="Q15" s="51">
        <v>93</v>
      </c>
      <c r="R15" s="26">
        <f t="shared" si="0"/>
        <v>5385.975812699995</v>
      </c>
    </row>
    <row r="16" spans="1:18" s="5" customFormat="1" ht="21" customHeight="1">
      <c r="A16" s="4" t="s">
        <v>30</v>
      </c>
      <c r="B16" s="22">
        <v>52017.48</v>
      </c>
      <c r="C16" s="28">
        <f t="shared" si="9"/>
        <v>0.95542857827096928</v>
      </c>
      <c r="D16" s="22">
        <f t="shared" si="2"/>
        <v>49698.986961638584</v>
      </c>
      <c r="E16" s="31">
        <v>1.302</v>
      </c>
      <c r="F16" s="32">
        <v>3</v>
      </c>
      <c r="G16" s="34">
        <v>12</v>
      </c>
      <c r="H16" s="25">
        <f t="shared" si="3"/>
        <v>2329490.9169999999</v>
      </c>
      <c r="I16" s="25">
        <f>15.4*1000</f>
        <v>15400</v>
      </c>
      <c r="J16" s="25">
        <f t="shared" si="4"/>
        <v>2314090.9169999999</v>
      </c>
      <c r="K16" s="25">
        <v>0</v>
      </c>
      <c r="L16" s="22">
        <v>2209015.31072</v>
      </c>
      <c r="M16" s="23"/>
      <c r="N16" s="22">
        <f t="shared" si="5"/>
        <v>2209015.31072</v>
      </c>
      <c r="O16" s="26">
        <f t="shared" si="6"/>
        <v>105075.60627999995</v>
      </c>
      <c r="P16" s="26">
        <f t="shared" si="10"/>
        <v>97720.313840399962</v>
      </c>
      <c r="Q16" s="51">
        <v>93</v>
      </c>
      <c r="R16" s="26">
        <f t="shared" si="0"/>
        <v>7355.2924395999871</v>
      </c>
    </row>
    <row r="17" spans="1:18" s="5" customFormat="1" ht="21" customHeight="1">
      <c r="A17" s="4" t="s">
        <v>31</v>
      </c>
      <c r="B17" s="22">
        <v>52017.48</v>
      </c>
      <c r="C17" s="28">
        <f t="shared" si="9"/>
        <v>0.95542857827096928</v>
      </c>
      <c r="D17" s="22">
        <f t="shared" si="2"/>
        <v>49698.986961638584</v>
      </c>
      <c r="E17" s="31">
        <v>1.302</v>
      </c>
      <c r="F17" s="32">
        <v>2.9</v>
      </c>
      <c r="G17" s="34">
        <v>12</v>
      </c>
      <c r="H17" s="25">
        <f t="shared" si="3"/>
        <v>2251841.2200000002</v>
      </c>
      <c r="I17" s="25">
        <v>0</v>
      </c>
      <c r="J17" s="25">
        <f t="shared" si="4"/>
        <v>2251841.2200000002</v>
      </c>
      <c r="K17" s="25">
        <v>0</v>
      </c>
      <c r="L17" s="22">
        <v>2242806</v>
      </c>
      <c r="M17" s="23"/>
      <c r="N17" s="22">
        <f t="shared" si="5"/>
        <v>2242806</v>
      </c>
      <c r="O17" s="26">
        <f t="shared" si="6"/>
        <v>9035.2200000002049</v>
      </c>
      <c r="P17" s="26">
        <f t="shared" si="10"/>
        <v>8402.7546000001912</v>
      </c>
      <c r="Q17" s="51">
        <v>93</v>
      </c>
      <c r="R17" s="26">
        <f t="shared" si="0"/>
        <v>632.46540000001369</v>
      </c>
    </row>
    <row r="18" spans="1:18" s="5" customFormat="1" ht="21" customHeight="1">
      <c r="A18" s="4" t="s">
        <v>32</v>
      </c>
      <c r="B18" s="22">
        <v>52017.48</v>
      </c>
      <c r="C18" s="28">
        <f t="shared" si="9"/>
        <v>0.95542857827096928</v>
      </c>
      <c r="D18" s="22">
        <f t="shared" si="2"/>
        <v>49698.986961638584</v>
      </c>
      <c r="E18" s="31">
        <v>1.302</v>
      </c>
      <c r="F18" s="32">
        <v>1</v>
      </c>
      <c r="G18" s="34">
        <v>12</v>
      </c>
      <c r="H18" s="25">
        <f t="shared" si="3"/>
        <v>776496.97199999995</v>
      </c>
      <c r="I18" s="25">
        <v>0</v>
      </c>
      <c r="J18" s="25">
        <f t="shared" si="4"/>
        <v>776496.97199999995</v>
      </c>
      <c r="K18" s="25">
        <v>0</v>
      </c>
      <c r="L18" s="22">
        <v>741523.10390999995</v>
      </c>
      <c r="M18" s="23"/>
      <c r="N18" s="22">
        <f t="shared" si="5"/>
        <v>741523.10390999995</v>
      </c>
      <c r="O18" s="26">
        <f t="shared" si="6"/>
        <v>34973.868090000004</v>
      </c>
      <c r="P18" s="26">
        <f t="shared" si="10"/>
        <v>32525.697323700006</v>
      </c>
      <c r="Q18" s="51">
        <v>93</v>
      </c>
      <c r="R18" s="26">
        <f t="shared" si="0"/>
        <v>2448.1707662999979</v>
      </c>
    </row>
    <row r="19" spans="1:18" s="5" customFormat="1" ht="21" customHeight="1">
      <c r="A19" s="4" t="s">
        <v>22</v>
      </c>
      <c r="B19" s="22">
        <v>52017.48</v>
      </c>
      <c r="C19" s="28">
        <f t="shared" si="9"/>
        <v>0.95542857827096928</v>
      </c>
      <c r="D19" s="22">
        <f t="shared" si="2"/>
        <v>49698.986961638584</v>
      </c>
      <c r="E19" s="31">
        <v>1.302</v>
      </c>
      <c r="F19" s="32">
        <v>2.5</v>
      </c>
      <c r="G19" s="34">
        <v>12</v>
      </c>
      <c r="H19" s="25">
        <f t="shared" si="3"/>
        <v>1941242.4310000001</v>
      </c>
      <c r="I19" s="25">
        <v>0</v>
      </c>
      <c r="J19" s="25">
        <f t="shared" si="4"/>
        <v>1941242.4310000001</v>
      </c>
      <c r="K19" s="25">
        <v>60410</v>
      </c>
      <c r="L19" s="22">
        <v>1823911.75927</v>
      </c>
      <c r="M19" s="23"/>
      <c r="N19" s="22">
        <f t="shared" si="5"/>
        <v>1884321.75927</v>
      </c>
      <c r="O19" s="26">
        <f t="shared" si="6"/>
        <v>56920.67173000006</v>
      </c>
      <c r="P19" s="26">
        <f t="shared" si="10"/>
        <v>52936.224708900059</v>
      </c>
      <c r="Q19" s="51">
        <v>93</v>
      </c>
      <c r="R19" s="26">
        <f t="shared" si="0"/>
        <v>3984.4470211000007</v>
      </c>
    </row>
    <row r="20" spans="1:18" s="5" customFormat="1" ht="21" customHeight="1">
      <c r="A20" s="4" t="s">
        <v>33</v>
      </c>
      <c r="B20" s="22">
        <v>52017.48</v>
      </c>
      <c r="C20" s="28">
        <f t="shared" si="9"/>
        <v>0.95542857827096928</v>
      </c>
      <c r="D20" s="22">
        <f t="shared" si="2"/>
        <v>49698.986961638584</v>
      </c>
      <c r="E20" s="31">
        <v>1.302</v>
      </c>
      <c r="F20" s="32">
        <v>5.3</v>
      </c>
      <c r="G20" s="34">
        <v>12</v>
      </c>
      <c r="H20" s="25">
        <f t="shared" si="3"/>
        <v>4115433.9530000002</v>
      </c>
      <c r="I20" s="25">
        <v>0</v>
      </c>
      <c r="J20" s="25">
        <f t="shared" si="4"/>
        <v>4115433.9530000002</v>
      </c>
      <c r="K20" s="25">
        <v>0</v>
      </c>
      <c r="L20" s="22">
        <v>3930072.4484000001</v>
      </c>
      <c r="M20" s="23"/>
      <c r="N20" s="22">
        <f t="shared" si="5"/>
        <v>3930072.4484000001</v>
      </c>
      <c r="O20" s="26">
        <f t="shared" si="6"/>
        <v>185361.5046000001</v>
      </c>
      <c r="P20" s="26">
        <f t="shared" si="10"/>
        <v>172386.1992780001</v>
      </c>
      <c r="Q20" s="51">
        <v>93</v>
      </c>
      <c r="R20" s="26">
        <f t="shared" si="0"/>
        <v>12975.305322</v>
      </c>
    </row>
    <row r="21" spans="1:18" s="5" customFormat="1" ht="21" customHeight="1">
      <c r="A21" s="4" t="s">
        <v>34</v>
      </c>
      <c r="B21" s="22">
        <v>52017.48</v>
      </c>
      <c r="C21" s="28">
        <f t="shared" si="9"/>
        <v>0.95542857827096928</v>
      </c>
      <c r="D21" s="22">
        <f t="shared" si="2"/>
        <v>49698.986961638584</v>
      </c>
      <c r="E21" s="31">
        <v>1.302</v>
      </c>
      <c r="F21" s="32">
        <v>2.2999999999999998</v>
      </c>
      <c r="G21" s="34">
        <v>12</v>
      </c>
      <c r="H21" s="25">
        <f t="shared" si="3"/>
        <v>1785943.0360000001</v>
      </c>
      <c r="I21" s="25">
        <v>0</v>
      </c>
      <c r="J21" s="25">
        <f t="shared" si="4"/>
        <v>1785943.0360000001</v>
      </c>
      <c r="K21" s="25">
        <v>0</v>
      </c>
      <c r="L21" s="22">
        <v>1720131</v>
      </c>
      <c r="M21" s="23"/>
      <c r="N21" s="22">
        <f t="shared" si="5"/>
        <v>1720131</v>
      </c>
      <c r="O21" s="26">
        <f t="shared" si="6"/>
        <v>65812.03600000008</v>
      </c>
      <c r="P21" s="26">
        <f t="shared" si="10"/>
        <v>61205.193480000074</v>
      </c>
      <c r="Q21" s="51">
        <v>93</v>
      </c>
      <c r="R21" s="26">
        <f t="shared" si="0"/>
        <v>4606.8425200000056</v>
      </c>
    </row>
    <row r="22" spans="1:18" s="5" customFormat="1" ht="21" customHeight="1">
      <c r="A22" s="4" t="s">
        <v>4</v>
      </c>
      <c r="B22" s="22">
        <v>52017.48</v>
      </c>
      <c r="C22" s="28">
        <f t="shared" si="9"/>
        <v>0.95542857827096928</v>
      </c>
      <c r="D22" s="22">
        <f t="shared" si="2"/>
        <v>49698.986961638584</v>
      </c>
      <c r="E22" s="31">
        <v>1.302</v>
      </c>
      <c r="F22" s="32">
        <v>33.700000000000003</v>
      </c>
      <c r="G22" s="34">
        <v>12</v>
      </c>
      <c r="H22" s="25">
        <f t="shared" si="3"/>
        <v>26167947.965999998</v>
      </c>
      <c r="I22" s="25">
        <v>138403</v>
      </c>
      <c r="J22" s="25">
        <f t="shared" si="4"/>
        <v>26029544.965999998</v>
      </c>
      <c r="K22" s="25">
        <v>405050</v>
      </c>
      <c r="L22" s="22">
        <v>24173807.590610001</v>
      </c>
      <c r="M22" s="23">
        <f t="shared" si="7"/>
        <v>24312210.590610001</v>
      </c>
      <c r="N22" s="22">
        <f t="shared" si="5"/>
        <v>24578857.590610001</v>
      </c>
      <c r="O22" s="26">
        <f t="shared" si="6"/>
        <v>1450687.3753899969</v>
      </c>
      <c r="P22" s="26">
        <f>O22*0.94</f>
        <v>1363646.132866597</v>
      </c>
      <c r="Q22" s="51">
        <v>94</v>
      </c>
      <c r="R22" s="26">
        <f t="shared" si="0"/>
        <v>87041.24252339988</v>
      </c>
    </row>
    <row r="23" spans="1:18" s="5" customFormat="1" ht="21" customHeight="1">
      <c r="A23" s="4" t="s">
        <v>50</v>
      </c>
      <c r="B23" s="22">
        <v>52017.48</v>
      </c>
      <c r="C23" s="28">
        <f t="shared" si="9"/>
        <v>0.95542857827096928</v>
      </c>
      <c r="D23" s="22">
        <f t="shared" si="2"/>
        <v>49698.986961638584</v>
      </c>
      <c r="E23" s="31">
        <v>1.302</v>
      </c>
      <c r="F23" s="32">
        <v>16</v>
      </c>
      <c r="G23" s="34">
        <v>12</v>
      </c>
      <c r="H23" s="25">
        <f t="shared" si="3"/>
        <v>12423951.557</v>
      </c>
      <c r="I23" s="25">
        <v>0</v>
      </c>
      <c r="J23" s="25">
        <f t="shared" si="4"/>
        <v>12423951.557</v>
      </c>
      <c r="K23" s="25">
        <v>0</v>
      </c>
      <c r="L23" s="22">
        <v>11869391.94816</v>
      </c>
      <c r="M23" s="23"/>
      <c r="N23" s="22">
        <f t="shared" si="5"/>
        <v>11869391.94816</v>
      </c>
      <c r="O23" s="26">
        <f t="shared" si="6"/>
        <v>554559.60883999988</v>
      </c>
      <c r="P23" s="26">
        <f t="shared" ref="P23:P26" si="11">O23*0.94</f>
        <v>521286.03230959986</v>
      </c>
      <c r="Q23" s="51">
        <v>94</v>
      </c>
      <c r="R23" s="26">
        <f t="shared" si="0"/>
        <v>33273.576530400023</v>
      </c>
    </row>
    <row r="24" spans="1:18" s="5" customFormat="1" ht="21" customHeight="1">
      <c r="A24" s="4" t="s">
        <v>51</v>
      </c>
      <c r="B24" s="22">
        <v>52017.48</v>
      </c>
      <c r="C24" s="28">
        <f t="shared" si="9"/>
        <v>0.95542857827096928</v>
      </c>
      <c r="D24" s="22">
        <f t="shared" si="2"/>
        <v>49698.986961638584</v>
      </c>
      <c r="E24" s="31">
        <v>1.302</v>
      </c>
      <c r="F24" s="32">
        <v>5.5</v>
      </c>
      <c r="G24" s="34">
        <v>12</v>
      </c>
      <c r="H24" s="25">
        <f t="shared" si="3"/>
        <v>4270733.3480000002</v>
      </c>
      <c r="I24" s="25">
        <v>0</v>
      </c>
      <c r="J24" s="25">
        <f t="shared" si="4"/>
        <v>4270733.3480000002</v>
      </c>
      <c r="K24" s="25">
        <v>0</v>
      </c>
      <c r="L24" s="22">
        <v>4005919.7821</v>
      </c>
      <c r="M24" s="23"/>
      <c r="N24" s="22">
        <f t="shared" si="5"/>
        <v>4005919.7821</v>
      </c>
      <c r="O24" s="26">
        <f t="shared" si="6"/>
        <v>264813.56590000028</v>
      </c>
      <c r="P24" s="26">
        <f t="shared" si="11"/>
        <v>248924.75194600024</v>
      </c>
      <c r="Q24" s="51">
        <v>94</v>
      </c>
      <c r="R24" s="26">
        <f t="shared" si="0"/>
        <v>15888.813954000041</v>
      </c>
    </row>
    <row r="25" spans="1:18" s="5" customFormat="1" ht="21" customHeight="1">
      <c r="A25" s="4" t="s">
        <v>52</v>
      </c>
      <c r="B25" s="22">
        <v>52017.48</v>
      </c>
      <c r="C25" s="28">
        <f t="shared" si="9"/>
        <v>0.95542857827096928</v>
      </c>
      <c r="D25" s="22">
        <f t="shared" si="2"/>
        <v>49698.986961638584</v>
      </c>
      <c r="E25" s="31">
        <v>1.302</v>
      </c>
      <c r="F25" s="32">
        <v>11.4</v>
      </c>
      <c r="G25" s="34">
        <v>12</v>
      </c>
      <c r="H25" s="25">
        <f t="shared" si="3"/>
        <v>8852065.4839999992</v>
      </c>
      <c r="I25" s="25">
        <v>0</v>
      </c>
      <c r="J25" s="25">
        <f t="shared" si="4"/>
        <v>8852065.4839999992</v>
      </c>
      <c r="K25" s="25">
        <v>0</v>
      </c>
      <c r="L25" s="22">
        <v>8456941.7626600005</v>
      </c>
      <c r="M25" s="23"/>
      <c r="N25" s="22">
        <f t="shared" si="5"/>
        <v>8456941.7626600005</v>
      </c>
      <c r="O25" s="26">
        <f t="shared" si="6"/>
        <v>395123.72133999877</v>
      </c>
      <c r="P25" s="26">
        <f t="shared" si="11"/>
        <v>371416.29805959883</v>
      </c>
      <c r="Q25" s="51">
        <v>94</v>
      </c>
      <c r="R25" s="26">
        <f t="shared" si="0"/>
        <v>23707.423280399933</v>
      </c>
    </row>
    <row r="26" spans="1:18" s="5" customFormat="1" ht="21" customHeight="1">
      <c r="A26" s="4" t="s">
        <v>54</v>
      </c>
      <c r="B26" s="22">
        <v>52017.48</v>
      </c>
      <c r="C26" s="28">
        <f t="shared" si="9"/>
        <v>0.95542857827096928</v>
      </c>
      <c r="D26" s="22">
        <f t="shared" si="2"/>
        <v>49698.986961638584</v>
      </c>
      <c r="E26" s="31">
        <v>1.302</v>
      </c>
      <c r="F26" s="32">
        <v>19.5</v>
      </c>
      <c r="G26" s="34">
        <v>12</v>
      </c>
      <c r="H26" s="25">
        <f t="shared" si="3"/>
        <v>15141690.960000001</v>
      </c>
      <c r="I26" s="25">
        <v>198557</v>
      </c>
      <c r="J26" s="25">
        <f t="shared" si="4"/>
        <v>14943133.960000001</v>
      </c>
      <c r="K26" s="25">
        <v>0</v>
      </c>
      <c r="L26" s="22">
        <v>14243270.33759</v>
      </c>
      <c r="M26" s="23"/>
      <c r="N26" s="22">
        <f t="shared" si="5"/>
        <v>14243270.33759</v>
      </c>
      <c r="O26" s="26">
        <f t="shared" si="6"/>
        <v>699863.62241000123</v>
      </c>
      <c r="P26" s="26">
        <f t="shared" si="11"/>
        <v>657871.80506540113</v>
      </c>
      <c r="Q26" s="51">
        <v>94</v>
      </c>
      <c r="R26" s="26">
        <f t="shared" si="0"/>
        <v>41991.817344600102</v>
      </c>
    </row>
    <row r="27" spans="1:18" s="50" customFormat="1" ht="21" customHeight="1">
      <c r="A27" s="4" t="s">
        <v>5</v>
      </c>
      <c r="B27" s="22">
        <v>52017.48</v>
      </c>
      <c r="C27" s="28">
        <f t="shared" si="9"/>
        <v>0.95542857827096928</v>
      </c>
      <c r="D27" s="22">
        <f t="shared" si="2"/>
        <v>49698.986961638584</v>
      </c>
      <c r="E27" s="31">
        <v>1.302</v>
      </c>
      <c r="F27" s="32">
        <f>105.7+2</f>
        <v>107.7</v>
      </c>
      <c r="G27" s="34">
        <v>12</v>
      </c>
      <c r="H27" s="25">
        <f t="shared" si="3"/>
        <v>83628723.915000007</v>
      </c>
      <c r="I27" s="25">
        <f>43.49*1000</f>
        <v>43490</v>
      </c>
      <c r="J27" s="25">
        <f t="shared" si="4"/>
        <v>83585233.915000007</v>
      </c>
      <c r="K27" s="25">
        <f>1638050-161448</f>
        <v>1476602</v>
      </c>
      <c r="L27" s="22">
        <v>76615849.957860008</v>
      </c>
      <c r="M27" s="23">
        <f t="shared" si="7"/>
        <v>76659339.957860008</v>
      </c>
      <c r="N27" s="22">
        <f t="shared" si="5"/>
        <v>78092451.957860008</v>
      </c>
      <c r="O27" s="26">
        <f t="shared" si="6"/>
        <v>5492781.9571399987</v>
      </c>
      <c r="P27" s="26">
        <f>O27*0.95</f>
        <v>5218142.8592829984</v>
      </c>
      <c r="Q27" s="51">
        <v>95</v>
      </c>
      <c r="R27" s="26">
        <f t="shared" si="0"/>
        <v>274639.09785700031</v>
      </c>
    </row>
    <row r="28" spans="1:18" s="50" customFormat="1" ht="21" customHeight="1">
      <c r="A28" s="4" t="s">
        <v>36</v>
      </c>
      <c r="B28" s="22">
        <v>52017.48</v>
      </c>
      <c r="C28" s="28">
        <f t="shared" si="9"/>
        <v>0.95542857827096928</v>
      </c>
      <c r="D28" s="22">
        <f t="shared" si="2"/>
        <v>49698.986961638584</v>
      </c>
      <c r="E28" s="31">
        <v>1.302</v>
      </c>
      <c r="F28" s="32">
        <v>19.899999999999999</v>
      </c>
      <c r="G28" s="34">
        <v>12</v>
      </c>
      <c r="H28" s="25">
        <f t="shared" si="3"/>
        <v>15452289.749</v>
      </c>
      <c r="I28" s="25">
        <v>0</v>
      </c>
      <c r="J28" s="25">
        <f t="shared" si="4"/>
        <v>15452289.749</v>
      </c>
      <c r="K28" s="25">
        <v>161448</v>
      </c>
      <c r="L28" s="22">
        <v>14643578.23512</v>
      </c>
      <c r="M28" s="23"/>
      <c r="N28" s="22">
        <f t="shared" si="5"/>
        <v>14805026.23512</v>
      </c>
      <c r="O28" s="26">
        <f t="shared" si="6"/>
        <v>647263.51387999952</v>
      </c>
      <c r="P28" s="26">
        <f t="shared" si="8"/>
        <v>614900.33818599954</v>
      </c>
      <c r="Q28" s="51">
        <v>95</v>
      </c>
      <c r="R28" s="26">
        <f t="shared" si="0"/>
        <v>32363.175693999976</v>
      </c>
    </row>
    <row r="29" spans="1:18" s="50" customFormat="1" ht="21" customHeight="1">
      <c r="A29" s="4" t="s">
        <v>6</v>
      </c>
      <c r="B29" s="22">
        <v>52017.48</v>
      </c>
      <c r="C29" s="28">
        <f>D29/B29</f>
        <v>0.95542857827096928</v>
      </c>
      <c r="D29" s="22">
        <f t="shared" si="2"/>
        <v>49698.986961638584</v>
      </c>
      <c r="E29" s="31">
        <v>1.302</v>
      </c>
      <c r="F29" s="32">
        <f>71.7+2</f>
        <v>73.7</v>
      </c>
      <c r="G29" s="34">
        <v>12</v>
      </c>
      <c r="H29" s="25">
        <f t="shared" si="3"/>
        <v>57227826.858000003</v>
      </c>
      <c r="I29" s="25">
        <f>330.17*1000</f>
        <v>330170</v>
      </c>
      <c r="J29" s="25">
        <f t="shared" si="4"/>
        <v>56897656.858000003</v>
      </c>
      <c r="K29" s="25">
        <v>0</v>
      </c>
      <c r="L29" s="22">
        <v>52856240.966479994</v>
      </c>
      <c r="M29" s="23">
        <f t="shared" si="7"/>
        <v>53186410.966479994</v>
      </c>
      <c r="N29" s="22">
        <f t="shared" si="5"/>
        <v>52856240.966479994</v>
      </c>
      <c r="O29" s="26">
        <f t="shared" si="6"/>
        <v>4041415.8915200084</v>
      </c>
      <c r="P29" s="26">
        <f>O29*0.91</f>
        <v>3677688.4612832079</v>
      </c>
      <c r="Q29" s="51">
        <v>91</v>
      </c>
      <c r="R29" s="26">
        <f t="shared" si="0"/>
        <v>363727.43023680057</v>
      </c>
    </row>
    <row r="30" spans="1:18" s="50" customFormat="1" ht="21" customHeight="1">
      <c r="A30" s="4" t="s">
        <v>35</v>
      </c>
      <c r="B30" s="22">
        <v>52017.48</v>
      </c>
      <c r="C30" s="28">
        <f>D30/B30</f>
        <v>0.95542857827096928</v>
      </c>
      <c r="D30" s="22">
        <f t="shared" si="2"/>
        <v>49698.986961638584</v>
      </c>
      <c r="E30" s="31">
        <v>1.302</v>
      </c>
      <c r="F30" s="32">
        <v>15.8</v>
      </c>
      <c r="G30" s="34">
        <v>12</v>
      </c>
      <c r="H30" s="25">
        <f t="shared" si="3"/>
        <v>12268652.162</v>
      </c>
      <c r="I30" s="25">
        <f>225*1000</f>
        <v>225000</v>
      </c>
      <c r="J30" s="25">
        <f t="shared" si="4"/>
        <v>12043652.162</v>
      </c>
      <c r="K30" s="25">
        <v>227850</v>
      </c>
      <c r="L30" s="22">
        <v>11319700.24808</v>
      </c>
      <c r="M30" s="23"/>
      <c r="N30" s="22">
        <f t="shared" si="5"/>
        <v>11547550.24808</v>
      </c>
      <c r="O30" s="26">
        <f t="shared" si="6"/>
        <v>496101.9139200002</v>
      </c>
      <c r="P30" s="26">
        <f>O30*0.91</f>
        <v>451452.74166720017</v>
      </c>
      <c r="Q30" s="51">
        <v>91</v>
      </c>
      <c r="R30" s="26">
        <f t="shared" si="0"/>
        <v>44649.172252800025</v>
      </c>
    </row>
    <row r="31" spans="1:18" s="5" customFormat="1" ht="22.5" customHeight="1">
      <c r="A31" s="4" t="s">
        <v>7</v>
      </c>
      <c r="B31" s="22">
        <v>52017.48</v>
      </c>
      <c r="C31" s="28">
        <f t="shared" si="9"/>
        <v>0.95542857827096928</v>
      </c>
      <c r="D31" s="22">
        <f t="shared" si="2"/>
        <v>49698.986961638584</v>
      </c>
      <c r="E31" s="31">
        <v>1.302</v>
      </c>
      <c r="F31" s="32">
        <v>57.9</v>
      </c>
      <c r="G31" s="34">
        <v>12</v>
      </c>
      <c r="H31" s="25">
        <f t="shared" si="3"/>
        <v>44959174.696000002</v>
      </c>
      <c r="I31" s="25">
        <f>29.16*1000</f>
        <v>29160</v>
      </c>
      <c r="J31" s="25">
        <f t="shared" si="4"/>
        <v>44930014.696000002</v>
      </c>
      <c r="K31" s="25">
        <v>0</v>
      </c>
      <c r="L31" s="22">
        <v>43961482.307059996</v>
      </c>
      <c r="M31" s="23">
        <f t="shared" si="7"/>
        <v>43990642.307059996</v>
      </c>
      <c r="N31" s="22">
        <f t="shared" si="5"/>
        <v>43961482.307059996</v>
      </c>
      <c r="O31" s="26">
        <f t="shared" si="6"/>
        <v>968532.38894000649</v>
      </c>
      <c r="P31" s="26">
        <f>O31*0.9</f>
        <v>871679.15004600585</v>
      </c>
      <c r="Q31" s="51">
        <v>90</v>
      </c>
      <c r="R31" s="26">
        <f t="shared" si="0"/>
        <v>96853.238894000649</v>
      </c>
    </row>
    <row r="32" spans="1:18" s="39" customFormat="1" ht="21" customHeight="1">
      <c r="A32" s="6" t="s">
        <v>8</v>
      </c>
      <c r="B32" s="22">
        <v>52017.48</v>
      </c>
      <c r="C32" s="28">
        <f t="shared" si="9"/>
        <v>0.95782474783542959</v>
      </c>
      <c r="D32" s="22">
        <f>N32/G32/F32/E32</f>
        <v>49823.629664034503</v>
      </c>
      <c r="E32" s="30">
        <v>1.302</v>
      </c>
      <c r="F32" s="32">
        <v>69.7</v>
      </c>
      <c r="G32" s="34">
        <v>12</v>
      </c>
      <c r="H32" s="25">
        <f t="shared" si="3"/>
        <v>54257573.973999999</v>
      </c>
      <c r="I32" s="25">
        <v>0</v>
      </c>
      <c r="J32" s="25">
        <f t="shared" si="4"/>
        <v>54257573.973999999</v>
      </c>
      <c r="K32" s="25">
        <v>1551070</v>
      </c>
      <c r="L32" s="22">
        <v>52706503.973999999</v>
      </c>
      <c r="M32" s="22">
        <f t="shared" si="7"/>
        <v>52706503.973999999</v>
      </c>
      <c r="N32" s="22">
        <f t="shared" si="5"/>
        <v>54257573.973999999</v>
      </c>
      <c r="O32" s="26">
        <f t="shared" si="6"/>
        <v>0</v>
      </c>
      <c r="P32" s="24">
        <f>O32*0.81</f>
        <v>0</v>
      </c>
      <c r="Q32" s="52">
        <v>81</v>
      </c>
      <c r="R32" s="24">
        <f t="shared" ref="R32:R60" si="12">O32-P32</f>
        <v>0</v>
      </c>
    </row>
    <row r="33" spans="1:18" s="5" customFormat="1" ht="21" customHeight="1">
      <c r="A33" s="4" t="s">
        <v>9</v>
      </c>
      <c r="B33" s="22">
        <v>52017.48</v>
      </c>
      <c r="C33" s="28">
        <f t="shared" si="9"/>
        <v>0.95542857827096928</v>
      </c>
      <c r="D33" s="22">
        <f t="shared" si="2"/>
        <v>49698.986961638584</v>
      </c>
      <c r="E33" s="31">
        <v>1.302</v>
      </c>
      <c r="F33" s="32">
        <v>106.8</v>
      </c>
      <c r="G33" s="34">
        <v>12</v>
      </c>
      <c r="H33" s="25">
        <f t="shared" si="3"/>
        <v>82929876.640000001</v>
      </c>
      <c r="I33" s="25">
        <f>965.95*1000</f>
        <v>965950</v>
      </c>
      <c r="J33" s="25">
        <f t="shared" si="4"/>
        <v>81963926.640000001</v>
      </c>
      <c r="K33" s="25">
        <v>131110</v>
      </c>
      <c r="L33" s="22">
        <v>78058611.25316</v>
      </c>
      <c r="M33" s="23">
        <f t="shared" si="7"/>
        <v>79024561.25316</v>
      </c>
      <c r="N33" s="22">
        <f t="shared" si="5"/>
        <v>78189721.25316</v>
      </c>
      <c r="O33" s="26">
        <f t="shared" si="6"/>
        <v>3774205.3868400007</v>
      </c>
      <c r="P33" s="26">
        <f>O33*0.93</f>
        <v>3510011.0097612008</v>
      </c>
      <c r="Q33" s="51">
        <v>93</v>
      </c>
      <c r="R33" s="26">
        <f t="shared" si="12"/>
        <v>264194.3770788</v>
      </c>
    </row>
    <row r="34" spans="1:18" s="5" customFormat="1" ht="21" customHeight="1">
      <c r="A34" s="4" t="s">
        <v>10</v>
      </c>
      <c r="B34" s="22">
        <v>52017.48</v>
      </c>
      <c r="C34" s="28">
        <f t="shared" si="9"/>
        <v>0.95542857827096928</v>
      </c>
      <c r="D34" s="22">
        <f t="shared" si="2"/>
        <v>49698.986961638584</v>
      </c>
      <c r="E34" s="31">
        <v>1.302</v>
      </c>
      <c r="F34" s="32">
        <f>36.3+10.3</f>
        <v>46.599999999999994</v>
      </c>
      <c r="G34" s="34">
        <v>12</v>
      </c>
      <c r="H34" s="25">
        <f t="shared" si="3"/>
        <v>36184758.909000002</v>
      </c>
      <c r="I34" s="25">
        <v>0</v>
      </c>
      <c r="J34" s="25">
        <f t="shared" si="4"/>
        <v>36184758.909000002</v>
      </c>
      <c r="K34" s="25">
        <v>453230</v>
      </c>
      <c r="L34" s="41">
        <v>35045213.950000003</v>
      </c>
      <c r="M34" s="23">
        <f t="shared" si="7"/>
        <v>35045213.950000003</v>
      </c>
      <c r="N34" s="22">
        <f t="shared" si="5"/>
        <v>35498443.950000003</v>
      </c>
      <c r="O34" s="26">
        <f t="shared" si="6"/>
        <v>686314.95899999887</v>
      </c>
      <c r="P34" s="26">
        <f>O34*0.92</f>
        <v>631409.76227999898</v>
      </c>
      <c r="Q34" s="51">
        <v>92</v>
      </c>
      <c r="R34" s="26">
        <f t="shared" si="12"/>
        <v>54905.196719999891</v>
      </c>
    </row>
    <row r="35" spans="1:18" s="5" customFormat="1" ht="21" customHeight="1">
      <c r="A35" s="4" t="s">
        <v>41</v>
      </c>
      <c r="B35" s="22">
        <v>52017.48</v>
      </c>
      <c r="C35" s="28">
        <f t="shared" si="9"/>
        <v>0.95542857827096928</v>
      </c>
      <c r="D35" s="22">
        <f t="shared" si="2"/>
        <v>49698.986961638584</v>
      </c>
      <c r="E35" s="31">
        <v>1.302</v>
      </c>
      <c r="F35" s="32">
        <v>6.2</v>
      </c>
      <c r="G35" s="34">
        <v>12</v>
      </c>
      <c r="H35" s="25">
        <f t="shared" si="3"/>
        <v>4814281.2280000001</v>
      </c>
      <c r="I35" s="25">
        <v>0</v>
      </c>
      <c r="J35" s="25">
        <f t="shared" si="4"/>
        <v>4814281.2280000001</v>
      </c>
      <c r="K35" s="25">
        <v>253890</v>
      </c>
      <c r="L35" s="42">
        <v>4368634.08</v>
      </c>
      <c r="M35" s="23"/>
      <c r="N35" s="22">
        <f t="shared" si="5"/>
        <v>4622524.08</v>
      </c>
      <c r="O35" s="26">
        <f t="shared" si="6"/>
        <v>191757.14800000004</v>
      </c>
      <c r="P35" s="26">
        <f t="shared" ref="P35:P42" si="13">O35*0.92</f>
        <v>176416.57616000006</v>
      </c>
      <c r="Q35" s="51">
        <v>92</v>
      </c>
      <c r="R35" s="26">
        <f t="shared" si="12"/>
        <v>15340.57183999999</v>
      </c>
    </row>
    <row r="36" spans="1:18" s="5" customFormat="1" ht="21" customHeight="1">
      <c r="A36" s="4" t="s">
        <v>42</v>
      </c>
      <c r="B36" s="22">
        <v>52017.48</v>
      </c>
      <c r="C36" s="28">
        <f t="shared" si="9"/>
        <v>0.95542857827096928</v>
      </c>
      <c r="D36" s="22">
        <f t="shared" si="2"/>
        <v>49698.986961638584</v>
      </c>
      <c r="E36" s="31">
        <v>1.302</v>
      </c>
      <c r="F36" s="32">
        <v>3.6</v>
      </c>
      <c r="G36" s="34">
        <v>12</v>
      </c>
      <c r="H36" s="25">
        <f t="shared" si="3"/>
        <v>2795389.1</v>
      </c>
      <c r="I36" s="25">
        <v>0</v>
      </c>
      <c r="J36" s="25">
        <f t="shared" si="4"/>
        <v>2795389.1</v>
      </c>
      <c r="K36" s="25">
        <v>125120</v>
      </c>
      <c r="L36" s="42">
        <v>2638032.56</v>
      </c>
      <c r="M36" s="23"/>
      <c r="N36" s="22">
        <f t="shared" si="5"/>
        <v>2763152.56</v>
      </c>
      <c r="O36" s="26">
        <f t="shared" si="6"/>
        <v>32236.540000000037</v>
      </c>
      <c r="P36" s="26">
        <f t="shared" si="13"/>
        <v>29657.616800000036</v>
      </c>
      <c r="Q36" s="51">
        <v>92</v>
      </c>
      <c r="R36" s="26">
        <f t="shared" si="12"/>
        <v>2578.9232000000011</v>
      </c>
    </row>
    <row r="37" spans="1:18" s="5" customFormat="1" ht="21" customHeight="1">
      <c r="A37" s="4" t="s">
        <v>43</v>
      </c>
      <c r="B37" s="22">
        <v>52017.48</v>
      </c>
      <c r="C37" s="28">
        <f t="shared" si="9"/>
        <v>0.95542857827096928</v>
      </c>
      <c r="D37" s="22">
        <f t="shared" si="2"/>
        <v>49698.986961638584</v>
      </c>
      <c r="E37" s="31">
        <v>1.302</v>
      </c>
      <c r="F37" s="32">
        <v>5.0999999999999996</v>
      </c>
      <c r="G37" s="34">
        <v>12</v>
      </c>
      <c r="H37" s="25">
        <f t="shared" si="3"/>
        <v>3960134.5589999999</v>
      </c>
      <c r="I37" s="25">
        <v>0</v>
      </c>
      <c r="J37" s="25">
        <f t="shared" si="4"/>
        <v>3960134.5589999999</v>
      </c>
      <c r="K37" s="25">
        <v>186970</v>
      </c>
      <c r="L37" s="42">
        <v>3537967.27</v>
      </c>
      <c r="M37" s="23"/>
      <c r="N37" s="22">
        <f t="shared" si="5"/>
        <v>3724937.27</v>
      </c>
      <c r="O37" s="26">
        <f t="shared" si="6"/>
        <v>235197.28899999987</v>
      </c>
      <c r="P37" s="26">
        <f t="shared" si="13"/>
        <v>216381.5058799999</v>
      </c>
      <c r="Q37" s="51">
        <v>92</v>
      </c>
      <c r="R37" s="26">
        <f t="shared" si="12"/>
        <v>18815.783119999978</v>
      </c>
    </row>
    <row r="38" spans="1:18" s="5" customFormat="1" ht="21" customHeight="1">
      <c r="A38" s="4" t="s">
        <v>44</v>
      </c>
      <c r="B38" s="22">
        <v>52017.48</v>
      </c>
      <c r="C38" s="28">
        <f t="shared" si="9"/>
        <v>0.95542857827096928</v>
      </c>
      <c r="D38" s="22">
        <f t="shared" si="2"/>
        <v>49698.986961638584</v>
      </c>
      <c r="E38" s="31">
        <v>1.302</v>
      </c>
      <c r="F38" s="32">
        <v>37.5</v>
      </c>
      <c r="G38" s="34">
        <v>12</v>
      </c>
      <c r="H38" s="25">
        <f t="shared" si="3"/>
        <v>29118636.460999999</v>
      </c>
      <c r="I38" s="25">
        <f>755.94*1000</f>
        <v>755940</v>
      </c>
      <c r="J38" s="25">
        <f t="shared" si="4"/>
        <v>28362696.460999999</v>
      </c>
      <c r="K38" s="25">
        <v>0</v>
      </c>
      <c r="L38" s="42">
        <v>26297559.949999999</v>
      </c>
      <c r="M38" s="23"/>
      <c r="N38" s="22">
        <f t="shared" si="5"/>
        <v>26297559.949999999</v>
      </c>
      <c r="O38" s="26">
        <f t="shared" si="6"/>
        <v>2065136.5109999999</v>
      </c>
      <c r="P38" s="26">
        <f t="shared" si="13"/>
        <v>1899925.5901200001</v>
      </c>
      <c r="Q38" s="51">
        <v>92</v>
      </c>
      <c r="R38" s="26">
        <f t="shared" si="12"/>
        <v>165210.92087999987</v>
      </c>
    </row>
    <row r="39" spans="1:18" s="5" customFormat="1" ht="21" customHeight="1">
      <c r="A39" s="4" t="s">
        <v>45</v>
      </c>
      <c r="B39" s="22">
        <v>52017.48</v>
      </c>
      <c r="C39" s="28">
        <f t="shared" si="9"/>
        <v>0.95542857827096928</v>
      </c>
      <c r="D39" s="22">
        <f t="shared" si="2"/>
        <v>49698.986961638584</v>
      </c>
      <c r="E39" s="31">
        <v>1.302</v>
      </c>
      <c r="F39" s="32">
        <v>13.4</v>
      </c>
      <c r="G39" s="34">
        <v>12</v>
      </c>
      <c r="H39" s="25">
        <f t="shared" si="3"/>
        <v>10405059.429</v>
      </c>
      <c r="I39" s="25">
        <v>0</v>
      </c>
      <c r="J39" s="25">
        <f t="shared" si="4"/>
        <v>10405059.429</v>
      </c>
      <c r="K39" s="25">
        <v>156500</v>
      </c>
      <c r="L39" s="42">
        <v>9885098.6400000006</v>
      </c>
      <c r="M39" s="23"/>
      <c r="N39" s="22">
        <f t="shared" si="5"/>
        <v>10041598.640000001</v>
      </c>
      <c r="O39" s="26">
        <f t="shared" si="6"/>
        <v>363460.78899999894</v>
      </c>
      <c r="P39" s="26">
        <f t="shared" si="13"/>
        <v>334383.92587999906</v>
      </c>
      <c r="Q39" s="51">
        <v>92</v>
      </c>
      <c r="R39" s="26">
        <f t="shared" si="12"/>
        <v>29076.863119999878</v>
      </c>
    </row>
    <row r="40" spans="1:18" s="5" customFormat="1" ht="21" customHeight="1">
      <c r="A40" s="4" t="s">
        <v>46</v>
      </c>
      <c r="B40" s="22">
        <v>52017.48</v>
      </c>
      <c r="C40" s="28">
        <f t="shared" si="9"/>
        <v>0.95542857827096928</v>
      </c>
      <c r="D40" s="22">
        <f t="shared" si="2"/>
        <v>49698.986961638584</v>
      </c>
      <c r="E40" s="31">
        <v>1.302</v>
      </c>
      <c r="F40" s="32">
        <v>8.4</v>
      </c>
      <c r="G40" s="34">
        <v>12</v>
      </c>
      <c r="H40" s="25">
        <f t="shared" si="3"/>
        <v>6522574.5669999998</v>
      </c>
      <c r="I40" s="25">
        <v>0</v>
      </c>
      <c r="J40" s="25">
        <f t="shared" si="4"/>
        <v>6522574.5669999998</v>
      </c>
      <c r="K40" s="25">
        <v>38150</v>
      </c>
      <c r="L40" s="42">
        <v>6069493.5800000001</v>
      </c>
      <c r="M40" s="23"/>
      <c r="N40" s="22">
        <f t="shared" si="5"/>
        <v>6107643.5800000001</v>
      </c>
      <c r="O40" s="26">
        <f t="shared" si="6"/>
        <v>414930.98699999973</v>
      </c>
      <c r="P40" s="26">
        <f t="shared" si="13"/>
        <v>381736.50803999975</v>
      </c>
      <c r="Q40" s="51">
        <v>92</v>
      </c>
      <c r="R40" s="26">
        <f t="shared" si="12"/>
        <v>33194.478959999979</v>
      </c>
    </row>
    <row r="41" spans="1:18" s="5" customFormat="1" ht="21" customHeight="1">
      <c r="A41" s="4" t="s">
        <v>47</v>
      </c>
      <c r="B41" s="22">
        <v>52017.48</v>
      </c>
      <c r="C41" s="28">
        <f t="shared" si="9"/>
        <v>0.95542857827096928</v>
      </c>
      <c r="D41" s="22">
        <f t="shared" si="2"/>
        <v>49698.986961638584</v>
      </c>
      <c r="E41" s="31">
        <v>1.302</v>
      </c>
      <c r="F41" s="32">
        <v>8</v>
      </c>
      <c r="G41" s="34">
        <v>12</v>
      </c>
      <c r="H41" s="25">
        <f t="shared" si="3"/>
        <v>6211975.7779999999</v>
      </c>
      <c r="I41" s="25">
        <v>0</v>
      </c>
      <c r="J41" s="25">
        <f t="shared" si="4"/>
        <v>6211975.7779999999</v>
      </c>
      <c r="K41" s="25">
        <v>68220</v>
      </c>
      <c r="L41" s="42">
        <v>5987237.8399999999</v>
      </c>
      <c r="M41" s="23"/>
      <c r="N41" s="22">
        <f t="shared" si="5"/>
        <v>6055457.8399999999</v>
      </c>
      <c r="O41" s="26">
        <f t="shared" si="6"/>
        <v>156517.93800000008</v>
      </c>
      <c r="P41" s="26">
        <f t="shared" si="13"/>
        <v>143996.50296000007</v>
      </c>
      <c r="Q41" s="51">
        <v>92</v>
      </c>
      <c r="R41" s="26">
        <f t="shared" si="12"/>
        <v>12521.435040000011</v>
      </c>
    </row>
    <row r="42" spans="1:18" s="5" customFormat="1" ht="21" customHeight="1">
      <c r="A42" s="4" t="s">
        <v>48</v>
      </c>
      <c r="B42" s="22">
        <v>52017.48</v>
      </c>
      <c r="C42" s="28">
        <f t="shared" si="9"/>
        <v>0.95542857827096928</v>
      </c>
      <c r="D42" s="22">
        <f t="shared" si="2"/>
        <v>49698.986961638584</v>
      </c>
      <c r="E42" s="31">
        <v>1.302</v>
      </c>
      <c r="F42" s="32">
        <v>4.8</v>
      </c>
      <c r="G42" s="34">
        <v>12</v>
      </c>
      <c r="H42" s="25">
        <f t="shared" si="3"/>
        <v>3727185.4670000002</v>
      </c>
      <c r="I42" s="25">
        <v>0</v>
      </c>
      <c r="J42" s="25">
        <f t="shared" si="4"/>
        <v>3727185.4670000002</v>
      </c>
      <c r="K42" s="25">
        <v>57810</v>
      </c>
      <c r="L42" s="42">
        <v>3544961.29</v>
      </c>
      <c r="M42" s="23"/>
      <c r="N42" s="22">
        <f t="shared" si="5"/>
        <v>3602771.29</v>
      </c>
      <c r="O42" s="26">
        <f t="shared" si="6"/>
        <v>124414.17700000014</v>
      </c>
      <c r="P42" s="26">
        <f t="shared" si="13"/>
        <v>114461.04284000014</v>
      </c>
      <c r="Q42" s="51">
        <v>92</v>
      </c>
      <c r="R42" s="26">
        <f t="shared" si="12"/>
        <v>9953.1341600000014</v>
      </c>
    </row>
    <row r="43" spans="1:18" s="50" customFormat="1" ht="21" customHeight="1">
      <c r="A43" s="4" t="s">
        <v>11</v>
      </c>
      <c r="B43" s="22">
        <v>52017.48</v>
      </c>
      <c r="C43" s="28">
        <f t="shared" si="9"/>
        <v>0.95542857827096928</v>
      </c>
      <c r="D43" s="22">
        <f t="shared" si="2"/>
        <v>49698.986961638584</v>
      </c>
      <c r="E43" s="31">
        <v>1.302</v>
      </c>
      <c r="F43" s="32">
        <v>109.9</v>
      </c>
      <c r="G43" s="34">
        <v>12</v>
      </c>
      <c r="H43" s="25">
        <f t="shared" si="3"/>
        <v>85337017.254999995</v>
      </c>
      <c r="I43" s="25">
        <f>32.94*1000</f>
        <v>32940</v>
      </c>
      <c r="J43" s="25">
        <f t="shared" si="4"/>
        <v>85304077.254999995</v>
      </c>
      <c r="K43" s="25">
        <v>894470</v>
      </c>
      <c r="L43" s="22">
        <v>79961076.400000006</v>
      </c>
      <c r="M43" s="23">
        <f t="shared" si="7"/>
        <v>79994016.400000006</v>
      </c>
      <c r="N43" s="22">
        <f t="shared" si="5"/>
        <v>80855546.400000006</v>
      </c>
      <c r="O43" s="26">
        <f t="shared" si="6"/>
        <v>4448530.8549999893</v>
      </c>
      <c r="P43" s="26">
        <f>O43*0.94</f>
        <v>4181619.0036999895</v>
      </c>
      <c r="Q43" s="51">
        <v>94</v>
      </c>
      <c r="R43" s="26">
        <f t="shared" si="12"/>
        <v>266911.85129999975</v>
      </c>
    </row>
    <row r="44" spans="1:18" s="5" customFormat="1" ht="21" customHeight="1">
      <c r="A44" s="4" t="s">
        <v>53</v>
      </c>
      <c r="B44" s="22">
        <v>52017.48</v>
      </c>
      <c r="C44" s="28">
        <f t="shared" si="9"/>
        <v>0.95542857827096928</v>
      </c>
      <c r="D44" s="22">
        <f t="shared" si="2"/>
        <v>49698.986961638584</v>
      </c>
      <c r="E44" s="31">
        <v>1.302</v>
      </c>
      <c r="F44" s="32">
        <v>11.3</v>
      </c>
      <c r="G44" s="34">
        <v>12</v>
      </c>
      <c r="H44" s="25">
        <f t="shared" si="3"/>
        <v>8774415.7870000005</v>
      </c>
      <c r="I44" s="25">
        <v>0</v>
      </c>
      <c r="J44" s="25">
        <f t="shared" si="4"/>
        <v>8774415.7870000005</v>
      </c>
      <c r="K44" s="25">
        <v>0</v>
      </c>
      <c r="L44" s="22">
        <v>8312677.71</v>
      </c>
      <c r="M44" s="23"/>
      <c r="N44" s="22">
        <f t="shared" si="5"/>
        <v>8312677.71</v>
      </c>
      <c r="O44" s="26">
        <f t="shared" si="6"/>
        <v>461738.07700000051</v>
      </c>
      <c r="P44" s="26">
        <f t="shared" ref="P44:P46" si="14">O44*0.94</f>
        <v>434033.79238000046</v>
      </c>
      <c r="Q44" s="51">
        <v>94</v>
      </c>
      <c r="R44" s="26">
        <f t="shared" si="12"/>
        <v>27704.284620000049</v>
      </c>
    </row>
    <row r="45" spans="1:18" s="5" customFormat="1" ht="21" customHeight="1">
      <c r="A45" s="4" t="s">
        <v>37</v>
      </c>
      <c r="B45" s="22">
        <v>52017.48</v>
      </c>
      <c r="C45" s="28">
        <f t="shared" si="9"/>
        <v>0.95542857827096928</v>
      </c>
      <c r="D45" s="22">
        <f t="shared" si="2"/>
        <v>49698.986961638584</v>
      </c>
      <c r="E45" s="31">
        <v>1.302</v>
      </c>
      <c r="F45" s="32">
        <v>26.6</v>
      </c>
      <c r="G45" s="34">
        <v>12</v>
      </c>
      <c r="H45" s="25">
        <f t="shared" si="3"/>
        <v>20654819.463</v>
      </c>
      <c r="I45" s="25">
        <v>0</v>
      </c>
      <c r="J45" s="25">
        <f t="shared" si="4"/>
        <v>20654819.463</v>
      </c>
      <c r="K45" s="25">
        <v>173950</v>
      </c>
      <c r="L45" s="22">
        <v>19501574.11321</v>
      </c>
      <c r="M45" s="23"/>
      <c r="N45" s="22">
        <f t="shared" si="5"/>
        <v>19675524.11321</v>
      </c>
      <c r="O45" s="26">
        <f t="shared" si="6"/>
        <v>979295.34978999943</v>
      </c>
      <c r="P45" s="26">
        <f t="shared" si="14"/>
        <v>920537.62880259939</v>
      </c>
      <c r="Q45" s="51">
        <v>94</v>
      </c>
      <c r="R45" s="26">
        <f t="shared" si="12"/>
        <v>58757.72098740004</v>
      </c>
    </row>
    <row r="46" spans="1:18" s="5" customFormat="1" ht="21" customHeight="1">
      <c r="A46" s="4" t="s">
        <v>38</v>
      </c>
      <c r="B46" s="22">
        <v>52017.48</v>
      </c>
      <c r="C46" s="28">
        <f t="shared" si="9"/>
        <v>0.95542857827096928</v>
      </c>
      <c r="D46" s="22">
        <f t="shared" si="2"/>
        <v>49698.986961638584</v>
      </c>
      <c r="E46" s="31">
        <v>1.302</v>
      </c>
      <c r="F46" s="32">
        <v>5.8</v>
      </c>
      <c r="G46" s="34">
        <v>12</v>
      </c>
      <c r="H46" s="25">
        <f t="shared" si="3"/>
        <v>4503682.4390000002</v>
      </c>
      <c r="I46" s="25">
        <v>0</v>
      </c>
      <c r="J46" s="25">
        <f t="shared" si="4"/>
        <v>4503682.4390000002</v>
      </c>
      <c r="K46" s="25">
        <v>910</v>
      </c>
      <c r="L46" s="22">
        <v>4266294.5814100001</v>
      </c>
      <c r="M46" s="23"/>
      <c r="N46" s="22">
        <f t="shared" si="5"/>
        <v>4267204.5814100001</v>
      </c>
      <c r="O46" s="26">
        <f t="shared" si="6"/>
        <v>236477.85759000015</v>
      </c>
      <c r="P46" s="26">
        <f t="shared" si="14"/>
        <v>222289.18613460011</v>
      </c>
      <c r="Q46" s="51">
        <v>94</v>
      </c>
      <c r="R46" s="26">
        <f t="shared" si="12"/>
        <v>14188.671455400035</v>
      </c>
    </row>
    <row r="47" spans="1:18" s="7" customFormat="1" ht="21" customHeight="1">
      <c r="A47" s="6" t="s">
        <v>12</v>
      </c>
      <c r="B47" s="22">
        <v>52017.48</v>
      </c>
      <c r="C47" s="28">
        <f t="shared" si="9"/>
        <v>0.95542857827096928</v>
      </c>
      <c r="D47" s="22">
        <f t="shared" si="2"/>
        <v>49698.986961638584</v>
      </c>
      <c r="E47" s="30">
        <v>1.302</v>
      </c>
      <c r="F47" s="32">
        <v>61.2</v>
      </c>
      <c r="G47" s="34">
        <v>12</v>
      </c>
      <c r="H47" s="25">
        <f t="shared" si="3"/>
        <v>47521614.704000004</v>
      </c>
      <c r="I47" s="25">
        <f>25.52*1000</f>
        <v>25520</v>
      </c>
      <c r="J47" s="25">
        <f t="shared" si="4"/>
        <v>47496094.704000004</v>
      </c>
      <c r="K47" s="25">
        <v>1568780</v>
      </c>
      <c r="L47" s="22">
        <v>44425456</v>
      </c>
      <c r="M47" s="22">
        <f t="shared" si="7"/>
        <v>44450976</v>
      </c>
      <c r="N47" s="22">
        <f t="shared" si="5"/>
        <v>45994236</v>
      </c>
      <c r="O47" s="26">
        <f t="shared" si="6"/>
        <v>1501858.7040000036</v>
      </c>
      <c r="P47" s="24">
        <f>O47*0.89</f>
        <v>1336654.2465600031</v>
      </c>
      <c r="Q47" s="52">
        <v>89</v>
      </c>
      <c r="R47" s="24">
        <f t="shared" si="12"/>
        <v>165204.45744000049</v>
      </c>
    </row>
    <row r="48" spans="1:18" s="7" customFormat="1" ht="21" customHeight="1">
      <c r="A48" s="6" t="s">
        <v>13</v>
      </c>
      <c r="B48" s="22">
        <v>52017.48</v>
      </c>
      <c r="C48" s="28">
        <f t="shared" si="9"/>
        <v>0.95542857827096928</v>
      </c>
      <c r="D48" s="22">
        <f t="shared" si="2"/>
        <v>49698.986961638584</v>
      </c>
      <c r="E48" s="30">
        <v>1.302</v>
      </c>
      <c r="F48" s="32">
        <f>148.2+12.3</f>
        <v>160.5</v>
      </c>
      <c r="G48" s="34">
        <v>12</v>
      </c>
      <c r="H48" s="25">
        <f t="shared" si="3"/>
        <v>124627764.052</v>
      </c>
      <c r="I48" s="25">
        <f>553.35*1000</f>
        <v>553350</v>
      </c>
      <c r="J48" s="25">
        <f t="shared" si="4"/>
        <v>124074414.052</v>
      </c>
      <c r="K48" s="25">
        <v>2093750</v>
      </c>
      <c r="L48" s="22">
        <v>106616627.41846001</v>
      </c>
      <c r="M48" s="22">
        <f t="shared" si="7"/>
        <v>107169977.41846001</v>
      </c>
      <c r="N48" s="22">
        <f t="shared" si="5"/>
        <v>108710377.41846001</v>
      </c>
      <c r="O48" s="26">
        <f t="shared" si="6"/>
        <v>15364036.63353999</v>
      </c>
      <c r="P48" s="24">
        <f>O48*0.83</f>
        <v>12752150.405838192</v>
      </c>
      <c r="Q48" s="52">
        <v>83</v>
      </c>
      <c r="R48" s="24">
        <f t="shared" si="12"/>
        <v>2611886.2277017981</v>
      </c>
    </row>
    <row r="49" spans="1:22" s="5" customFormat="1" ht="21" customHeight="1">
      <c r="A49" s="4" t="s">
        <v>14</v>
      </c>
      <c r="B49" s="22">
        <v>52017.48</v>
      </c>
      <c r="C49" s="28">
        <f t="shared" si="9"/>
        <v>0.95542857827096928</v>
      </c>
      <c r="D49" s="22">
        <f t="shared" si="2"/>
        <v>49698.986961638584</v>
      </c>
      <c r="E49" s="31">
        <v>1.302</v>
      </c>
      <c r="F49" s="32">
        <v>134.65</v>
      </c>
      <c r="G49" s="34">
        <v>12</v>
      </c>
      <c r="H49" s="25">
        <f t="shared" si="3"/>
        <v>104555317.31900001</v>
      </c>
      <c r="I49" s="25">
        <f>415.6*1000</f>
        <v>415600</v>
      </c>
      <c r="J49" s="25">
        <f t="shared" si="4"/>
        <v>104139717.31900001</v>
      </c>
      <c r="K49" s="25">
        <f>1378560-116529</f>
        <v>1262031</v>
      </c>
      <c r="L49" s="22">
        <v>98315075.426649988</v>
      </c>
      <c r="M49" s="23">
        <f t="shared" si="7"/>
        <v>98730675.426649988</v>
      </c>
      <c r="N49" s="22">
        <f t="shared" si="5"/>
        <v>99577106.426649988</v>
      </c>
      <c r="O49" s="26">
        <f t="shared" si="6"/>
        <v>4562610.892350018</v>
      </c>
      <c r="P49" s="26">
        <f>O49*0.85</f>
        <v>3878219.2584975152</v>
      </c>
      <c r="Q49" s="51">
        <v>85</v>
      </c>
      <c r="R49" s="26">
        <f t="shared" si="12"/>
        <v>684391.6338525028</v>
      </c>
    </row>
    <row r="50" spans="1:22" s="5" customFormat="1" ht="21" customHeight="1">
      <c r="A50" s="4" t="s">
        <v>39</v>
      </c>
      <c r="B50" s="22">
        <v>52017.48</v>
      </c>
      <c r="C50" s="28">
        <f t="shared" si="9"/>
        <v>0.95542857827096928</v>
      </c>
      <c r="D50" s="22">
        <f t="shared" si="2"/>
        <v>49698.986961638584</v>
      </c>
      <c r="E50" s="31">
        <v>1.302</v>
      </c>
      <c r="F50" s="32">
        <v>11.05</v>
      </c>
      <c r="G50" s="34">
        <v>12</v>
      </c>
      <c r="H50" s="25">
        <f t="shared" si="3"/>
        <v>8580291.5439999998</v>
      </c>
      <c r="I50" s="25">
        <f>31*1000</f>
        <v>31000</v>
      </c>
      <c r="J50" s="25">
        <f t="shared" si="4"/>
        <v>8549291.5439999998</v>
      </c>
      <c r="K50" s="25">
        <v>0</v>
      </c>
      <c r="L50" s="22">
        <v>8165988.0000700001</v>
      </c>
      <c r="M50" s="23"/>
      <c r="N50" s="22">
        <f t="shared" si="5"/>
        <v>8165988.0000700001</v>
      </c>
      <c r="O50" s="26">
        <f t="shared" si="6"/>
        <v>383303.54392999969</v>
      </c>
      <c r="P50" s="26">
        <f>O50*0.85</f>
        <v>325808.01234049973</v>
      </c>
      <c r="Q50" s="51">
        <v>85</v>
      </c>
      <c r="R50" s="26">
        <f t="shared" si="12"/>
        <v>57495.531589499966</v>
      </c>
    </row>
    <row r="51" spans="1:22" s="5" customFormat="1" ht="21" customHeight="1">
      <c r="A51" s="4" t="s">
        <v>40</v>
      </c>
      <c r="B51" s="22">
        <v>52017.48</v>
      </c>
      <c r="C51" s="28">
        <f t="shared" si="9"/>
        <v>0.95542857827096928</v>
      </c>
      <c r="D51" s="22">
        <f t="shared" si="2"/>
        <v>49698.986961638584</v>
      </c>
      <c r="E51" s="31">
        <v>1.302</v>
      </c>
      <c r="F51" s="32">
        <v>21.3</v>
      </c>
      <c r="G51" s="34">
        <v>12</v>
      </c>
      <c r="H51" s="25">
        <f t="shared" si="3"/>
        <v>16539385.51</v>
      </c>
      <c r="I51" s="25">
        <f>288.4*1000</f>
        <v>288400</v>
      </c>
      <c r="J51" s="25">
        <f t="shared" si="4"/>
        <v>16250985.51</v>
      </c>
      <c r="K51" s="25">
        <v>116529</v>
      </c>
      <c r="L51" s="22">
        <v>15610589.129410001</v>
      </c>
      <c r="M51" s="23"/>
      <c r="N51" s="22">
        <f t="shared" si="5"/>
        <v>15727118.129410001</v>
      </c>
      <c r="O51" s="26">
        <f t="shared" si="6"/>
        <v>523867.38058999926</v>
      </c>
      <c r="P51" s="26">
        <f t="shared" ref="P51" si="15">O51*0.85</f>
        <v>445287.27350149938</v>
      </c>
      <c r="Q51" s="51">
        <v>85</v>
      </c>
      <c r="R51" s="26">
        <f t="shared" si="12"/>
        <v>78580.107088499877</v>
      </c>
    </row>
    <row r="52" spans="1:22" s="5" customFormat="1" ht="21" customHeight="1">
      <c r="A52" s="4" t="s">
        <v>15</v>
      </c>
      <c r="B52" s="22">
        <v>52017.48</v>
      </c>
      <c r="C52" s="28">
        <f t="shared" si="9"/>
        <v>0.95542857827096928</v>
      </c>
      <c r="D52" s="22">
        <f t="shared" si="2"/>
        <v>49698.986961638584</v>
      </c>
      <c r="E52" s="31">
        <v>1.302</v>
      </c>
      <c r="F52" s="32">
        <v>106.2</v>
      </c>
      <c r="G52" s="34">
        <v>12</v>
      </c>
      <c r="H52" s="25">
        <f t="shared" si="3"/>
        <v>82463978.457000002</v>
      </c>
      <c r="I52" s="25">
        <v>0</v>
      </c>
      <c r="J52" s="25">
        <f t="shared" si="4"/>
        <v>82463978.457000002</v>
      </c>
      <c r="K52" s="25">
        <v>1542480</v>
      </c>
      <c r="L52" s="22">
        <v>77335858.453850001</v>
      </c>
      <c r="M52" s="23">
        <f t="shared" si="7"/>
        <v>77335858.453850001</v>
      </c>
      <c r="N52" s="22">
        <f t="shared" si="5"/>
        <v>78878338.453850001</v>
      </c>
      <c r="O52" s="26">
        <f t="shared" si="6"/>
        <v>3585640.0031500012</v>
      </c>
      <c r="P52" s="26">
        <f>O52*0.89</f>
        <v>3191219.6028035013</v>
      </c>
      <c r="Q52" s="51">
        <v>89</v>
      </c>
      <c r="R52" s="26">
        <f t="shared" si="12"/>
        <v>394420.40034649987</v>
      </c>
    </row>
    <row r="53" spans="1:22" s="5" customFormat="1" ht="21" customHeight="1">
      <c r="A53" s="4" t="s">
        <v>16</v>
      </c>
      <c r="B53" s="22">
        <v>52017.48</v>
      </c>
      <c r="C53" s="28">
        <f t="shared" si="9"/>
        <v>0.95542857827096928</v>
      </c>
      <c r="D53" s="22">
        <f t="shared" si="2"/>
        <v>49698.986961638584</v>
      </c>
      <c r="E53" s="31">
        <v>1.302</v>
      </c>
      <c r="F53" s="32">
        <f>67.1-20.5</f>
        <v>46.599999999999994</v>
      </c>
      <c r="G53" s="34">
        <v>12</v>
      </c>
      <c r="H53" s="25">
        <f t="shared" si="3"/>
        <v>36184758.909000002</v>
      </c>
      <c r="I53" s="25">
        <v>0</v>
      </c>
      <c r="J53" s="25">
        <f t="shared" si="4"/>
        <v>36184758.909000002</v>
      </c>
      <c r="K53" s="25">
        <v>0</v>
      </c>
      <c r="L53" s="22">
        <f>34374229.2*1.01</f>
        <v>34717971.492000006</v>
      </c>
      <c r="M53" s="23">
        <f t="shared" si="7"/>
        <v>34717971.492000006</v>
      </c>
      <c r="N53" s="22">
        <f t="shared" si="5"/>
        <v>34717971.492000006</v>
      </c>
      <c r="O53" s="26">
        <f t="shared" si="6"/>
        <v>1466787.4169999957</v>
      </c>
      <c r="P53" s="26">
        <f>O53*0.94</f>
        <v>1378780.1719799959</v>
      </c>
      <c r="Q53" s="51">
        <v>94</v>
      </c>
      <c r="R53" s="26">
        <f t="shared" si="12"/>
        <v>88007.245019999798</v>
      </c>
    </row>
    <row r="54" spans="1:22" s="5" customFormat="1" ht="21" customHeight="1">
      <c r="A54" s="4" t="s">
        <v>65</v>
      </c>
      <c r="B54" s="22">
        <v>52017.48</v>
      </c>
      <c r="C54" s="28">
        <f t="shared" si="9"/>
        <v>0.95542857827096928</v>
      </c>
      <c r="D54" s="22">
        <f t="shared" si="2"/>
        <v>49698.986961638584</v>
      </c>
      <c r="E54" s="31">
        <v>1.302</v>
      </c>
      <c r="F54" s="32">
        <f>20.5+1</f>
        <v>21.5</v>
      </c>
      <c r="G54" s="34">
        <v>12</v>
      </c>
      <c r="H54" s="25">
        <f t="shared" si="3"/>
        <v>16694684.903999999</v>
      </c>
      <c r="I54" s="25">
        <f>153.38*1000</f>
        <v>153380</v>
      </c>
      <c r="J54" s="25">
        <f t="shared" si="4"/>
        <v>16541304.903999999</v>
      </c>
      <c r="K54" s="25">
        <v>0</v>
      </c>
      <c r="L54" s="22">
        <f>14756809.1*1.01</f>
        <v>14904377.191</v>
      </c>
      <c r="M54" s="23"/>
      <c r="N54" s="22">
        <f t="shared" si="5"/>
        <v>14904377.191</v>
      </c>
      <c r="O54" s="26">
        <f>J54-N54</f>
        <v>1636927.7129999995</v>
      </c>
      <c r="P54" s="26">
        <f>O54*0.94</f>
        <v>1538712.0502199994</v>
      </c>
      <c r="Q54" s="51">
        <v>94</v>
      </c>
      <c r="R54" s="26">
        <f t="shared" si="12"/>
        <v>98215.66278000013</v>
      </c>
    </row>
    <row r="55" spans="1:22" s="5" customFormat="1" ht="21" customHeight="1">
      <c r="A55" s="4" t="s">
        <v>17</v>
      </c>
      <c r="B55" s="22">
        <v>52017.48</v>
      </c>
      <c r="C55" s="28">
        <f t="shared" si="9"/>
        <v>0.95542857827096928</v>
      </c>
      <c r="D55" s="22">
        <f t="shared" si="2"/>
        <v>49698.986961638584</v>
      </c>
      <c r="E55" s="31">
        <v>1.302</v>
      </c>
      <c r="F55" s="32">
        <v>575.70000000000005</v>
      </c>
      <c r="G55" s="34">
        <v>12</v>
      </c>
      <c r="H55" s="25">
        <f t="shared" si="3"/>
        <v>447029306.94700003</v>
      </c>
      <c r="I55" s="25">
        <f>67720.28*1000</f>
        <v>67720280</v>
      </c>
      <c r="J55" s="25">
        <f t="shared" si="4"/>
        <v>379309026.94700003</v>
      </c>
      <c r="K55" s="25">
        <v>0</v>
      </c>
      <c r="L55" s="22">
        <v>361793933.01466</v>
      </c>
      <c r="M55" s="23">
        <f t="shared" si="7"/>
        <v>429514213.01466</v>
      </c>
      <c r="N55" s="22">
        <f t="shared" si="5"/>
        <v>361793933.01466</v>
      </c>
      <c r="O55" s="26">
        <f t="shared" si="6"/>
        <v>17515093.932340026</v>
      </c>
      <c r="P55" s="26">
        <f>O55*0.85</f>
        <v>14887829.842489021</v>
      </c>
      <c r="Q55" s="51">
        <v>85</v>
      </c>
      <c r="R55" s="26">
        <f t="shared" si="12"/>
        <v>2627264.089851005</v>
      </c>
    </row>
    <row r="56" spans="1:22" s="5" customFormat="1" ht="21" customHeight="1">
      <c r="A56" s="4" t="s">
        <v>18</v>
      </c>
      <c r="B56" s="22">
        <v>52017.48</v>
      </c>
      <c r="C56" s="28">
        <f t="shared" si="9"/>
        <v>0.95542857827096928</v>
      </c>
      <c r="D56" s="22">
        <f t="shared" si="2"/>
        <v>49698.986961638584</v>
      </c>
      <c r="E56" s="31">
        <v>1.302</v>
      </c>
      <c r="F56" s="32">
        <v>354.4</v>
      </c>
      <c r="G56" s="34">
        <v>12</v>
      </c>
      <c r="H56" s="25">
        <f t="shared" si="3"/>
        <v>275190526.97899997</v>
      </c>
      <c r="I56" s="25">
        <f>40179.46*1000</f>
        <v>40179460</v>
      </c>
      <c r="J56" s="25">
        <f t="shared" si="4"/>
        <v>235011066.97899997</v>
      </c>
      <c r="K56" s="25">
        <v>0</v>
      </c>
      <c r="L56" s="22">
        <v>221755022.48199999</v>
      </c>
      <c r="M56" s="23">
        <f t="shared" si="7"/>
        <v>261934482.48199999</v>
      </c>
      <c r="N56" s="22">
        <f t="shared" si="5"/>
        <v>221755022.48199999</v>
      </c>
      <c r="O56" s="26">
        <f t="shared" si="6"/>
        <v>13256044.496999979</v>
      </c>
      <c r="P56" s="26">
        <f>O56*0.75</f>
        <v>9942033.3727499843</v>
      </c>
      <c r="Q56" s="51">
        <v>75</v>
      </c>
      <c r="R56" s="26">
        <f t="shared" si="12"/>
        <v>3314011.1242499948</v>
      </c>
    </row>
    <row r="57" spans="1:22" s="7" customFormat="1" ht="21" customHeight="1">
      <c r="A57" s="6" t="s">
        <v>19</v>
      </c>
      <c r="B57" s="22">
        <v>52017.48</v>
      </c>
      <c r="C57" s="28">
        <f t="shared" si="9"/>
        <v>0.95542857827096928</v>
      </c>
      <c r="D57" s="22">
        <f t="shared" si="2"/>
        <v>49698.986961638584</v>
      </c>
      <c r="E57" s="30">
        <v>1.302</v>
      </c>
      <c r="F57" s="32">
        <v>227.7</v>
      </c>
      <c r="G57" s="34">
        <v>12</v>
      </c>
      <c r="H57" s="25">
        <f t="shared" si="3"/>
        <v>176808360.59</v>
      </c>
      <c r="I57" s="25">
        <f>10079.82*1000</f>
        <v>10079820</v>
      </c>
      <c r="J57" s="25">
        <f t="shared" si="4"/>
        <v>166728540.59</v>
      </c>
      <c r="K57" s="25">
        <v>1051500</v>
      </c>
      <c r="L57" s="22">
        <v>156220537.16473001</v>
      </c>
      <c r="M57" s="22">
        <f t="shared" si="7"/>
        <v>166300357.16473001</v>
      </c>
      <c r="N57" s="22">
        <f t="shared" si="5"/>
        <v>157272037.16473001</v>
      </c>
      <c r="O57" s="26">
        <f t="shared" si="6"/>
        <v>9456503.4252699912</v>
      </c>
      <c r="P57" s="24">
        <f>O57*0.88</f>
        <v>8321723.014237592</v>
      </c>
      <c r="Q57" s="52">
        <v>88</v>
      </c>
      <c r="R57" s="24">
        <f t="shared" si="12"/>
        <v>1134780.4110323992</v>
      </c>
    </row>
    <row r="58" spans="1:22" s="7" customFormat="1" ht="21" customHeight="1">
      <c r="A58" s="6" t="s">
        <v>20</v>
      </c>
      <c r="B58" s="22">
        <v>52017.48</v>
      </c>
      <c r="C58" s="28">
        <f t="shared" si="9"/>
        <v>0.95542857827096928</v>
      </c>
      <c r="D58" s="22">
        <f t="shared" si="2"/>
        <v>49698.986961638584</v>
      </c>
      <c r="E58" s="30">
        <v>1.302</v>
      </c>
      <c r="F58" s="32">
        <v>56.2</v>
      </c>
      <c r="G58" s="34">
        <v>12</v>
      </c>
      <c r="H58" s="25">
        <f t="shared" si="3"/>
        <v>43639129.843000002</v>
      </c>
      <c r="I58" s="25">
        <v>0</v>
      </c>
      <c r="J58" s="25">
        <f t="shared" si="4"/>
        <v>43639129.843000002</v>
      </c>
      <c r="K58" s="25">
        <v>0</v>
      </c>
      <c r="L58" s="22">
        <v>41691239.217709996</v>
      </c>
      <c r="M58" s="22">
        <f t="shared" si="7"/>
        <v>41691239.217709996</v>
      </c>
      <c r="N58" s="22">
        <f t="shared" si="5"/>
        <v>41691239.217709996</v>
      </c>
      <c r="O58" s="26">
        <f t="shared" si="6"/>
        <v>1947890.6252900064</v>
      </c>
      <c r="P58" s="24">
        <f>O58*0.87</f>
        <v>1694664.8440023055</v>
      </c>
      <c r="Q58" s="52">
        <v>87</v>
      </c>
      <c r="R58" s="24">
        <f t="shared" si="12"/>
        <v>253225.78128770087</v>
      </c>
    </row>
    <row r="59" spans="1:22" s="7" customFormat="1" ht="21" customHeight="1">
      <c r="A59" s="6" t="s">
        <v>21</v>
      </c>
      <c r="B59" s="22">
        <v>52017.48</v>
      </c>
      <c r="C59" s="28">
        <f t="shared" si="9"/>
        <v>0.95542857827096928</v>
      </c>
      <c r="D59" s="22">
        <f t="shared" si="2"/>
        <v>49698.986961638584</v>
      </c>
      <c r="E59" s="30">
        <v>1.302</v>
      </c>
      <c r="F59" s="32">
        <v>119.8</v>
      </c>
      <c r="G59" s="34">
        <v>12</v>
      </c>
      <c r="H59" s="25">
        <f t="shared" si="3"/>
        <v>93024337.280000001</v>
      </c>
      <c r="I59" s="25">
        <f>985.7*1000</f>
        <v>985700</v>
      </c>
      <c r="J59" s="25">
        <f t="shared" si="4"/>
        <v>92038637.280000001</v>
      </c>
      <c r="K59" s="25">
        <v>0</v>
      </c>
      <c r="L59" s="22">
        <v>88618352.20679</v>
      </c>
      <c r="M59" s="22">
        <f t="shared" si="7"/>
        <v>89604052.20679</v>
      </c>
      <c r="N59" s="22">
        <f t="shared" si="5"/>
        <v>88618352.20679</v>
      </c>
      <c r="O59" s="26">
        <f t="shared" si="6"/>
        <v>3420285.073210001</v>
      </c>
      <c r="P59" s="24">
        <f>O59*0.86</f>
        <v>2941445.162960601</v>
      </c>
      <c r="Q59" s="52">
        <v>86</v>
      </c>
      <c r="R59" s="24">
        <f t="shared" si="12"/>
        <v>478839.91024939995</v>
      </c>
    </row>
    <row r="60" spans="1:22" s="7" customFormat="1" ht="21" customHeight="1">
      <c r="A60" s="6" t="s">
        <v>22</v>
      </c>
      <c r="B60" s="22">
        <v>52017.48</v>
      </c>
      <c r="C60" s="28">
        <f t="shared" si="9"/>
        <v>0.95542857827096928</v>
      </c>
      <c r="D60" s="22">
        <f t="shared" si="2"/>
        <v>49698.986961638584</v>
      </c>
      <c r="E60" s="30">
        <v>1.302</v>
      </c>
      <c r="F60" s="32">
        <v>20</v>
      </c>
      <c r="G60" s="34">
        <v>12</v>
      </c>
      <c r="H60" s="25">
        <f t="shared" si="3"/>
        <v>15529939.446</v>
      </c>
      <c r="I60" s="25">
        <v>0</v>
      </c>
      <c r="J60" s="25">
        <f t="shared" si="4"/>
        <v>15529939.446</v>
      </c>
      <c r="K60" s="25">
        <v>0</v>
      </c>
      <c r="L60" s="22">
        <v>14762556.23512</v>
      </c>
      <c r="M60" s="22">
        <f t="shared" si="7"/>
        <v>14762556.23512</v>
      </c>
      <c r="N60" s="22">
        <f t="shared" si="5"/>
        <v>14762556.23512</v>
      </c>
      <c r="O60" s="26">
        <f t="shared" si="6"/>
        <v>767383.21088000014</v>
      </c>
      <c r="P60" s="24">
        <f>O60*0.78</f>
        <v>598558.90448640008</v>
      </c>
      <c r="Q60" s="52">
        <v>78</v>
      </c>
      <c r="R60" s="24">
        <f t="shared" si="12"/>
        <v>168824.30639360007</v>
      </c>
    </row>
    <row r="61" spans="1:22" s="5" customFormat="1" ht="27" customHeight="1">
      <c r="A61" s="8" t="s">
        <v>23</v>
      </c>
      <c r="B61" s="27">
        <v>52017.48</v>
      </c>
      <c r="C61" s="29">
        <f>D61/B61</f>
        <v>0.95547786354956166</v>
      </c>
      <c r="D61" s="27">
        <f>H61/G61/F61/E61</f>
        <v>49701.550657632055</v>
      </c>
      <c r="E61" s="29">
        <v>1.302</v>
      </c>
      <c r="F61" s="33">
        <f>SUM(F7:F60)</f>
        <v>3388.6999999999994</v>
      </c>
      <c r="G61" s="35">
        <v>12</v>
      </c>
      <c r="H61" s="27">
        <f>SUM(H7:H60)</f>
        <v>2631451025.0040007</v>
      </c>
      <c r="I61" s="27">
        <f t="shared" ref="I61:P61" si="16">SUM(I7:I60)</f>
        <v>124980000</v>
      </c>
      <c r="J61" s="27">
        <f t="shared" si="16"/>
        <v>2506471025.0040007</v>
      </c>
      <c r="K61" s="27">
        <f t="shared" si="16"/>
        <v>18118520</v>
      </c>
      <c r="L61" s="38">
        <f>SUM(L7:L60)</f>
        <v>2361370501.6823802</v>
      </c>
      <c r="M61" s="27">
        <f t="shared" si="16"/>
        <v>2265780767.6494598</v>
      </c>
      <c r="N61" s="27">
        <f>SUM(N7:N60)</f>
        <v>2379489021.6823802</v>
      </c>
      <c r="O61" s="27">
        <f t="shared" si="16"/>
        <v>126982003.32161999</v>
      </c>
      <c r="P61" s="53">
        <f t="shared" si="16"/>
        <v>111389233.42913342</v>
      </c>
      <c r="Q61" s="35"/>
      <c r="R61" s="27">
        <f>SUM(R7:R60)</f>
        <v>15592769.892486602</v>
      </c>
    </row>
    <row r="62" spans="1:22" s="5" customFormat="1" ht="13.5" hidden="1" customHeight="1">
      <c r="A62" s="14"/>
      <c r="B62" s="7"/>
      <c r="C62" s="7"/>
      <c r="D62" s="7"/>
      <c r="E62" s="7"/>
      <c r="F62" s="7"/>
      <c r="G62" s="7"/>
      <c r="H62" s="7"/>
      <c r="I62" s="7"/>
      <c r="J62" s="36"/>
      <c r="K62" s="7"/>
      <c r="L62" s="7"/>
      <c r="M62" s="7"/>
      <c r="N62" s="7"/>
      <c r="O62" s="7"/>
      <c r="P62" s="7"/>
      <c r="Q62" s="7"/>
      <c r="R62" s="7"/>
      <c r="S62" s="13"/>
      <c r="T62" s="13"/>
    </row>
    <row r="63" spans="1:22" s="5" customFormat="1" ht="18.75" hidden="1">
      <c r="A63" s="9" t="s">
        <v>24</v>
      </c>
      <c r="B63" s="10"/>
      <c r="C63" s="10"/>
      <c r="D63" s="40"/>
      <c r="E63" s="40"/>
      <c r="F63" s="40"/>
      <c r="G63" s="17"/>
      <c r="H63" s="18">
        <v>2481038056</v>
      </c>
      <c r="I63" s="19"/>
      <c r="J63" s="19"/>
      <c r="K63" s="19"/>
      <c r="L63" s="10"/>
      <c r="M63" s="20"/>
      <c r="N63" s="20"/>
      <c r="O63" s="20"/>
      <c r="P63" s="20"/>
      <c r="Q63" s="20"/>
      <c r="R63" s="20"/>
      <c r="S63" s="13"/>
      <c r="T63" s="13"/>
      <c r="U63" s="7"/>
      <c r="V63" s="7"/>
    </row>
    <row r="64" spans="1:22" s="5" customFormat="1" ht="18.75" hidden="1">
      <c r="A64" s="11" t="s">
        <v>25</v>
      </c>
      <c r="B64" s="10"/>
      <c r="C64" s="10"/>
      <c r="D64" s="54" t="s">
        <v>72</v>
      </c>
      <c r="E64" s="54"/>
      <c r="F64" s="43">
        <f>F61-F32</f>
        <v>3318.9999999999995</v>
      </c>
      <c r="G64" s="17"/>
      <c r="H64" s="18"/>
      <c r="I64" s="19"/>
      <c r="J64" s="19"/>
      <c r="K64" s="19"/>
      <c r="L64" s="44" t="s">
        <v>70</v>
      </c>
      <c r="M64" s="20"/>
      <c r="N64" s="45">
        <v>2506471025</v>
      </c>
      <c r="O64" s="10"/>
      <c r="P64" s="20"/>
      <c r="Q64" s="20"/>
      <c r="R64" s="20"/>
      <c r="S64" s="13"/>
      <c r="T64" s="13"/>
      <c r="U64" s="7"/>
      <c r="V64" s="7"/>
    </row>
    <row r="65" spans="1:22" ht="18.75" hidden="1">
      <c r="A65" s="12"/>
      <c r="B65" s="12"/>
      <c r="C65" s="15"/>
      <c r="D65" s="54" t="s">
        <v>73</v>
      </c>
      <c r="E65" s="54"/>
      <c r="F65" s="46">
        <f>(N65+I61)/F64/12/1.302</f>
        <v>49698.986961638584</v>
      </c>
      <c r="G65" s="47"/>
      <c r="H65" s="47"/>
      <c r="I65" s="47"/>
      <c r="J65" s="47"/>
      <c r="K65" s="47"/>
      <c r="L65" s="17" t="s">
        <v>71</v>
      </c>
      <c r="M65" s="47"/>
      <c r="N65" s="48">
        <f>N64-N32</f>
        <v>2452213451.026</v>
      </c>
      <c r="O65" s="49"/>
      <c r="P65" s="15"/>
      <c r="Q65" s="15"/>
      <c r="R65" s="13"/>
      <c r="S65" s="15"/>
      <c r="T65" s="15"/>
      <c r="U65" s="12"/>
      <c r="V65" s="12"/>
    </row>
    <row r="66" spans="1:22" ht="29.25" hidden="1" customHeight="1">
      <c r="C66" s="15"/>
      <c r="D66" s="49"/>
      <c r="E66" s="49"/>
      <c r="F66" s="49"/>
      <c r="G66" s="49"/>
      <c r="H66" s="49"/>
      <c r="I66" s="49"/>
      <c r="J66" s="49"/>
      <c r="K66" s="49"/>
      <c r="L66" s="10"/>
      <c r="M66" s="49"/>
      <c r="N66" s="49"/>
      <c r="O66" s="49"/>
      <c r="P66" s="15"/>
      <c r="Q66" s="15"/>
      <c r="R66" s="13"/>
      <c r="S66" s="15"/>
      <c r="T66" s="15"/>
    </row>
    <row r="67" spans="1:22">
      <c r="C67" s="15"/>
      <c r="D67" s="12"/>
      <c r="E67" s="12"/>
      <c r="F67" s="12"/>
      <c r="G67" s="12"/>
      <c r="H67" s="12"/>
      <c r="I67" s="12"/>
      <c r="J67" s="12"/>
      <c r="K67" s="12"/>
      <c r="M67" s="12"/>
      <c r="N67" s="12"/>
      <c r="O67" s="12"/>
      <c r="P67" s="15"/>
      <c r="Q67" s="15"/>
      <c r="R67" s="13"/>
      <c r="S67" s="15"/>
      <c r="T67" s="15"/>
    </row>
    <row r="68" spans="1:22">
      <c r="D68" s="12"/>
      <c r="E68" s="12"/>
      <c r="F68" s="12"/>
      <c r="G68" s="12"/>
      <c r="H68" s="12"/>
      <c r="I68" s="12"/>
      <c r="J68" s="12"/>
      <c r="K68" s="12"/>
      <c r="M68" s="12"/>
      <c r="N68" s="12"/>
      <c r="O68" s="12"/>
    </row>
    <row r="69" spans="1:22">
      <c r="D69" s="12"/>
      <c r="E69" s="12"/>
      <c r="F69" s="12"/>
      <c r="G69" s="12"/>
      <c r="H69" s="12"/>
      <c r="I69" s="12"/>
      <c r="J69" s="12"/>
      <c r="K69" s="12"/>
      <c r="M69" s="12"/>
      <c r="N69" s="12"/>
      <c r="O69" s="12"/>
    </row>
    <row r="70" spans="1:22">
      <c r="D70" s="12"/>
      <c r="E70" s="12"/>
      <c r="F70" s="12"/>
      <c r="G70" s="12"/>
      <c r="H70" s="12"/>
      <c r="I70" s="12"/>
      <c r="J70" s="12"/>
      <c r="K70" s="12"/>
      <c r="M70" s="12"/>
      <c r="N70" s="12"/>
      <c r="O70" s="12"/>
    </row>
    <row r="71" spans="1:22">
      <c r="D71" s="12"/>
      <c r="E71" s="12"/>
      <c r="F71" s="12"/>
      <c r="G71" s="12"/>
      <c r="H71" s="12"/>
      <c r="I71" s="12"/>
      <c r="J71" s="12"/>
      <c r="K71" s="12"/>
      <c r="M71" s="12"/>
      <c r="N71" s="12"/>
      <c r="O71" s="12"/>
    </row>
    <row r="72" spans="1:22">
      <c r="D72" s="12"/>
      <c r="E72" s="12"/>
      <c r="F72" s="12"/>
      <c r="G72" s="12"/>
      <c r="H72" s="12"/>
      <c r="I72" s="12"/>
      <c r="J72" s="12"/>
      <c r="K72" s="12"/>
      <c r="M72" s="12"/>
      <c r="N72" s="12"/>
      <c r="O72" s="12"/>
    </row>
    <row r="73" spans="1:22">
      <c r="D73" s="12"/>
      <c r="E73" s="12"/>
      <c r="F73" s="12"/>
      <c r="G73" s="12"/>
      <c r="H73" s="12"/>
      <c r="I73" s="12"/>
      <c r="J73" s="12"/>
      <c r="K73" s="12"/>
      <c r="M73" s="12"/>
      <c r="N73" s="12"/>
      <c r="O73" s="12"/>
    </row>
    <row r="74" spans="1:22">
      <c r="D74" s="12"/>
      <c r="E74" s="12"/>
      <c r="F74" s="12"/>
      <c r="G74" s="12"/>
      <c r="H74" s="12"/>
      <c r="I74" s="12"/>
      <c r="J74" s="12"/>
      <c r="K74" s="12"/>
    </row>
  </sheetData>
  <mergeCells count="21">
    <mergeCell ref="B3:P3"/>
    <mergeCell ref="N4:N5"/>
    <mergeCell ref="M4:M5"/>
    <mergeCell ref="H4:H5"/>
    <mergeCell ref="I4:I5"/>
    <mergeCell ref="J4:J5"/>
    <mergeCell ref="F4:F5"/>
    <mergeCell ref="G4:G5"/>
    <mergeCell ref="O4:O5"/>
    <mergeCell ref="P4:P5"/>
    <mergeCell ref="A4:A5"/>
    <mergeCell ref="B4:B5"/>
    <mergeCell ref="C4:C5"/>
    <mergeCell ref="D4:D5"/>
    <mergeCell ref="E4:E5"/>
    <mergeCell ref="D64:E64"/>
    <mergeCell ref="D65:E65"/>
    <mergeCell ref="Q4:Q5"/>
    <mergeCell ref="R4:R5"/>
    <mergeCell ref="K4:K5"/>
    <mergeCell ref="L4:L5"/>
  </mergeCells>
  <pageMargins left="0.31496062992125984" right="0.27559055118110237" top="0.51181102362204722" bottom="0.39370078740157483" header="0.31496062992125984" footer="0.31496062992125984"/>
  <pageSetup paperSize="9" scale="38" fitToWidth="0" fitToHeight="0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2022</vt:lpstr>
      <vt:lpstr>'2022'!Заголовки_для_печати</vt:lpstr>
      <vt:lpstr>'2022'!Область_печати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Кузнецова Вероника Владимировна</dc:creator>
  <cp:lastModifiedBy>minfin user</cp:lastModifiedBy>
  <cp:lastPrinted>2022-02-25T15:55:17Z</cp:lastPrinted>
  <dcterms:created xsi:type="dcterms:W3CDTF">2017-09-18T08:19:38Z</dcterms:created>
  <dcterms:modified xsi:type="dcterms:W3CDTF">2022-02-25T15:55:20Z</dcterms:modified>
</cp:coreProperties>
</file>