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8800" windowHeight="12330"/>
  </bookViews>
  <sheets>
    <sheet name="2022" sheetId="2" r:id="rId1"/>
  </sheets>
  <definedNames>
    <definedName name="_xlnm.Print_Titles" localSheetId="0">'2022'!$3:$4</definedName>
    <definedName name="_xlnm.Print_Area" localSheetId="0">'2022'!$A$1:$U$61</definedName>
  </definedNames>
  <calcPr calcId="125725"/>
</workbook>
</file>

<file path=xl/calcChain.xml><?xml version="1.0" encoding="utf-8"?>
<calcChain xmlns="http://schemas.openxmlformats.org/spreadsheetml/2006/main">
  <c r="S58" i="2"/>
  <c r="H8"/>
  <c r="D52" l="1"/>
  <c r="D33"/>
  <c r="D21"/>
  <c r="N6"/>
  <c r="D15"/>
  <c r="D57" l="1"/>
  <c r="D58" s="1"/>
  <c r="N7"/>
  <c r="N8"/>
  <c r="N9"/>
  <c r="N10"/>
  <c r="N11"/>
  <c r="N12"/>
  <c r="N13"/>
  <c r="N14"/>
  <c r="N16"/>
  <c r="N17"/>
  <c r="N18"/>
  <c r="N19"/>
  <c r="N20"/>
  <c r="N22"/>
  <c r="N23"/>
  <c r="N24"/>
  <c r="N25"/>
  <c r="N26"/>
  <c r="N27"/>
  <c r="N28"/>
  <c r="N29"/>
  <c r="N30"/>
  <c r="N31"/>
  <c r="N32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3"/>
  <c r="N54"/>
  <c r="N55"/>
  <c r="N56"/>
  <c r="N5"/>
  <c r="H9"/>
  <c r="H10"/>
  <c r="H11"/>
  <c r="H12"/>
  <c r="H13"/>
  <c r="H14"/>
  <c r="H16"/>
  <c r="H17"/>
  <c r="H18"/>
  <c r="H19"/>
  <c r="H20"/>
  <c r="H22"/>
  <c r="H23"/>
  <c r="H24"/>
  <c r="H25"/>
  <c r="H26"/>
  <c r="H27"/>
  <c r="H28"/>
  <c r="H29"/>
  <c r="H30"/>
  <c r="H31"/>
  <c r="H32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3"/>
  <c r="H54"/>
  <c r="H55"/>
  <c r="H56"/>
  <c r="N15" l="1"/>
  <c r="H52"/>
  <c r="N52"/>
  <c r="H33"/>
  <c r="N33"/>
  <c r="N57"/>
  <c r="N21"/>
  <c r="H21"/>
  <c r="N58" l="1"/>
  <c r="M8"/>
  <c r="O8"/>
  <c r="R8" s="1"/>
  <c r="P8"/>
  <c r="Q8"/>
  <c r="M9"/>
  <c r="O9"/>
  <c r="R9" s="1"/>
  <c r="P9"/>
  <c r="Q9"/>
  <c r="M10"/>
  <c r="O10"/>
  <c r="R10" s="1"/>
  <c r="P10"/>
  <c r="Q10"/>
  <c r="M11"/>
  <c r="O11"/>
  <c r="R11" s="1"/>
  <c r="P11"/>
  <c r="Q11"/>
  <c r="M12"/>
  <c r="O12"/>
  <c r="P12"/>
  <c r="Q12"/>
  <c r="M13"/>
  <c r="O13"/>
  <c r="P13"/>
  <c r="Q13"/>
  <c r="M14"/>
  <c r="O14"/>
  <c r="P14"/>
  <c r="Q14"/>
  <c r="P20"/>
  <c r="M17"/>
  <c r="O17"/>
  <c r="P17"/>
  <c r="Q17"/>
  <c r="M18"/>
  <c r="O18"/>
  <c r="R18" s="1"/>
  <c r="P18"/>
  <c r="Q18"/>
  <c r="M19"/>
  <c r="O19"/>
  <c r="P19"/>
  <c r="Q19"/>
  <c r="M20"/>
  <c r="O20"/>
  <c r="R20" s="1"/>
  <c r="Q20"/>
  <c r="M23"/>
  <c r="O23"/>
  <c r="P23"/>
  <c r="Q23"/>
  <c r="M24"/>
  <c r="O24"/>
  <c r="R24" s="1"/>
  <c r="P24"/>
  <c r="Q24"/>
  <c r="M25"/>
  <c r="O25"/>
  <c r="R25" s="1"/>
  <c r="P25"/>
  <c r="Q25"/>
  <c r="M26"/>
  <c r="O26"/>
  <c r="R26" s="1"/>
  <c r="P26"/>
  <c r="Q26"/>
  <c r="M27"/>
  <c r="O27"/>
  <c r="R27" s="1"/>
  <c r="P27"/>
  <c r="Q27"/>
  <c r="M28"/>
  <c r="O28"/>
  <c r="R28" s="1"/>
  <c r="P28"/>
  <c r="Q28"/>
  <c r="M29"/>
  <c r="O29"/>
  <c r="R29" s="1"/>
  <c r="P29"/>
  <c r="Q29"/>
  <c r="M30"/>
  <c r="O30"/>
  <c r="R30" s="1"/>
  <c r="P30"/>
  <c r="Q30"/>
  <c r="M31"/>
  <c r="O31"/>
  <c r="R31" s="1"/>
  <c r="P31"/>
  <c r="Q31"/>
  <c r="M32"/>
  <c r="O32"/>
  <c r="R32" s="1"/>
  <c r="P32"/>
  <c r="Q32"/>
  <c r="M34"/>
  <c r="O34"/>
  <c r="R34" s="1"/>
  <c r="P34"/>
  <c r="Q34"/>
  <c r="M35"/>
  <c r="O35"/>
  <c r="R35" s="1"/>
  <c r="P35"/>
  <c r="Q35"/>
  <c r="M36"/>
  <c r="O36"/>
  <c r="R36" s="1"/>
  <c r="P36"/>
  <c r="Q36"/>
  <c r="M37"/>
  <c r="O37"/>
  <c r="R37" s="1"/>
  <c r="P37"/>
  <c r="Q37"/>
  <c r="M38"/>
  <c r="O38"/>
  <c r="R38" s="1"/>
  <c r="P38"/>
  <c r="Q38"/>
  <c r="M39"/>
  <c r="O39"/>
  <c r="R39" s="1"/>
  <c r="P39"/>
  <c r="Q39"/>
  <c r="M40"/>
  <c r="O40"/>
  <c r="R40" s="1"/>
  <c r="P40"/>
  <c r="Q40"/>
  <c r="M41"/>
  <c r="O41"/>
  <c r="R41" s="1"/>
  <c r="P41"/>
  <c r="Q41"/>
  <c r="M42"/>
  <c r="O42"/>
  <c r="R42" s="1"/>
  <c r="P42"/>
  <c r="Q42"/>
  <c r="M43"/>
  <c r="O43"/>
  <c r="R43" s="1"/>
  <c r="P43"/>
  <c r="Q43"/>
  <c r="M44"/>
  <c r="O44"/>
  <c r="R44" s="1"/>
  <c r="P44"/>
  <c r="Q44"/>
  <c r="M45"/>
  <c r="O45"/>
  <c r="R45" s="1"/>
  <c r="P45"/>
  <c r="Q45"/>
  <c r="M46"/>
  <c r="O46"/>
  <c r="R46" s="1"/>
  <c r="P46"/>
  <c r="Q46"/>
  <c r="M47"/>
  <c r="O47"/>
  <c r="R47" s="1"/>
  <c r="P47"/>
  <c r="Q47"/>
  <c r="M48"/>
  <c r="O48"/>
  <c r="R48" s="1"/>
  <c r="P48"/>
  <c r="Q48"/>
  <c r="M49"/>
  <c r="O49"/>
  <c r="R49" s="1"/>
  <c r="P49"/>
  <c r="Q49"/>
  <c r="M50"/>
  <c r="O50"/>
  <c r="R50" s="1"/>
  <c r="P50"/>
  <c r="Q50"/>
  <c r="M51"/>
  <c r="O51"/>
  <c r="R51" s="1"/>
  <c r="P51"/>
  <c r="Q51"/>
  <c r="M54"/>
  <c r="O54"/>
  <c r="R54" s="1"/>
  <c r="P54"/>
  <c r="Q54"/>
  <c r="M55"/>
  <c r="O55"/>
  <c r="R55" s="1"/>
  <c r="P55"/>
  <c r="Q55"/>
  <c r="M56"/>
  <c r="O56"/>
  <c r="R56" s="1"/>
  <c r="P56"/>
  <c r="Q56"/>
  <c r="R19" l="1"/>
  <c r="R23"/>
  <c r="R17"/>
  <c r="R14"/>
  <c r="R13"/>
  <c r="R12"/>
  <c r="C52"/>
  <c r="G6" l="1"/>
  <c r="Q6" s="1"/>
  <c r="F6"/>
  <c r="P6" s="1"/>
  <c r="E6"/>
  <c r="C6"/>
  <c r="M6" s="1"/>
  <c r="G5"/>
  <c r="Q5" s="1"/>
  <c r="F5"/>
  <c r="P5" s="1"/>
  <c r="E5"/>
  <c r="C5"/>
  <c r="G7"/>
  <c r="Q7" s="1"/>
  <c r="F7"/>
  <c r="P7" s="1"/>
  <c r="E7"/>
  <c r="C7"/>
  <c r="M7" s="1"/>
  <c r="H5" l="1"/>
  <c r="H6"/>
  <c r="H15" s="1"/>
  <c r="O6"/>
  <c r="R6" s="1"/>
  <c r="H7"/>
  <c r="O7"/>
  <c r="R7" s="1"/>
  <c r="P16"/>
  <c r="P22"/>
  <c r="P33" s="1"/>
  <c r="P53"/>
  <c r="F57"/>
  <c r="F52"/>
  <c r="F33"/>
  <c r="F21"/>
  <c r="F15"/>
  <c r="F58" l="1"/>
  <c r="P52"/>
  <c r="P57"/>
  <c r="P21"/>
  <c r="P15"/>
  <c r="Q53"/>
  <c r="O53"/>
  <c r="M53"/>
  <c r="Q22"/>
  <c r="Q33" s="1"/>
  <c r="O22"/>
  <c r="M22"/>
  <c r="M33" s="1"/>
  <c r="Q16"/>
  <c r="O16"/>
  <c r="M16"/>
  <c r="O5"/>
  <c r="R5" s="1"/>
  <c r="E15"/>
  <c r="G15"/>
  <c r="C15"/>
  <c r="O33" l="1"/>
  <c r="R22"/>
  <c r="R16"/>
  <c r="R21" s="1"/>
  <c r="R53"/>
  <c r="Q57"/>
  <c r="T57" s="1"/>
  <c r="M52"/>
  <c r="M57"/>
  <c r="O57"/>
  <c r="O15"/>
  <c r="Q15"/>
  <c r="T15" s="1"/>
  <c r="E57"/>
  <c r="G57"/>
  <c r="E52"/>
  <c r="G52"/>
  <c r="E33"/>
  <c r="G33"/>
  <c r="E21"/>
  <c r="G21"/>
  <c r="G58" l="1"/>
  <c r="E58"/>
  <c r="R52"/>
  <c r="R57"/>
  <c r="C21"/>
  <c r="M5"/>
  <c r="R15" l="1"/>
  <c r="U15" s="1"/>
  <c r="O52"/>
  <c r="H57"/>
  <c r="H58" s="1"/>
  <c r="O21"/>
  <c r="M21"/>
  <c r="Q21"/>
  <c r="T21" s="1"/>
  <c r="M15"/>
  <c r="O58" l="1"/>
  <c r="P58"/>
  <c r="R33"/>
  <c r="R58" s="1"/>
  <c r="U21"/>
  <c r="Q52" l="1"/>
  <c r="T33"/>
  <c r="M58"/>
  <c r="Q58" l="1"/>
  <c r="T52"/>
  <c r="T58" s="1"/>
  <c r="U33"/>
  <c r="C33"/>
  <c r="U52" l="1"/>
  <c r="C57"/>
  <c r="C58" s="1"/>
  <c r="U57" l="1"/>
  <c r="U58" s="1"/>
  <c r="U61" s="1"/>
</calcChain>
</file>

<file path=xl/comments1.xml><?xml version="1.0" encoding="utf-8"?>
<comments xmlns="http://schemas.openxmlformats.org/spreadsheetml/2006/main">
  <authors>
    <author>Блинова Екатерина Николаевна</author>
  </authors>
  <commentLis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с учетом гаражей</t>
        </r>
      </text>
    </comment>
    <comment ref="B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с учетом гаражей</t>
        </r>
      </text>
    </comment>
    <comment ref="B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с учетом гаражей</t>
        </r>
      </text>
    </comment>
    <comment ref="U15" authorId="0">
      <text>
        <r>
          <rPr>
            <b/>
            <sz val="11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11"/>
            <color indexed="81"/>
            <rFont val="Tahoma"/>
            <family val="2"/>
            <charset val="204"/>
          </rPr>
          <t xml:space="preserve">
с учетом
 перечисления субсидии с 1 по 15 декабря 2022 года в 2022 году</t>
        </r>
      </text>
    </comment>
  </commentList>
</comments>
</file>

<file path=xl/sharedStrings.xml><?xml version="1.0" encoding="utf-8"?>
<sst xmlns="http://schemas.openxmlformats.org/spreadsheetml/2006/main" count="87" uniqueCount="70">
  <si>
    <t>всего</t>
  </si>
  <si>
    <t>Группы потребителей</t>
  </si>
  <si>
    <t>1 полугодие</t>
  </si>
  <si>
    <t>2 полугодие</t>
  </si>
  <si>
    <t xml:space="preserve">1 полугодие </t>
  </si>
  <si>
    <t>Итого</t>
  </si>
  <si>
    <t>ООО "Поморские электросети"</t>
  </si>
  <si>
    <t>Всего</t>
  </si>
  <si>
    <t>прочие потребители (договор э/сн одност по двум зонам/день СН-2)</t>
  </si>
  <si>
    <t>прочие потребители (договор э/сн одност по двум зонам/ночь СН-2)</t>
  </si>
  <si>
    <t>прочие потребители (договор э/сн одност по двум зонам/день НН)</t>
  </si>
  <si>
    <t>прочие потребители (договор э/сн одност по двум зонам/ночь НН)</t>
  </si>
  <si>
    <t>прочие потребители (договор купли-продажи одност СН-1)</t>
  </si>
  <si>
    <t>прочие потребители (договор купли-продажи одност СН-2)</t>
  </si>
  <si>
    <t>прочие потребители (договор купли-продажи одност НН)</t>
  </si>
  <si>
    <t>сетевые организации, покупающие электрическую энергию для компенсации потерь (одноставочный тариф)</t>
  </si>
  <si>
    <t>Энергоснабжающая организация /гарантирующий поставщик</t>
  </si>
  <si>
    <t>население (одноставочный тариф на электрическую энергию)</t>
  </si>
  <si>
    <t>население (одноставочный тариф на электрическую энергию по двум зонам суток (день)</t>
  </si>
  <si>
    <t>население (одноставочный тариф на электрическую энергию по двум зонам суток (ночь)</t>
  </si>
  <si>
    <t>покупатели на розничных рынках Архангельской области (прочие потребители)</t>
  </si>
  <si>
    <t>покупатели на розничных рынках Архангельской области (прочие потребители) по договорам энергоснабжения на уровне напряжения СН1</t>
  </si>
  <si>
    <t>покупатели на розничных рынках Архангельской области (прочие потребители) по договорам энергоснабжения на уровне напряжения СН2</t>
  </si>
  <si>
    <t>покупатели на розничных рынках Архангельской области (прочие потребители) по договорам энергоснабжения на уровне напряжения НН</t>
  </si>
  <si>
    <t>потребители приравненные к категории "население" (садоводческие) одноставочный тариф на электрическую энергию</t>
  </si>
  <si>
    <t>потребители приравненные к категории "население" (осужденные) одноставочный тариф на электрическую энергию</t>
  </si>
  <si>
    <t>потребители приравненные к категории "население" (религиозные) одноставочный тариф на электрическую энергию</t>
  </si>
  <si>
    <t>потребители, приравненные к категории "население" (гаражи, хоз.постройки) одноставочный тариф на электрическую энергию</t>
  </si>
  <si>
    <t>потребители приравненные к категории "население" (гаражи, хоз.постройки) одноставочный тариф на электрическую энергию по двум зонам суток (день)</t>
  </si>
  <si>
    <t>потребители приравненные к категории "население"(гаражи, хоз.постройки) одноставочный тариф на электрическую энергию по двум зонам суток (ночь)</t>
  </si>
  <si>
    <t>потребители приравненные к категории "население" (религиозные) одноставочный тариф на электрическую энергию по двум зонам суток (день)</t>
  </si>
  <si>
    <t>потребители приравненные к категории "население" (религиозные) одноставочный тариф на электрическую энергию по двум зонам суток (ночь)</t>
  </si>
  <si>
    <t>Экономически обоснованный тариф на эл. Энергию
 (без НДС),
 рублей/кВт*ч</t>
  </si>
  <si>
    <t>Отпускной тариф для населения, потребителей приравленнных к категории "население", иных прочих потребителей
 (без НДС),
 рублей/кВт*ч</t>
  </si>
  <si>
    <t>декабрь
 2021 года,
рублей</t>
  </si>
  <si>
    <t>Недостаток средств областного бюджета, 
рублей</t>
  </si>
  <si>
    <t>ООО "ТГК -2 Энергосбыт" (Каменка, Мезень)</t>
  </si>
  <si>
    <t>ООО "ТГК -2 Энергосбыт" (Коряжма)</t>
  </si>
  <si>
    <t>АО "АрхоблЭнерго"</t>
  </si>
  <si>
    <t>ООО "МТК"</t>
  </si>
  <si>
    <t>Потребность в средствах областного бюджета, рублей</t>
  </si>
  <si>
    <t>Объем ресурса, кВТ*ч</t>
  </si>
  <si>
    <t xml:space="preserve">Расчет плановой потребности
в средствах областного бюджета для предоставления субсидий на возмещение недополученных доходов, возникающих в результате государственного регулирования тарифов
 на электрическую энергию, поставляемую покупателям на розничных рынках Архангельской области,
 на 2022 год </t>
  </si>
  <si>
    <t>декабрь
 2022 года,
рублей</t>
  </si>
  <si>
    <t>Потребность в средствах областного бюджета
 всего в 2022 году
(за декабрь 2021
 - ноябрь 2022),
рублей</t>
  </si>
  <si>
    <t>население и приравненные к ним (одноставочный тариф на электрическую энергию)</t>
  </si>
  <si>
    <t>население и приравненные к ним (одноставочный тариф на электрическую энергию по двум зонам суток (день))</t>
  </si>
  <si>
    <t>население и приравненные к нему (одноставочный тариф на электрическую энергию по двум зонам суток (ночь))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</si>
  <si>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и приравненные к нему(одноставочный тариф на электрическую энергию)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</si>
  <si>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и приравненные к нему(одноставочный тариф на электрическую энергию (день))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</si>
  <si>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и приравненные к нему(одноставочный тариф на электрическую энергию (ночь))</t>
  </si>
  <si>
    <r>
      <t xml:space="preserve">население, проживающее в городских населенных пунктах в домах, </t>
    </r>
    <r>
      <rPr>
        <u/>
        <sz val="14"/>
        <color theme="1"/>
        <rFont val="Tahoma"/>
        <family val="2"/>
        <charset val="204"/>
      </rPr>
      <t>оборудованных</t>
    </r>
    <r>
      <rPr>
        <sz val="14"/>
        <color theme="1"/>
        <rFont val="Tahoma"/>
        <family val="2"/>
        <charset val="204"/>
      </rPr>
      <t xml:space="preserve"> стационарными</t>
    </r>
    <r>
      <rPr>
        <u/>
        <sz val="14"/>
        <color theme="1"/>
        <rFont val="Tahoma"/>
        <family val="2"/>
        <charset val="204"/>
      </rPr>
      <t xml:space="preserve"> электроплитами</t>
    </r>
    <r>
      <rPr>
        <sz val="14"/>
        <color theme="1"/>
        <rFont val="Tahoma"/>
        <family val="2"/>
        <charset val="204"/>
      </rPr>
      <t xml:space="preserve"> </t>
    </r>
    <r>
      <rPr>
        <b/>
        <u/>
        <sz val="14"/>
        <color theme="1"/>
        <rFont val="Tahoma"/>
        <family val="2"/>
        <charset val="204"/>
      </rPr>
      <t>без</t>
    </r>
    <r>
      <rPr>
        <u/>
        <sz val="14"/>
        <color theme="1"/>
        <rFont val="Tahoma"/>
        <family val="2"/>
        <charset val="204"/>
      </rPr>
      <t xml:space="preserve"> электроотопительных установок</t>
    </r>
    <r>
      <rPr>
        <sz val="14"/>
        <color theme="1"/>
        <rFont val="Tahoma"/>
        <family val="2"/>
        <charset val="204"/>
      </rPr>
      <t>, и приравненные к нему(одноставочный тариф на электрическую энергию)</t>
    </r>
  </si>
  <si>
    <r>
      <t xml:space="preserve">население, проживающее в городских населенных пунктах в домах, </t>
    </r>
    <r>
      <rPr>
        <u/>
        <sz val="14"/>
        <color theme="1"/>
        <rFont val="Tahoma"/>
        <family val="2"/>
        <charset val="204"/>
      </rPr>
      <t>оборудованных</t>
    </r>
    <r>
      <rPr>
        <sz val="14"/>
        <color theme="1"/>
        <rFont val="Tahoma"/>
        <family val="2"/>
        <charset val="204"/>
      </rPr>
      <t xml:space="preserve"> стационарными </t>
    </r>
    <r>
      <rPr>
        <u/>
        <sz val="14"/>
        <color theme="1"/>
        <rFont val="Tahoma"/>
        <family val="2"/>
        <charset val="204"/>
      </rPr>
      <t>электроплитами</t>
    </r>
    <r>
      <rPr>
        <sz val="14"/>
        <color theme="1"/>
        <rFont val="Tahoma"/>
        <family val="2"/>
        <charset val="204"/>
      </rPr>
      <t xml:space="preserve"> </t>
    </r>
    <r>
      <rPr>
        <b/>
        <u/>
        <sz val="14"/>
        <color theme="1"/>
        <rFont val="Tahoma"/>
        <family val="2"/>
        <charset val="204"/>
      </rPr>
      <t>без</t>
    </r>
    <r>
      <rPr>
        <u/>
        <sz val="14"/>
        <color theme="1"/>
        <rFont val="Tahoma"/>
        <family val="2"/>
        <charset val="204"/>
      </rPr>
      <t xml:space="preserve"> электроотопительных установок</t>
    </r>
    <r>
      <rPr>
        <sz val="14"/>
        <color theme="1"/>
        <rFont val="Tahoma"/>
        <family val="2"/>
        <charset val="204"/>
      </rPr>
      <t>, и приравненные к нему(одноставочный тариф на электрическую энергию (день)</t>
    </r>
  </si>
  <si>
    <r>
      <t xml:space="preserve">население, проживающее в городских населенных пунктах в домах, </t>
    </r>
    <r>
      <rPr>
        <u/>
        <sz val="14"/>
        <color theme="1"/>
        <rFont val="Tahoma"/>
        <family val="2"/>
        <charset val="204"/>
      </rPr>
      <t>оборудованных</t>
    </r>
    <r>
      <rPr>
        <sz val="14"/>
        <color theme="1"/>
        <rFont val="Tahoma"/>
        <family val="2"/>
        <charset val="204"/>
      </rPr>
      <t xml:space="preserve"> стационарными </t>
    </r>
    <r>
      <rPr>
        <u/>
        <sz val="14"/>
        <color theme="1"/>
        <rFont val="Tahoma"/>
        <family val="2"/>
        <charset val="204"/>
      </rPr>
      <t>электроплитами</t>
    </r>
    <r>
      <rPr>
        <sz val="14"/>
        <color theme="1"/>
        <rFont val="Tahoma"/>
        <family val="2"/>
        <charset val="204"/>
      </rPr>
      <t xml:space="preserve"> </t>
    </r>
    <r>
      <rPr>
        <b/>
        <u/>
        <sz val="14"/>
        <color theme="1"/>
        <rFont val="Tahoma"/>
        <family val="2"/>
        <charset val="204"/>
      </rPr>
      <t>без</t>
    </r>
    <r>
      <rPr>
        <sz val="14"/>
        <color theme="1"/>
        <rFont val="Tahoma"/>
        <family val="2"/>
        <charset val="204"/>
      </rPr>
      <t xml:space="preserve"> </t>
    </r>
    <r>
      <rPr>
        <u/>
        <sz val="14"/>
        <color theme="1"/>
        <rFont val="Tahoma"/>
        <family val="2"/>
        <charset val="204"/>
      </rPr>
      <t>электроотопительных установок</t>
    </r>
    <r>
      <rPr>
        <sz val="14"/>
        <color theme="1"/>
        <rFont val="Tahoma"/>
        <family val="2"/>
        <charset val="204"/>
      </rPr>
      <t>, и приравненные к нему(одноставочный тариф на электрическую энергию (ночь))</t>
    </r>
  </si>
  <si>
    <r>
      <t xml:space="preserve">население, проживающее в городских населенных пунктах в домах, </t>
    </r>
    <r>
      <rPr>
        <u/>
        <sz val="14"/>
        <color theme="1"/>
        <rFont val="Tahoma"/>
        <family val="2"/>
        <charset val="204"/>
      </rPr>
      <t xml:space="preserve">оборудованных электроотопительными установками </t>
    </r>
    <r>
      <rPr>
        <b/>
        <u/>
        <sz val="14"/>
        <color theme="1"/>
        <rFont val="Tahoma"/>
        <family val="2"/>
        <charset val="204"/>
      </rPr>
      <t>без электроплит</t>
    </r>
    <r>
      <rPr>
        <sz val="14"/>
        <color theme="1"/>
        <rFont val="Tahoma"/>
        <family val="2"/>
        <charset val="204"/>
      </rPr>
      <t>, и приравненные к нему(одноставочный тариф на электрическую энергию)</t>
    </r>
  </si>
  <si>
    <r>
      <t xml:space="preserve">население, проживающее в городских населенных пунктах в домах, </t>
    </r>
    <r>
      <rPr>
        <u/>
        <sz val="14"/>
        <color theme="1"/>
        <rFont val="Tahoma"/>
        <family val="2"/>
        <charset val="204"/>
      </rPr>
      <t xml:space="preserve">оборудованных электроотопительными установками </t>
    </r>
    <r>
      <rPr>
        <b/>
        <u/>
        <sz val="14"/>
        <color theme="1"/>
        <rFont val="Tahoma"/>
        <family val="2"/>
        <charset val="204"/>
      </rPr>
      <t>без электроплит</t>
    </r>
    <r>
      <rPr>
        <sz val="14"/>
        <color theme="1"/>
        <rFont val="Tahoma"/>
        <family val="2"/>
        <charset val="204"/>
      </rPr>
      <t>, и приравненные к нему(одноставочный тариф на электрическую энергию (день))</t>
    </r>
  </si>
  <si>
    <r>
      <t xml:space="preserve">население, проживающее в городских населенных пунктах в домах, </t>
    </r>
    <r>
      <rPr>
        <u/>
        <sz val="14"/>
        <color theme="1"/>
        <rFont val="Tahoma"/>
        <family val="2"/>
        <charset val="204"/>
      </rPr>
      <t xml:space="preserve">оборудованных электроотопительными установками </t>
    </r>
    <r>
      <rPr>
        <b/>
        <u/>
        <sz val="14"/>
        <color theme="1"/>
        <rFont val="Tahoma"/>
        <family val="2"/>
        <charset val="204"/>
      </rPr>
      <t>без электроплит</t>
    </r>
    <r>
      <rPr>
        <sz val="14"/>
        <color theme="1"/>
        <rFont val="Tahoma"/>
        <family val="2"/>
        <charset val="204"/>
      </rPr>
      <t>, и приравненные к нему(одноставочный тариф на электрическую энергию (ночь))</t>
    </r>
  </si>
  <si>
    <t>потребители, приравненные к категории "население" (гаражи, хоз.постройки) одноставочный тариф на электрическую энергию (день)</t>
  </si>
  <si>
    <t>потребители, приравненные к категории "население" (гаражи, хоз.постройки) одноставочный тариф на электрическую энергию (ночь)</t>
  </si>
  <si>
    <t>Лимит на 2022 год, 
рублей</t>
  </si>
  <si>
    <t>1 квартал (план)</t>
  </si>
  <si>
    <t>2 квартал (план)</t>
  </si>
  <si>
    <t>1 квартал (факт)</t>
  </si>
  <si>
    <t>3 квартал (план)</t>
  </si>
  <si>
    <t>4 квартал (план)</t>
  </si>
  <si>
    <t>1 квартал
 (план)</t>
  </si>
  <si>
    <t>1 квартал
 (факт)</t>
  </si>
  <si>
    <t>2 квартал
 (план)</t>
  </si>
  <si>
    <t>3 квартал
 (план)</t>
  </si>
  <si>
    <t>4 квартал
 (план)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</si>
</sst>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ahoma"/>
      <family val="2"/>
      <charset val="204"/>
    </font>
    <font>
      <sz val="12"/>
      <color theme="1"/>
      <name val="Tahoma"/>
      <family val="2"/>
      <charset val="204"/>
    </font>
    <font>
      <sz val="14"/>
      <name val="Tahoma"/>
      <family val="2"/>
      <charset val="204"/>
    </font>
    <font>
      <sz val="18"/>
      <name val="Tahoma"/>
      <family val="2"/>
      <charset val="204"/>
    </font>
    <font>
      <sz val="14"/>
      <color theme="1"/>
      <name val="Tahoma"/>
      <family val="2"/>
      <charset val="204"/>
    </font>
    <font>
      <sz val="14"/>
      <color rgb="FFFF0000"/>
      <name val="Tahoma"/>
      <family val="2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ahoma"/>
      <family val="2"/>
      <charset val="204"/>
    </font>
    <font>
      <u/>
      <sz val="14"/>
      <color theme="1"/>
      <name val="Tahoma"/>
      <family val="2"/>
      <charset val="204"/>
    </font>
    <font>
      <b/>
      <sz val="11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sz val="12"/>
      <color rgb="FF0070C0"/>
      <name val="Tahoma"/>
      <family val="2"/>
      <charset val="204"/>
    </font>
    <font>
      <sz val="14"/>
      <color rgb="FF0070C0"/>
      <name val="Tahoma"/>
      <family val="2"/>
      <charset val="204"/>
    </font>
    <font>
      <sz val="14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164" fontId="5" fillId="0" borderId="0" xfId="1" applyFont="1"/>
    <xf numFmtId="0" fontId="6" fillId="2" borderId="1" xfId="4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2" borderId="1" xfId="4" applyFont="1" applyFill="1" applyBorder="1" applyAlignment="1">
      <alignment horizontal="center" vertical="center" wrapText="1"/>
    </xf>
    <xf numFmtId="0" fontId="5" fillId="0" borderId="0" xfId="0" applyFont="1" applyBorder="1"/>
    <xf numFmtId="164" fontId="5" fillId="0" borderId="0" xfId="1" applyFont="1" applyBorder="1"/>
    <xf numFmtId="0" fontId="5" fillId="3" borderId="0" xfId="0" applyFont="1" applyFill="1"/>
    <xf numFmtId="4" fontId="5" fillId="0" borderId="0" xfId="0" applyNumberFormat="1" applyFont="1"/>
    <xf numFmtId="0" fontId="8" fillId="2" borderId="1" xfId="0" applyFont="1" applyFill="1" applyBorder="1" applyAlignment="1">
      <alignment horizontal="center" vertical="center" wrapText="1" shrinkToFit="1"/>
    </xf>
    <xf numFmtId="0" fontId="6" fillId="2" borderId="1" xfId="4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 shrinkToFit="1"/>
    </xf>
    <xf numFmtId="4" fontId="10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right" vertical="center" wrapText="1"/>
    </xf>
    <xf numFmtId="49" fontId="12" fillId="3" borderId="0" xfId="0" applyNumberFormat="1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center" vertical="center" wrapText="1" shrinkToFit="1"/>
    </xf>
    <xf numFmtId="4" fontId="10" fillId="3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164" fontId="13" fillId="0" borderId="0" xfId="1" applyFont="1"/>
    <xf numFmtId="4" fontId="10" fillId="4" borderId="1" xfId="0" applyNumberFormat="1" applyFont="1" applyFill="1" applyBorder="1" applyAlignment="1">
      <alignment horizontal="center" vertical="center" wrapText="1"/>
    </xf>
    <xf numFmtId="4" fontId="13" fillId="0" borderId="0" xfId="0" applyNumberFormat="1" applyFont="1"/>
    <xf numFmtId="0" fontId="20" fillId="2" borderId="1" xfId="4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4" fontId="21" fillId="3" borderId="0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/>
    <xf numFmtId="164" fontId="22" fillId="0" borderId="0" xfId="1" applyFont="1"/>
    <xf numFmtId="164" fontId="23" fillId="0" borderId="0" xfId="1" applyFont="1" applyBorder="1"/>
    <xf numFmtId="164" fontId="23" fillId="0" borderId="0" xfId="1" applyFont="1"/>
    <xf numFmtId="0" fontId="8" fillId="2" borderId="1" xfId="3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7" fillId="2" borderId="3" xfId="4" applyFont="1" applyFill="1" applyBorder="1" applyAlignment="1">
      <alignment horizontal="center" vertical="center" wrapText="1"/>
    </xf>
    <xf numFmtId="0" fontId="7" fillId="2" borderId="4" xfId="4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 2" xfId="5"/>
    <cellStyle name="Обычный 10 2 4 2" xfId="6"/>
    <cellStyle name="Обычный 2" xfId="3"/>
    <cellStyle name="Обычный 2 2" xfId="4"/>
    <cellStyle name="Обычный 7" xfId="2"/>
    <cellStyle name="Финансовый" xfId="1" builtinId="3"/>
  </cellStyles>
  <dxfs count="0"/>
  <tableStyles count="0" defaultTableStyle="TableStyleMedium9" defaultPivotStyle="PivotStyleLight16"/>
  <colors>
    <mruColors>
      <color rgb="FFFFFFCC"/>
      <color rgb="FFFFCCFF"/>
      <color rgb="FFCC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2"/>
  <sheetViews>
    <sheetView tabSelected="1" zoomScale="60" zoomScaleNormal="60" workbookViewId="0">
      <pane xSplit="2" ySplit="4" topLeftCell="I5" activePane="bottomRight" state="frozen"/>
      <selection pane="topRight" activeCell="H1" sqref="H1"/>
      <selection pane="bottomLeft" activeCell="A3" sqref="A3"/>
      <selection pane="bottomRight" sqref="A1:U1"/>
    </sheetView>
  </sheetViews>
  <sheetFormatPr defaultRowHeight="15" outlineLevelRow="1" outlineLevelCol="1"/>
  <cols>
    <col min="1" max="1" width="22.28515625" style="2" customWidth="1"/>
    <col min="2" max="2" width="90" style="5" customWidth="1"/>
    <col min="3" max="3" width="19.7109375" style="33" hidden="1" customWidth="1" outlineLevel="1"/>
    <col min="4" max="4" width="19.7109375" style="2" customWidth="1" collapsed="1"/>
    <col min="5" max="8" width="19.7109375" style="2" customWidth="1"/>
    <col min="9" max="12" width="16.140625" style="2" customWidth="1"/>
    <col min="13" max="13" width="20.42578125" style="36" hidden="1" customWidth="1" outlineLevel="1"/>
    <col min="14" max="14" width="24" style="3" customWidth="1" collapsed="1"/>
    <col min="15" max="15" width="20.42578125" style="3" customWidth="1"/>
    <col min="16" max="17" width="20.42578125" style="2" customWidth="1"/>
    <col min="18" max="20" width="24" style="2" customWidth="1"/>
    <col min="21" max="21" width="27.5703125" style="2" customWidth="1"/>
    <col min="22" max="22" width="31.28515625" style="2" customWidth="1"/>
    <col min="23" max="23" width="9.140625" style="2"/>
    <col min="24" max="24" width="18" style="2" bestFit="1" customWidth="1"/>
    <col min="25" max="16384" width="9.140625" style="2"/>
  </cols>
  <sheetData>
    <row r="1" spans="1:24" ht="95.25" customHeight="1">
      <c r="A1" s="38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3" spans="1:24" s="1" customFormat="1" ht="122.25" customHeight="1">
      <c r="A3" s="39" t="s">
        <v>16</v>
      </c>
      <c r="B3" s="39" t="s">
        <v>1</v>
      </c>
      <c r="C3" s="40" t="s">
        <v>41</v>
      </c>
      <c r="D3" s="41"/>
      <c r="E3" s="41"/>
      <c r="F3" s="41"/>
      <c r="G3" s="41"/>
      <c r="H3" s="42"/>
      <c r="I3" s="40" t="s">
        <v>32</v>
      </c>
      <c r="J3" s="42"/>
      <c r="K3" s="43" t="s">
        <v>33</v>
      </c>
      <c r="L3" s="43"/>
      <c r="M3" s="37" t="s">
        <v>40</v>
      </c>
      <c r="N3" s="37"/>
      <c r="O3" s="37"/>
      <c r="P3" s="37"/>
      <c r="Q3" s="37"/>
      <c r="R3" s="37"/>
      <c r="S3" s="39" t="s">
        <v>34</v>
      </c>
      <c r="T3" s="44" t="s">
        <v>43</v>
      </c>
      <c r="U3" s="37" t="s">
        <v>44</v>
      </c>
    </row>
    <row r="4" spans="1:24" s="1" customFormat="1" ht="42" customHeight="1">
      <c r="A4" s="39"/>
      <c r="B4" s="39"/>
      <c r="C4" s="28" t="s">
        <v>60</v>
      </c>
      <c r="D4" s="12" t="s">
        <v>62</v>
      </c>
      <c r="E4" s="12" t="s">
        <v>61</v>
      </c>
      <c r="F4" s="12" t="s">
        <v>63</v>
      </c>
      <c r="G4" s="4" t="s">
        <v>64</v>
      </c>
      <c r="H4" s="4" t="s">
        <v>0</v>
      </c>
      <c r="I4" s="6" t="s">
        <v>2</v>
      </c>
      <c r="J4" s="6" t="s">
        <v>3</v>
      </c>
      <c r="K4" s="6" t="s">
        <v>4</v>
      </c>
      <c r="L4" s="6" t="s">
        <v>3</v>
      </c>
      <c r="M4" s="28" t="s">
        <v>65</v>
      </c>
      <c r="N4" s="12" t="s">
        <v>66</v>
      </c>
      <c r="O4" s="12" t="s">
        <v>67</v>
      </c>
      <c r="P4" s="12" t="s">
        <v>68</v>
      </c>
      <c r="Q4" s="4" t="s">
        <v>69</v>
      </c>
      <c r="R4" s="4" t="s">
        <v>0</v>
      </c>
      <c r="S4" s="39"/>
      <c r="T4" s="44"/>
      <c r="U4" s="37"/>
    </row>
    <row r="5" spans="1:24" ht="72" customHeight="1">
      <c r="A5" s="37" t="s">
        <v>38</v>
      </c>
      <c r="B5" s="13" t="s">
        <v>18</v>
      </c>
      <c r="C5" s="29">
        <f>1984523+5834</f>
        <v>1990357</v>
      </c>
      <c r="D5" s="14">
        <v>1895017</v>
      </c>
      <c r="E5" s="15">
        <f>1255572+3060</f>
        <v>1258632</v>
      </c>
      <c r="F5" s="15">
        <f>1144328+3332</f>
        <v>1147660</v>
      </c>
      <c r="G5" s="15">
        <f>1474646+4651</f>
        <v>1479297</v>
      </c>
      <c r="H5" s="14">
        <f>D5+E5+F5+G5</f>
        <v>5780606</v>
      </c>
      <c r="I5" s="14">
        <v>39.81</v>
      </c>
      <c r="J5" s="14">
        <v>55.49</v>
      </c>
      <c r="K5" s="14">
        <v>3.59</v>
      </c>
      <c r="L5" s="14">
        <v>3.78</v>
      </c>
      <c r="M5" s="29">
        <f t="shared" ref="M5" si="0">(I5-K5)*C5</f>
        <v>72090730.539999992</v>
      </c>
      <c r="N5" s="14">
        <f>D5*(I5-K5)</f>
        <v>68637515.739999995</v>
      </c>
      <c r="O5" s="14">
        <f t="shared" ref="O5" si="1">(I5-K5)*E5</f>
        <v>45587651.039999999</v>
      </c>
      <c r="P5" s="14">
        <f>(J5-L5)*F5</f>
        <v>59345498.600000001</v>
      </c>
      <c r="Q5" s="14">
        <f>(J5-L5)*G5</f>
        <v>76494447.870000005</v>
      </c>
      <c r="R5" s="14">
        <f>N5+O5+P5+Q5</f>
        <v>250065113.25</v>
      </c>
      <c r="S5" s="14"/>
      <c r="T5" s="14"/>
      <c r="U5" s="14"/>
    </row>
    <row r="6" spans="1:24" ht="72" customHeight="1">
      <c r="A6" s="37"/>
      <c r="B6" s="16" t="s">
        <v>19</v>
      </c>
      <c r="C6" s="29">
        <f>966058+2977</f>
        <v>969035</v>
      </c>
      <c r="D6" s="14">
        <v>918447</v>
      </c>
      <c r="E6" s="15">
        <f>581725+1405</f>
        <v>583130</v>
      </c>
      <c r="F6" s="15">
        <f>439259+1601</f>
        <v>440860</v>
      </c>
      <c r="G6" s="15">
        <f>666999+2061</f>
        <v>669060</v>
      </c>
      <c r="H6" s="14">
        <f t="shared" ref="H6:H56" si="2">D6+E6+F6+G6</f>
        <v>2611497</v>
      </c>
      <c r="I6" s="14">
        <v>39.81</v>
      </c>
      <c r="J6" s="14">
        <v>55.49</v>
      </c>
      <c r="K6" s="14">
        <v>1.23</v>
      </c>
      <c r="L6" s="14">
        <v>1.42</v>
      </c>
      <c r="M6" s="29">
        <f>(I6-K6)*C6</f>
        <v>37385370.300000004</v>
      </c>
      <c r="N6" s="14">
        <f>D6*(I6-K6)</f>
        <v>35433685.260000005</v>
      </c>
      <c r="O6" s="14">
        <f t="shared" ref="O6:O14" si="3">(I6-K6)*E6</f>
        <v>22497155.400000002</v>
      </c>
      <c r="P6" s="14">
        <f t="shared" ref="P6:P14" si="4">(J6-L6)*F6</f>
        <v>23837300.199999999</v>
      </c>
      <c r="Q6" s="14">
        <f t="shared" ref="Q6:Q14" si="5">(J6-L6)*G6</f>
        <v>36176074.200000003</v>
      </c>
      <c r="R6" s="14">
        <f t="shared" ref="R6:R11" si="6">N6+O6+P6+Q6</f>
        <v>117944215.06000002</v>
      </c>
      <c r="S6" s="14"/>
      <c r="T6" s="14"/>
      <c r="U6" s="14"/>
    </row>
    <row r="7" spans="1:24" ht="72" customHeight="1">
      <c r="A7" s="37"/>
      <c r="B7" s="13" t="s">
        <v>17</v>
      </c>
      <c r="C7" s="29">
        <f>3356233+23934</f>
        <v>3380167</v>
      </c>
      <c r="D7" s="14">
        <v>3090737.8710000003</v>
      </c>
      <c r="E7" s="15">
        <f>2643747+25806</f>
        <v>2669553</v>
      </c>
      <c r="F7" s="15">
        <f>3094109+22756</f>
        <v>3116865</v>
      </c>
      <c r="G7" s="15">
        <f>2772838+36472</f>
        <v>2809310</v>
      </c>
      <c r="H7" s="14">
        <f t="shared" si="2"/>
        <v>11686465.870999999</v>
      </c>
      <c r="I7" s="14">
        <v>39.81</v>
      </c>
      <c r="J7" s="14">
        <v>55.49</v>
      </c>
      <c r="K7" s="14">
        <v>3.13</v>
      </c>
      <c r="L7" s="14">
        <v>3.29</v>
      </c>
      <c r="M7" s="29">
        <f t="shared" ref="M7:M14" si="7">(I7-K7)*C7</f>
        <v>123984525.56</v>
      </c>
      <c r="N7" s="14">
        <f t="shared" ref="N7:N56" si="8">D7*(I7-K7)</f>
        <v>113368265.10828</v>
      </c>
      <c r="O7" s="14">
        <f t="shared" si="3"/>
        <v>97919204.040000007</v>
      </c>
      <c r="P7" s="14">
        <f t="shared" si="4"/>
        <v>162700353</v>
      </c>
      <c r="Q7" s="14">
        <f t="shared" si="5"/>
        <v>146645982</v>
      </c>
      <c r="R7" s="14">
        <f t="shared" si="6"/>
        <v>520633804.14828002</v>
      </c>
      <c r="S7" s="14"/>
      <c r="T7" s="14"/>
      <c r="U7" s="14"/>
    </row>
    <row r="8" spans="1:24" ht="72" customHeight="1">
      <c r="A8" s="37"/>
      <c r="B8" s="16" t="s">
        <v>20</v>
      </c>
      <c r="C8" s="29">
        <v>4811962</v>
      </c>
      <c r="D8" s="14">
        <v>4448953</v>
      </c>
      <c r="E8" s="15">
        <v>2913096</v>
      </c>
      <c r="F8" s="15">
        <v>2102292</v>
      </c>
      <c r="G8" s="15">
        <v>3512936</v>
      </c>
      <c r="H8" s="14">
        <f>D8+E8+F8+G8</f>
        <v>12977277</v>
      </c>
      <c r="I8" s="14">
        <v>39.81</v>
      </c>
      <c r="J8" s="14">
        <v>55.49</v>
      </c>
      <c r="K8" s="14">
        <v>7.95</v>
      </c>
      <c r="L8" s="14">
        <v>7.95</v>
      </c>
      <c r="M8" s="29">
        <f t="shared" si="7"/>
        <v>153309109.32000002</v>
      </c>
      <c r="N8" s="14">
        <f t="shared" si="8"/>
        <v>141743642.58000001</v>
      </c>
      <c r="O8" s="14">
        <f t="shared" si="3"/>
        <v>92811238.560000002</v>
      </c>
      <c r="P8" s="14">
        <f t="shared" si="4"/>
        <v>99942961.679999992</v>
      </c>
      <c r="Q8" s="14">
        <f t="shared" si="5"/>
        <v>167004977.44</v>
      </c>
      <c r="R8" s="14">
        <f t="shared" si="6"/>
        <v>501502820.25999999</v>
      </c>
      <c r="S8" s="14"/>
      <c r="T8" s="14"/>
      <c r="U8" s="14"/>
    </row>
    <row r="9" spans="1:24" ht="72" customHeight="1">
      <c r="A9" s="37"/>
      <c r="B9" s="16" t="s">
        <v>30</v>
      </c>
      <c r="C9" s="29">
        <v>211753</v>
      </c>
      <c r="D9" s="14">
        <v>208251</v>
      </c>
      <c r="E9" s="15">
        <v>138937</v>
      </c>
      <c r="F9" s="15">
        <v>137540</v>
      </c>
      <c r="G9" s="15">
        <v>138612</v>
      </c>
      <c r="H9" s="14">
        <f t="shared" si="2"/>
        <v>623340</v>
      </c>
      <c r="I9" s="14">
        <v>39.81</v>
      </c>
      <c r="J9" s="14">
        <v>55.49</v>
      </c>
      <c r="K9" s="14">
        <v>3.85</v>
      </c>
      <c r="L9" s="14">
        <v>4.05</v>
      </c>
      <c r="M9" s="29">
        <f t="shared" si="7"/>
        <v>7614637.8799999999</v>
      </c>
      <c r="N9" s="14">
        <f t="shared" si="8"/>
        <v>7488705.96</v>
      </c>
      <c r="O9" s="14">
        <f t="shared" si="3"/>
        <v>4996174.5200000005</v>
      </c>
      <c r="P9" s="14">
        <f t="shared" si="4"/>
        <v>7075057.6000000006</v>
      </c>
      <c r="Q9" s="14">
        <f t="shared" si="5"/>
        <v>7130201.2800000003</v>
      </c>
      <c r="R9" s="14">
        <f t="shared" si="6"/>
        <v>26690139.360000003</v>
      </c>
      <c r="S9" s="14"/>
      <c r="T9" s="14"/>
      <c r="U9" s="14"/>
    </row>
    <row r="10" spans="1:24" ht="72" customHeight="1">
      <c r="A10" s="37"/>
      <c r="B10" s="16" t="s">
        <v>31</v>
      </c>
      <c r="C10" s="29">
        <v>97700</v>
      </c>
      <c r="D10" s="14">
        <v>93340</v>
      </c>
      <c r="E10" s="15">
        <v>59498</v>
      </c>
      <c r="F10" s="15">
        <v>46078</v>
      </c>
      <c r="G10" s="15">
        <v>63184</v>
      </c>
      <c r="H10" s="14">
        <f t="shared" si="2"/>
        <v>262100</v>
      </c>
      <c r="I10" s="14">
        <v>39.81</v>
      </c>
      <c r="J10" s="14">
        <v>55.49</v>
      </c>
      <c r="K10" s="14">
        <v>1.32</v>
      </c>
      <c r="L10" s="14">
        <v>1.52</v>
      </c>
      <c r="M10" s="29">
        <f t="shared" si="7"/>
        <v>3760473</v>
      </c>
      <c r="N10" s="14">
        <f t="shared" si="8"/>
        <v>3592656.6</v>
      </c>
      <c r="O10" s="14">
        <f t="shared" si="3"/>
        <v>2290078.02</v>
      </c>
      <c r="P10" s="14">
        <f t="shared" si="4"/>
        <v>2486829.66</v>
      </c>
      <c r="Q10" s="14">
        <f t="shared" si="5"/>
        <v>3410040.48</v>
      </c>
      <c r="R10" s="14">
        <f t="shared" si="6"/>
        <v>11779604.76</v>
      </c>
      <c r="S10" s="14"/>
      <c r="T10" s="14"/>
      <c r="U10" s="14"/>
    </row>
    <row r="11" spans="1:24" ht="72" customHeight="1">
      <c r="A11" s="37"/>
      <c r="B11" s="16" t="s">
        <v>26</v>
      </c>
      <c r="C11" s="29">
        <v>159774</v>
      </c>
      <c r="D11" s="14">
        <v>144205</v>
      </c>
      <c r="E11" s="15">
        <v>99379</v>
      </c>
      <c r="F11" s="15">
        <v>112141</v>
      </c>
      <c r="G11" s="15">
        <v>92963</v>
      </c>
      <c r="H11" s="14">
        <f t="shared" si="2"/>
        <v>448688</v>
      </c>
      <c r="I11" s="14">
        <v>39.81</v>
      </c>
      <c r="J11" s="14">
        <v>55.49</v>
      </c>
      <c r="K11" s="14">
        <v>3.35</v>
      </c>
      <c r="L11" s="14">
        <v>3.53</v>
      </c>
      <c r="M11" s="29">
        <f t="shared" si="7"/>
        <v>5825360.04</v>
      </c>
      <c r="N11" s="14">
        <f t="shared" si="8"/>
        <v>5257714.3</v>
      </c>
      <c r="O11" s="14">
        <f t="shared" si="3"/>
        <v>3623358.3400000003</v>
      </c>
      <c r="P11" s="14">
        <f t="shared" si="4"/>
        <v>5826846.3600000003</v>
      </c>
      <c r="Q11" s="14">
        <f t="shared" si="5"/>
        <v>4830357.4800000004</v>
      </c>
      <c r="R11" s="14">
        <f t="shared" si="6"/>
        <v>19538276.48</v>
      </c>
      <c r="S11" s="14"/>
      <c r="T11" s="14"/>
      <c r="U11" s="14"/>
    </row>
    <row r="12" spans="1:24" ht="54.75" hidden="1" customHeight="1" outlineLevel="1">
      <c r="A12" s="37"/>
      <c r="B12" s="16" t="s">
        <v>27</v>
      </c>
      <c r="C12" s="29">
        <v>0</v>
      </c>
      <c r="D12" s="14">
        <v>0</v>
      </c>
      <c r="E12" s="15">
        <v>0</v>
      </c>
      <c r="F12" s="15">
        <v>0</v>
      </c>
      <c r="G12" s="15">
        <v>0</v>
      </c>
      <c r="H12" s="14">
        <f t="shared" si="2"/>
        <v>0</v>
      </c>
      <c r="I12" s="14">
        <v>39.81</v>
      </c>
      <c r="J12" s="14">
        <v>55.49</v>
      </c>
      <c r="K12" s="14">
        <v>4.47</v>
      </c>
      <c r="L12" s="14">
        <v>4.63</v>
      </c>
      <c r="M12" s="29">
        <f t="shared" si="7"/>
        <v>0</v>
      </c>
      <c r="N12" s="14">
        <f t="shared" si="8"/>
        <v>0</v>
      </c>
      <c r="O12" s="14">
        <f t="shared" si="3"/>
        <v>0</v>
      </c>
      <c r="P12" s="14">
        <f t="shared" si="4"/>
        <v>0</v>
      </c>
      <c r="Q12" s="14">
        <f t="shared" si="5"/>
        <v>0</v>
      </c>
      <c r="R12" s="14">
        <f t="shared" ref="R12:R14" si="9">N12+O12+P12+Q12</f>
        <v>0</v>
      </c>
      <c r="S12" s="14"/>
      <c r="T12" s="14"/>
      <c r="U12" s="14"/>
    </row>
    <row r="13" spans="1:24" ht="48.75" hidden="1" customHeight="1" outlineLevel="1">
      <c r="A13" s="37"/>
      <c r="B13" s="16" t="s">
        <v>28</v>
      </c>
      <c r="C13" s="29">
        <v>0</v>
      </c>
      <c r="D13" s="14">
        <v>0</v>
      </c>
      <c r="E13" s="15">
        <v>0</v>
      </c>
      <c r="F13" s="15">
        <v>0</v>
      </c>
      <c r="G13" s="15">
        <v>0</v>
      </c>
      <c r="H13" s="14">
        <f t="shared" si="2"/>
        <v>0</v>
      </c>
      <c r="I13" s="14">
        <v>39.81</v>
      </c>
      <c r="J13" s="14">
        <v>55.49</v>
      </c>
      <c r="K13" s="14">
        <v>5.13</v>
      </c>
      <c r="L13" s="14">
        <v>5.33</v>
      </c>
      <c r="M13" s="29">
        <f t="shared" si="7"/>
        <v>0</v>
      </c>
      <c r="N13" s="14">
        <f t="shared" si="8"/>
        <v>0</v>
      </c>
      <c r="O13" s="14">
        <f t="shared" si="3"/>
        <v>0</v>
      </c>
      <c r="P13" s="14">
        <f t="shared" si="4"/>
        <v>0</v>
      </c>
      <c r="Q13" s="14">
        <f t="shared" si="5"/>
        <v>0</v>
      </c>
      <c r="R13" s="14">
        <f t="shared" si="9"/>
        <v>0</v>
      </c>
      <c r="S13" s="14"/>
      <c r="T13" s="14"/>
      <c r="U13" s="14"/>
    </row>
    <row r="14" spans="1:24" ht="48.75" hidden="1" customHeight="1" outlineLevel="1">
      <c r="A14" s="37"/>
      <c r="B14" s="16" t="s">
        <v>29</v>
      </c>
      <c r="C14" s="29">
        <v>0</v>
      </c>
      <c r="D14" s="14">
        <v>0</v>
      </c>
      <c r="E14" s="15">
        <v>0</v>
      </c>
      <c r="F14" s="15">
        <v>0</v>
      </c>
      <c r="G14" s="15">
        <v>0</v>
      </c>
      <c r="H14" s="14">
        <f t="shared" si="2"/>
        <v>0</v>
      </c>
      <c r="I14" s="14">
        <v>39.81</v>
      </c>
      <c r="J14" s="14">
        <v>55.49</v>
      </c>
      <c r="K14" s="14">
        <v>1.77</v>
      </c>
      <c r="L14" s="14">
        <v>2.0299999999999998</v>
      </c>
      <c r="M14" s="29">
        <f t="shared" si="7"/>
        <v>0</v>
      </c>
      <c r="N14" s="14">
        <f t="shared" si="8"/>
        <v>0</v>
      </c>
      <c r="O14" s="14">
        <f t="shared" si="3"/>
        <v>0</v>
      </c>
      <c r="P14" s="14">
        <f t="shared" si="4"/>
        <v>0</v>
      </c>
      <c r="Q14" s="14">
        <f t="shared" si="5"/>
        <v>0</v>
      </c>
      <c r="R14" s="14">
        <f t="shared" si="9"/>
        <v>0</v>
      </c>
      <c r="S14" s="14"/>
      <c r="T14" s="14"/>
      <c r="U14" s="14"/>
      <c r="X14" s="10"/>
    </row>
    <row r="15" spans="1:24" ht="46.5" customHeight="1" collapsed="1">
      <c r="A15" s="37"/>
      <c r="B15" s="11" t="s">
        <v>5</v>
      </c>
      <c r="C15" s="30">
        <f>SUM(C5:C14)</f>
        <v>11620748</v>
      </c>
      <c r="D15" s="17">
        <f>SUM(D5:D14)</f>
        <v>10798950.870999999</v>
      </c>
      <c r="E15" s="17">
        <f t="shared" ref="E15:H15" si="10">SUM(E5:E14)</f>
        <v>7722225</v>
      </c>
      <c r="F15" s="17">
        <f t="shared" si="10"/>
        <v>7103436</v>
      </c>
      <c r="G15" s="17">
        <f t="shared" si="10"/>
        <v>8765362</v>
      </c>
      <c r="H15" s="17">
        <f t="shared" si="10"/>
        <v>34389973.870999999</v>
      </c>
      <c r="I15" s="17"/>
      <c r="J15" s="17"/>
      <c r="K15" s="17"/>
      <c r="L15" s="17"/>
      <c r="M15" s="30">
        <f>SUM(M5:M14)</f>
        <v>403970206.64000005</v>
      </c>
      <c r="N15" s="17">
        <f>SUM(N5:N14)</f>
        <v>375522185.54828</v>
      </c>
      <c r="O15" s="17">
        <f>SUM(O5:O14)</f>
        <v>269724859.92000002</v>
      </c>
      <c r="P15" s="17">
        <f t="shared" ref="P15" si="11">SUM(P5:P14)</f>
        <v>361214847.10000008</v>
      </c>
      <c r="Q15" s="17">
        <f t="shared" ref="Q15" si="12">SUM(Q5:Q14)</f>
        <v>441692080.75</v>
      </c>
      <c r="R15" s="17">
        <f>SUM(R5:R14)</f>
        <v>1448153973.31828</v>
      </c>
      <c r="S15" s="17">
        <v>7356459.3399999999</v>
      </c>
      <c r="T15" s="17">
        <f>Q15/3/2</f>
        <v>73615346.791666672</v>
      </c>
      <c r="U15" s="26">
        <f>R15+S15-T15</f>
        <v>1381895085.8666131</v>
      </c>
    </row>
    <row r="16" spans="1:24" ht="56.25" customHeight="1">
      <c r="A16" s="37" t="s">
        <v>39</v>
      </c>
      <c r="B16" s="13" t="s">
        <v>18</v>
      </c>
      <c r="C16" s="29">
        <v>46670</v>
      </c>
      <c r="D16" s="14">
        <v>37053</v>
      </c>
      <c r="E16" s="15">
        <v>31621</v>
      </c>
      <c r="F16" s="15">
        <v>21901</v>
      </c>
      <c r="G16" s="15">
        <v>35636</v>
      </c>
      <c r="H16" s="14">
        <f t="shared" si="2"/>
        <v>126211</v>
      </c>
      <c r="I16" s="14">
        <v>39.81</v>
      </c>
      <c r="J16" s="14">
        <v>78.849999999999994</v>
      </c>
      <c r="K16" s="14">
        <v>3.59</v>
      </c>
      <c r="L16" s="14">
        <v>3.78</v>
      </c>
      <c r="M16" s="29">
        <f>(I16-K16)*C16</f>
        <v>1690387.4</v>
      </c>
      <c r="N16" s="14">
        <f t="shared" si="8"/>
        <v>1342059.6599999999</v>
      </c>
      <c r="O16" s="14">
        <f>(I16-K16)*E16</f>
        <v>1145312.6199999999</v>
      </c>
      <c r="P16" s="14">
        <f>($J16-$L16)*F16</f>
        <v>1644108.0699999998</v>
      </c>
      <c r="Q16" s="14">
        <f>($J16-$L16)*G16</f>
        <v>2675194.5199999996</v>
      </c>
      <c r="R16" s="14">
        <f>N16+O16+P16+Q16</f>
        <v>6806674.8699999992</v>
      </c>
      <c r="S16" s="14"/>
      <c r="T16" s="14"/>
      <c r="U16" s="14"/>
    </row>
    <row r="17" spans="1:21" ht="56.25" customHeight="1">
      <c r="A17" s="37"/>
      <c r="B17" s="16" t="s">
        <v>19</v>
      </c>
      <c r="C17" s="29">
        <v>14204</v>
      </c>
      <c r="D17" s="14">
        <v>12117</v>
      </c>
      <c r="E17" s="15">
        <v>9624</v>
      </c>
      <c r="F17" s="15">
        <v>6665</v>
      </c>
      <c r="G17" s="15">
        <v>10846</v>
      </c>
      <c r="H17" s="14">
        <f t="shared" si="2"/>
        <v>39252</v>
      </c>
      <c r="I17" s="14">
        <v>39.81</v>
      </c>
      <c r="J17" s="14">
        <v>78.849999999999994</v>
      </c>
      <c r="K17" s="14">
        <v>1.23</v>
      </c>
      <c r="L17" s="14">
        <v>1.42</v>
      </c>
      <c r="M17" s="29">
        <f t="shared" ref="M17:M20" si="13">(I17-K17)*C17</f>
        <v>547990.32000000007</v>
      </c>
      <c r="N17" s="14">
        <f t="shared" si="8"/>
        <v>467473.86000000004</v>
      </c>
      <c r="O17" s="14">
        <f t="shared" ref="O17:O20" si="14">(I17-K17)*E17</f>
        <v>371293.92000000004</v>
      </c>
      <c r="P17" s="14">
        <f t="shared" ref="P17:P19" si="15">($J17-$L17)*F17</f>
        <v>516070.94999999995</v>
      </c>
      <c r="Q17" s="14">
        <f t="shared" ref="Q17:Q20" si="16">($J17-$L17)*G17</f>
        <v>839805.77999999991</v>
      </c>
      <c r="R17" s="14">
        <f t="shared" ref="R17:R20" si="17">N17+O17+P17+Q17</f>
        <v>2194644.5099999998</v>
      </c>
      <c r="S17" s="14"/>
      <c r="T17" s="14"/>
      <c r="U17" s="14"/>
    </row>
    <row r="18" spans="1:21" ht="56.25" customHeight="1">
      <c r="A18" s="37"/>
      <c r="B18" s="13" t="s">
        <v>17</v>
      </c>
      <c r="C18" s="29">
        <v>58844</v>
      </c>
      <c r="D18" s="14">
        <v>43313</v>
      </c>
      <c r="E18" s="15">
        <v>39870</v>
      </c>
      <c r="F18" s="15">
        <v>27614</v>
      </c>
      <c r="G18" s="15">
        <v>44933</v>
      </c>
      <c r="H18" s="14">
        <f t="shared" si="2"/>
        <v>155730</v>
      </c>
      <c r="I18" s="14">
        <v>39.81</v>
      </c>
      <c r="J18" s="14">
        <v>78.849999999999994</v>
      </c>
      <c r="K18" s="14">
        <v>3.13</v>
      </c>
      <c r="L18" s="14">
        <v>3.29</v>
      </c>
      <c r="M18" s="29">
        <f t="shared" si="13"/>
        <v>2158397.92</v>
      </c>
      <c r="N18" s="14">
        <f t="shared" si="8"/>
        <v>1588720.84</v>
      </c>
      <c r="O18" s="14">
        <f t="shared" si="14"/>
        <v>1462431.6</v>
      </c>
      <c r="P18" s="14">
        <f t="shared" si="15"/>
        <v>2086513.8399999996</v>
      </c>
      <c r="Q18" s="14">
        <f t="shared" si="16"/>
        <v>3395137.4799999995</v>
      </c>
      <c r="R18" s="14">
        <f t="shared" si="17"/>
        <v>8532803.7599999998</v>
      </c>
      <c r="S18" s="14"/>
      <c r="T18" s="14"/>
      <c r="U18" s="14"/>
    </row>
    <row r="19" spans="1:21" ht="52.5" customHeight="1">
      <c r="A19" s="37"/>
      <c r="B19" s="16" t="s">
        <v>20</v>
      </c>
      <c r="C19" s="29">
        <v>81165</v>
      </c>
      <c r="D19" s="14">
        <v>117075</v>
      </c>
      <c r="E19" s="15">
        <v>54993</v>
      </c>
      <c r="F19" s="15">
        <v>38088</v>
      </c>
      <c r="G19" s="15">
        <v>61976</v>
      </c>
      <c r="H19" s="14">
        <f t="shared" si="2"/>
        <v>272132</v>
      </c>
      <c r="I19" s="14">
        <v>39.81</v>
      </c>
      <c r="J19" s="14">
        <v>78.849999999999994</v>
      </c>
      <c r="K19" s="14">
        <v>7.95</v>
      </c>
      <c r="L19" s="14">
        <v>7.95</v>
      </c>
      <c r="M19" s="29">
        <f t="shared" si="13"/>
        <v>2585916.9000000004</v>
      </c>
      <c r="N19" s="14">
        <f t="shared" si="8"/>
        <v>3730009.5000000005</v>
      </c>
      <c r="O19" s="14">
        <f t="shared" si="14"/>
        <v>1752076.9800000002</v>
      </c>
      <c r="P19" s="14">
        <f t="shared" si="15"/>
        <v>2700439.1999999997</v>
      </c>
      <c r="Q19" s="14">
        <f t="shared" si="16"/>
        <v>4394098.3999999994</v>
      </c>
      <c r="R19" s="14">
        <f t="shared" si="17"/>
        <v>12576624.079999998</v>
      </c>
      <c r="S19" s="14"/>
      <c r="T19" s="14"/>
      <c r="U19" s="14"/>
    </row>
    <row r="20" spans="1:21" ht="52.5" customHeight="1">
      <c r="A20" s="37"/>
      <c r="B20" s="16" t="s">
        <v>27</v>
      </c>
      <c r="C20" s="29">
        <v>2029</v>
      </c>
      <c r="D20" s="14">
        <v>125</v>
      </c>
      <c r="E20" s="15">
        <v>1374</v>
      </c>
      <c r="F20" s="15">
        <v>952</v>
      </c>
      <c r="G20" s="15">
        <v>1549</v>
      </c>
      <c r="H20" s="14">
        <f t="shared" si="2"/>
        <v>4000</v>
      </c>
      <c r="I20" s="14">
        <v>39.81</v>
      </c>
      <c r="J20" s="14">
        <v>78.849999999999994</v>
      </c>
      <c r="K20" s="14">
        <v>4.47</v>
      </c>
      <c r="L20" s="14">
        <v>4.63</v>
      </c>
      <c r="M20" s="29">
        <f t="shared" si="13"/>
        <v>71704.86</v>
      </c>
      <c r="N20" s="14">
        <f t="shared" si="8"/>
        <v>4417.5</v>
      </c>
      <c r="O20" s="14">
        <f t="shared" si="14"/>
        <v>48557.16</v>
      </c>
      <c r="P20" s="14">
        <f>($J20-$L20)*F20</f>
        <v>70657.440000000002</v>
      </c>
      <c r="Q20" s="14">
        <f t="shared" si="16"/>
        <v>114966.78</v>
      </c>
      <c r="R20" s="14">
        <f t="shared" si="17"/>
        <v>238598.88</v>
      </c>
      <c r="S20" s="14"/>
      <c r="T20" s="14"/>
      <c r="U20" s="14"/>
    </row>
    <row r="21" spans="1:21" ht="46.5" customHeight="1">
      <c r="A21" s="37"/>
      <c r="B21" s="11" t="s">
        <v>5</v>
      </c>
      <c r="C21" s="30">
        <f>SUM(C16:C20)</f>
        <v>202912</v>
      </c>
      <c r="D21" s="17">
        <f>SUM(D16:D20)</f>
        <v>209683</v>
      </c>
      <c r="E21" s="17">
        <f t="shared" ref="E21:H21" si="18">SUM(E16:E20)</f>
        <v>137482</v>
      </c>
      <c r="F21" s="17">
        <f t="shared" si="18"/>
        <v>95220</v>
      </c>
      <c r="G21" s="17">
        <f t="shared" si="18"/>
        <v>154940</v>
      </c>
      <c r="H21" s="17">
        <f t="shared" si="18"/>
        <v>597325</v>
      </c>
      <c r="I21" s="17"/>
      <c r="J21" s="17"/>
      <c r="K21" s="17"/>
      <c r="L21" s="17"/>
      <c r="M21" s="30">
        <f t="shared" ref="M21:Q21" si="19">SUM(M16:M20)</f>
        <v>7054397.4000000004</v>
      </c>
      <c r="N21" s="17">
        <f t="shared" si="19"/>
        <v>7132681.3600000013</v>
      </c>
      <c r="O21" s="17">
        <f t="shared" si="19"/>
        <v>4779672.28</v>
      </c>
      <c r="P21" s="17">
        <f t="shared" ref="P21" si="20">SUM(P16:P20)</f>
        <v>7017789.4999999991</v>
      </c>
      <c r="Q21" s="17">
        <f t="shared" si="19"/>
        <v>11419202.959999999</v>
      </c>
      <c r="R21" s="17">
        <f>SUM(R16:R20)</f>
        <v>30349346.099999998</v>
      </c>
      <c r="S21" s="17">
        <v>2120027.2999999998</v>
      </c>
      <c r="T21" s="17">
        <f>Q21/3</f>
        <v>3806400.9866666663</v>
      </c>
      <c r="U21" s="17">
        <f>R21+S21-T21</f>
        <v>28662972.413333334</v>
      </c>
    </row>
    <row r="22" spans="1:21" ht="57" customHeight="1">
      <c r="A22" s="37" t="s">
        <v>36</v>
      </c>
      <c r="B22" s="16" t="s">
        <v>21</v>
      </c>
      <c r="C22" s="29">
        <v>3645</v>
      </c>
      <c r="D22" s="14">
        <v>4708</v>
      </c>
      <c r="E22" s="14">
        <v>207</v>
      </c>
      <c r="F22" s="14">
        <v>404</v>
      </c>
      <c r="G22" s="14">
        <v>3711</v>
      </c>
      <c r="H22" s="14">
        <f t="shared" si="2"/>
        <v>9030</v>
      </c>
      <c r="I22" s="14">
        <v>42.08</v>
      </c>
      <c r="J22" s="14">
        <v>57.11</v>
      </c>
      <c r="K22" s="14">
        <v>5.58</v>
      </c>
      <c r="L22" s="14">
        <v>5.84</v>
      </c>
      <c r="M22" s="29">
        <f t="shared" ref="M22" si="21">(I22-K22)*C22</f>
        <v>133042.5</v>
      </c>
      <c r="N22" s="14">
        <f t="shared" si="8"/>
        <v>171842</v>
      </c>
      <c r="O22" s="14">
        <f t="shared" ref="O22" si="22">(I22-K22)*E22</f>
        <v>7555.5</v>
      </c>
      <c r="P22" s="14">
        <f t="shared" ref="P22" si="23">($J22-$L22)*F22</f>
        <v>20713.079999999998</v>
      </c>
      <c r="Q22" s="14">
        <f t="shared" ref="Q22" si="24">($J22-$L22)*G22</f>
        <v>190262.96999999997</v>
      </c>
      <c r="R22" s="14">
        <f>N22+O22+P22+Q22</f>
        <v>390373.54999999993</v>
      </c>
      <c r="S22" s="14"/>
      <c r="T22" s="14"/>
      <c r="U22" s="14"/>
    </row>
    <row r="23" spans="1:21" ht="57" customHeight="1">
      <c r="A23" s="37"/>
      <c r="B23" s="16" t="s">
        <v>22</v>
      </c>
      <c r="C23" s="29">
        <v>866119</v>
      </c>
      <c r="D23" s="14">
        <v>827617</v>
      </c>
      <c r="E23" s="14">
        <v>484497</v>
      </c>
      <c r="F23" s="14">
        <v>406103</v>
      </c>
      <c r="G23" s="14">
        <v>791356</v>
      </c>
      <c r="H23" s="14">
        <f t="shared" si="2"/>
        <v>2509573</v>
      </c>
      <c r="I23" s="14">
        <v>43.08</v>
      </c>
      <c r="J23" s="14">
        <v>58.14</v>
      </c>
      <c r="K23" s="14">
        <v>6.57</v>
      </c>
      <c r="L23" s="14">
        <v>6.88</v>
      </c>
      <c r="M23" s="29">
        <f t="shared" ref="M23:M32" si="25">(I23-K23)*C23</f>
        <v>31622004.689999998</v>
      </c>
      <c r="N23" s="14">
        <f t="shared" si="8"/>
        <v>30216296.669999998</v>
      </c>
      <c r="O23" s="14">
        <f t="shared" ref="O23:O32" si="26">(I23-K23)*E23</f>
        <v>17688985.469999999</v>
      </c>
      <c r="P23" s="14">
        <f t="shared" ref="P23:P32" si="27">($J23-$L23)*F23</f>
        <v>20816839.779999997</v>
      </c>
      <c r="Q23" s="14">
        <f t="shared" ref="Q23:Q32" si="28">($J23-$L23)*G23</f>
        <v>40564908.559999995</v>
      </c>
      <c r="R23" s="14">
        <f t="shared" ref="R23:R32" si="29">N23+O23+P23+Q23</f>
        <v>109287030.47999999</v>
      </c>
      <c r="S23" s="14"/>
      <c r="T23" s="14"/>
      <c r="U23" s="14"/>
    </row>
    <row r="24" spans="1:21" ht="57" customHeight="1">
      <c r="A24" s="37"/>
      <c r="B24" s="16" t="s">
        <v>23</v>
      </c>
      <c r="C24" s="29">
        <v>1071177</v>
      </c>
      <c r="D24" s="14">
        <v>1003603</v>
      </c>
      <c r="E24" s="14">
        <v>636505</v>
      </c>
      <c r="F24" s="14">
        <v>509472</v>
      </c>
      <c r="G24" s="14">
        <v>841051</v>
      </c>
      <c r="H24" s="14">
        <f t="shared" si="2"/>
        <v>2990631</v>
      </c>
      <c r="I24" s="14">
        <v>44.11</v>
      </c>
      <c r="J24" s="14">
        <v>59.21</v>
      </c>
      <c r="K24" s="14">
        <v>7.61</v>
      </c>
      <c r="L24" s="14">
        <v>7.95</v>
      </c>
      <c r="M24" s="29">
        <f t="shared" si="25"/>
        <v>39097960.5</v>
      </c>
      <c r="N24" s="14">
        <f t="shared" si="8"/>
        <v>36631509.5</v>
      </c>
      <c r="O24" s="14">
        <f t="shared" si="26"/>
        <v>23232432.5</v>
      </c>
      <c r="P24" s="14">
        <f t="shared" si="27"/>
        <v>26115534.719999999</v>
      </c>
      <c r="Q24" s="14">
        <f t="shared" si="28"/>
        <v>43112274.259999998</v>
      </c>
      <c r="R24" s="14">
        <f t="shared" si="29"/>
        <v>129091750.97999999</v>
      </c>
      <c r="S24" s="14"/>
      <c r="T24" s="14"/>
      <c r="U24" s="14"/>
    </row>
    <row r="25" spans="1:21" ht="53.25" customHeight="1">
      <c r="A25" s="37"/>
      <c r="B25" s="16" t="s">
        <v>8</v>
      </c>
      <c r="C25" s="29">
        <v>1547</v>
      </c>
      <c r="D25" s="14">
        <v>1573</v>
      </c>
      <c r="E25" s="14">
        <v>1139</v>
      </c>
      <c r="F25" s="14">
        <v>1085</v>
      </c>
      <c r="G25" s="14">
        <v>1525</v>
      </c>
      <c r="H25" s="14">
        <f t="shared" si="2"/>
        <v>5322</v>
      </c>
      <c r="I25" s="14">
        <v>43.08</v>
      </c>
      <c r="J25" s="14">
        <v>58.14</v>
      </c>
      <c r="K25" s="14">
        <v>6.57</v>
      </c>
      <c r="L25" s="14">
        <v>6.88</v>
      </c>
      <c r="M25" s="29">
        <f t="shared" si="25"/>
        <v>56480.969999999994</v>
      </c>
      <c r="N25" s="14">
        <f t="shared" si="8"/>
        <v>57430.229999999996</v>
      </c>
      <c r="O25" s="14">
        <f t="shared" si="26"/>
        <v>41584.89</v>
      </c>
      <c r="P25" s="14">
        <f t="shared" si="27"/>
        <v>55617.1</v>
      </c>
      <c r="Q25" s="14">
        <f t="shared" si="28"/>
        <v>78171.5</v>
      </c>
      <c r="R25" s="14">
        <f t="shared" si="29"/>
        <v>232803.72</v>
      </c>
      <c r="S25" s="14"/>
      <c r="T25" s="14"/>
      <c r="U25" s="14"/>
    </row>
    <row r="26" spans="1:21" ht="45" customHeight="1">
      <c r="A26" s="37"/>
      <c r="B26" s="16" t="s">
        <v>9</v>
      </c>
      <c r="C26" s="29">
        <v>894</v>
      </c>
      <c r="D26" s="14">
        <v>809</v>
      </c>
      <c r="E26" s="14">
        <v>555</v>
      </c>
      <c r="F26" s="14">
        <v>524</v>
      </c>
      <c r="G26" s="14">
        <v>770</v>
      </c>
      <c r="H26" s="14">
        <f t="shared" si="2"/>
        <v>2658</v>
      </c>
      <c r="I26" s="14">
        <v>43.08</v>
      </c>
      <c r="J26" s="14">
        <v>58.14</v>
      </c>
      <c r="K26" s="14">
        <v>6.57</v>
      </c>
      <c r="L26" s="14">
        <v>6.88</v>
      </c>
      <c r="M26" s="29">
        <f t="shared" si="25"/>
        <v>32639.94</v>
      </c>
      <c r="N26" s="14">
        <f t="shared" si="8"/>
        <v>29536.59</v>
      </c>
      <c r="O26" s="14">
        <f t="shared" si="26"/>
        <v>20263.05</v>
      </c>
      <c r="P26" s="14">
        <f t="shared" si="27"/>
        <v>26860.239999999998</v>
      </c>
      <c r="Q26" s="14">
        <f t="shared" si="28"/>
        <v>39470.199999999997</v>
      </c>
      <c r="R26" s="14">
        <f t="shared" si="29"/>
        <v>116130.08</v>
      </c>
      <c r="S26" s="14"/>
      <c r="T26" s="14"/>
      <c r="U26" s="14"/>
    </row>
    <row r="27" spans="1:21" ht="45" customHeight="1">
      <c r="A27" s="37"/>
      <c r="B27" s="16" t="s">
        <v>10</v>
      </c>
      <c r="C27" s="29">
        <v>2501</v>
      </c>
      <c r="D27" s="14">
        <v>2460</v>
      </c>
      <c r="E27" s="14">
        <v>1355</v>
      </c>
      <c r="F27" s="14">
        <v>1126</v>
      </c>
      <c r="G27" s="14">
        <v>1664</v>
      </c>
      <c r="H27" s="14">
        <f t="shared" si="2"/>
        <v>6605</v>
      </c>
      <c r="I27" s="14">
        <v>44.11</v>
      </c>
      <c r="J27" s="14">
        <v>59.21</v>
      </c>
      <c r="K27" s="14">
        <v>7.61</v>
      </c>
      <c r="L27" s="14">
        <v>7.95</v>
      </c>
      <c r="M27" s="29">
        <f t="shared" si="25"/>
        <v>91286.5</v>
      </c>
      <c r="N27" s="14">
        <f t="shared" si="8"/>
        <v>89790</v>
      </c>
      <c r="O27" s="14">
        <f t="shared" si="26"/>
        <v>49457.5</v>
      </c>
      <c r="P27" s="14">
        <f t="shared" si="27"/>
        <v>57718.759999999995</v>
      </c>
      <c r="Q27" s="14">
        <f t="shared" si="28"/>
        <v>85296.639999999999</v>
      </c>
      <c r="R27" s="14">
        <f t="shared" si="29"/>
        <v>282262.90000000002</v>
      </c>
      <c r="S27" s="14"/>
      <c r="T27" s="14"/>
      <c r="U27" s="14"/>
    </row>
    <row r="28" spans="1:21" ht="45" customHeight="1">
      <c r="A28" s="37"/>
      <c r="B28" s="16" t="s">
        <v>11</v>
      </c>
      <c r="C28" s="29">
        <v>701</v>
      </c>
      <c r="D28" s="14">
        <v>908</v>
      </c>
      <c r="E28" s="14">
        <v>233</v>
      </c>
      <c r="F28" s="14">
        <v>186</v>
      </c>
      <c r="G28" s="14">
        <v>667</v>
      </c>
      <c r="H28" s="14">
        <f t="shared" si="2"/>
        <v>1994</v>
      </c>
      <c r="I28" s="14">
        <v>44.11</v>
      </c>
      <c r="J28" s="14">
        <v>59.21</v>
      </c>
      <c r="K28" s="14">
        <v>7.61</v>
      </c>
      <c r="L28" s="14">
        <v>7.95</v>
      </c>
      <c r="M28" s="29">
        <f t="shared" si="25"/>
        <v>25586.5</v>
      </c>
      <c r="N28" s="14">
        <f t="shared" si="8"/>
        <v>33142</v>
      </c>
      <c r="O28" s="14">
        <f t="shared" si="26"/>
        <v>8504.5</v>
      </c>
      <c r="P28" s="14">
        <f t="shared" si="27"/>
        <v>9534.3599999999988</v>
      </c>
      <c r="Q28" s="14">
        <f t="shared" si="28"/>
        <v>34190.42</v>
      </c>
      <c r="R28" s="14">
        <f t="shared" si="29"/>
        <v>85371.28</v>
      </c>
      <c r="S28" s="14"/>
      <c r="T28" s="14"/>
      <c r="U28" s="14"/>
    </row>
    <row r="29" spans="1:21" ht="38.25" customHeight="1">
      <c r="A29" s="37"/>
      <c r="B29" s="16" t="s">
        <v>12</v>
      </c>
      <c r="C29" s="29">
        <v>2800</v>
      </c>
      <c r="D29" s="14">
        <v>2658</v>
      </c>
      <c r="E29" s="14">
        <v>447</v>
      </c>
      <c r="F29" s="14">
        <v>339</v>
      </c>
      <c r="G29" s="14">
        <v>2414</v>
      </c>
      <c r="H29" s="14">
        <f t="shared" si="2"/>
        <v>5858</v>
      </c>
      <c r="I29" s="14">
        <v>39.56</v>
      </c>
      <c r="J29" s="14">
        <v>54.49</v>
      </c>
      <c r="K29" s="14">
        <v>3.06</v>
      </c>
      <c r="L29" s="14">
        <v>3.23</v>
      </c>
      <c r="M29" s="29">
        <f t="shared" si="25"/>
        <v>102200</v>
      </c>
      <c r="N29" s="14">
        <f t="shared" si="8"/>
        <v>97017</v>
      </c>
      <c r="O29" s="14">
        <f t="shared" si="26"/>
        <v>16315.5</v>
      </c>
      <c r="P29" s="14">
        <f t="shared" si="27"/>
        <v>17377.140000000003</v>
      </c>
      <c r="Q29" s="14">
        <f t="shared" si="28"/>
        <v>123741.64000000001</v>
      </c>
      <c r="R29" s="14">
        <f t="shared" si="29"/>
        <v>254451.28000000003</v>
      </c>
      <c r="S29" s="14"/>
      <c r="T29" s="14"/>
      <c r="U29" s="14"/>
    </row>
    <row r="30" spans="1:21" ht="39.75" customHeight="1">
      <c r="A30" s="37"/>
      <c r="B30" s="16" t="s">
        <v>13</v>
      </c>
      <c r="C30" s="29">
        <v>258354</v>
      </c>
      <c r="D30" s="14">
        <v>279690</v>
      </c>
      <c r="E30" s="14">
        <v>208933</v>
      </c>
      <c r="F30" s="14">
        <v>186671</v>
      </c>
      <c r="G30" s="14">
        <v>298448</v>
      </c>
      <c r="H30" s="14">
        <f t="shared" si="2"/>
        <v>973742</v>
      </c>
      <c r="I30" s="14">
        <v>39.56</v>
      </c>
      <c r="J30" s="14">
        <v>54.49</v>
      </c>
      <c r="K30" s="14">
        <v>3.06</v>
      </c>
      <c r="L30" s="14">
        <v>3.23</v>
      </c>
      <c r="M30" s="29">
        <f t="shared" si="25"/>
        <v>9429921</v>
      </c>
      <c r="N30" s="14">
        <f t="shared" si="8"/>
        <v>10208685</v>
      </c>
      <c r="O30" s="14">
        <f t="shared" si="26"/>
        <v>7626054.5</v>
      </c>
      <c r="P30" s="14">
        <f t="shared" si="27"/>
        <v>9568755.4600000009</v>
      </c>
      <c r="Q30" s="14">
        <f t="shared" si="28"/>
        <v>15298444.480000002</v>
      </c>
      <c r="R30" s="14">
        <f t="shared" si="29"/>
        <v>42701939.440000005</v>
      </c>
      <c r="S30" s="14"/>
      <c r="T30" s="14"/>
      <c r="U30" s="14"/>
    </row>
    <row r="31" spans="1:21" ht="53.25" customHeight="1">
      <c r="A31" s="37"/>
      <c r="B31" s="16" t="s">
        <v>14</v>
      </c>
      <c r="C31" s="29">
        <v>684191</v>
      </c>
      <c r="D31" s="14">
        <v>405497</v>
      </c>
      <c r="E31" s="14">
        <v>262020</v>
      </c>
      <c r="F31" s="14">
        <v>166011</v>
      </c>
      <c r="G31" s="14">
        <v>450047</v>
      </c>
      <c r="H31" s="14">
        <f t="shared" si="2"/>
        <v>1283575</v>
      </c>
      <c r="I31" s="14">
        <v>39.56</v>
      </c>
      <c r="J31" s="14">
        <v>54.49</v>
      </c>
      <c r="K31" s="14">
        <v>3.06</v>
      </c>
      <c r="L31" s="14">
        <v>3.23</v>
      </c>
      <c r="M31" s="29">
        <f t="shared" si="25"/>
        <v>24972971.5</v>
      </c>
      <c r="N31" s="14">
        <f t="shared" si="8"/>
        <v>14800640.5</v>
      </c>
      <c r="O31" s="14">
        <f t="shared" si="26"/>
        <v>9563730</v>
      </c>
      <c r="P31" s="14">
        <f t="shared" si="27"/>
        <v>8509723.8600000013</v>
      </c>
      <c r="Q31" s="14">
        <f t="shared" si="28"/>
        <v>23069409.220000003</v>
      </c>
      <c r="R31" s="14">
        <f t="shared" si="29"/>
        <v>55943503.579999998</v>
      </c>
      <c r="S31" s="14"/>
      <c r="T31" s="14"/>
      <c r="U31" s="14"/>
    </row>
    <row r="32" spans="1:21" ht="53.25" customHeight="1">
      <c r="A32" s="37"/>
      <c r="B32" s="16" t="s">
        <v>15</v>
      </c>
      <c r="C32" s="29">
        <v>1078826</v>
      </c>
      <c r="D32" s="14">
        <v>832502</v>
      </c>
      <c r="E32" s="14">
        <v>240472</v>
      </c>
      <c r="F32" s="14">
        <v>554531</v>
      </c>
      <c r="G32" s="14">
        <v>1074839</v>
      </c>
      <c r="H32" s="14">
        <f t="shared" si="2"/>
        <v>2702344</v>
      </c>
      <c r="I32" s="14">
        <v>39.56</v>
      </c>
      <c r="J32" s="14">
        <v>54.49</v>
      </c>
      <c r="K32" s="14">
        <v>9.4600000000000009</v>
      </c>
      <c r="L32" s="15">
        <v>9.4600000000000009</v>
      </c>
      <c r="M32" s="29">
        <f t="shared" si="25"/>
        <v>32472662.600000001</v>
      </c>
      <c r="N32" s="14">
        <f t="shared" si="8"/>
        <v>25058310.200000003</v>
      </c>
      <c r="O32" s="14">
        <f t="shared" si="26"/>
        <v>7238207.2000000002</v>
      </c>
      <c r="P32" s="14">
        <f t="shared" si="27"/>
        <v>24970530.93</v>
      </c>
      <c r="Q32" s="14">
        <f t="shared" si="28"/>
        <v>48400000.170000002</v>
      </c>
      <c r="R32" s="14">
        <f t="shared" si="29"/>
        <v>105667048.5</v>
      </c>
      <c r="S32" s="14"/>
      <c r="T32" s="14"/>
      <c r="U32" s="14"/>
    </row>
    <row r="33" spans="1:21" ht="37.5" customHeight="1">
      <c r="A33" s="37"/>
      <c r="B33" s="11" t="s">
        <v>5</v>
      </c>
      <c r="C33" s="30">
        <f>SUM(C22:C32)</f>
        <v>3970755</v>
      </c>
      <c r="D33" s="17">
        <f>SUM(D22:D32)</f>
        <v>3362025</v>
      </c>
      <c r="E33" s="17">
        <f t="shared" ref="E33:H33" si="30">SUM(E22:E32)</f>
        <v>1836363</v>
      </c>
      <c r="F33" s="17">
        <f t="shared" si="30"/>
        <v>1826452</v>
      </c>
      <c r="G33" s="17">
        <f t="shared" si="30"/>
        <v>3466492</v>
      </c>
      <c r="H33" s="17">
        <f t="shared" si="30"/>
        <v>10491332</v>
      </c>
      <c r="I33" s="17"/>
      <c r="J33" s="17"/>
      <c r="K33" s="17"/>
      <c r="L33" s="17"/>
      <c r="M33" s="30">
        <f t="shared" ref="M33:R33" si="31">SUM(M22:M32)</f>
        <v>138036756.69999999</v>
      </c>
      <c r="N33" s="17">
        <f t="shared" si="31"/>
        <v>117394199.69000001</v>
      </c>
      <c r="O33" s="17">
        <f t="shared" si="31"/>
        <v>65493090.609999999</v>
      </c>
      <c r="P33" s="17">
        <f t="shared" ref="P33" si="32">SUM(P22:P32)</f>
        <v>90169205.430000007</v>
      </c>
      <c r="Q33" s="17">
        <f t="shared" si="31"/>
        <v>170996170.06</v>
      </c>
      <c r="R33" s="17">
        <f t="shared" si="31"/>
        <v>444052665.79000002</v>
      </c>
      <c r="S33" s="17">
        <v>49236730.329999998</v>
      </c>
      <c r="T33" s="17">
        <f>Q33/3</f>
        <v>56998723.353333332</v>
      </c>
      <c r="U33" s="17">
        <f>R33+S33-T33</f>
        <v>436290672.76666665</v>
      </c>
    </row>
    <row r="34" spans="1:21" ht="66" customHeight="1">
      <c r="A34" s="37" t="s">
        <v>37</v>
      </c>
      <c r="B34" s="13" t="s">
        <v>45</v>
      </c>
      <c r="C34" s="29">
        <v>6156209</v>
      </c>
      <c r="D34" s="14">
        <v>5808670</v>
      </c>
      <c r="E34" s="14">
        <v>4716973</v>
      </c>
      <c r="F34" s="14">
        <v>4534388</v>
      </c>
      <c r="G34" s="14">
        <v>5243097</v>
      </c>
      <c r="H34" s="14">
        <f t="shared" si="2"/>
        <v>20303128</v>
      </c>
      <c r="I34" s="14">
        <v>4.47</v>
      </c>
      <c r="J34" s="14">
        <v>4.63</v>
      </c>
      <c r="K34" s="14">
        <v>3.83</v>
      </c>
      <c r="L34" s="14">
        <v>4.13</v>
      </c>
      <c r="M34" s="29">
        <f t="shared" ref="M34" si="33">(I34-K34)*C34</f>
        <v>3939973.7599999979</v>
      </c>
      <c r="N34" s="14">
        <f t="shared" si="8"/>
        <v>3717548.799999998</v>
      </c>
      <c r="O34" s="14">
        <f t="shared" ref="O34" si="34">(I34-K34)*E34</f>
        <v>3018862.7199999983</v>
      </c>
      <c r="P34" s="14">
        <f>($J34-$L34)*F34</f>
        <v>2267194</v>
      </c>
      <c r="Q34" s="14">
        <f>($J34-$L34)*G34</f>
        <v>2621548.5</v>
      </c>
      <c r="R34" s="14">
        <f>N34+O34+P34+Q34</f>
        <v>11625154.019999996</v>
      </c>
      <c r="S34" s="14"/>
      <c r="T34" s="14"/>
      <c r="U34" s="14"/>
    </row>
    <row r="35" spans="1:21" ht="66" customHeight="1">
      <c r="A35" s="37"/>
      <c r="B35" s="13" t="s">
        <v>46</v>
      </c>
      <c r="C35" s="29">
        <v>133021</v>
      </c>
      <c r="D35" s="14">
        <v>142090</v>
      </c>
      <c r="E35" s="14">
        <v>90859</v>
      </c>
      <c r="F35" s="14">
        <v>83098</v>
      </c>
      <c r="G35" s="14">
        <v>110107</v>
      </c>
      <c r="H35" s="14">
        <f t="shared" si="2"/>
        <v>426154</v>
      </c>
      <c r="I35" s="14">
        <v>5.13</v>
      </c>
      <c r="J35" s="14">
        <v>5.33</v>
      </c>
      <c r="K35" s="14">
        <v>4.09</v>
      </c>
      <c r="L35" s="14">
        <v>4.4000000000000004</v>
      </c>
      <c r="M35" s="29">
        <f t="shared" ref="M35:M51" si="35">(I35-K35)*C35</f>
        <v>138341.84</v>
      </c>
      <c r="N35" s="14">
        <f t="shared" si="8"/>
        <v>147773.6</v>
      </c>
      <c r="O35" s="14">
        <f t="shared" ref="O35:O51" si="36">(I35-K35)*E35</f>
        <v>94493.36</v>
      </c>
      <c r="P35" s="14">
        <f t="shared" ref="P35:P51" si="37">($J35-$L35)*F35</f>
        <v>77281.13999999997</v>
      </c>
      <c r="Q35" s="14">
        <f t="shared" ref="Q35:Q51" si="38">($J35-$L35)*G35</f>
        <v>102399.50999999997</v>
      </c>
      <c r="R35" s="14">
        <f t="shared" ref="R35:R51" si="39">N35+O35+P35+Q35</f>
        <v>421947.60999999993</v>
      </c>
      <c r="S35" s="14"/>
      <c r="T35" s="14"/>
      <c r="U35" s="14"/>
    </row>
    <row r="36" spans="1:21" ht="66" customHeight="1">
      <c r="A36" s="37"/>
      <c r="B36" s="13" t="s">
        <v>47</v>
      </c>
      <c r="C36" s="29">
        <v>55806</v>
      </c>
      <c r="D36" s="14">
        <v>62662</v>
      </c>
      <c r="E36" s="14">
        <v>37841</v>
      </c>
      <c r="F36" s="14">
        <v>32833</v>
      </c>
      <c r="G36" s="14">
        <v>46753</v>
      </c>
      <c r="H36" s="14">
        <f t="shared" si="2"/>
        <v>180089</v>
      </c>
      <c r="I36" s="14">
        <v>1.77</v>
      </c>
      <c r="J36" s="14">
        <v>2.0299999999999998</v>
      </c>
      <c r="K36" s="14">
        <v>1.48</v>
      </c>
      <c r="L36" s="14">
        <v>1.71</v>
      </c>
      <c r="M36" s="29">
        <f t="shared" si="35"/>
        <v>16183.740000000002</v>
      </c>
      <c r="N36" s="14">
        <f t="shared" si="8"/>
        <v>18171.980000000003</v>
      </c>
      <c r="O36" s="14">
        <f t="shared" si="36"/>
        <v>10973.890000000001</v>
      </c>
      <c r="P36" s="14">
        <f t="shared" si="37"/>
        <v>10506.559999999994</v>
      </c>
      <c r="Q36" s="14">
        <f t="shared" si="38"/>
        <v>14960.959999999992</v>
      </c>
      <c r="R36" s="14">
        <f t="shared" si="39"/>
        <v>54613.389999999985</v>
      </c>
      <c r="S36" s="14"/>
      <c r="T36" s="14"/>
      <c r="U36" s="14"/>
    </row>
    <row r="37" spans="1:21" ht="102.75" customHeight="1">
      <c r="A37" s="37"/>
      <c r="B37" s="13" t="s">
        <v>48</v>
      </c>
      <c r="C37" s="29">
        <v>19946</v>
      </c>
      <c r="D37" s="14">
        <v>34469</v>
      </c>
      <c r="E37" s="14">
        <v>6430</v>
      </c>
      <c r="F37" s="14">
        <v>5659</v>
      </c>
      <c r="G37" s="14">
        <v>12147</v>
      </c>
      <c r="H37" s="14">
        <f t="shared" si="2"/>
        <v>58705</v>
      </c>
      <c r="I37" s="14">
        <v>3.35</v>
      </c>
      <c r="J37" s="14">
        <v>3.53</v>
      </c>
      <c r="K37" s="14">
        <v>2.88</v>
      </c>
      <c r="L37" s="14">
        <v>3.13</v>
      </c>
      <c r="M37" s="29">
        <f t="shared" si="35"/>
        <v>9374.6200000000044</v>
      </c>
      <c r="N37" s="14">
        <f t="shared" si="8"/>
        <v>16200.430000000008</v>
      </c>
      <c r="O37" s="14">
        <f t="shared" si="36"/>
        <v>3022.1000000000013</v>
      </c>
      <c r="P37" s="14">
        <f t="shared" si="37"/>
        <v>2263.5999999999995</v>
      </c>
      <c r="Q37" s="14">
        <f t="shared" si="38"/>
        <v>4858.7999999999993</v>
      </c>
      <c r="R37" s="14">
        <f t="shared" si="39"/>
        <v>26344.930000000008</v>
      </c>
      <c r="S37" s="14"/>
      <c r="T37" s="14"/>
      <c r="U37" s="14"/>
    </row>
    <row r="38" spans="1:21" ht="102.75" customHeight="1">
      <c r="A38" s="37"/>
      <c r="B38" s="13" t="s">
        <v>49</v>
      </c>
      <c r="C38" s="29">
        <v>12108</v>
      </c>
      <c r="D38" s="14">
        <v>20181</v>
      </c>
      <c r="E38" s="14">
        <v>3532</v>
      </c>
      <c r="F38" s="14">
        <v>956</v>
      </c>
      <c r="G38" s="14">
        <v>7412</v>
      </c>
      <c r="H38" s="14">
        <f t="shared" si="2"/>
        <v>32081</v>
      </c>
      <c r="I38" s="14">
        <v>3.85</v>
      </c>
      <c r="J38" s="14">
        <v>4.05</v>
      </c>
      <c r="K38" s="14">
        <v>3.08</v>
      </c>
      <c r="L38" s="14">
        <v>3.32</v>
      </c>
      <c r="M38" s="29">
        <f t="shared" si="35"/>
        <v>9323.16</v>
      </c>
      <c r="N38" s="14">
        <f t="shared" si="8"/>
        <v>15539.37</v>
      </c>
      <c r="O38" s="14">
        <f t="shared" si="36"/>
        <v>2719.64</v>
      </c>
      <c r="P38" s="14">
        <f t="shared" si="37"/>
        <v>697.88</v>
      </c>
      <c r="Q38" s="14">
        <f t="shared" si="38"/>
        <v>5410.76</v>
      </c>
      <c r="R38" s="14">
        <f t="shared" si="39"/>
        <v>24367.65</v>
      </c>
      <c r="S38" s="14"/>
      <c r="T38" s="14"/>
      <c r="U38" s="14"/>
    </row>
    <row r="39" spans="1:21" ht="102.75" customHeight="1">
      <c r="A39" s="37"/>
      <c r="B39" s="13" t="s">
        <v>50</v>
      </c>
      <c r="C39" s="29">
        <v>6327</v>
      </c>
      <c r="D39" s="14">
        <v>12744</v>
      </c>
      <c r="E39" s="14">
        <v>2049</v>
      </c>
      <c r="F39" s="14">
        <v>410</v>
      </c>
      <c r="G39" s="14">
        <v>4135</v>
      </c>
      <c r="H39" s="14">
        <f t="shared" si="2"/>
        <v>19338</v>
      </c>
      <c r="I39" s="14">
        <v>1.32</v>
      </c>
      <c r="J39" s="14">
        <v>1.52</v>
      </c>
      <c r="K39" s="14">
        <v>1.1200000000000001</v>
      </c>
      <c r="L39" s="14">
        <v>1.28</v>
      </c>
      <c r="M39" s="29">
        <f t="shared" si="35"/>
        <v>1265.3999999999996</v>
      </c>
      <c r="N39" s="14">
        <f t="shared" si="8"/>
        <v>2548.7999999999993</v>
      </c>
      <c r="O39" s="14">
        <f t="shared" si="36"/>
        <v>409.7999999999999</v>
      </c>
      <c r="P39" s="14">
        <f t="shared" si="37"/>
        <v>98.399999999999991</v>
      </c>
      <c r="Q39" s="14">
        <f t="shared" si="38"/>
        <v>992.4</v>
      </c>
      <c r="R39" s="14">
        <f t="shared" si="39"/>
        <v>4049.3999999999992</v>
      </c>
      <c r="S39" s="14"/>
      <c r="T39" s="14"/>
      <c r="U39" s="14"/>
    </row>
    <row r="40" spans="1:21" ht="102.75" customHeight="1">
      <c r="A40" s="37"/>
      <c r="B40" s="16" t="s">
        <v>51</v>
      </c>
      <c r="C40" s="29">
        <v>1345960</v>
      </c>
      <c r="D40" s="14">
        <v>1175627</v>
      </c>
      <c r="E40" s="14">
        <v>1030083</v>
      </c>
      <c r="F40" s="14">
        <v>965730</v>
      </c>
      <c r="G40" s="14">
        <v>1087437</v>
      </c>
      <c r="H40" s="14">
        <f t="shared" si="2"/>
        <v>4258877</v>
      </c>
      <c r="I40" s="14">
        <v>3.35</v>
      </c>
      <c r="J40" s="14">
        <v>3.53</v>
      </c>
      <c r="K40" s="14">
        <v>2.88</v>
      </c>
      <c r="L40" s="14">
        <v>3.13</v>
      </c>
      <c r="M40" s="29">
        <f t="shared" si="35"/>
        <v>632601.2000000003</v>
      </c>
      <c r="N40" s="14">
        <f t="shared" si="8"/>
        <v>552544.69000000018</v>
      </c>
      <c r="O40" s="14">
        <f t="shared" si="36"/>
        <v>484139.01000000018</v>
      </c>
      <c r="P40" s="14">
        <f t="shared" si="37"/>
        <v>386291.99999999994</v>
      </c>
      <c r="Q40" s="14">
        <f t="shared" si="38"/>
        <v>434974.79999999993</v>
      </c>
      <c r="R40" s="14">
        <f t="shared" si="39"/>
        <v>1857950.5000000005</v>
      </c>
      <c r="S40" s="14"/>
      <c r="T40" s="14"/>
      <c r="U40" s="14"/>
    </row>
    <row r="41" spans="1:21" ht="105" customHeight="1">
      <c r="A41" s="37"/>
      <c r="B41" s="16" t="s">
        <v>52</v>
      </c>
      <c r="C41" s="29">
        <v>10511</v>
      </c>
      <c r="D41" s="14">
        <v>17508</v>
      </c>
      <c r="E41" s="14">
        <v>7404</v>
      </c>
      <c r="F41" s="14">
        <v>7744</v>
      </c>
      <c r="G41" s="14">
        <v>18278</v>
      </c>
      <c r="H41" s="14">
        <f t="shared" si="2"/>
        <v>50934</v>
      </c>
      <c r="I41" s="14">
        <v>3.85</v>
      </c>
      <c r="J41" s="14">
        <v>4.05</v>
      </c>
      <c r="K41" s="14">
        <v>3.08</v>
      </c>
      <c r="L41" s="14">
        <v>3.32</v>
      </c>
      <c r="M41" s="29">
        <f t="shared" si="35"/>
        <v>8093.47</v>
      </c>
      <c r="N41" s="14">
        <f t="shared" si="8"/>
        <v>13481.16</v>
      </c>
      <c r="O41" s="14">
        <f t="shared" si="36"/>
        <v>5701.08</v>
      </c>
      <c r="P41" s="14">
        <f t="shared" si="37"/>
        <v>5653.12</v>
      </c>
      <c r="Q41" s="14">
        <f t="shared" si="38"/>
        <v>13342.94</v>
      </c>
      <c r="R41" s="14">
        <f t="shared" si="39"/>
        <v>38178.299999999996</v>
      </c>
      <c r="S41" s="14"/>
      <c r="T41" s="14"/>
      <c r="U41" s="14"/>
    </row>
    <row r="42" spans="1:21" ht="105" customHeight="1">
      <c r="A42" s="37"/>
      <c r="B42" s="16" t="s">
        <v>53</v>
      </c>
      <c r="C42" s="29">
        <v>4830</v>
      </c>
      <c r="D42" s="14">
        <v>8440</v>
      </c>
      <c r="E42" s="14">
        <v>3696</v>
      </c>
      <c r="F42" s="14">
        <v>3038</v>
      </c>
      <c r="G42" s="14">
        <v>11524</v>
      </c>
      <c r="H42" s="14">
        <f t="shared" si="2"/>
        <v>26698</v>
      </c>
      <c r="I42" s="14">
        <v>1.32</v>
      </c>
      <c r="J42" s="14">
        <v>1.52</v>
      </c>
      <c r="K42" s="14">
        <v>1.1200000000000001</v>
      </c>
      <c r="L42" s="14">
        <v>1.28</v>
      </c>
      <c r="M42" s="29">
        <f t="shared" si="35"/>
        <v>965.99999999999977</v>
      </c>
      <c r="N42" s="14">
        <f t="shared" si="8"/>
        <v>1687.9999999999995</v>
      </c>
      <c r="O42" s="14">
        <f t="shared" si="36"/>
        <v>739.19999999999982</v>
      </c>
      <c r="P42" s="14">
        <f t="shared" si="37"/>
        <v>729.12</v>
      </c>
      <c r="Q42" s="14">
        <f t="shared" si="38"/>
        <v>2765.7599999999998</v>
      </c>
      <c r="R42" s="14">
        <f t="shared" si="39"/>
        <v>5922.079999999999</v>
      </c>
      <c r="S42" s="14"/>
      <c r="T42" s="14"/>
      <c r="U42" s="14"/>
    </row>
    <row r="43" spans="1:21" ht="105" customHeight="1">
      <c r="A43" s="37"/>
      <c r="B43" s="16" t="s">
        <v>54</v>
      </c>
      <c r="C43" s="29">
        <v>1014</v>
      </c>
      <c r="D43" s="14">
        <v>0</v>
      </c>
      <c r="E43" s="14">
        <v>322</v>
      </c>
      <c r="F43" s="14">
        <v>283</v>
      </c>
      <c r="G43" s="14">
        <v>607</v>
      </c>
      <c r="H43" s="14">
        <f t="shared" si="2"/>
        <v>1212</v>
      </c>
      <c r="I43" s="14">
        <v>3.35</v>
      </c>
      <c r="J43" s="14">
        <v>3.53</v>
      </c>
      <c r="K43" s="14">
        <v>2.88</v>
      </c>
      <c r="L43" s="14">
        <v>3.13</v>
      </c>
      <c r="M43" s="29">
        <f t="shared" si="35"/>
        <v>476.58000000000021</v>
      </c>
      <c r="N43" s="14">
        <f t="shared" si="8"/>
        <v>0</v>
      </c>
      <c r="O43" s="14">
        <f t="shared" si="36"/>
        <v>151.34000000000006</v>
      </c>
      <c r="P43" s="14">
        <f t="shared" si="37"/>
        <v>113.19999999999997</v>
      </c>
      <c r="Q43" s="14">
        <f t="shared" si="38"/>
        <v>242.79999999999995</v>
      </c>
      <c r="R43" s="14">
        <f t="shared" si="39"/>
        <v>507.34</v>
      </c>
      <c r="S43" s="14"/>
      <c r="T43" s="14"/>
      <c r="U43" s="14"/>
    </row>
    <row r="44" spans="1:21" ht="105" customHeight="1">
      <c r="A44" s="37"/>
      <c r="B44" s="16" t="s">
        <v>55</v>
      </c>
      <c r="C44" s="29">
        <v>606</v>
      </c>
      <c r="D44" s="14">
        <v>0</v>
      </c>
      <c r="E44" s="14">
        <v>177</v>
      </c>
      <c r="F44" s="14">
        <v>48</v>
      </c>
      <c r="G44" s="14">
        <v>371</v>
      </c>
      <c r="H44" s="14">
        <f t="shared" si="2"/>
        <v>596</v>
      </c>
      <c r="I44" s="14">
        <v>3.85</v>
      </c>
      <c r="J44" s="14">
        <v>4.05</v>
      </c>
      <c r="K44" s="14">
        <v>3.08</v>
      </c>
      <c r="L44" s="14">
        <v>3.32</v>
      </c>
      <c r="M44" s="29">
        <f t="shared" si="35"/>
        <v>466.62</v>
      </c>
      <c r="N44" s="14">
        <f t="shared" si="8"/>
        <v>0</v>
      </c>
      <c r="O44" s="14">
        <f t="shared" si="36"/>
        <v>136.29</v>
      </c>
      <c r="P44" s="14">
        <f t="shared" si="37"/>
        <v>35.04</v>
      </c>
      <c r="Q44" s="14">
        <f t="shared" si="38"/>
        <v>270.83</v>
      </c>
      <c r="R44" s="14">
        <f t="shared" si="39"/>
        <v>442.15999999999997</v>
      </c>
      <c r="S44" s="14"/>
      <c r="T44" s="14"/>
      <c r="U44" s="14"/>
    </row>
    <row r="45" spans="1:21" ht="105" customHeight="1">
      <c r="A45" s="37"/>
      <c r="B45" s="16" t="s">
        <v>56</v>
      </c>
      <c r="C45" s="29">
        <v>317</v>
      </c>
      <c r="D45" s="14">
        <v>0</v>
      </c>
      <c r="E45" s="14">
        <v>102</v>
      </c>
      <c r="F45" s="14">
        <v>20</v>
      </c>
      <c r="G45" s="14">
        <v>207</v>
      </c>
      <c r="H45" s="14">
        <f t="shared" si="2"/>
        <v>329</v>
      </c>
      <c r="I45" s="14">
        <v>1.32</v>
      </c>
      <c r="J45" s="14">
        <v>1.52</v>
      </c>
      <c r="K45" s="14">
        <v>1.1200000000000001</v>
      </c>
      <c r="L45" s="14">
        <v>1.28</v>
      </c>
      <c r="M45" s="29">
        <f t="shared" si="35"/>
        <v>63.399999999999984</v>
      </c>
      <c r="N45" s="14">
        <f t="shared" si="8"/>
        <v>0</v>
      </c>
      <c r="O45" s="14">
        <f t="shared" si="36"/>
        <v>20.399999999999995</v>
      </c>
      <c r="P45" s="14">
        <f t="shared" si="37"/>
        <v>4.8</v>
      </c>
      <c r="Q45" s="14">
        <f t="shared" si="38"/>
        <v>49.68</v>
      </c>
      <c r="R45" s="14">
        <f t="shared" si="39"/>
        <v>74.88</v>
      </c>
      <c r="S45" s="14"/>
      <c r="T45" s="14"/>
      <c r="U45" s="14"/>
    </row>
    <row r="46" spans="1:21" ht="67.5" customHeight="1">
      <c r="A46" s="37"/>
      <c r="B46" s="16" t="s">
        <v>24</v>
      </c>
      <c r="C46" s="29">
        <v>125540</v>
      </c>
      <c r="D46" s="14">
        <v>109223</v>
      </c>
      <c r="E46" s="14">
        <v>200037</v>
      </c>
      <c r="F46" s="14">
        <v>257500</v>
      </c>
      <c r="G46" s="14">
        <v>130621</v>
      </c>
      <c r="H46" s="14">
        <f t="shared" si="2"/>
        <v>697381</v>
      </c>
      <c r="I46" s="14">
        <v>3.18</v>
      </c>
      <c r="J46" s="14">
        <v>3.38</v>
      </c>
      <c r="K46" s="14">
        <v>2.73</v>
      </c>
      <c r="L46" s="14">
        <v>3.01</v>
      </c>
      <c r="M46" s="29">
        <f t="shared" si="35"/>
        <v>56493.000000000022</v>
      </c>
      <c r="N46" s="14">
        <f t="shared" si="8"/>
        <v>49150.35000000002</v>
      </c>
      <c r="O46" s="14">
        <f t="shared" si="36"/>
        <v>90016.650000000038</v>
      </c>
      <c r="P46" s="14">
        <f t="shared" si="37"/>
        <v>95275.000000000029</v>
      </c>
      <c r="Q46" s="14">
        <f t="shared" si="38"/>
        <v>48329.770000000011</v>
      </c>
      <c r="R46" s="14">
        <f t="shared" si="39"/>
        <v>282771.77000000008</v>
      </c>
      <c r="S46" s="14"/>
      <c r="T46" s="14"/>
      <c r="U46" s="14"/>
    </row>
    <row r="47" spans="1:21" ht="67.5" customHeight="1">
      <c r="A47" s="37"/>
      <c r="B47" s="16" t="s">
        <v>25</v>
      </c>
      <c r="C47" s="29">
        <v>206018</v>
      </c>
      <c r="D47" s="14">
        <v>149013</v>
      </c>
      <c r="E47" s="14">
        <v>108055</v>
      </c>
      <c r="F47" s="14">
        <v>114047</v>
      </c>
      <c r="G47" s="14">
        <v>143391</v>
      </c>
      <c r="H47" s="14">
        <f t="shared" si="2"/>
        <v>514506</v>
      </c>
      <c r="I47" s="14">
        <v>4.47</v>
      </c>
      <c r="J47" s="14">
        <v>4.63</v>
      </c>
      <c r="K47" s="14">
        <v>3.83</v>
      </c>
      <c r="L47" s="14">
        <v>4.13</v>
      </c>
      <c r="M47" s="29">
        <f t="shared" si="35"/>
        <v>131851.51999999993</v>
      </c>
      <c r="N47" s="14">
        <f t="shared" si="8"/>
        <v>95368.319999999949</v>
      </c>
      <c r="O47" s="14">
        <f t="shared" si="36"/>
        <v>69155.199999999968</v>
      </c>
      <c r="P47" s="14">
        <f t="shared" si="37"/>
        <v>57023.5</v>
      </c>
      <c r="Q47" s="14">
        <f t="shared" si="38"/>
        <v>71695.5</v>
      </c>
      <c r="R47" s="14">
        <f t="shared" si="39"/>
        <v>293242.5199999999</v>
      </c>
      <c r="S47" s="14"/>
      <c r="T47" s="14"/>
      <c r="U47" s="14"/>
    </row>
    <row r="48" spans="1:21" ht="67.5" customHeight="1">
      <c r="A48" s="37"/>
      <c r="B48" s="16" t="s">
        <v>26</v>
      </c>
      <c r="C48" s="29">
        <v>10496</v>
      </c>
      <c r="D48" s="14">
        <v>10476</v>
      </c>
      <c r="E48" s="14">
        <v>7832</v>
      </c>
      <c r="F48" s="14">
        <v>7025</v>
      </c>
      <c r="G48" s="14">
        <v>8922</v>
      </c>
      <c r="H48" s="14">
        <f t="shared" si="2"/>
        <v>34255</v>
      </c>
      <c r="I48" s="14">
        <v>3.35</v>
      </c>
      <c r="J48" s="14">
        <v>3.53</v>
      </c>
      <c r="K48" s="14">
        <v>2.88</v>
      </c>
      <c r="L48" s="14">
        <v>3.13</v>
      </c>
      <c r="M48" s="29">
        <f t="shared" si="35"/>
        <v>4933.1200000000017</v>
      </c>
      <c r="N48" s="14">
        <f t="shared" si="8"/>
        <v>4923.7200000000021</v>
      </c>
      <c r="O48" s="14">
        <f t="shared" si="36"/>
        <v>3681.0400000000013</v>
      </c>
      <c r="P48" s="14">
        <f t="shared" si="37"/>
        <v>2809.9999999999995</v>
      </c>
      <c r="Q48" s="14">
        <f t="shared" si="38"/>
        <v>3568.7999999999993</v>
      </c>
      <c r="R48" s="14">
        <f t="shared" si="39"/>
        <v>14983.560000000003</v>
      </c>
      <c r="S48" s="14"/>
      <c r="T48" s="14"/>
      <c r="U48" s="14"/>
    </row>
    <row r="49" spans="1:22" ht="67.5" customHeight="1">
      <c r="A49" s="37"/>
      <c r="B49" s="16" t="s">
        <v>27</v>
      </c>
      <c r="C49" s="29">
        <v>190968</v>
      </c>
      <c r="D49" s="14">
        <v>140122</v>
      </c>
      <c r="E49" s="14">
        <v>129754</v>
      </c>
      <c r="F49" s="14">
        <v>99381</v>
      </c>
      <c r="G49" s="14">
        <v>163201</v>
      </c>
      <c r="H49" s="14">
        <f t="shared" si="2"/>
        <v>532458</v>
      </c>
      <c r="I49" s="14">
        <v>4.47</v>
      </c>
      <c r="J49" s="14">
        <v>4.63</v>
      </c>
      <c r="K49" s="14">
        <v>3.83</v>
      </c>
      <c r="L49" s="14">
        <v>4.13</v>
      </c>
      <c r="M49" s="29">
        <f t="shared" si="35"/>
        <v>122219.51999999995</v>
      </c>
      <c r="N49" s="14">
        <f t="shared" si="8"/>
        <v>89678.079999999958</v>
      </c>
      <c r="O49" s="14">
        <f t="shared" si="36"/>
        <v>83042.559999999954</v>
      </c>
      <c r="P49" s="14">
        <f t="shared" si="37"/>
        <v>49690.5</v>
      </c>
      <c r="Q49" s="14">
        <f t="shared" si="38"/>
        <v>81600.5</v>
      </c>
      <c r="R49" s="14">
        <f t="shared" si="39"/>
        <v>304011.6399999999</v>
      </c>
      <c r="S49" s="14"/>
      <c r="T49" s="14"/>
      <c r="U49" s="14"/>
    </row>
    <row r="50" spans="1:22" ht="67.5" customHeight="1">
      <c r="A50" s="37"/>
      <c r="B50" s="16" t="s">
        <v>57</v>
      </c>
      <c r="C50" s="29">
        <v>2675</v>
      </c>
      <c r="D50" s="14">
        <v>0</v>
      </c>
      <c r="E50" s="14">
        <v>2500</v>
      </c>
      <c r="F50" s="14">
        <v>1822</v>
      </c>
      <c r="G50" s="14">
        <v>2726</v>
      </c>
      <c r="H50" s="14">
        <f t="shared" si="2"/>
        <v>7048</v>
      </c>
      <c r="I50" s="14">
        <v>5.13</v>
      </c>
      <c r="J50" s="14">
        <v>5.33</v>
      </c>
      <c r="K50" s="14">
        <v>4.09</v>
      </c>
      <c r="L50" s="14">
        <v>4.4000000000000004</v>
      </c>
      <c r="M50" s="29">
        <f t="shared" si="35"/>
        <v>2782</v>
      </c>
      <c r="N50" s="14">
        <f t="shared" si="8"/>
        <v>0</v>
      </c>
      <c r="O50" s="14">
        <f t="shared" si="36"/>
        <v>2600</v>
      </c>
      <c r="P50" s="14">
        <f t="shared" si="37"/>
        <v>1694.4599999999996</v>
      </c>
      <c r="Q50" s="14">
        <f t="shared" si="38"/>
        <v>2535.1799999999994</v>
      </c>
      <c r="R50" s="14">
        <f t="shared" si="39"/>
        <v>6829.6399999999985</v>
      </c>
      <c r="S50" s="14"/>
      <c r="T50" s="14"/>
      <c r="U50" s="14"/>
    </row>
    <row r="51" spans="1:22" ht="67.5" customHeight="1">
      <c r="A51" s="37"/>
      <c r="B51" s="16" t="s">
        <v>58</v>
      </c>
      <c r="C51" s="29">
        <v>1949</v>
      </c>
      <c r="D51" s="14">
        <v>0</v>
      </c>
      <c r="E51" s="14">
        <v>1257</v>
      </c>
      <c r="F51" s="14">
        <v>983</v>
      </c>
      <c r="G51" s="14">
        <v>1533</v>
      </c>
      <c r="H51" s="14">
        <f t="shared" si="2"/>
        <v>3773</v>
      </c>
      <c r="I51" s="14">
        <v>1.77</v>
      </c>
      <c r="J51" s="14">
        <v>2.0299999999999998</v>
      </c>
      <c r="K51" s="14">
        <v>1.48</v>
      </c>
      <c r="L51" s="14">
        <v>1.71</v>
      </c>
      <c r="M51" s="29">
        <f t="shared" si="35"/>
        <v>565.21</v>
      </c>
      <c r="N51" s="14">
        <f t="shared" si="8"/>
        <v>0</v>
      </c>
      <c r="O51" s="14">
        <f t="shared" si="36"/>
        <v>364.53000000000003</v>
      </c>
      <c r="P51" s="14">
        <f t="shared" si="37"/>
        <v>314.55999999999983</v>
      </c>
      <c r="Q51" s="14">
        <f t="shared" si="38"/>
        <v>490.55999999999977</v>
      </c>
      <c r="R51" s="14">
        <f t="shared" si="39"/>
        <v>1169.6499999999996</v>
      </c>
      <c r="S51" s="14"/>
      <c r="T51" s="14"/>
      <c r="U51" s="14"/>
    </row>
    <row r="52" spans="1:22" ht="36" customHeight="1">
      <c r="A52" s="37"/>
      <c r="B52" s="11" t="s">
        <v>5</v>
      </c>
      <c r="C52" s="30">
        <f>SUM(C34:C51)</f>
        <v>8284301</v>
      </c>
      <c r="D52" s="17">
        <f>SUM(D34:D51)</f>
        <v>7691225</v>
      </c>
      <c r="E52" s="17">
        <f t="shared" ref="E52:H52" si="40">SUM(E34:E51)</f>
        <v>6348903</v>
      </c>
      <c r="F52" s="17">
        <f t="shared" si="40"/>
        <v>6114965</v>
      </c>
      <c r="G52" s="17">
        <f t="shared" si="40"/>
        <v>6992469</v>
      </c>
      <c r="H52" s="17">
        <f t="shared" si="40"/>
        <v>27147562</v>
      </c>
      <c r="I52" s="17"/>
      <c r="J52" s="17"/>
      <c r="K52" s="17"/>
      <c r="L52" s="17"/>
      <c r="M52" s="30">
        <f>SUM(M34:M51)</f>
        <v>5075974.1599999983</v>
      </c>
      <c r="N52" s="17">
        <f>SUM(N34:N51)</f>
        <v>4724617.299999998</v>
      </c>
      <c r="O52" s="17">
        <f t="shared" ref="O52:R52" si="41">SUM(O34:O51)</f>
        <v>3870228.8099999987</v>
      </c>
      <c r="P52" s="17">
        <f t="shared" ref="P52" si="42">SUM(P34:P51)</f>
        <v>2957676.8800000004</v>
      </c>
      <c r="Q52" s="17">
        <f t="shared" si="41"/>
        <v>3410038.0499999989</v>
      </c>
      <c r="R52" s="17">
        <f t="shared" si="41"/>
        <v>14962561.039999999</v>
      </c>
      <c r="S52" s="17">
        <v>1484790.6</v>
      </c>
      <c r="T52" s="17">
        <f>Q52/3</f>
        <v>1136679.3499999996</v>
      </c>
      <c r="U52" s="17">
        <f>R52+S52-T52</f>
        <v>15310672.289999999</v>
      </c>
    </row>
    <row r="53" spans="1:22" ht="51" customHeight="1">
      <c r="A53" s="37" t="s">
        <v>6</v>
      </c>
      <c r="B53" s="13" t="s">
        <v>18</v>
      </c>
      <c r="C53" s="29">
        <v>4811</v>
      </c>
      <c r="D53" s="14">
        <v>3674</v>
      </c>
      <c r="E53" s="14">
        <v>2980</v>
      </c>
      <c r="F53" s="14">
        <v>2650</v>
      </c>
      <c r="G53" s="14">
        <v>2355</v>
      </c>
      <c r="H53" s="14">
        <f t="shared" si="2"/>
        <v>11659</v>
      </c>
      <c r="I53" s="14">
        <v>71.260000000000005</v>
      </c>
      <c r="J53" s="14">
        <v>94.59</v>
      </c>
      <c r="K53" s="14">
        <v>3.59</v>
      </c>
      <c r="L53" s="14">
        <v>3.78</v>
      </c>
      <c r="M53" s="29">
        <f>(I53-K53)*C53</f>
        <v>325560.37</v>
      </c>
      <c r="N53" s="14">
        <f t="shared" si="8"/>
        <v>248619.58000000002</v>
      </c>
      <c r="O53" s="14">
        <f>(I53-K53)*E53</f>
        <v>201656.6</v>
      </c>
      <c r="P53" s="14">
        <f>($J53-$L53)*F53</f>
        <v>240646.5</v>
      </c>
      <c r="Q53" s="14">
        <f>($J53-$L53)*G53</f>
        <v>213857.55000000002</v>
      </c>
      <c r="R53" s="14">
        <f>N53+O53+P53+Q53</f>
        <v>904780.2300000001</v>
      </c>
      <c r="S53" s="14"/>
      <c r="T53" s="14"/>
      <c r="U53" s="14"/>
    </row>
    <row r="54" spans="1:22" ht="51" customHeight="1">
      <c r="A54" s="37"/>
      <c r="B54" s="16" t="s">
        <v>19</v>
      </c>
      <c r="C54" s="29">
        <v>1746</v>
      </c>
      <c r="D54" s="14">
        <v>1317</v>
      </c>
      <c r="E54" s="14">
        <v>971</v>
      </c>
      <c r="F54" s="14">
        <v>844</v>
      </c>
      <c r="G54" s="14">
        <v>710</v>
      </c>
      <c r="H54" s="14">
        <f t="shared" si="2"/>
        <v>3842</v>
      </c>
      <c r="I54" s="14">
        <v>71.260000000000005</v>
      </c>
      <c r="J54" s="14">
        <v>94.59</v>
      </c>
      <c r="K54" s="14">
        <v>1.23</v>
      </c>
      <c r="L54" s="14">
        <v>1.42</v>
      </c>
      <c r="M54" s="29">
        <f t="shared" ref="M54:M56" si="43">(I54-K54)*C54</f>
        <v>122272.38</v>
      </c>
      <c r="N54" s="14">
        <f t="shared" si="8"/>
        <v>92229.51</v>
      </c>
      <c r="O54" s="14">
        <f t="shared" ref="O54:O56" si="44">(I54-K54)*E54</f>
        <v>67999.13</v>
      </c>
      <c r="P54" s="14">
        <f t="shared" ref="P54:P56" si="45">($J54-$L54)*F54</f>
        <v>78635.48</v>
      </c>
      <c r="Q54" s="14">
        <f t="shared" ref="Q54:Q56" si="46">($J54-$L54)*G54</f>
        <v>66150.7</v>
      </c>
      <c r="R54" s="14">
        <f t="shared" ref="R54:R56" si="47">N54+O54+P54+Q54</f>
        <v>305014.82</v>
      </c>
      <c r="S54" s="14"/>
      <c r="T54" s="14"/>
      <c r="U54" s="14"/>
    </row>
    <row r="55" spans="1:22" ht="41.25" customHeight="1">
      <c r="A55" s="37"/>
      <c r="B55" s="13" t="s">
        <v>17</v>
      </c>
      <c r="C55" s="29">
        <v>42943</v>
      </c>
      <c r="D55" s="14">
        <v>58985</v>
      </c>
      <c r="E55" s="14">
        <v>42449</v>
      </c>
      <c r="F55" s="14">
        <v>47706</v>
      </c>
      <c r="G55" s="14">
        <v>42335</v>
      </c>
      <c r="H55" s="14">
        <f t="shared" si="2"/>
        <v>191475</v>
      </c>
      <c r="I55" s="14">
        <v>71.260000000000005</v>
      </c>
      <c r="J55" s="14">
        <v>94.59</v>
      </c>
      <c r="K55" s="14">
        <v>3.13</v>
      </c>
      <c r="L55" s="14">
        <v>3.29</v>
      </c>
      <c r="M55" s="29">
        <f t="shared" si="43"/>
        <v>2925706.5900000003</v>
      </c>
      <c r="N55" s="14">
        <f t="shared" si="8"/>
        <v>4018648.0500000007</v>
      </c>
      <c r="O55" s="14">
        <f t="shared" si="44"/>
        <v>2892050.3700000006</v>
      </c>
      <c r="P55" s="14">
        <f t="shared" si="45"/>
        <v>4355557.8</v>
      </c>
      <c r="Q55" s="14">
        <f t="shared" si="46"/>
        <v>3865185.5</v>
      </c>
      <c r="R55" s="14">
        <f t="shared" si="47"/>
        <v>15131441.720000003</v>
      </c>
      <c r="S55" s="14"/>
      <c r="T55" s="14"/>
      <c r="U55" s="14"/>
    </row>
    <row r="56" spans="1:22" ht="41.25" customHeight="1">
      <c r="A56" s="37"/>
      <c r="B56" s="13" t="s">
        <v>20</v>
      </c>
      <c r="C56" s="29">
        <v>61800</v>
      </c>
      <c r="D56" s="14">
        <v>95596</v>
      </c>
      <c r="E56" s="14">
        <v>34800</v>
      </c>
      <c r="F56" s="14">
        <v>21700</v>
      </c>
      <c r="G56" s="14">
        <v>54000</v>
      </c>
      <c r="H56" s="14">
        <f t="shared" si="2"/>
        <v>206096</v>
      </c>
      <c r="I56" s="14">
        <v>71.260000000000005</v>
      </c>
      <c r="J56" s="14">
        <v>94.59</v>
      </c>
      <c r="K56" s="14">
        <v>7.95</v>
      </c>
      <c r="L56" s="14">
        <v>7.95</v>
      </c>
      <c r="M56" s="29">
        <f t="shared" si="43"/>
        <v>3912558</v>
      </c>
      <c r="N56" s="14">
        <f t="shared" si="8"/>
        <v>6052182.7599999998</v>
      </c>
      <c r="O56" s="14">
        <f t="shared" si="44"/>
        <v>2203188</v>
      </c>
      <c r="P56" s="14">
        <f t="shared" si="45"/>
        <v>1880088</v>
      </c>
      <c r="Q56" s="14">
        <f t="shared" si="46"/>
        <v>4678560</v>
      </c>
      <c r="R56" s="14">
        <f t="shared" si="47"/>
        <v>14814018.76</v>
      </c>
      <c r="S56" s="14"/>
      <c r="T56" s="14"/>
      <c r="U56" s="14"/>
    </row>
    <row r="57" spans="1:22" ht="36.75" customHeight="1">
      <c r="A57" s="37"/>
      <c r="B57" s="11" t="s">
        <v>5</v>
      </c>
      <c r="C57" s="30">
        <f>SUM(C53:C56)</f>
        <v>111300</v>
      </c>
      <c r="D57" s="17">
        <f>SUM(D53:D56)</f>
        <v>159572</v>
      </c>
      <c r="E57" s="17">
        <f t="shared" ref="E57:H57" si="48">SUM(E53:E56)</f>
        <v>81200</v>
      </c>
      <c r="F57" s="17">
        <f t="shared" si="48"/>
        <v>72900</v>
      </c>
      <c r="G57" s="17">
        <f t="shared" si="48"/>
        <v>99400</v>
      </c>
      <c r="H57" s="17">
        <f t="shared" si="48"/>
        <v>413072</v>
      </c>
      <c r="I57" s="17"/>
      <c r="J57" s="17"/>
      <c r="K57" s="17"/>
      <c r="L57" s="17"/>
      <c r="M57" s="30">
        <f>SUM(M53:M56)</f>
        <v>7286097.3399999999</v>
      </c>
      <c r="N57" s="17">
        <f>SUM(N53:N56)</f>
        <v>10411679.9</v>
      </c>
      <c r="O57" s="17">
        <f t="shared" ref="O57:R57" si="49">SUM(O53:O56)</f>
        <v>5364894.1000000006</v>
      </c>
      <c r="P57" s="17">
        <f t="shared" ref="P57" si="50">SUM(P53:P56)</f>
        <v>6554927.7799999993</v>
      </c>
      <c r="Q57" s="17">
        <f t="shared" si="49"/>
        <v>8823753.75</v>
      </c>
      <c r="R57" s="17">
        <f t="shared" si="49"/>
        <v>31155255.530000001</v>
      </c>
      <c r="S57" s="17">
        <v>2433104.4500000002</v>
      </c>
      <c r="T57" s="17">
        <f>Q57/3</f>
        <v>2941251.25</v>
      </c>
      <c r="U57" s="17">
        <f>R57+S57-T57</f>
        <v>30647108.730000004</v>
      </c>
    </row>
    <row r="58" spans="1:22" ht="48.75" customHeight="1">
      <c r="A58" s="18"/>
      <c r="B58" s="11" t="s">
        <v>7</v>
      </c>
      <c r="C58" s="30">
        <f>C57+C52+C33+C21+C15</f>
        <v>24190016</v>
      </c>
      <c r="D58" s="17">
        <f>D57+D52+D33+D21+D15</f>
        <v>22221455.870999999</v>
      </c>
      <c r="E58" s="17">
        <f t="shared" ref="E58:H58" si="51">E57+E52+E33+E21+E15</f>
        <v>16126173</v>
      </c>
      <c r="F58" s="17">
        <f t="shared" si="51"/>
        <v>15212973</v>
      </c>
      <c r="G58" s="17">
        <f t="shared" si="51"/>
        <v>19478663</v>
      </c>
      <c r="H58" s="17">
        <f t="shared" si="51"/>
        <v>73039264.870999992</v>
      </c>
      <c r="I58" s="17"/>
      <c r="J58" s="17"/>
      <c r="K58" s="17"/>
      <c r="L58" s="17"/>
      <c r="M58" s="30">
        <f>M57+M52+M33+M21+M15</f>
        <v>561423432.24000001</v>
      </c>
      <c r="N58" s="17">
        <f>N57+N52+N33+N21+N15</f>
        <v>515185363.79828</v>
      </c>
      <c r="O58" s="17">
        <f t="shared" ref="O58:R58" si="52">O57+O52+O33+O21+O15</f>
        <v>349232745.72000003</v>
      </c>
      <c r="P58" s="17">
        <f t="shared" si="52"/>
        <v>467914446.69000006</v>
      </c>
      <c r="Q58" s="17">
        <f t="shared" si="52"/>
        <v>636341245.57000005</v>
      </c>
      <c r="R58" s="17">
        <f t="shared" si="52"/>
        <v>1968673801.77828</v>
      </c>
      <c r="S58" s="17">
        <f>S57+S52+S33+S21+S15</f>
        <v>62631112.019999996</v>
      </c>
      <c r="T58" s="17">
        <f>T57+T52+T33+T21+T15</f>
        <v>138498401.73166668</v>
      </c>
      <c r="U58" s="17">
        <f>U57+U52+U33+U21+U15</f>
        <v>1892806512.0666132</v>
      </c>
      <c r="V58" s="10"/>
    </row>
    <row r="59" spans="1:22" s="9" customFormat="1" ht="48.75" customHeight="1">
      <c r="A59" s="19"/>
      <c r="B59" s="20"/>
      <c r="C59" s="31"/>
      <c r="D59" s="21"/>
      <c r="E59" s="21"/>
      <c r="F59" s="21"/>
      <c r="G59" s="21"/>
      <c r="H59" s="21"/>
      <c r="I59" s="21"/>
      <c r="J59" s="21"/>
      <c r="K59" s="21"/>
      <c r="L59" s="21"/>
      <c r="M59" s="31"/>
      <c r="N59" s="21"/>
      <c r="O59" s="21"/>
      <c r="P59" s="21"/>
      <c r="Q59" s="21"/>
      <c r="R59" s="21"/>
      <c r="S59" s="21"/>
      <c r="T59" s="21"/>
      <c r="U59" s="22"/>
    </row>
    <row r="60" spans="1:22" ht="47.25" customHeight="1">
      <c r="A60" s="23"/>
      <c r="B60" s="24"/>
      <c r="C60" s="32"/>
      <c r="D60" s="27"/>
      <c r="E60" s="23"/>
      <c r="F60" s="23"/>
      <c r="G60" s="23"/>
      <c r="H60" s="23"/>
      <c r="I60" s="23"/>
      <c r="J60" s="23"/>
      <c r="K60" s="23"/>
      <c r="L60" s="23"/>
      <c r="M60" s="34"/>
      <c r="N60" s="25"/>
      <c r="O60" s="25"/>
      <c r="P60" s="23"/>
      <c r="Q60" s="23"/>
      <c r="R60" s="23"/>
      <c r="S60" s="45" t="s">
        <v>59</v>
      </c>
      <c r="T60" s="45"/>
      <c r="U60" s="14">
        <v>1704135372.26</v>
      </c>
    </row>
    <row r="61" spans="1:22" ht="66" customHeight="1">
      <c r="A61" s="23"/>
      <c r="B61" s="24"/>
      <c r="C61" s="32"/>
      <c r="D61" s="27"/>
      <c r="E61" s="23"/>
      <c r="F61" s="23"/>
      <c r="G61" s="23"/>
      <c r="H61" s="23"/>
      <c r="I61" s="23"/>
      <c r="J61" s="23"/>
      <c r="K61" s="23"/>
      <c r="L61" s="23"/>
      <c r="M61" s="34"/>
      <c r="N61" s="25"/>
      <c r="O61" s="25"/>
      <c r="P61" s="23"/>
      <c r="Q61" s="23"/>
      <c r="R61" s="23"/>
      <c r="S61" s="45" t="s">
        <v>35</v>
      </c>
      <c r="T61" s="45"/>
      <c r="U61" s="14">
        <f>U58-U60-0.01</f>
        <v>188671139.79661322</v>
      </c>
    </row>
    <row r="62" spans="1:22">
      <c r="G62" s="7"/>
      <c r="H62" s="7"/>
      <c r="I62" s="7"/>
      <c r="J62" s="7"/>
      <c r="K62" s="7"/>
      <c r="L62" s="7"/>
      <c r="M62" s="35"/>
      <c r="N62" s="8"/>
      <c r="O62" s="8"/>
      <c r="P62" s="7"/>
      <c r="Q62" s="7"/>
    </row>
  </sheetData>
  <mergeCells count="17">
    <mergeCell ref="A5:A15"/>
    <mergeCell ref="A16:A21"/>
    <mergeCell ref="T3:T4"/>
    <mergeCell ref="S60:T60"/>
    <mergeCell ref="S61:T61"/>
    <mergeCell ref="A53:A57"/>
    <mergeCell ref="A22:A33"/>
    <mergeCell ref="A34:A52"/>
    <mergeCell ref="U3:U4"/>
    <mergeCell ref="A1:U1"/>
    <mergeCell ref="B3:B4"/>
    <mergeCell ref="A3:A4"/>
    <mergeCell ref="S3:S4"/>
    <mergeCell ref="C3:H3"/>
    <mergeCell ref="M3:R3"/>
    <mergeCell ref="I3:J3"/>
    <mergeCell ref="K3:L3"/>
  </mergeCells>
  <pageMargins left="0.19685039370078741" right="0.19685039370078741" top="0.78740157480314965" bottom="0.39370078740157483" header="0.31496062992125984" footer="0.31496062992125984"/>
  <pageSetup paperSize="9" scale="31" fitToHeight="0" orientation="landscape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</vt:lpstr>
      <vt:lpstr>'2022'!Заголовки_для_печати</vt:lpstr>
      <vt:lpstr>'2022'!Область_печати</vt:lpstr>
    </vt:vector>
  </TitlesOfParts>
  <Company>Минестерство энергетики и связи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lubovtsova</dc:creator>
  <cp:lastModifiedBy>minfin user</cp:lastModifiedBy>
  <cp:lastPrinted>2022-06-03T17:17:14Z</cp:lastPrinted>
  <dcterms:created xsi:type="dcterms:W3CDTF">2016-01-14T10:10:37Z</dcterms:created>
  <dcterms:modified xsi:type="dcterms:W3CDTF">2022-06-03T17:17:16Z</dcterms:modified>
</cp:coreProperties>
</file>