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 activeTab="2"/>
  </bookViews>
  <sheets>
    <sheet name="Лизинг" sheetId="1" state="hidden" r:id="rId1"/>
    <sheet name="авиа расчет" sheetId="2" state="hidden" r:id="rId2"/>
    <sheet name="Воздушный транспорт" sheetId="3" r:id="rId3"/>
  </sheets>
  <externalReferences>
    <externalReference r:id="rId4"/>
  </externalReferences>
  <definedNames>
    <definedName name="_xlnm.Print_Area" localSheetId="1">'авиа расчет'!$A$1:$P$30</definedName>
  </definedNames>
  <calcPr calcId="125725"/>
</workbook>
</file>

<file path=xl/calcChain.xml><?xml version="1.0" encoding="utf-8"?>
<calcChain xmlns="http://schemas.openxmlformats.org/spreadsheetml/2006/main">
  <c r="BD15" i="3"/>
  <c r="BB15"/>
  <c r="AZ15"/>
  <c r="AY15"/>
  <c r="AV15"/>
  <c r="AS15"/>
  <c r="AM15"/>
  <c r="AA15"/>
  <c r="X15"/>
  <c r="W15"/>
  <c r="V15"/>
  <c r="R15"/>
  <c r="M15"/>
  <c r="N15" s="1"/>
  <c r="L15"/>
  <c r="K15"/>
  <c r="J15"/>
  <c r="I15"/>
  <c r="G15"/>
  <c r="F15"/>
  <c r="E15"/>
  <c r="H15" s="1"/>
  <c r="D15"/>
  <c r="C15"/>
  <c r="B15"/>
  <c r="BJ14"/>
  <c r="BK14" s="1"/>
  <c r="BI14"/>
  <c r="BL14" s="1"/>
  <c r="BM14" s="1"/>
  <c r="BH14"/>
  <c r="BG14"/>
  <c r="BF14"/>
  <c r="BE14"/>
  <c r="BD14"/>
  <c r="BB14"/>
  <c r="BC14" s="1"/>
  <c r="BA14"/>
  <c r="AX14"/>
  <c r="AW14"/>
  <c r="AV14"/>
  <c r="AU14"/>
  <c r="AP14"/>
  <c r="AG14"/>
  <c r="AG15" s="1"/>
  <c r="AC14"/>
  <c r="AC15" s="1"/>
  <c r="AD15" s="1"/>
  <c r="AB14"/>
  <c r="AE14" s="1"/>
  <c r="AF14" s="1"/>
  <c r="U14"/>
  <c r="T14"/>
  <c r="S14"/>
  <c r="R14"/>
  <c r="Q14"/>
  <c r="Q15" s="1"/>
  <c r="P14"/>
  <c r="BE13"/>
  <c r="BJ13" s="1"/>
  <c r="BK13" s="1"/>
  <c r="BD13"/>
  <c r="BG13" s="1"/>
  <c r="BH13" s="1"/>
  <c r="BB13"/>
  <c r="AV13"/>
  <c r="BA13" s="1"/>
  <c r="AU13"/>
  <c r="AW13" s="1"/>
  <c r="BC13" s="1"/>
  <c r="BE12"/>
  <c r="BJ12" s="1"/>
  <c r="BK12" s="1"/>
  <c r="BD12"/>
  <c r="BG12" s="1"/>
  <c r="BH12" s="1"/>
  <c r="BB12"/>
  <c r="AV12"/>
  <c r="BA12" s="1"/>
  <c r="AU12"/>
  <c r="AW12" s="1"/>
  <c r="BC12" s="1"/>
  <c r="BE11"/>
  <c r="BJ11" s="1"/>
  <c r="BK11" s="1"/>
  <c r="BD11"/>
  <c r="BG11" s="1"/>
  <c r="BH11" s="1"/>
  <c r="BB11"/>
  <c r="AV11"/>
  <c r="BA11" s="1"/>
  <c r="AU11"/>
  <c r="AW11" s="1"/>
  <c r="BJ10"/>
  <c r="BK10" s="1"/>
  <c r="BI10"/>
  <c r="BL10" s="1"/>
  <c r="BM10" s="1"/>
  <c r="BH10"/>
  <c r="BG10"/>
  <c r="BF10"/>
  <c r="BE10"/>
  <c r="BD10"/>
  <c r="BB10"/>
  <c r="BC10" s="1"/>
  <c r="BA10"/>
  <c r="AW10"/>
  <c r="AV10"/>
  <c r="AU10"/>
  <c r="BJ9"/>
  <c r="BK9" s="1"/>
  <c r="BI9"/>
  <c r="BL9" s="1"/>
  <c r="BM9" s="1"/>
  <c r="BH9"/>
  <c r="BG9"/>
  <c r="BF9"/>
  <c r="BE9"/>
  <c r="BD9"/>
  <c r="BB9"/>
  <c r="BC9" s="1"/>
  <c r="BA9"/>
  <c r="AW9"/>
  <c r="AV9"/>
  <c r="AU9"/>
  <c r="AD9"/>
  <c r="AC9"/>
  <c r="AB9"/>
  <c r="AE9" s="1"/>
  <c r="T9"/>
  <c r="S9"/>
  <c r="BG8"/>
  <c r="BF8"/>
  <c r="BE8"/>
  <c r="BJ8" s="1"/>
  <c r="BD8"/>
  <c r="BI8" s="1"/>
  <c r="BB8"/>
  <c r="BC8" s="1"/>
  <c r="AW8"/>
  <c r="AV8"/>
  <c r="BA8" s="1"/>
  <c r="AU8"/>
  <c r="AE8"/>
  <c r="AC8"/>
  <c r="AD8" s="1"/>
  <c r="AB8"/>
  <c r="T8"/>
  <c r="U8" s="1"/>
  <c r="S8"/>
  <c r="S15" s="1"/>
  <c r="P8"/>
  <c r="N8"/>
  <c r="H8"/>
  <c r="AC7"/>
  <c r="AD7" s="1"/>
  <c r="AB7"/>
  <c r="AE7" s="1"/>
  <c r="U7"/>
  <c r="T7"/>
  <c r="P7"/>
  <c r="L7"/>
  <c r="J7"/>
  <c r="H7"/>
  <c r="AP6"/>
  <c r="AO6"/>
  <c r="AI6"/>
  <c r="AJ6" s="1"/>
  <c r="AH6"/>
  <c r="AE6"/>
  <c r="AD6"/>
  <c r="AC6"/>
  <c r="AB6"/>
  <c r="Z6"/>
  <c r="T6"/>
  <c r="U6" s="1"/>
  <c r="P6"/>
  <c r="O6"/>
  <c r="O15" s="1"/>
  <c r="P15" s="1"/>
  <c r="N6"/>
  <c r="L6"/>
  <c r="J6"/>
  <c r="H6"/>
  <c r="O27" i="2"/>
  <c r="O26"/>
  <c r="N26"/>
  <c r="N27" s="1"/>
  <c r="M26"/>
  <c r="M27" s="1"/>
  <c r="L26"/>
  <c r="L27" s="1"/>
  <c r="C26"/>
  <c r="I25"/>
  <c r="E25"/>
  <c r="I23"/>
  <c r="E23"/>
  <c r="I22"/>
  <c r="I21"/>
  <c r="E21"/>
  <c r="I20"/>
  <c r="E20"/>
  <c r="I18"/>
  <c r="I17"/>
  <c r="I16"/>
  <c r="I15"/>
  <c r="I14"/>
  <c r="E14"/>
  <c r="I12"/>
  <c r="E12"/>
  <c r="E8" s="1"/>
  <c r="I10"/>
  <c r="E10"/>
  <c r="M9"/>
  <c r="L9"/>
  <c r="AO11" i="3" s="1"/>
  <c r="I8" i="2"/>
  <c r="I26" s="1"/>
  <c r="L7"/>
  <c r="I7"/>
  <c r="E7"/>
  <c r="I6"/>
  <c r="E6"/>
  <c r="I5"/>
  <c r="E5"/>
  <c r="O4"/>
  <c r="P29" s="1"/>
  <c r="L4"/>
  <c r="Q16" i="1"/>
  <c r="Q17" s="1"/>
  <c r="P16"/>
  <c r="P17" s="1"/>
  <c r="O16"/>
  <c r="O17" s="1"/>
  <c r="N16"/>
  <c r="N17" s="1"/>
  <c r="N18" s="1"/>
  <c r="M16"/>
  <c r="M17" s="1"/>
  <c r="L16"/>
  <c r="L17" s="1"/>
  <c r="K16"/>
  <c r="K17" s="1"/>
  <c r="J16"/>
  <c r="J17" s="1"/>
  <c r="H16"/>
  <c r="H17" s="1"/>
  <c r="G16"/>
  <c r="G17" s="1"/>
  <c r="F16"/>
  <c r="F17" s="1"/>
  <c r="F18" s="1"/>
  <c r="E16"/>
  <c r="E17" s="1"/>
  <c r="D16"/>
  <c r="D17" s="1"/>
  <c r="C16"/>
  <c r="C17" s="1"/>
  <c r="B16"/>
  <c r="B17" s="1"/>
  <c r="I15"/>
  <c r="I14"/>
  <c r="I13"/>
  <c r="I12"/>
  <c r="I11"/>
  <c r="I10"/>
  <c r="I9"/>
  <c r="I8"/>
  <c r="I7"/>
  <c r="I16" s="1"/>
  <c r="I17" s="1"/>
  <c r="AO15" i="3" l="1"/>
  <c r="P9" i="2" s="1"/>
  <c r="AF6" i="3"/>
  <c r="AE15"/>
  <c r="AF15" s="1"/>
  <c r="BG15"/>
  <c r="BH15" s="1"/>
  <c r="B18" i="1"/>
  <c r="AH15" i="3"/>
  <c r="AW15"/>
  <c r="BA15"/>
  <c r="BJ15"/>
  <c r="BK15" s="1"/>
  <c r="BK8"/>
  <c r="AX11"/>
  <c r="BC11"/>
  <c r="BL8"/>
  <c r="D18" i="1"/>
  <c r="N5" i="2"/>
  <c r="J18" i="1"/>
  <c r="P27" i="2"/>
  <c r="P28" s="1"/>
  <c r="P30" s="1"/>
  <c r="E24" s="1"/>
  <c r="E18" s="1"/>
  <c r="E26" s="1"/>
  <c r="T15" i="3"/>
  <c r="U15" s="1"/>
  <c r="AX8"/>
  <c r="BH8"/>
  <c r="BF11"/>
  <c r="BF12"/>
  <c r="BF13"/>
  <c r="AD14"/>
  <c r="BE15"/>
  <c r="BF15" s="1"/>
  <c r="AJ14"/>
  <c r="AH14"/>
  <c r="AK14" s="1"/>
  <c r="AL14" s="1"/>
  <c r="AB15"/>
  <c r="BI11"/>
  <c r="BL11" s="1"/>
  <c r="BM11" s="1"/>
  <c r="BI12"/>
  <c r="BL12" s="1"/>
  <c r="BM12" s="1"/>
  <c r="BI13"/>
  <c r="BL13" s="1"/>
  <c r="BM13" s="1"/>
  <c r="AI15"/>
  <c r="AJ15" s="1"/>
  <c r="N4" i="2"/>
  <c r="AK6" i="3"/>
  <c r="AU15"/>
  <c r="L5" i="2" l="1"/>
  <c r="M5"/>
  <c r="O5"/>
  <c r="BM8" i="3"/>
  <c r="BL15"/>
  <c r="BM15" s="1"/>
  <c r="AX15"/>
  <c r="BC15"/>
  <c r="AP15"/>
  <c r="AN6"/>
  <c r="N10" i="2"/>
  <c r="AL6" i="3"/>
  <c r="AK15"/>
  <c r="AL15" s="1"/>
  <c r="BI15"/>
  <c r="AQ6" l="1"/>
  <c r="L10" i="2"/>
  <c r="AN11" i="3"/>
  <c r="AQ11" s="1"/>
  <c r="P5" i="2"/>
  <c r="M10"/>
  <c r="AN14" i="3"/>
  <c r="AQ14" s="1"/>
  <c r="AN15" l="1"/>
  <c r="AQ15"/>
  <c r="AR6"/>
  <c r="AR15" l="1"/>
  <c r="P10" i="2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 xml:space="preserve">
на 10 % больше, чем в 2019 по предложению тернового
</t>
        </r>
      </text>
    </comment>
  </commentList>
</comments>
</file>

<file path=xl/comments2.xml><?xml version="1.0" encoding="utf-8"?>
<comments xmlns="http://schemas.openxmlformats.org/spreadsheetml/2006/main">
  <authors>
    <author>tc={00D80003-00EA-45CD-B351-001A0055000B}</author>
    <author>tc={00860005-0072-4CF2-A36F-008100A9009C}</author>
  </authors>
  <commentList>
    <comment ref="AF6" author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С учетом полетов в 1 квартале 2018 г.+капитальный ремонт
</t>
        </r>
      </text>
    </comment>
    <comment ref="I15" authorId="1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Учтена линия Архангельск-Котлас, 15346,3
</t>
        </r>
      </text>
    </comment>
  </commentList>
</comments>
</file>

<file path=xl/sharedStrings.xml><?xml version="1.0" encoding="utf-8"?>
<sst xmlns="http://schemas.openxmlformats.org/spreadsheetml/2006/main" count="224" uniqueCount="150">
  <si>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</si>
  <si>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</si>
  <si>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</si>
  <si>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</si>
  <si>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</si>
  <si>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</si>
  <si>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</si>
  <si>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</si>
  <si>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</si>
  <si>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</si>
  <si>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</si>
  <si>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</si>
  <si>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</si>
  <si>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</si>
  <si>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</si>
  <si>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</si>
  <si>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</si>
  <si>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</si>
  <si>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</si>
  <si>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</si>
  <si>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</si>
  <si>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</si>
  <si>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</si>
  <si>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</si>
  <si>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</si>
  <si>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</si>
  <si>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</si>
  <si>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</si>
  <si>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</si>
  <si>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</si>
  <si>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</si>
  <si>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</si>
  <si>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</si>
  <si>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</si>
  <si>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</si>
  <si>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</si>
  <si>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</si>
  <si>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</si>
  <si>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</si>
  <si>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</si>
  <si>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</si>
  <si>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</si>
  <si>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</si>
  <si>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</si>
  <si>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</si>
  <si>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</si>
  <si>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</si>
  <si>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</si>
  <si>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</si>
  <si>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</si>
  <si>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</si>
  <si>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</si>
  <si>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</si>
  <si>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</si>
  <si>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</si>
  <si>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</si>
  <si>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</si>
  <si>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</si>
  <si>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</si>
  <si>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</si>
  <si>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</si>
  <si>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</si>
  <si>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</si>
  <si>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</si>
  <si>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</si>
  <si>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</si>
  <si>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</si>
  <si>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</si>
  <si>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</si>
  <si>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</si>
  <si>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</si>
  <si>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</si>
  <si>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</si>
  <si>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</si>
  <si>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</si>
  <si>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</si>
  <si>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</si>
  <si>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</si>
  <si>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</si>
  <si>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</si>
  <si>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</si>
  <si>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</si>
  <si>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</si>
  <si>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>Направление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</si>
  <si>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</si>
  <si>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</si>
  <si>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</si>
  <si>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</si>
  <si>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</si>
  <si>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</si>
  <si>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</si>
  <si>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</si>
  <si>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</si>
  <si>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</si>
  <si>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</si>
  <si>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Фактически выплаченная субсидия за 2017 год</t>
  </si>
  <si>
    <t>2018 год - прогнозная оценка АТиЦ</t>
  </si>
  <si>
    <t>2019 год - прогноз</t>
  </si>
  <si>
    <t>2020 год - прогноз</t>
  </si>
  <si>
    <t>Предложения минтранса  при формировании ОБ на 2020</t>
  </si>
  <si>
    <t>2020 год предусмотрено в ОБ</t>
  </si>
  <si>
    <t>2021 год - прогноз</t>
  </si>
  <si>
    <t>2022 год - прогноз</t>
  </si>
  <si>
    <t>2023 год - прогноз</t>
  </si>
  <si>
    <t>2024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</si>
  <si>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</si>
  <si>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</si>
  <si>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</si>
  <si>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</si>
  <si>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</si>
  <si>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</si>
  <si>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</si>
  <si>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</si>
  <si>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</si>
  <si>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</si>
  <si>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</si>
  <si>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</si>
  <si>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</si>
  <si>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</si>
  <si>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</si>
  <si>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</si>
  <si>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</si>
  <si>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</si>
  <si>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Областной закон от 23.12.2016                   № 503-31-ОЗ</t>
  </si>
  <si>
    <t>Рост тарифов к 2016 г., %</t>
  </si>
  <si>
    <t>Рост к 2017 г., %</t>
  </si>
  <si>
    <t>Областной закон от 15.12.2017                   № 581-40-ОЗ</t>
  </si>
  <si>
    <t>Рост к 2018 г., %</t>
  </si>
  <si>
    <t>областной закон</t>
  </si>
  <si>
    <t>Рост к 2019 г., %</t>
  </si>
  <si>
    <t>Рост к  расчету на 2020 г., %</t>
  </si>
  <si>
    <t>Рост к 2020 г., %</t>
  </si>
  <si>
    <t>Авиаперевозки:</t>
  </si>
  <si>
    <t>АО "2-ой Архангельский ОАО" на территории АО</t>
  </si>
  <si>
    <t xml:space="preserve">ОАО "2-ой Архангельский ОАО" межсубъектные перевозки </t>
  </si>
  <si>
    <t xml:space="preserve"> - </t>
  </si>
  <si>
    <t>Архангельск - Лешуконский район</t>
  </si>
  <si>
    <t>Архангельск - Мезенский район</t>
  </si>
  <si>
    <t>Архангельск - Приморский район</t>
  </si>
  <si>
    <t>Архангельск - Соловки</t>
  </si>
  <si>
    <t>Архангельск - Вельск</t>
  </si>
  <si>
    <t>Вертолетное сообщение</t>
  </si>
  <si>
    <t>Архангельск - Котлас</t>
  </si>
  <si>
    <t xml:space="preserve">ИТОГО авиаперевозки </t>
  </si>
  <si>
    <t>Примечание:</t>
  </si>
  <si>
    <t xml:space="preserve">1.Рост субсидий по воздушному транспорту в 2021 году по сравнению с 2020 годом обусловлен увеличением количества направлений полетов (Вельск, Вертолетное сообщение с Мезенским районом), общим увеличением количества рейсов, а также ростом стоимости одного летного часа воздушного судна Л-410. 
</t>
  </si>
  <si>
    <t xml:space="preserve">2. В соответствии с полетной программой АО «2-ой Архангельский объединенный авиаотряд» общее количество рейсов в 2021 году составит 1370 рейсов, то есть 153 % к ожидаемому количеству рейсов в 2020 году (в 2020 году ожидаемое количество - 898 рейсов ). В течение 2020 года в результате ограничений, введенных в связи с распространением новой коронавирусной инфекции, в период с марта по июнь было значительно сокращено количество авиарейсов. 
</t>
  </si>
  <si>
    <t>3. Значительный рост себестоимости летного часа воздушного судна L-410 UVP – 118,5 % к плановой себестоимости 2020 года обусловлена необходимость дополниетльных выплат по договорам лизинга в 2021 году. В стадии подписания находится дополнительное соглашение между АО «2-ой Архангельский объединенный авиаотряд» и ПАО «ГТЛК» о реструктуризации задолженности предприятия по договорам лизинга. В соответствии с графиком реструктуризации задолженность предприятия по договорам лизинга за период с марта по декабрь 2020 года перераспределяется на 2021 -2023 годы, в результате чего в 2021 году дополнительно к выплатам по заключенным договорам возникает обязанность уплаты задолженности за 2020 год в размере 85,51 млн. руб.</t>
  </si>
  <si>
    <t>рублей</t>
  </si>
  <si>
    <t xml:space="preserve">Расчет потребности в субсидии организациям воздушного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багажа,                                                                                      на 2022 год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</si>
</sst>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0"/>
    <numFmt numFmtId="166" formatCode="0.000"/>
    <numFmt numFmtId="167" formatCode="#,##0.000"/>
    <numFmt numFmtId="168" formatCode="0.0%"/>
    <numFmt numFmtId="169" formatCode="#,##0.0"/>
  </numFmts>
  <fonts count="50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2"/>
      <color theme="1"/>
      <name val="Times New Roman"/>
    </font>
    <font>
      <sz val="12"/>
      <color indexed="2"/>
      <name val="Times New Roman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sz val="12"/>
      <color indexed="2"/>
      <name val="Times New Roman"/>
    </font>
    <font>
      <i/>
      <sz val="12"/>
      <color indexed="2"/>
      <name val="Times New Roman"/>
    </font>
    <font>
      <b/>
      <sz val="12"/>
      <color theme="1"/>
      <name val="Times New Roman"/>
    </font>
    <font>
      <b/>
      <i/>
      <sz val="12"/>
      <name val="Times New Roman"/>
    </font>
    <font>
      <sz val="13"/>
      <color theme="1"/>
      <name val="Times New Roman"/>
    </font>
    <font>
      <sz val="13"/>
      <color indexed="2"/>
      <name val="Times New Roman"/>
    </font>
    <font>
      <sz val="13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380"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2" fillId="0" borderId="19" xfId="0" applyFont="1" applyBorder="1" applyAlignment="1">
      <alignment wrapText="1"/>
    </xf>
    <xf numFmtId="4" fontId="0" fillId="0" borderId="20" xfId="0" applyNumberFormat="1" applyBorder="1" applyAlignment="1">
      <alignment wrapText="1"/>
    </xf>
    <xf numFmtId="0" fontId="22" fillId="0" borderId="21" xfId="0" applyFont="1" applyBorder="1" applyAlignment="1">
      <alignment wrapText="1"/>
    </xf>
    <xf numFmtId="4" fontId="0" fillId="0" borderId="22" xfId="0" applyNumberFormat="1" applyBorder="1" applyAlignment="1">
      <alignment wrapText="1"/>
    </xf>
    <xf numFmtId="4" fontId="0" fillId="0" borderId="23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4" fontId="0" fillId="0" borderId="26" xfId="0" applyNumberFormat="1" applyBorder="1" applyAlignment="1">
      <alignment wrapText="1"/>
    </xf>
    <xf numFmtId="4" fontId="0" fillId="0" borderId="27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0" fontId="22" fillId="0" borderId="24" xfId="0" applyFont="1" applyBorder="1" applyAlignment="1">
      <alignment wrapText="1"/>
    </xf>
    <xf numFmtId="0" fontId="0" fillId="0" borderId="29" xfId="0" applyBorder="1" applyAlignment="1">
      <alignment wrapText="1"/>
    </xf>
    <xf numFmtId="4" fontId="0" fillId="0" borderId="30" xfId="0" applyNumberForma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2" xfId="0" applyNumberFormat="1" applyBorder="1" applyAlignment="1">
      <alignment wrapText="1"/>
    </xf>
    <xf numFmtId="0" fontId="23" fillId="0" borderId="33" xfId="0" applyFont="1" applyBorder="1" applyAlignment="1">
      <alignment wrapText="1"/>
    </xf>
    <xf numFmtId="4" fontId="23" fillId="0" borderId="11" xfId="0" applyNumberFormat="1" applyFont="1" applyBorder="1" applyAlignment="1">
      <alignment wrapText="1"/>
    </xf>
    <xf numFmtId="4" fontId="23" fillId="0" borderId="13" xfId="0" applyNumberFormat="1" applyFont="1" applyBorder="1" applyAlignment="1">
      <alignment wrapText="1"/>
    </xf>
    <xf numFmtId="4" fontId="23" fillId="0" borderId="14" xfId="0" applyNumberFormat="1" applyFont="1" applyBorder="1" applyAlignment="1">
      <alignment wrapText="1"/>
    </xf>
    <xf numFmtId="0" fontId="23" fillId="0" borderId="34" xfId="0" applyFont="1" applyBorder="1" applyAlignment="1">
      <alignment wrapText="1"/>
    </xf>
    <xf numFmtId="4" fontId="23" fillId="0" borderId="26" xfId="0" applyNumberFormat="1" applyFont="1" applyBorder="1" applyAlignment="1">
      <alignment wrapText="1"/>
    </xf>
    <xf numFmtId="4" fontId="23" fillId="0" borderId="27" xfId="0" applyNumberFormat="1" applyFont="1" applyBorder="1" applyAlignment="1">
      <alignment wrapText="1"/>
    </xf>
    <xf numFmtId="4" fontId="23" fillId="0" borderId="28" xfId="0" applyNumberFormat="1" applyFont="1" applyBorder="1" applyAlignment="1">
      <alignment wrapText="1"/>
    </xf>
    <xf numFmtId="0" fontId="23" fillId="0" borderId="35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0" borderId="46" xfId="0" applyFont="1" applyBorder="1" applyAlignment="1">
      <alignment horizontal="center" vertical="center"/>
    </xf>
    <xf numFmtId="0" fontId="24" fillId="0" borderId="48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7" fillId="0" borderId="52" xfId="0" applyFont="1" applyBorder="1" applyAlignment="1">
      <alignment vertical="center" wrapText="1"/>
    </xf>
    <xf numFmtId="3" fontId="28" fillId="0" borderId="11" xfId="0" applyNumberFormat="1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3" fontId="28" fillId="0" borderId="14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0" fillId="0" borderId="26" xfId="0" applyBorder="1" applyAlignment="1">
      <alignment vertical="center"/>
    </xf>
    <xf numFmtId="4" fontId="0" fillId="0" borderId="27" xfId="0" applyNumberFormat="1" applyBorder="1" applyAlignment="1">
      <alignment horizontal="center" vertical="center"/>
    </xf>
    <xf numFmtId="4" fontId="23" fillId="0" borderId="28" xfId="0" applyNumberFormat="1" applyFont="1" applyBorder="1" applyAlignment="1">
      <alignment vertical="center"/>
    </xf>
    <xf numFmtId="0" fontId="27" fillId="0" borderId="24" xfId="0" applyFont="1" applyBorder="1" applyAlignment="1">
      <alignment vertical="center" wrapText="1"/>
    </xf>
    <xf numFmtId="3" fontId="28" fillId="0" borderId="26" xfId="0" applyNumberFormat="1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3" fontId="28" fillId="0" borderId="28" xfId="0" applyNumberFormat="1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30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vertical="center" wrapText="1"/>
    </xf>
    <xf numFmtId="3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3" fontId="22" fillId="0" borderId="26" xfId="0" applyNumberFormat="1" applyFont="1" applyBorder="1" applyAlignment="1">
      <alignment vertical="center"/>
    </xf>
    <xf numFmtId="3" fontId="22" fillId="0" borderId="28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" fontId="0" fillId="0" borderId="18" xfId="0" applyNumberFormat="1" applyBorder="1" applyAlignment="1">
      <alignment horizontal="center" vertical="center"/>
    </xf>
    <xf numFmtId="4" fontId="23" fillId="0" borderId="38" xfId="0" applyNumberFormat="1" applyFont="1" applyBorder="1" applyAlignment="1">
      <alignment vertical="center"/>
    </xf>
    <xf numFmtId="0" fontId="0" fillId="0" borderId="43" xfId="0" applyBorder="1" applyAlignment="1">
      <alignment wrapText="1"/>
    </xf>
    <xf numFmtId="0" fontId="0" fillId="0" borderId="44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22" fillId="0" borderId="11" xfId="0" applyFont="1" applyBorder="1" applyAlignment="1">
      <alignment wrapText="1"/>
    </xf>
    <xf numFmtId="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49" fontId="31" fillId="0" borderId="24" xfId="0" applyNumberFormat="1" applyFont="1" applyBorder="1" applyAlignment="1">
      <alignment vertical="center" wrapText="1"/>
    </xf>
    <xf numFmtId="0" fontId="0" fillId="0" borderId="26" xfId="0" applyBorder="1" applyAlignment="1">
      <alignment wrapText="1"/>
    </xf>
    <xf numFmtId="0" fontId="0" fillId="0" borderId="28" xfId="0" applyBorder="1" applyAlignment="1">
      <alignment wrapText="1"/>
    </xf>
    <xf numFmtId="0" fontId="0" fillId="24" borderId="27" xfId="0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22" fillId="0" borderId="26" xfId="0" applyFont="1" applyBorder="1" applyAlignment="1">
      <alignment wrapText="1"/>
    </xf>
    <xf numFmtId="0" fontId="32" fillId="24" borderId="27" xfId="0" applyFont="1" applyFill="1" applyBorder="1" applyAlignment="1">
      <alignment horizontal="center"/>
    </xf>
    <xf numFmtId="0" fontId="0" fillId="0" borderId="27" xfId="0" applyBorder="1" applyAlignment="1">
      <alignment wrapText="1"/>
    </xf>
    <xf numFmtId="164" fontId="32" fillId="24" borderId="27" xfId="0" applyNumberFormat="1" applyFont="1" applyFill="1" applyBorder="1" applyAlignment="1">
      <alignment horizontal="center"/>
    </xf>
    <xf numFmtId="165" fontId="32" fillId="24" borderId="27" xfId="0" applyNumberFormat="1" applyFont="1" applyFill="1" applyBorder="1" applyAlignment="1">
      <alignment horizontal="center"/>
    </xf>
    <xf numFmtId="2" fontId="32" fillId="24" borderId="27" xfId="0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 vertical="center" wrapText="1"/>
    </xf>
    <xf numFmtId="166" fontId="32" fillId="24" borderId="27" xfId="0" applyNumberFormat="1" applyFont="1" applyFill="1" applyBorder="1" applyAlignment="1">
      <alignment horizontal="center"/>
    </xf>
    <xf numFmtId="0" fontId="22" fillId="0" borderId="25" xfId="0" applyFont="1" applyBorder="1" applyAlignment="1">
      <alignment vertical="center"/>
    </xf>
    <xf numFmtId="3" fontId="22" fillId="25" borderId="26" xfId="0" applyNumberFormat="1" applyFont="1" applyFill="1" applyBorder="1" applyAlignment="1">
      <alignment vertical="center"/>
    </xf>
    <xf numFmtId="3" fontId="22" fillId="25" borderId="28" xfId="0" applyNumberFormat="1" applyFont="1" applyFill="1" applyBorder="1" applyAlignment="1">
      <alignment vertical="center"/>
    </xf>
    <xf numFmtId="3" fontId="22" fillId="26" borderId="26" xfId="0" applyNumberFormat="1" applyFont="1" applyFill="1" applyBorder="1" applyAlignment="1">
      <alignment vertical="center"/>
    </xf>
    <xf numFmtId="3" fontId="22" fillId="26" borderId="28" xfId="0" applyNumberFormat="1" applyFont="1" applyFill="1" applyBorder="1" applyAlignment="1">
      <alignment vertical="center"/>
    </xf>
    <xf numFmtId="0" fontId="31" fillId="0" borderId="29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3" fontId="28" fillId="0" borderId="16" xfId="0" applyNumberFormat="1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4" fontId="28" fillId="27" borderId="16" xfId="0" applyNumberFormat="1" applyFont="1" applyFill="1" applyBorder="1" applyAlignment="1">
      <alignment vertical="center"/>
    </xf>
    <xf numFmtId="4" fontId="28" fillId="27" borderId="38" xfId="0" applyNumberFormat="1" applyFont="1" applyFill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7" fontId="28" fillId="27" borderId="16" xfId="0" applyNumberFormat="1" applyFont="1" applyFill="1" applyBorder="1" applyAlignment="1">
      <alignment vertical="center"/>
    </xf>
    <xf numFmtId="0" fontId="23" fillId="0" borderId="26" xfId="0" applyFont="1" applyBorder="1" applyAlignment="1">
      <alignment wrapText="1"/>
    </xf>
    <xf numFmtId="0" fontId="23" fillId="0" borderId="30" xfId="0" applyFont="1" applyBorder="1" applyAlignment="1">
      <alignment wrapText="1"/>
    </xf>
    <xf numFmtId="4" fontId="23" fillId="0" borderId="32" xfId="0" applyNumberFormat="1" applyFont="1" applyBorder="1" applyAlignment="1">
      <alignment wrapText="1"/>
    </xf>
    <xf numFmtId="4" fontId="23" fillId="0" borderId="62" xfId="0" applyNumberFormat="1" applyFont="1" applyBorder="1" applyAlignment="1">
      <alignment wrapText="1"/>
    </xf>
    <xf numFmtId="0" fontId="21" fillId="0" borderId="0" xfId="0" applyFont="1"/>
    <xf numFmtId="4" fontId="0" fillId="0" borderId="14" xfId="0" applyNumberFormat="1" applyBorder="1" applyAlignment="1">
      <alignment wrapText="1"/>
    </xf>
    <xf numFmtId="0" fontId="0" fillId="0" borderId="0" xfId="0"/>
    <xf numFmtId="0" fontId="0" fillId="0" borderId="28" xfId="0" applyBorder="1" applyAlignment="1">
      <alignment horizontal="center" wrapText="1"/>
    </xf>
    <xf numFmtId="4" fontId="23" fillId="0" borderId="38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3" xfId="0" applyBorder="1" applyAlignment="1">
      <alignment wrapText="1"/>
    </xf>
    <xf numFmtId="0" fontId="0" fillId="0" borderId="39" xfId="0" applyBorder="1"/>
    <xf numFmtId="0" fontId="0" fillId="0" borderId="64" xfId="0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164" fontId="33" fillId="0" borderId="0" xfId="0" applyNumberFormat="1" applyFont="1"/>
    <xf numFmtId="0" fontId="36" fillId="27" borderId="50" xfId="0" applyFont="1" applyFill="1" applyBorder="1" applyAlignment="1">
      <alignment horizontal="center" vertical="center" wrapText="1"/>
    </xf>
    <xf numFmtId="0" fontId="36" fillId="27" borderId="40" xfId="0" applyFont="1" applyFill="1" applyBorder="1" applyAlignment="1">
      <alignment horizontal="center" vertical="center" wrapText="1"/>
    </xf>
    <xf numFmtId="0" fontId="36" fillId="27" borderId="49" xfId="0" applyFont="1" applyFill="1" applyBorder="1" applyAlignment="1">
      <alignment horizontal="center" vertical="center" wrapText="1"/>
    </xf>
    <xf numFmtId="0" fontId="36" fillId="27" borderId="52" xfId="0" applyFont="1" applyFill="1" applyBorder="1" applyAlignment="1">
      <alignment horizontal="center" vertical="center" wrapText="1"/>
    </xf>
    <xf numFmtId="0" fontId="36" fillId="27" borderId="51" xfId="0" applyFont="1" applyFill="1" applyBorder="1" applyAlignment="1">
      <alignment horizontal="center" vertical="center" wrapText="1"/>
    </xf>
    <xf numFmtId="0" fontId="36" fillId="27" borderId="39" xfId="0" applyFont="1" applyFill="1" applyBorder="1" applyAlignment="1">
      <alignment horizontal="center" vertical="center" wrapText="1"/>
    </xf>
    <xf numFmtId="0" fontId="36" fillId="27" borderId="57" xfId="0" applyFont="1" applyFill="1" applyBorder="1" applyAlignment="1">
      <alignment horizontal="center" vertical="center" wrapText="1"/>
    </xf>
    <xf numFmtId="0" fontId="36" fillId="27" borderId="58" xfId="0" applyFont="1" applyFill="1" applyBorder="1" applyAlignment="1">
      <alignment horizontal="center" vertical="center" wrapText="1"/>
    </xf>
    <xf numFmtId="0" fontId="36" fillId="27" borderId="59" xfId="0" applyFont="1" applyFill="1" applyBorder="1" applyAlignment="1">
      <alignment horizontal="center" vertical="center" wrapText="1"/>
    </xf>
    <xf numFmtId="0" fontId="36" fillId="27" borderId="65" xfId="0" applyFont="1" applyFill="1" applyBorder="1" applyAlignment="1">
      <alignment horizontal="center" vertical="center" wrapText="1"/>
    </xf>
    <xf numFmtId="0" fontId="36" fillId="27" borderId="16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center" vertical="center" wrapText="1"/>
    </xf>
    <xf numFmtId="0" fontId="36" fillId="27" borderId="61" xfId="0" applyFont="1" applyFill="1" applyBorder="1" applyAlignment="1">
      <alignment horizontal="center" vertical="center" wrapText="1"/>
    </xf>
    <xf numFmtId="0" fontId="36" fillId="27" borderId="18" xfId="0" applyFont="1" applyFill="1" applyBorder="1" applyAlignment="1">
      <alignment horizontal="center" vertical="center" wrapText="1"/>
    </xf>
    <xf numFmtId="0" fontId="36" fillId="27" borderId="17" xfId="0" applyFont="1" applyFill="1" applyBorder="1" applyAlignment="1">
      <alignment horizontal="center" vertical="center" wrapText="1"/>
    </xf>
    <xf numFmtId="0" fontId="36" fillId="27" borderId="36" xfId="0" applyFont="1" applyFill="1" applyBorder="1" applyAlignment="1">
      <alignment horizontal="center" vertical="center" wrapText="1"/>
    </xf>
    <xf numFmtId="0" fontId="36" fillId="27" borderId="66" xfId="0" applyFont="1" applyFill="1" applyBorder="1" applyAlignment="1">
      <alignment horizontal="center" vertical="center" wrapText="1"/>
    </xf>
    <xf numFmtId="0" fontId="36" fillId="27" borderId="54" xfId="0" applyFont="1" applyFill="1" applyBorder="1" applyAlignment="1">
      <alignment horizontal="center" vertical="center" wrapText="1"/>
    </xf>
    <xf numFmtId="0" fontId="36" fillId="27" borderId="55" xfId="0" applyFont="1" applyFill="1" applyBorder="1" applyAlignment="1">
      <alignment horizontal="center" vertical="center" wrapText="1"/>
    </xf>
    <xf numFmtId="0" fontId="36" fillId="27" borderId="67" xfId="0" applyFont="1" applyFill="1" applyBorder="1" applyAlignment="1">
      <alignment horizontal="center" vertical="center" wrapText="1"/>
    </xf>
    <xf numFmtId="0" fontId="36" fillId="27" borderId="68" xfId="0" applyFont="1" applyFill="1" applyBorder="1" applyAlignment="1">
      <alignment horizontal="center" vertical="center" wrapText="1"/>
    </xf>
    <xf numFmtId="0" fontId="36" fillId="27" borderId="32" xfId="0" applyFont="1" applyFill="1" applyBorder="1" applyAlignment="1">
      <alignment horizontal="center" vertical="center" wrapText="1"/>
    </xf>
    <xf numFmtId="0" fontId="36" fillId="27" borderId="62" xfId="0" applyFont="1" applyFill="1" applyBorder="1" applyAlignment="1">
      <alignment horizontal="center" vertical="center" wrapText="1"/>
    </xf>
    <xf numFmtId="0" fontId="36" fillId="0" borderId="40" xfId="0" applyFont="1" applyBorder="1"/>
    <xf numFmtId="0" fontId="33" fillId="0" borderId="69" xfId="0" applyFont="1" applyBorder="1"/>
    <xf numFmtId="0" fontId="33" fillId="0" borderId="44" xfId="0" applyFont="1" applyBorder="1"/>
    <xf numFmtId="164" fontId="37" fillId="28" borderId="44" xfId="0" applyNumberFormat="1" applyFont="1" applyFill="1" applyBorder="1" applyAlignment="1">
      <alignment horizontal="center" vertical="center" wrapText="1"/>
    </xf>
    <xf numFmtId="168" fontId="37" fillId="28" borderId="44" xfId="0" applyNumberFormat="1" applyFont="1" applyFill="1" applyBorder="1" applyAlignment="1">
      <alignment horizontal="center" vertical="center" wrapText="1"/>
    </xf>
    <xf numFmtId="4" fontId="35" fillId="0" borderId="44" xfId="0" applyNumberFormat="1" applyFont="1" applyBorder="1"/>
    <xf numFmtId="168" fontId="35" fillId="0" borderId="44" xfId="0" applyNumberFormat="1" applyFont="1" applyBorder="1"/>
    <xf numFmtId="168" fontId="36" fillId="0" borderId="70" xfId="0" applyNumberFormat="1" applyFont="1" applyBorder="1"/>
    <xf numFmtId="4" fontId="35" fillId="0" borderId="43" xfId="0" applyNumberFormat="1" applyFont="1" applyBorder="1"/>
    <xf numFmtId="4" fontId="34" fillId="0" borderId="44" xfId="0" applyNumberFormat="1" applyFont="1" applyBorder="1"/>
    <xf numFmtId="10" fontId="34" fillId="0" borderId="44" xfId="0" applyNumberFormat="1" applyFont="1" applyBorder="1"/>
    <xf numFmtId="168" fontId="34" fillId="0" borderId="46" xfId="0" applyNumberFormat="1" applyFont="1" applyBorder="1"/>
    <xf numFmtId="3" fontId="34" fillId="0" borderId="41" xfId="0" applyNumberFormat="1" applyFont="1" applyBorder="1"/>
    <xf numFmtId="4" fontId="38" fillId="0" borderId="43" xfId="0" applyNumberFormat="1" applyFont="1" applyBorder="1"/>
    <xf numFmtId="4" fontId="38" fillId="0" borderId="44" xfId="0" applyNumberFormat="1" applyFont="1" applyBorder="1"/>
    <xf numFmtId="10" fontId="39" fillId="0" borderId="44" xfId="0" applyNumberFormat="1" applyFont="1" applyBorder="1"/>
    <xf numFmtId="168" fontId="39" fillId="0" borderId="70" xfId="0" applyNumberFormat="1" applyFont="1" applyBorder="1" applyAlignment="1">
      <alignment horizontal="center"/>
    </xf>
    <xf numFmtId="168" fontId="39" fillId="0" borderId="43" xfId="0" applyNumberFormat="1" applyFont="1" applyBorder="1" applyAlignment="1">
      <alignment horizontal="center"/>
    </xf>
    <xf numFmtId="164" fontId="39" fillId="0" borderId="70" xfId="0" applyNumberFormat="1" applyFont="1" applyBorder="1" applyAlignment="1">
      <alignment horizontal="center"/>
    </xf>
    <xf numFmtId="4" fontId="34" fillId="0" borderId="44" xfId="0" applyNumberFormat="1" applyFont="1" applyBorder="1" applyAlignment="1">
      <alignment horizontal="center"/>
    </xf>
    <xf numFmtId="168" fontId="34" fillId="0" borderId="46" xfId="886" applyNumberFormat="1" applyFont="1" applyBorder="1"/>
    <xf numFmtId="4" fontId="35" fillId="0" borderId="69" xfId="0" applyNumberFormat="1" applyFont="1" applyBorder="1"/>
    <xf numFmtId="168" fontId="34" fillId="0" borderId="44" xfId="886" applyNumberFormat="1" applyFont="1" applyBorder="1"/>
    <xf numFmtId="0" fontId="35" fillId="0" borderId="33" xfId="0" applyFont="1" applyBorder="1" applyAlignment="1">
      <alignment horizontal="left" vertical="center"/>
    </xf>
    <xf numFmtId="164" fontId="36" fillId="0" borderId="45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0" fontId="36" fillId="28" borderId="13" xfId="0" applyFont="1" applyFill="1" applyBorder="1" applyAlignment="1">
      <alignment horizontal="center" vertical="center"/>
    </xf>
    <xf numFmtId="164" fontId="37" fillId="0" borderId="13" xfId="0" applyNumberFormat="1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164" fontId="36" fillId="28" borderId="13" xfId="0" applyNumberFormat="1" applyFont="1" applyFill="1" applyBorder="1" applyAlignment="1">
      <alignment horizontal="center" vertical="center"/>
    </xf>
    <xf numFmtId="164" fontId="37" fillId="28" borderId="13" xfId="0" applyNumberFormat="1" applyFont="1" applyFill="1" applyBorder="1" applyAlignment="1">
      <alignment horizontal="center" vertical="center" wrapText="1"/>
    </xf>
    <xf numFmtId="164" fontId="36" fillId="28" borderId="13" xfId="0" applyNumberFormat="1" applyFont="1" applyFill="1" applyBorder="1" applyAlignment="1">
      <alignment horizontal="center" vertical="center" wrapText="1"/>
    </xf>
    <xf numFmtId="169" fontId="36" fillId="28" borderId="13" xfId="0" applyNumberFormat="1" applyFont="1" applyFill="1" applyBorder="1" applyAlignment="1">
      <alignment horizontal="center" vertical="center" wrapText="1"/>
    </xf>
    <xf numFmtId="168" fontId="37" fillId="28" borderId="13" xfId="0" applyNumberFormat="1" applyFont="1" applyFill="1" applyBorder="1" applyAlignment="1">
      <alignment horizontal="center" vertical="center" wrapText="1"/>
    </xf>
    <xf numFmtId="169" fontId="36" fillId="28" borderId="13" xfId="0" applyNumberFormat="1" applyFont="1" applyFill="1" applyBorder="1" applyAlignment="1">
      <alignment horizontal="center" vertical="center"/>
    </xf>
    <xf numFmtId="169" fontId="37" fillId="0" borderId="13" xfId="0" applyNumberFormat="1" applyFont="1" applyBorder="1" applyAlignment="1">
      <alignment horizontal="center" vertical="center"/>
    </xf>
    <xf numFmtId="169" fontId="35" fillId="0" borderId="13" xfId="0" applyNumberFormat="1" applyFont="1" applyBorder="1" applyAlignment="1">
      <alignment horizontal="center" vertical="center"/>
    </xf>
    <xf numFmtId="4" fontId="35" fillId="28" borderId="13" xfId="0" applyNumberFormat="1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4" fontId="36" fillId="0" borderId="13" xfId="0" applyNumberFormat="1" applyFont="1" applyBorder="1" applyAlignment="1">
      <alignment horizontal="center" vertical="center"/>
    </xf>
    <xf numFmtId="168" fontId="37" fillId="0" borderId="11" xfId="886" applyNumberFormat="1" applyFont="1" applyBorder="1" applyAlignment="1">
      <alignment horizontal="center" vertical="center"/>
    </xf>
    <xf numFmtId="164" fontId="37" fillId="0" borderId="12" xfId="886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vertical="center"/>
    </xf>
    <xf numFmtId="4" fontId="36" fillId="0" borderId="13" xfId="0" applyNumberFormat="1" applyFont="1" applyBorder="1" applyAlignment="1">
      <alignment vertical="center"/>
    </xf>
    <xf numFmtId="168" fontId="37" fillId="0" borderId="14" xfId="886" applyNumberFormat="1" applyFont="1" applyBorder="1" applyAlignment="1">
      <alignment vertical="center"/>
    </xf>
    <xf numFmtId="4" fontId="36" fillId="0" borderId="69" xfId="0" applyNumberFormat="1" applyFont="1" applyBorder="1" applyAlignment="1">
      <alignment vertical="center"/>
    </xf>
    <xf numFmtId="4" fontId="36" fillId="0" borderId="44" xfId="0" applyNumberFormat="1" applyFont="1" applyBorder="1" applyAlignment="1">
      <alignment vertical="center"/>
    </xf>
    <xf numFmtId="168" fontId="37" fillId="0" borderId="44" xfId="886" applyNumberFormat="1" applyFont="1" applyBorder="1" applyAlignment="1">
      <alignment vertical="center"/>
    </xf>
    <xf numFmtId="168" fontId="37" fillId="0" borderId="46" xfId="886" applyNumberFormat="1" applyFont="1" applyBorder="1" applyAlignment="1">
      <alignment vertical="center"/>
    </xf>
    <xf numFmtId="4" fontId="36" fillId="0" borderId="43" xfId="0" applyNumberFormat="1" applyFont="1" applyBorder="1" applyAlignment="1">
      <alignment vertical="center"/>
    </xf>
    <xf numFmtId="0" fontId="35" fillId="0" borderId="34" xfId="0" applyFont="1" applyBorder="1" applyAlignment="1">
      <alignment horizontal="left" vertical="center"/>
    </xf>
    <xf numFmtId="164" fontId="36" fillId="0" borderId="60" xfId="0" applyNumberFormat="1" applyFont="1" applyBorder="1" applyAlignment="1">
      <alignment horizontal="center" vertical="center" wrapText="1"/>
    </xf>
    <xf numFmtId="164" fontId="36" fillId="0" borderId="27" xfId="0" applyNumberFormat="1" applyFont="1" applyBorder="1" applyAlignment="1">
      <alignment horizontal="center" vertical="center" wrapText="1"/>
    </xf>
    <xf numFmtId="164" fontId="36" fillId="28" borderId="27" xfId="0" applyNumberFormat="1" applyFont="1" applyFill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6" fillId="0" borderId="27" xfId="0" applyNumberFormat="1" applyFont="1" applyBorder="1" applyAlignment="1">
      <alignment horizontal="center" vertical="center"/>
    </xf>
    <xf numFmtId="164" fontId="37" fillId="28" borderId="27" xfId="0" applyNumberFormat="1" applyFont="1" applyFill="1" applyBorder="1" applyAlignment="1">
      <alignment horizontal="center" vertical="center" wrapText="1"/>
    </xf>
    <xf numFmtId="169" fontId="36" fillId="28" borderId="27" xfId="0" applyNumberFormat="1" applyFont="1" applyFill="1" applyBorder="1" applyAlignment="1">
      <alignment horizontal="center" vertical="center" wrapText="1"/>
    </xf>
    <xf numFmtId="168" fontId="37" fillId="28" borderId="27" xfId="0" applyNumberFormat="1" applyFont="1" applyFill="1" applyBorder="1" applyAlignment="1">
      <alignment horizontal="center" vertical="center" wrapText="1"/>
    </xf>
    <xf numFmtId="169" fontId="36" fillId="28" borderId="27" xfId="0" applyNumberFormat="1" applyFont="1" applyFill="1" applyBorder="1" applyAlignment="1">
      <alignment horizontal="center" vertical="center"/>
    </xf>
    <xf numFmtId="169" fontId="37" fillId="0" borderId="27" xfId="0" applyNumberFormat="1" applyFont="1" applyBorder="1" applyAlignment="1">
      <alignment horizontal="center" vertical="center"/>
    </xf>
    <xf numFmtId="169" fontId="35" fillId="0" borderId="27" xfId="0" applyNumberFormat="1" applyFont="1" applyBorder="1" applyAlignment="1">
      <alignment horizontal="center" vertical="center"/>
    </xf>
    <xf numFmtId="4" fontId="35" fillId="28" borderId="27" xfId="0" applyNumberFormat="1" applyFont="1" applyFill="1" applyBorder="1" applyAlignment="1">
      <alignment horizontal="center" vertical="center"/>
    </xf>
    <xf numFmtId="4" fontId="37" fillId="0" borderId="27" xfId="0" applyNumberFormat="1" applyFont="1" applyBorder="1" applyAlignment="1">
      <alignment horizontal="center" vertical="center"/>
    </xf>
    <xf numFmtId="168" fontId="37" fillId="0" borderId="27" xfId="886" applyNumberFormat="1" applyFont="1" applyBorder="1" applyAlignment="1">
      <alignment horizontal="center" vertical="center"/>
    </xf>
    <xf numFmtId="4" fontId="36" fillId="0" borderId="25" xfId="886" applyNumberFormat="1" applyFont="1" applyBorder="1" applyAlignment="1">
      <alignment horizontal="center" vertical="center"/>
    </xf>
    <xf numFmtId="4" fontId="36" fillId="0" borderId="26" xfId="0" applyNumberFormat="1" applyFont="1" applyBorder="1" applyAlignment="1">
      <alignment horizontal="center" vertical="center"/>
    </xf>
    <xf numFmtId="4" fontId="36" fillId="0" borderId="27" xfId="0" applyNumberFormat="1" applyFont="1" applyBorder="1" applyAlignment="1">
      <alignment horizontal="center" vertical="center"/>
    </xf>
    <xf numFmtId="10" fontId="37" fillId="0" borderId="27" xfId="886" applyNumberFormat="1" applyFont="1" applyBorder="1" applyAlignment="1">
      <alignment horizontal="center" vertical="center"/>
    </xf>
    <xf numFmtId="168" fontId="37" fillId="0" borderId="28" xfId="886" applyNumberFormat="1" applyFont="1" applyBorder="1" applyAlignment="1">
      <alignment horizontal="center" vertical="center"/>
    </xf>
    <xf numFmtId="4" fontId="36" fillId="0" borderId="26" xfId="886" applyNumberFormat="1" applyFont="1" applyBorder="1" applyAlignment="1">
      <alignment horizontal="center" vertical="center"/>
    </xf>
    <xf numFmtId="4" fontId="36" fillId="0" borderId="27" xfId="886" applyNumberFormat="1" applyFont="1" applyBorder="1" applyAlignment="1">
      <alignment horizontal="center" vertical="center"/>
    </xf>
    <xf numFmtId="168" fontId="37" fillId="0" borderId="26" xfId="886" applyNumberFormat="1" applyFont="1" applyBorder="1" applyAlignment="1">
      <alignment horizontal="center" vertical="center"/>
    </xf>
    <xf numFmtId="164" fontId="37" fillId="0" borderId="25" xfId="886" applyNumberFormat="1" applyFont="1" applyBorder="1" applyAlignment="1">
      <alignment horizontal="center" vertical="center"/>
    </xf>
    <xf numFmtId="4" fontId="36" fillId="0" borderId="26" xfId="0" applyNumberFormat="1" applyFont="1" applyBorder="1" applyAlignment="1">
      <alignment vertical="center"/>
    </xf>
    <xf numFmtId="4" fontId="36" fillId="0" borderId="27" xfId="0" applyNumberFormat="1" applyFont="1" applyBorder="1" applyAlignment="1">
      <alignment vertical="center"/>
    </xf>
    <xf numFmtId="168" fontId="37" fillId="0" borderId="28" xfId="886" applyNumberFormat="1" applyFont="1" applyBorder="1" applyAlignment="1">
      <alignment vertical="center"/>
    </xf>
    <xf numFmtId="4" fontId="36" fillId="0" borderId="63" xfId="0" applyNumberFormat="1" applyFont="1" applyBorder="1" applyAlignment="1">
      <alignment vertical="center"/>
    </xf>
    <xf numFmtId="4" fontId="36" fillId="0" borderId="72" xfId="0" applyNumberFormat="1" applyFont="1" applyBorder="1" applyAlignment="1">
      <alignment vertical="center"/>
    </xf>
    <xf numFmtId="168" fontId="37" fillId="0" borderId="72" xfId="886" applyNumberFormat="1" applyFont="1" applyBorder="1" applyAlignment="1">
      <alignment vertical="center"/>
    </xf>
    <xf numFmtId="168" fontId="37" fillId="0" borderId="73" xfId="886" applyNumberFormat="1" applyFont="1" applyBorder="1" applyAlignment="1">
      <alignment vertical="center"/>
    </xf>
    <xf numFmtId="4" fontId="36" fillId="0" borderId="74" xfId="0" applyNumberFormat="1" applyFont="1" applyBorder="1" applyAlignment="1">
      <alignment vertical="center"/>
    </xf>
    <xf numFmtId="0" fontId="35" fillId="0" borderId="34" xfId="0" applyFont="1" applyBorder="1" applyAlignment="1">
      <alignment horizontal="left" vertical="center" wrapText="1"/>
    </xf>
    <xf numFmtId="164" fontId="36" fillId="28" borderId="27" xfId="0" applyNumberFormat="1" applyFont="1" applyFill="1" applyBorder="1" applyAlignment="1">
      <alignment horizontal="center" vertical="center" wrapText="1"/>
    </xf>
    <xf numFmtId="3" fontId="35" fillId="0" borderId="26" xfId="0" applyNumberFormat="1" applyFont="1" applyBorder="1" applyAlignment="1">
      <alignment horizontal="center" vertical="center"/>
    </xf>
    <xf numFmtId="3" fontId="35" fillId="0" borderId="27" xfId="0" applyNumberFormat="1" applyFont="1" applyBorder="1" applyAlignment="1">
      <alignment horizontal="center" vertical="center"/>
    </xf>
    <xf numFmtId="9" fontId="37" fillId="0" borderId="28" xfId="886" applyNumberFormat="1" applyFont="1" applyBorder="1" applyAlignment="1">
      <alignment horizontal="center" vertical="center"/>
    </xf>
    <xf numFmtId="3" fontId="35" fillId="0" borderId="60" xfId="0" applyNumberFormat="1" applyFont="1" applyBorder="1" applyAlignment="1">
      <alignment vertical="center"/>
    </xf>
    <xf numFmtId="168" fontId="37" fillId="0" borderId="27" xfId="886" applyNumberFormat="1" applyFont="1" applyBorder="1" applyAlignment="1">
      <alignment vertical="center"/>
    </xf>
    <xf numFmtId="3" fontId="35" fillId="0" borderId="26" xfId="0" applyNumberFormat="1" applyFont="1" applyBorder="1" applyAlignment="1">
      <alignment vertical="center"/>
    </xf>
    <xf numFmtId="3" fontId="35" fillId="0" borderId="27" xfId="0" applyNumberFormat="1" applyFont="1" applyBorder="1" applyAlignment="1">
      <alignment vertical="center"/>
    </xf>
    <xf numFmtId="9" fontId="37" fillId="0" borderId="27" xfId="886" applyNumberFormat="1" applyFont="1" applyBorder="1" applyAlignment="1">
      <alignment vertical="center"/>
    </xf>
    <xf numFmtId="4" fontId="35" fillId="0" borderId="26" xfId="886" applyNumberFormat="1" applyFont="1" applyBorder="1" applyAlignment="1">
      <alignment horizontal="center" vertical="center"/>
    </xf>
    <xf numFmtId="9" fontId="37" fillId="0" borderId="28" xfId="886" applyNumberFormat="1" applyFont="1" applyBorder="1" applyAlignment="1">
      <alignment vertical="center"/>
    </xf>
    <xf numFmtId="169" fontId="36" fillId="0" borderId="27" xfId="0" applyNumberFormat="1" applyFont="1" applyBorder="1" applyAlignment="1">
      <alignment horizontal="center" vertical="center" wrapText="1"/>
    </xf>
    <xf numFmtId="168" fontId="37" fillId="0" borderId="27" xfId="0" applyNumberFormat="1" applyFont="1" applyBorder="1" applyAlignment="1">
      <alignment horizontal="center" vertical="center" wrapText="1"/>
    </xf>
    <xf numFmtId="169" fontId="36" fillId="0" borderId="27" xfId="0" applyNumberFormat="1" applyFont="1" applyBorder="1" applyAlignment="1">
      <alignment horizontal="center" vertical="center"/>
    </xf>
    <xf numFmtId="4" fontId="35" fillId="0" borderId="27" xfId="0" applyNumberFormat="1" applyFont="1" applyBorder="1" applyAlignment="1">
      <alignment horizontal="center" vertical="center"/>
    </xf>
    <xf numFmtId="168" fontId="37" fillId="0" borderId="27" xfId="0" applyNumberFormat="1" applyFont="1" applyBorder="1" applyAlignment="1">
      <alignment horizontal="center" vertical="center"/>
    </xf>
    <xf numFmtId="4" fontId="36" fillId="0" borderId="25" xfId="0" applyNumberFormat="1" applyFont="1" applyBorder="1" applyAlignment="1">
      <alignment horizontal="center" vertical="center"/>
    </xf>
    <xf numFmtId="0" fontId="40" fillId="0" borderId="0" xfId="0" applyFont="1"/>
    <xf numFmtId="0" fontId="36" fillId="0" borderId="35" xfId="0" applyFont="1" applyBorder="1" applyAlignment="1">
      <alignment horizontal="left" vertical="center" wrapText="1"/>
    </xf>
    <xf numFmtId="164" fontId="36" fillId="0" borderId="61" xfId="0" applyNumberFormat="1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 wrapText="1"/>
    </xf>
    <xf numFmtId="164" fontId="36" fillId="28" borderId="18" xfId="0" applyNumberFormat="1" applyFont="1" applyFill="1" applyBorder="1" applyAlignment="1">
      <alignment horizontal="center" vertical="center"/>
    </xf>
    <xf numFmtId="164" fontId="41" fillId="0" borderId="18" xfId="0" applyNumberFormat="1" applyFont="1" applyBorder="1" applyAlignment="1">
      <alignment horizontal="center" vertical="center"/>
    </xf>
    <xf numFmtId="164" fontId="36" fillId="0" borderId="18" xfId="0" applyNumberFormat="1" applyFont="1" applyBorder="1" applyAlignment="1">
      <alignment horizontal="center" vertical="center"/>
    </xf>
    <xf numFmtId="164" fontId="41" fillId="28" borderId="18" xfId="0" applyNumberFormat="1" applyFont="1" applyFill="1" applyBorder="1" applyAlignment="1">
      <alignment horizontal="center" vertical="center" wrapText="1"/>
    </xf>
    <xf numFmtId="164" fontId="36" fillId="28" borderId="18" xfId="0" applyNumberFormat="1" applyFont="1" applyFill="1" applyBorder="1" applyAlignment="1">
      <alignment horizontal="center" vertical="center" wrapText="1"/>
    </xf>
    <xf numFmtId="169" fontId="36" fillId="28" borderId="18" xfId="0" applyNumberFormat="1" applyFont="1" applyFill="1" applyBorder="1" applyAlignment="1">
      <alignment horizontal="center" vertical="center" wrapText="1"/>
    </xf>
    <xf numFmtId="168" fontId="41" fillId="28" borderId="18" xfId="0" applyNumberFormat="1" applyFont="1" applyFill="1" applyBorder="1" applyAlignment="1">
      <alignment horizontal="center" vertical="center" wrapText="1"/>
    </xf>
    <xf numFmtId="169" fontId="36" fillId="28" borderId="18" xfId="0" applyNumberFormat="1" applyFont="1" applyFill="1" applyBorder="1" applyAlignment="1">
      <alignment horizontal="center" vertical="center"/>
    </xf>
    <xf numFmtId="169" fontId="41" fillId="0" borderId="18" xfId="0" applyNumberFormat="1" applyFont="1" applyBorder="1" applyAlignment="1">
      <alignment horizontal="center" vertical="center"/>
    </xf>
    <xf numFmtId="169" fontId="36" fillId="0" borderId="18" xfId="0" applyNumberFormat="1" applyFont="1" applyBorder="1" applyAlignment="1">
      <alignment horizontal="center" vertical="center"/>
    </xf>
    <xf numFmtId="4" fontId="36" fillId="28" borderId="18" xfId="0" applyNumberFormat="1" applyFont="1" applyFill="1" applyBorder="1" applyAlignment="1">
      <alignment horizontal="center" vertical="center"/>
    </xf>
    <xf numFmtId="4" fontId="41" fillId="0" borderId="18" xfId="0" applyNumberFormat="1" applyFont="1" applyBorder="1" applyAlignment="1">
      <alignment horizontal="center" vertical="center"/>
    </xf>
    <xf numFmtId="168" fontId="41" fillId="0" borderId="18" xfId="886" applyNumberFormat="1" applyFont="1" applyBorder="1" applyAlignment="1">
      <alignment horizontal="center" vertical="center"/>
    </xf>
    <xf numFmtId="4" fontId="36" fillId="0" borderId="17" xfId="886" applyNumberFormat="1" applyFont="1" applyBorder="1" applyAlignment="1">
      <alignment horizontal="center" vertical="center"/>
    </xf>
    <xf numFmtId="4" fontId="36" fillId="0" borderId="16" xfId="0" applyNumberFormat="1" applyFont="1" applyBorder="1" applyAlignment="1">
      <alignment horizontal="center" vertical="center"/>
    </xf>
    <xf numFmtId="4" fontId="36" fillId="0" borderId="18" xfId="0" applyNumberFormat="1" applyFont="1" applyBorder="1" applyAlignment="1">
      <alignment horizontal="center" vertical="center"/>
    </xf>
    <xf numFmtId="10" fontId="41" fillId="0" borderId="18" xfId="886" applyNumberFormat="1" applyFont="1" applyBorder="1" applyAlignment="1">
      <alignment horizontal="center" vertical="center"/>
    </xf>
    <xf numFmtId="168" fontId="41" fillId="0" borderId="38" xfId="886" applyNumberFormat="1" applyFont="1" applyBorder="1" applyAlignment="1">
      <alignment horizontal="center" vertical="center"/>
    </xf>
    <xf numFmtId="169" fontId="36" fillId="0" borderId="66" xfId="886" applyNumberFormat="1" applyFont="1" applyBorder="1" applyAlignment="1">
      <alignment horizontal="center" vertical="center"/>
    </xf>
    <xf numFmtId="4" fontId="36" fillId="0" borderId="16" xfId="886" applyNumberFormat="1" applyFont="1" applyBorder="1" applyAlignment="1">
      <alignment horizontal="center" vertical="center"/>
    </xf>
    <xf numFmtId="4" fontId="36" fillId="0" borderId="18" xfId="886" applyNumberFormat="1" applyFont="1" applyBorder="1" applyAlignment="1">
      <alignment horizontal="center" vertical="center"/>
    </xf>
    <xf numFmtId="168" fontId="41" fillId="0" borderId="17" xfId="886" applyNumberFormat="1" applyFont="1" applyBorder="1" applyAlignment="1">
      <alignment horizontal="center" vertical="center"/>
    </xf>
    <xf numFmtId="3" fontId="36" fillId="0" borderId="16" xfId="886" applyNumberFormat="1" applyFont="1" applyBorder="1" applyAlignment="1">
      <alignment horizontal="center" vertical="center"/>
    </xf>
    <xf numFmtId="3" fontId="36" fillId="0" borderId="18" xfId="886" applyNumberFormat="1" applyFont="1" applyBorder="1" applyAlignment="1">
      <alignment horizontal="center" vertical="center"/>
    </xf>
    <xf numFmtId="169" fontId="36" fillId="0" borderId="18" xfId="886" applyNumberFormat="1" applyFont="1" applyBorder="1" applyAlignment="1">
      <alignment horizontal="center" vertical="center"/>
    </xf>
    <xf numFmtId="9" fontId="37" fillId="0" borderId="38" xfId="886" applyNumberFormat="1" applyFont="1" applyBorder="1" applyAlignment="1">
      <alignment horizontal="center" vertical="center"/>
    </xf>
    <xf numFmtId="4" fontId="36" fillId="0" borderId="61" xfId="886" applyNumberFormat="1" applyFont="1" applyBorder="1" applyAlignment="1">
      <alignment horizontal="center" vertical="center"/>
    </xf>
    <xf numFmtId="168" fontId="37" fillId="0" borderId="38" xfId="886" applyNumberFormat="1" applyFont="1" applyBorder="1" applyAlignment="1">
      <alignment horizontal="center" vertical="center"/>
    </xf>
    <xf numFmtId="9" fontId="37" fillId="0" borderId="18" xfId="886" applyNumberFormat="1" applyFont="1" applyBorder="1" applyAlignment="1">
      <alignment vertical="center"/>
    </xf>
    <xf numFmtId="0" fontId="42" fillId="0" borderId="0" xfId="0" applyFont="1" applyAlignment="1">
      <alignment horizontal="center"/>
    </xf>
    <xf numFmtId="0" fontId="43" fillId="0" borderId="0" xfId="0" applyFont="1"/>
    <xf numFmtId="4" fontId="43" fillId="0" borderId="0" xfId="0" applyNumberFormat="1" applyFont="1"/>
    <xf numFmtId="0" fontId="44" fillId="0" borderId="0" xfId="0" applyFont="1"/>
    <xf numFmtId="0" fontId="43" fillId="0" borderId="0" xfId="0" applyFont="1" applyAlignment="1">
      <alignment horizontal="center"/>
    </xf>
    <xf numFmtId="0" fontId="42" fillId="0" borderId="0" xfId="0" applyFont="1"/>
    <xf numFmtId="0" fontId="36" fillId="0" borderId="0" xfId="0" applyFont="1" applyAlignment="1">
      <alignment horizontal="left" vertical="center" wrapText="1"/>
    </xf>
    <xf numFmtId="164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3" fillId="0" borderId="0" xfId="0" applyFont="1" applyAlignment="1">
      <alignment horizontal="left" vertical="center" wrapText="1"/>
    </xf>
    <xf numFmtId="0" fontId="48" fillId="0" borderId="0" xfId="0" applyFont="1"/>
    <xf numFmtId="0" fontId="33" fillId="0" borderId="0" xfId="0" applyFont="1" applyAlignment="1">
      <alignment horizontal="right"/>
    </xf>
    <xf numFmtId="0" fontId="21" fillId="0" borderId="1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4" fontId="23" fillId="24" borderId="36" xfId="0" applyNumberFormat="1" applyFont="1" applyFill="1" applyBorder="1" applyAlignment="1">
      <alignment horizontal="center"/>
    </xf>
    <xf numFmtId="0" fontId="23" fillId="24" borderId="37" xfId="0" applyFont="1" applyFill="1" applyBorder="1" applyAlignment="1">
      <alignment horizontal="center"/>
    </xf>
    <xf numFmtId="4" fontId="23" fillId="24" borderId="16" xfId="0" applyNumberFormat="1" applyFont="1" applyFill="1" applyBorder="1" applyAlignment="1">
      <alignment horizontal="center" wrapText="1"/>
    </xf>
    <xf numFmtId="4" fontId="23" fillId="24" borderId="18" xfId="0" applyNumberFormat="1" applyFont="1" applyFill="1" applyBorder="1" applyAlignment="1">
      <alignment horizontal="center" wrapText="1"/>
    </xf>
    <xf numFmtId="4" fontId="23" fillId="24" borderId="38" xfId="0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" fontId="0" fillId="0" borderId="25" xfId="0" applyNumberFormat="1" applyBorder="1" applyAlignment="1">
      <alignment horizontal="center" vertical="center"/>
    </xf>
    <xf numFmtId="4" fontId="0" fillId="0" borderId="6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4" fillId="0" borderId="39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9" fontId="37" fillId="0" borderId="28" xfId="886" applyNumberFormat="1" applyFont="1" applyBorder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 wrapText="1"/>
    </xf>
    <xf numFmtId="10" fontId="37" fillId="0" borderId="13" xfId="886" applyNumberFormat="1" applyFont="1" applyBorder="1" applyAlignment="1">
      <alignment horizontal="center" vertical="center"/>
    </xf>
    <xf numFmtId="10" fontId="37" fillId="0" borderId="27" xfId="886" applyNumberFormat="1" applyFont="1" applyBorder="1" applyAlignment="1">
      <alignment horizontal="center" vertical="center"/>
    </xf>
    <xf numFmtId="4" fontId="36" fillId="0" borderId="13" xfId="886" applyNumberFormat="1" applyFont="1" applyBorder="1" applyAlignment="1">
      <alignment horizontal="center" vertical="center"/>
    </xf>
    <xf numFmtId="4" fontId="36" fillId="0" borderId="27" xfId="886" applyNumberFormat="1" applyFont="1" applyBorder="1" applyAlignment="1">
      <alignment horizontal="center" vertical="center"/>
    </xf>
    <xf numFmtId="168" fontId="37" fillId="0" borderId="12" xfId="886" applyNumberFormat="1" applyFont="1" applyBorder="1" applyAlignment="1">
      <alignment horizontal="center" vertical="center"/>
    </xf>
    <xf numFmtId="168" fontId="37" fillId="0" borderId="25" xfId="886" applyNumberFormat="1" applyFont="1" applyBorder="1" applyAlignment="1">
      <alignment horizontal="center" vertical="center"/>
    </xf>
    <xf numFmtId="4" fontId="35" fillId="0" borderId="30" xfId="886" applyNumberFormat="1" applyFont="1" applyBorder="1" applyAlignment="1">
      <alignment horizontal="center" vertical="center"/>
    </xf>
    <xf numFmtId="4" fontId="35" fillId="0" borderId="74" xfId="886" applyNumberFormat="1" applyFont="1" applyBorder="1" applyAlignment="1">
      <alignment horizontal="center" vertical="center"/>
    </xf>
    <xf numFmtId="4" fontId="35" fillId="0" borderId="20" xfId="886" applyNumberFormat="1" applyFont="1" applyBorder="1" applyAlignment="1">
      <alignment horizontal="center" vertical="center"/>
    </xf>
    <xf numFmtId="169" fontId="36" fillId="0" borderId="25" xfId="886" applyNumberFormat="1" applyFont="1" applyBorder="1" applyAlignment="1">
      <alignment horizontal="center" vertical="center"/>
    </xf>
    <xf numFmtId="169" fontId="36" fillId="0" borderId="17" xfId="886" applyNumberFormat="1" applyFont="1" applyBorder="1" applyAlignment="1">
      <alignment horizontal="center" vertical="center"/>
    </xf>
    <xf numFmtId="4" fontId="36" fillId="0" borderId="13" xfId="0" applyNumberFormat="1" applyFont="1" applyBorder="1" applyAlignment="1">
      <alignment horizontal="center" vertical="center"/>
    </xf>
    <xf numFmtId="4" fontId="36" fillId="0" borderId="27" xfId="0" applyNumberFormat="1" applyFont="1" applyBorder="1" applyAlignment="1">
      <alignment horizontal="center" vertical="center"/>
    </xf>
    <xf numFmtId="168" fontId="37" fillId="0" borderId="14" xfId="886" applyNumberFormat="1" applyFont="1" applyBorder="1" applyAlignment="1">
      <alignment horizontal="center" vertical="center"/>
    </xf>
    <xf numFmtId="168" fontId="37" fillId="0" borderId="28" xfId="886" applyNumberFormat="1" applyFont="1" applyBorder="1" applyAlignment="1">
      <alignment horizontal="center" vertical="center"/>
    </xf>
    <xf numFmtId="169" fontId="35" fillId="0" borderId="51" xfId="886" applyNumberFormat="1" applyFont="1" applyBorder="1" applyAlignment="1">
      <alignment horizontal="center" vertical="center"/>
    </xf>
    <xf numFmtId="169" fontId="35" fillId="0" borderId="71" xfId="886" applyNumberFormat="1" applyFont="1" applyBorder="1" applyAlignment="1">
      <alignment horizontal="center" vertical="center"/>
    </xf>
    <xf numFmtId="4" fontId="36" fillId="0" borderId="11" xfId="886" applyNumberFormat="1" applyFont="1" applyBorder="1" applyAlignment="1">
      <alignment horizontal="center" vertical="center"/>
    </xf>
    <xf numFmtId="4" fontId="36" fillId="0" borderId="26" xfId="886" applyNumberFormat="1" applyFont="1" applyBorder="1" applyAlignment="1">
      <alignment horizontal="center" vertical="center"/>
    </xf>
    <xf numFmtId="168" fontId="37" fillId="0" borderId="13" xfId="886" applyNumberFormat="1" applyFont="1" applyBorder="1" applyAlignment="1">
      <alignment horizontal="center" vertical="center"/>
    </xf>
    <xf numFmtId="168" fontId="37" fillId="0" borderId="27" xfId="886" applyNumberFormat="1" applyFont="1" applyBorder="1" applyAlignment="1">
      <alignment horizontal="center" vertical="center"/>
    </xf>
    <xf numFmtId="4" fontId="36" fillId="0" borderId="12" xfId="886" applyNumberFormat="1" applyFont="1" applyBorder="1" applyAlignment="1">
      <alignment horizontal="center" vertical="center"/>
    </xf>
    <xf numFmtId="4" fontId="36" fillId="0" borderId="25" xfId="886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4" fontId="36" fillId="0" borderId="26" xfId="0" applyNumberFormat="1" applyFont="1" applyBorder="1" applyAlignment="1">
      <alignment horizontal="center" vertical="center"/>
    </xf>
    <xf numFmtId="169" fontId="35" fillId="0" borderId="13" xfId="0" applyNumberFormat="1" applyFont="1" applyBorder="1" applyAlignment="1">
      <alignment horizontal="center" vertical="center"/>
    </xf>
    <xf numFmtId="169" fontId="35" fillId="0" borderId="27" xfId="0" applyNumberFormat="1" applyFont="1" applyBorder="1" applyAlignment="1">
      <alignment horizontal="center" vertical="center"/>
    </xf>
    <xf numFmtId="0" fontId="36" fillId="27" borderId="45" xfId="0" applyFont="1" applyFill="1" applyBorder="1" applyAlignment="1">
      <alignment horizontal="center" vertical="center" wrapText="1"/>
    </xf>
    <xf numFmtId="0" fontId="36" fillId="27" borderId="13" xfId="0" applyFont="1" applyFill="1" applyBorder="1" applyAlignment="1">
      <alignment horizontal="center" vertical="center" wrapText="1"/>
    </xf>
    <xf numFmtId="0" fontId="36" fillId="27" borderId="14" xfId="0" applyFont="1" applyFill="1" applyBorder="1" applyAlignment="1">
      <alignment horizontal="center" vertical="center" wrapText="1"/>
    </xf>
    <xf numFmtId="0" fontId="35" fillId="0" borderId="44" xfId="0" applyFont="1" applyBorder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36" fillId="27" borderId="33" xfId="0" applyFont="1" applyFill="1" applyBorder="1" applyAlignment="1">
      <alignment horizontal="center" vertical="center" wrapText="1"/>
    </xf>
    <xf numFmtId="0" fontId="36" fillId="27" borderId="35" xfId="0" applyFont="1" applyFill="1" applyBorder="1" applyAlignment="1">
      <alignment horizontal="center" vertical="center" wrapText="1"/>
    </xf>
    <xf numFmtId="0" fontId="36" fillId="27" borderId="49" xfId="0" applyFont="1" applyFill="1" applyBorder="1" applyAlignment="1">
      <alignment horizontal="center" vertical="center" wrapText="1"/>
    </xf>
    <xf numFmtId="0" fontId="36" fillId="27" borderId="50" xfId="0" applyFont="1" applyFill="1" applyBorder="1" applyAlignment="1">
      <alignment horizontal="center" vertical="center" wrapText="1"/>
    </xf>
    <xf numFmtId="0" fontId="36" fillId="27" borderId="48" xfId="0" applyFont="1" applyFill="1" applyBorder="1" applyAlignment="1">
      <alignment horizontal="center" vertical="center" wrapText="1"/>
    </xf>
    <xf numFmtId="0" fontId="36" fillId="27" borderId="11" xfId="0" applyFont="1" applyFill="1" applyBorder="1" applyAlignment="1">
      <alignment horizontal="center"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36" fillId="27" borderId="46" xfId="0" applyFont="1" applyFill="1" applyBorder="1" applyAlignment="1">
      <alignment horizontal="center" vertical="center" wrapText="1"/>
    </xf>
    <xf numFmtId="0" fontId="36" fillId="27" borderId="56" xfId="0" applyFont="1" applyFill="1" applyBorder="1" applyAlignment="1">
      <alignment horizontal="center" vertical="center" wrapText="1"/>
    </xf>
    <xf numFmtId="0" fontId="36" fillId="27" borderId="16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center" vertical="center" wrapText="1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A91C1B4E-E925-3572-18B1-9C08D2373789}"/>
  <person displayName="Автор" id="{EB62BEF7-9D5D-484F-ABFA-F9BA794C3871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A91C1B4E-E925-3572-18B1-9C08D2373789}" id="{00290096-009C-42B8-A9F5-003D004800D7}" done="0">
    <text xml:space="preserve">на 10 % больше, чем в 2019 по предложению тернового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6" personId="{EB62BEF7-9D5D-484F-ABFA-F9BA794C3871}" id="{00D80003-00EA-45CD-B351-001A0055000B}" done="0">
    <text xml:space="preserve">С учетом полетов в 1 квартале 2018 г.+капитальный ремонт
</text>
  </threadedComment>
  <threadedComment ref="I15" personId="{EB62BEF7-9D5D-484F-ABFA-F9BA794C3871}" id="{00860005-0072-4CF2-A36F-008100A9009C}" done="0">
    <text xml:space="preserve">Учтена линия Архангельск-Котлас, 15346,3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302" t="s">
        <v>0</v>
      </c>
      <c r="B1" s="302"/>
      <c r="C1" s="302"/>
      <c r="D1" s="302"/>
      <c r="E1" s="302"/>
      <c r="F1" s="302"/>
      <c r="G1" s="302"/>
      <c r="H1" s="302"/>
      <c r="I1" s="302"/>
    </row>
    <row r="2" spans="1:17">
      <c r="A2" s="303"/>
      <c r="B2" s="294" t="s">
        <v>1</v>
      </c>
      <c r="C2" s="305"/>
      <c r="D2" s="294" t="s">
        <v>2</v>
      </c>
      <c r="E2" s="305"/>
      <c r="F2" s="294" t="s">
        <v>3</v>
      </c>
      <c r="G2" s="295"/>
      <c r="H2" s="295"/>
      <c r="I2" s="296"/>
      <c r="J2" s="294" t="s">
        <v>4</v>
      </c>
      <c r="K2" s="295"/>
      <c r="L2" s="295"/>
      <c r="M2" s="296"/>
      <c r="N2" s="294" t="s">
        <v>5</v>
      </c>
      <c r="O2" s="295"/>
      <c r="P2" s="295"/>
      <c r="Q2" s="296"/>
    </row>
    <row r="3" spans="1:17" ht="45">
      <c r="A3" s="304"/>
      <c r="B3" s="1" t="s">
        <v>6</v>
      </c>
      <c r="C3" s="2" t="s">
        <v>7</v>
      </c>
      <c r="D3" s="1" t="s">
        <v>6</v>
      </c>
      <c r="E3" s="2" t="s">
        <v>7</v>
      </c>
      <c r="F3" s="1" t="s">
        <v>6</v>
      </c>
      <c r="G3" s="3" t="s">
        <v>7</v>
      </c>
      <c r="H3" s="3" t="s">
        <v>8</v>
      </c>
      <c r="I3" s="3" t="s">
        <v>9</v>
      </c>
      <c r="J3" s="1" t="s">
        <v>10</v>
      </c>
      <c r="K3" s="3" t="s">
        <v>11</v>
      </c>
      <c r="L3" s="3" t="s">
        <v>12</v>
      </c>
      <c r="M3" s="3" t="s">
        <v>13</v>
      </c>
      <c r="N3" s="1" t="s">
        <v>14</v>
      </c>
      <c r="O3" s="3" t="s">
        <v>15</v>
      </c>
      <c r="P3" s="3" t="s">
        <v>16</v>
      </c>
      <c r="Q3" s="3" t="s">
        <v>17</v>
      </c>
    </row>
    <row r="4" spans="1:17">
      <c r="A4" s="4" t="s">
        <v>18</v>
      </c>
      <c r="B4" s="5"/>
      <c r="C4" s="6"/>
      <c r="D4" s="5">
        <v>5527594</v>
      </c>
      <c r="E4" s="5">
        <v>4591830</v>
      </c>
      <c r="F4" s="5">
        <v>4185838</v>
      </c>
      <c r="G4" s="7">
        <v>4018569</v>
      </c>
      <c r="H4" s="7">
        <v>6705434.5800000001</v>
      </c>
      <c r="I4" s="8">
        <v>6705434.5800000001</v>
      </c>
      <c r="J4" s="5">
        <v>3691915</v>
      </c>
      <c r="K4" s="7">
        <v>3609011</v>
      </c>
      <c r="L4" s="7">
        <v>5605286.5800000001</v>
      </c>
      <c r="M4" s="7">
        <v>5605286.5800000001</v>
      </c>
      <c r="N4" s="5">
        <v>3408017</v>
      </c>
      <c r="O4" s="7">
        <v>3270491</v>
      </c>
      <c r="P4" s="7">
        <v>5251669.58</v>
      </c>
      <c r="Q4" s="7">
        <v>5251669.58</v>
      </c>
    </row>
    <row r="5" spans="1:17">
      <c r="A5" s="9" t="s">
        <v>19</v>
      </c>
      <c r="B5" s="5"/>
      <c r="C5" s="10"/>
      <c r="D5" s="5">
        <v>7808145</v>
      </c>
      <c r="E5" s="5">
        <v>6860657</v>
      </c>
      <c r="F5" s="11">
        <v>6358036</v>
      </c>
      <c r="G5" s="12">
        <v>6197280</v>
      </c>
      <c r="H5" s="12">
        <v>6681667.5800000001</v>
      </c>
      <c r="I5" s="13">
        <v>6681667.5800000001</v>
      </c>
      <c r="J5" s="11">
        <v>5783929</v>
      </c>
      <c r="K5" s="12">
        <v>5706725</v>
      </c>
      <c r="L5" s="12">
        <v>5571489.5800000001</v>
      </c>
      <c r="M5" s="12">
        <v>5571489.5800000001</v>
      </c>
      <c r="N5" s="11">
        <v>5444338</v>
      </c>
      <c r="O5" s="12">
        <v>5291845</v>
      </c>
      <c r="P5" s="12">
        <v>5223630.58</v>
      </c>
      <c r="Q5" s="12">
        <v>5223630.58</v>
      </c>
    </row>
    <row r="6" spans="1:17">
      <c r="A6" s="14" t="s">
        <v>20</v>
      </c>
      <c r="B6" s="5">
        <v>8489726</v>
      </c>
      <c r="C6" s="5">
        <v>8489726</v>
      </c>
      <c r="D6" s="5">
        <v>5250260</v>
      </c>
      <c r="E6" s="5">
        <v>4381930</v>
      </c>
      <c r="F6" s="11">
        <v>4048210</v>
      </c>
      <c r="G6" s="12">
        <v>3911494</v>
      </c>
      <c r="H6" s="12"/>
      <c r="I6" s="13"/>
      <c r="J6" s="11">
        <v>3570727</v>
      </c>
      <c r="K6" s="12">
        <v>3521186</v>
      </c>
      <c r="L6" s="12">
        <v>5330674.58</v>
      </c>
      <c r="M6" s="12">
        <v>5330674.58</v>
      </c>
      <c r="N6" s="11">
        <v>3342912</v>
      </c>
      <c r="O6" s="12">
        <v>3227365</v>
      </c>
      <c r="P6" s="12">
        <v>5021726.58</v>
      </c>
      <c r="Q6" s="12">
        <v>5021726.58</v>
      </c>
    </row>
    <row r="7" spans="1:17">
      <c r="A7" s="9" t="s">
        <v>21</v>
      </c>
      <c r="B7" s="11">
        <v>6962154</v>
      </c>
      <c r="C7" s="11">
        <v>6962154</v>
      </c>
      <c r="D7" s="11">
        <v>5482857</v>
      </c>
      <c r="E7" s="11">
        <v>4512633</v>
      </c>
      <c r="F7" s="11">
        <v>4090042</v>
      </c>
      <c r="G7" s="12">
        <v>3936136</v>
      </c>
      <c r="H7" s="12">
        <v>4925926</v>
      </c>
      <c r="I7" s="13">
        <f t="shared" ref="I7:I15" si="0">H7</f>
        <v>4925926</v>
      </c>
      <c r="J7" s="11">
        <v>3614673</v>
      </c>
      <c r="K7" s="12">
        <v>3542914</v>
      </c>
      <c r="L7" s="12">
        <v>5501084.5800000001</v>
      </c>
      <c r="M7" s="12">
        <v>5501084.5800000001</v>
      </c>
      <c r="N7" s="11">
        <v>3390448</v>
      </c>
      <c r="O7" s="12">
        <v>3244051</v>
      </c>
      <c r="P7" s="12">
        <v>5165199.58</v>
      </c>
      <c r="Q7" s="12">
        <v>5165199.58</v>
      </c>
    </row>
    <row r="8" spans="1:17">
      <c r="A8" s="14" t="s">
        <v>22</v>
      </c>
      <c r="B8" s="11">
        <v>6836109</v>
      </c>
      <c r="C8" s="11">
        <v>6836109</v>
      </c>
      <c r="D8" s="11"/>
      <c r="E8" s="11">
        <v>4422649</v>
      </c>
      <c r="F8" s="11">
        <v>4008834</v>
      </c>
      <c r="G8" s="12">
        <v>3872639</v>
      </c>
      <c r="H8" s="12">
        <v>5763303.5800000001</v>
      </c>
      <c r="I8" s="13">
        <f t="shared" si="0"/>
        <v>5763303.5800000001</v>
      </c>
      <c r="J8" s="11">
        <v>3555278</v>
      </c>
      <c r="K8" s="12">
        <v>3498713</v>
      </c>
      <c r="L8" s="12">
        <v>5399725.5800000001</v>
      </c>
      <c r="M8" s="12">
        <v>5399725.5800000001</v>
      </c>
      <c r="N8" s="11">
        <v>3364954</v>
      </c>
      <c r="O8" s="12">
        <v>3234889</v>
      </c>
      <c r="P8" s="12">
        <v>5080404.58</v>
      </c>
      <c r="Q8" s="12">
        <v>5080404.58</v>
      </c>
    </row>
    <row r="9" spans="1:17">
      <c r="A9" s="9" t="s">
        <v>23</v>
      </c>
      <c r="B9" s="11">
        <v>6941970</v>
      </c>
      <c r="C9" s="11">
        <v>6941970</v>
      </c>
      <c r="D9" s="11">
        <v>4541276</v>
      </c>
      <c r="E9" s="11">
        <v>4249268</v>
      </c>
      <c r="F9" s="11">
        <v>4005350</v>
      </c>
      <c r="G9" s="12">
        <v>3865782</v>
      </c>
      <c r="H9" s="12">
        <v>5809678.5800000001</v>
      </c>
      <c r="I9" s="13">
        <f t="shared" si="0"/>
        <v>5809678.5800000001</v>
      </c>
      <c r="J9" s="11">
        <v>3543648</v>
      </c>
      <c r="K9" s="12">
        <v>3484334</v>
      </c>
      <c r="L9" s="12">
        <v>5430666.5800000001</v>
      </c>
      <c r="M9" s="12">
        <v>5430666.5800000001</v>
      </c>
      <c r="N9" s="11">
        <v>3375232</v>
      </c>
      <c r="O9" s="12">
        <v>3238376</v>
      </c>
      <c r="P9" s="12">
        <v>5106771.58</v>
      </c>
      <c r="Q9" s="12">
        <v>5106771.58</v>
      </c>
    </row>
    <row r="10" spans="1:17">
      <c r="A10" s="14" t="s">
        <v>24</v>
      </c>
      <c r="B10" s="11">
        <v>6816327</v>
      </c>
      <c r="C10" s="11">
        <v>6816327</v>
      </c>
      <c r="D10" s="11">
        <v>4438963</v>
      </c>
      <c r="E10" s="11">
        <v>4179571</v>
      </c>
      <c r="F10" s="11">
        <v>3925826</v>
      </c>
      <c r="G10" s="12">
        <v>3804903</v>
      </c>
      <c r="H10" s="12">
        <v>5701087.5800000001</v>
      </c>
      <c r="I10" s="13">
        <f t="shared" si="0"/>
        <v>5701087.5800000001</v>
      </c>
      <c r="J10" s="11">
        <v>3485665</v>
      </c>
      <c r="K10" s="12">
        <v>3441480</v>
      </c>
      <c r="L10" s="12">
        <v>5330958.58</v>
      </c>
      <c r="M10" s="12">
        <v>5330958.58</v>
      </c>
      <c r="N10" s="11">
        <v>3350191</v>
      </c>
      <c r="O10" s="12">
        <v>3229393</v>
      </c>
      <c r="P10" s="12">
        <v>5023345.58</v>
      </c>
      <c r="Q10" s="12">
        <v>5023345.58</v>
      </c>
    </row>
    <row r="11" spans="1:17">
      <c r="A11" s="9" t="s">
        <v>25</v>
      </c>
      <c r="B11" s="11">
        <v>5270878</v>
      </c>
      <c r="C11" s="11">
        <v>5270878</v>
      </c>
      <c r="D11" s="11">
        <v>4442780</v>
      </c>
      <c r="E11" s="11">
        <v>4184842</v>
      </c>
      <c r="F11" s="11">
        <v>3918514</v>
      </c>
      <c r="G11" s="12">
        <v>3794095</v>
      </c>
      <c r="H11" s="12">
        <v>5744821.5800000001</v>
      </c>
      <c r="I11" s="13">
        <f t="shared" si="0"/>
        <v>5744821.5800000001</v>
      </c>
      <c r="J11" s="11">
        <v>3470824</v>
      </c>
      <c r="K11" s="12">
        <v>3424645</v>
      </c>
      <c r="L11" s="12">
        <v>5363855.58</v>
      </c>
      <c r="M11" s="12">
        <v>5363855.58</v>
      </c>
      <c r="N11" s="11">
        <v>3359939</v>
      </c>
      <c r="O11" s="12">
        <v>3232691</v>
      </c>
      <c r="P11" s="12">
        <v>5047290.58</v>
      </c>
      <c r="Q11" s="12">
        <v>5047290.58</v>
      </c>
    </row>
    <row r="12" spans="1:17">
      <c r="A12" s="14" t="s">
        <v>26</v>
      </c>
      <c r="B12" s="11">
        <v>5126566</v>
      </c>
      <c r="C12" s="11">
        <v>5126566</v>
      </c>
      <c r="D12" s="11">
        <v>4392928</v>
      </c>
      <c r="E12" s="11">
        <v>4152345</v>
      </c>
      <c r="F12" s="11">
        <v>3874494</v>
      </c>
      <c r="G12" s="12">
        <v>3757861</v>
      </c>
      <c r="H12" s="12">
        <v>8640296.5800000001</v>
      </c>
      <c r="I12" s="13">
        <f t="shared" si="0"/>
        <v>8640296.5800000001</v>
      </c>
      <c r="J12" s="11">
        <v>3438047</v>
      </c>
      <c r="K12" s="12">
        <v>3394434</v>
      </c>
      <c r="L12" s="12">
        <v>8166919.5800000001</v>
      </c>
      <c r="M12" s="12">
        <v>8166919.5800000001</v>
      </c>
      <c r="N12" s="11">
        <v>3352286</v>
      </c>
      <c r="O12" s="12">
        <v>3229848</v>
      </c>
      <c r="P12" s="12">
        <v>7753465.5800000001</v>
      </c>
      <c r="Q12" s="12">
        <v>7753465.5800000001</v>
      </c>
    </row>
    <row r="13" spans="1:17">
      <c r="A13" s="9" t="s">
        <v>27</v>
      </c>
      <c r="B13" s="11">
        <v>4542434</v>
      </c>
      <c r="C13" s="11">
        <v>4542434</v>
      </c>
      <c r="D13" s="11">
        <v>4293565</v>
      </c>
      <c r="E13" s="11">
        <v>4084877</v>
      </c>
      <c r="F13" s="11">
        <v>3797572</v>
      </c>
      <c r="G13" s="12">
        <v>3699463</v>
      </c>
      <c r="H13" s="12">
        <v>5631820.5800000001</v>
      </c>
      <c r="I13" s="13">
        <f t="shared" si="0"/>
        <v>5631820.5800000001</v>
      </c>
      <c r="J13" s="11">
        <v>3411135</v>
      </c>
      <c r="K13" s="12">
        <v>3353647</v>
      </c>
      <c r="L13" s="12">
        <v>5272990.58</v>
      </c>
      <c r="M13" s="12">
        <v>5272990.58</v>
      </c>
      <c r="N13" s="11">
        <v>3327929</v>
      </c>
      <c r="O13" s="12">
        <v>3221133</v>
      </c>
      <c r="P13" s="12">
        <v>4960196.58</v>
      </c>
      <c r="Q13" s="12">
        <v>4960196.58</v>
      </c>
    </row>
    <row r="14" spans="1:17">
      <c r="A14" s="14" t="s">
        <v>28</v>
      </c>
      <c r="B14" s="11">
        <v>4525388</v>
      </c>
      <c r="C14" s="11">
        <v>4525388</v>
      </c>
      <c r="D14" s="11">
        <v>4290677</v>
      </c>
      <c r="E14" s="11">
        <v>4086084</v>
      </c>
      <c r="F14" s="11">
        <v>3784345</v>
      </c>
      <c r="G14" s="12">
        <v>3684134</v>
      </c>
      <c r="H14" s="12">
        <v>5672613.5800000001</v>
      </c>
      <c r="I14" s="13">
        <f t="shared" si="0"/>
        <v>5672613.5800000001</v>
      </c>
      <c r="J14" s="11">
        <v>3423070</v>
      </c>
      <c r="K14" s="12">
        <v>3333043</v>
      </c>
      <c r="L14" s="12">
        <v>5307532.58</v>
      </c>
      <c r="M14" s="12">
        <v>5307532.58</v>
      </c>
      <c r="N14" s="11">
        <v>3336878</v>
      </c>
      <c r="O14" s="12">
        <v>3224149</v>
      </c>
      <c r="P14" s="12">
        <v>4981460.58</v>
      </c>
      <c r="Q14" s="12">
        <v>4981460.58</v>
      </c>
    </row>
    <row r="15" spans="1:17">
      <c r="A15" s="15" t="s">
        <v>29</v>
      </c>
      <c r="B15" s="16">
        <v>4500000</v>
      </c>
      <c r="C15" s="17"/>
      <c r="D15" s="16">
        <v>4193348</v>
      </c>
      <c r="E15" s="16">
        <v>4020139</v>
      </c>
      <c r="F15" s="16">
        <v>3709217</v>
      </c>
      <c r="G15" s="18">
        <v>3627431</v>
      </c>
      <c r="H15" s="18">
        <v>5567235.5800000001</v>
      </c>
      <c r="I15" s="13">
        <f t="shared" si="0"/>
        <v>5567235.5800000001</v>
      </c>
      <c r="J15" s="16">
        <v>3396604</v>
      </c>
      <c r="K15" s="18">
        <v>3293668</v>
      </c>
      <c r="L15" s="18">
        <v>5219401.58</v>
      </c>
      <c r="M15" s="18">
        <v>5219401.58</v>
      </c>
      <c r="N15" s="16">
        <v>3312980</v>
      </c>
      <c r="O15" s="18">
        <v>3215613</v>
      </c>
      <c r="P15" s="18">
        <v>4900971.58</v>
      </c>
      <c r="Q15" s="18">
        <v>4900971.58</v>
      </c>
    </row>
    <row r="16" spans="1:17">
      <c r="A16" s="19" t="s">
        <v>30</v>
      </c>
      <c r="B16" s="20">
        <f t="shared" ref="B16:C16" si="1">SUM(B4:B15)</f>
        <v>60011552</v>
      </c>
      <c r="C16" s="20">
        <f t="shared" si="1"/>
        <v>55511552</v>
      </c>
      <c r="D16" s="20">
        <f t="shared" ref="D16:E16" si="2">SUM(D4:D15)</f>
        <v>54662393</v>
      </c>
      <c r="E16" s="20">
        <f t="shared" si="2"/>
        <v>53726825</v>
      </c>
      <c r="F16" s="20">
        <f t="shared" ref="F16:G16" si="3">SUM(F4:F15)</f>
        <v>49706278</v>
      </c>
      <c r="G16" s="21">
        <f t="shared" si="3"/>
        <v>48169787</v>
      </c>
      <c r="H16" s="21">
        <f>SUM(H4:H15)</f>
        <v>66843885.79999999</v>
      </c>
      <c r="I16" s="22">
        <f>SUM(I4:I15)</f>
        <v>66843885.79999999</v>
      </c>
      <c r="J16" s="20">
        <f t="shared" ref="J16:K16" si="4">SUM(J4:J15)</f>
        <v>44385515</v>
      </c>
      <c r="K16" s="21">
        <f t="shared" si="4"/>
        <v>43603800</v>
      </c>
      <c r="L16" s="21">
        <f>SUM(L4:L15)</f>
        <v>67500585.959999993</v>
      </c>
      <c r="M16" s="22">
        <f>SUM(M4:M15)</f>
        <v>67500585.959999993</v>
      </c>
      <c r="N16" s="20">
        <f t="shared" ref="N16:O16" si="5">SUM(N4:N15)</f>
        <v>42366104</v>
      </c>
      <c r="O16" s="21">
        <f t="shared" si="5"/>
        <v>40859844</v>
      </c>
      <c r="P16" s="21">
        <f>SUM(P4:P15)</f>
        <v>63516132.959999986</v>
      </c>
      <c r="Q16" s="22">
        <f>SUM(Q4:Q15)</f>
        <v>63516132.959999986</v>
      </c>
    </row>
    <row r="17" spans="1:17">
      <c r="A17" s="23" t="s">
        <v>31</v>
      </c>
      <c r="B17" s="24">
        <f>B16/1.18</f>
        <v>50857247.457627118</v>
      </c>
      <c r="C17" s="24">
        <f>C16/1.18</f>
        <v>47043688.135593221</v>
      </c>
      <c r="D17" s="24">
        <f t="shared" ref="D17:E17" si="6">D16/1.2</f>
        <v>45551994.166666672</v>
      </c>
      <c r="E17" s="24">
        <f t="shared" si="6"/>
        <v>44772354.166666672</v>
      </c>
      <c r="F17" s="24">
        <f t="shared" ref="F17:G17" si="7">F16/1.2</f>
        <v>41421898.333333336</v>
      </c>
      <c r="G17" s="25">
        <f t="shared" si="7"/>
        <v>40141489.166666672</v>
      </c>
      <c r="H17" s="25">
        <f>H16/1.2</f>
        <v>55703238.166666657</v>
      </c>
      <c r="I17" s="26">
        <f>I16/1.2</f>
        <v>55703238.166666657</v>
      </c>
      <c r="J17" s="24">
        <f t="shared" ref="J17:K17" si="8">J16/1.2</f>
        <v>36987929.166666672</v>
      </c>
      <c r="K17" s="25">
        <f t="shared" si="8"/>
        <v>36336500</v>
      </c>
      <c r="L17" s="25">
        <f>L16/1.2</f>
        <v>56250488.299999997</v>
      </c>
      <c r="M17" s="26">
        <f>M16/1.2</f>
        <v>56250488.299999997</v>
      </c>
      <c r="N17" s="24">
        <f t="shared" ref="N17:O17" si="9">N16/1.2</f>
        <v>35305086.666666672</v>
      </c>
      <c r="O17" s="25">
        <f t="shared" si="9"/>
        <v>34049870</v>
      </c>
      <c r="P17" s="25">
        <f>P16/1.2</f>
        <v>52930110.79999999</v>
      </c>
      <c r="Q17" s="26">
        <f>Q16/1.2</f>
        <v>52930110.79999999</v>
      </c>
    </row>
    <row r="18" spans="1:17" ht="32.25" customHeight="1">
      <c r="A18" s="27" t="s">
        <v>32</v>
      </c>
      <c r="B18" s="297">
        <f>B17+C17</f>
        <v>97900935.593220338</v>
      </c>
      <c r="C18" s="298"/>
      <c r="D18" s="297">
        <f>D17+E17</f>
        <v>90324348.333333343</v>
      </c>
      <c r="E18" s="298"/>
      <c r="F18" s="299">
        <f>SUM(F17:I17)</f>
        <v>192969863.83333331</v>
      </c>
      <c r="G18" s="300"/>
      <c r="H18" s="300"/>
      <c r="I18" s="301"/>
      <c r="J18" s="299">
        <f>SUM(J17:M17)</f>
        <v>185825405.76666665</v>
      </c>
      <c r="K18" s="300"/>
      <c r="L18" s="300"/>
      <c r="M18" s="301"/>
      <c r="N18" s="299">
        <f>SUM(N17:Q17)</f>
        <v>175215178.26666665</v>
      </c>
      <c r="O18" s="300"/>
      <c r="P18" s="300"/>
      <c r="Q18" s="301"/>
    </row>
    <row r="19" spans="1:17">
      <c r="C19" s="28"/>
    </row>
    <row r="21" spans="1:17">
      <c r="B21" s="28"/>
    </row>
    <row r="27" spans="1:17">
      <c r="F27" t="s">
        <v>33</v>
      </c>
    </row>
  </sheetData>
  <mergeCells count="12">
    <mergeCell ref="A1:I1"/>
    <mergeCell ref="A2:A3"/>
    <mergeCell ref="B2:C2"/>
    <mergeCell ref="D2:E2"/>
    <mergeCell ref="F2:I2"/>
    <mergeCell ref="J2:M2"/>
    <mergeCell ref="N2:Q2"/>
    <mergeCell ref="B18:C18"/>
    <mergeCell ref="D18:E18"/>
    <mergeCell ref="F18:I18"/>
    <mergeCell ref="J18:M18"/>
    <mergeCell ref="N18:Q18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29" bestFit="1" customWidth="1"/>
    <col min="13" max="13" width="13.5703125" style="29" bestFit="1" customWidth="1"/>
    <col min="14" max="14" width="15.5703125" style="29" bestFit="1" customWidth="1"/>
    <col min="15" max="15" width="17" style="29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316" t="s">
        <v>34</v>
      </c>
      <c r="B1" s="316"/>
      <c r="C1" s="316"/>
      <c r="D1" s="316"/>
      <c r="E1" s="316"/>
      <c r="F1" s="316"/>
      <c r="G1" s="316"/>
      <c r="H1" s="316"/>
      <c r="I1" s="316"/>
      <c r="K1" s="317" t="s">
        <v>35</v>
      </c>
      <c r="L1" s="317"/>
      <c r="M1" s="317"/>
      <c r="N1" s="317"/>
      <c r="O1" s="317"/>
      <c r="P1" s="317"/>
    </row>
    <row r="2" spans="1:23" s="30" customFormat="1" ht="17.25" customHeight="1">
      <c r="A2" s="318"/>
      <c r="B2" s="321" t="s">
        <v>36</v>
      </c>
      <c r="C2" s="322"/>
      <c r="D2" s="322"/>
      <c r="E2" s="322"/>
      <c r="F2" s="322"/>
      <c r="G2" s="322"/>
      <c r="H2" s="322"/>
      <c r="I2" s="323"/>
      <c r="K2" s="324"/>
      <c r="L2" s="326" t="s">
        <v>37</v>
      </c>
      <c r="M2" s="326" t="s">
        <v>38</v>
      </c>
      <c r="N2" s="328" t="s">
        <v>39</v>
      </c>
      <c r="O2" s="329"/>
      <c r="P2" s="31" t="s">
        <v>30</v>
      </c>
    </row>
    <row r="3" spans="1:23" s="30" customFormat="1" ht="14.25" customHeight="1">
      <c r="A3" s="319"/>
      <c r="C3" s="32"/>
      <c r="D3" s="330" t="s">
        <v>40</v>
      </c>
      <c r="E3" s="331"/>
      <c r="G3" s="33"/>
      <c r="H3" s="332" t="s">
        <v>41</v>
      </c>
      <c r="I3" s="333"/>
      <c r="K3" s="325"/>
      <c r="L3" s="327"/>
      <c r="M3" s="327"/>
      <c r="N3" s="34" t="s">
        <v>41</v>
      </c>
      <c r="O3" s="34" t="s">
        <v>42</v>
      </c>
      <c r="P3" s="35"/>
    </row>
    <row r="4" spans="1:23" s="30" customFormat="1" ht="43.5" customHeight="1">
      <c r="A4" s="320"/>
      <c r="B4" s="36" t="s">
        <v>43</v>
      </c>
      <c r="C4" s="37" t="s">
        <v>44</v>
      </c>
      <c r="D4" s="38" t="s">
        <v>45</v>
      </c>
      <c r="E4" s="39" t="s">
        <v>46</v>
      </c>
      <c r="F4" s="40" t="s">
        <v>43</v>
      </c>
      <c r="G4" s="41" t="s">
        <v>44</v>
      </c>
      <c r="H4" s="1" t="s">
        <v>45</v>
      </c>
      <c r="I4" s="42" t="s">
        <v>46</v>
      </c>
      <c r="K4" s="43" t="s">
        <v>47</v>
      </c>
      <c r="L4" s="44">
        <f>L8*1.6</f>
        <v>270.40000000000003</v>
      </c>
      <c r="M4" s="44">
        <v>301.10000000000002</v>
      </c>
      <c r="N4" s="44">
        <f>(2567.1-O4-M4)*1.1</f>
        <v>1898.71</v>
      </c>
      <c r="O4" s="44">
        <f>210.6+243.3+33.5+52.5</f>
        <v>539.9</v>
      </c>
      <c r="P4" s="45"/>
    </row>
    <row r="5" spans="1:23" s="30" customFormat="1" ht="15.75">
      <c r="A5" s="46" t="s">
        <v>48</v>
      </c>
      <c r="B5" s="47">
        <v>8976699.6984082852</v>
      </c>
      <c r="C5" s="48"/>
      <c r="D5" s="47">
        <v>40708.810024072765</v>
      </c>
      <c r="E5" s="49">
        <f>D5*U16*T16</f>
        <v>44325.787794711629</v>
      </c>
      <c r="F5" s="47">
        <v>49190613.190936193</v>
      </c>
      <c r="G5" s="50"/>
      <c r="H5" s="47">
        <v>29410.548677729334</v>
      </c>
      <c r="I5" s="49">
        <f>H5*U16*T16</f>
        <v>32023.675927745582</v>
      </c>
      <c r="K5" s="51" t="s">
        <v>49</v>
      </c>
      <c r="L5" s="52">
        <f>E26*L4</f>
        <v>70682618.70526363</v>
      </c>
      <c r="M5" s="52">
        <f>M4*E26</f>
        <v>78707605.370395258</v>
      </c>
      <c r="N5" s="52">
        <f>I26*N4</f>
        <v>152688670.31058294</v>
      </c>
      <c r="O5" s="52">
        <f>O4*E26</f>
        <v>141129977.2151325</v>
      </c>
      <c r="P5" s="53">
        <f>L5+M5+N5+O5</f>
        <v>443208871.60137427</v>
      </c>
    </row>
    <row r="6" spans="1:23" s="30" customFormat="1" ht="15" customHeight="1">
      <c r="A6" s="54" t="s">
        <v>50</v>
      </c>
      <c r="B6" s="55">
        <v>3119462.7771668993</v>
      </c>
      <c r="C6" s="56"/>
      <c r="D6" s="55">
        <v>14146.581910874334</v>
      </c>
      <c r="E6" s="57">
        <f>D6*T16*U16</f>
        <v>15403.505713655519</v>
      </c>
      <c r="F6" s="55">
        <v>17350310.768736202</v>
      </c>
      <c r="G6" s="58"/>
      <c r="H6" s="55">
        <v>10373.567767024126</v>
      </c>
      <c r="I6" s="57">
        <f>H6*U16*T16</f>
        <v>11295.259263124219</v>
      </c>
      <c r="K6" s="51" t="s">
        <v>51</v>
      </c>
      <c r="L6" s="59">
        <v>28</v>
      </c>
      <c r="M6" s="59"/>
      <c r="N6" s="59"/>
      <c r="O6" s="59"/>
      <c r="P6" s="60"/>
    </row>
    <row r="7" spans="1:23" s="30" customFormat="1" ht="15.75">
      <c r="A7" s="54" t="s">
        <v>52</v>
      </c>
      <c r="B7" s="55">
        <v>95784.316229978445</v>
      </c>
      <c r="C7" s="56"/>
      <c r="D7" s="55">
        <v>434.37629236759534</v>
      </c>
      <c r="E7" s="57">
        <f>D7</f>
        <v>434.37629236759534</v>
      </c>
      <c r="F7" s="55">
        <v>472628.74838074559</v>
      </c>
      <c r="G7" s="58"/>
      <c r="H7" s="55">
        <v>282.57974253729071</v>
      </c>
      <c r="I7" s="57">
        <f>H7</f>
        <v>282.57974253729071</v>
      </c>
      <c r="K7" s="51" t="s">
        <v>53</v>
      </c>
      <c r="L7" s="59">
        <f>7500*1.037</f>
        <v>7777.4999999999991</v>
      </c>
      <c r="M7" s="59"/>
      <c r="N7" s="59"/>
      <c r="O7" s="59"/>
      <c r="P7" s="60"/>
    </row>
    <row r="8" spans="1:23" s="30" customFormat="1" ht="30">
      <c r="A8" s="54" t="s">
        <v>54</v>
      </c>
      <c r="B8" s="55">
        <v>3425187.2900346247</v>
      </c>
      <c r="C8" s="56"/>
      <c r="D8" s="55">
        <v>15533.024760938846</v>
      </c>
      <c r="E8" s="57">
        <f>E10+E12+E14</f>
        <v>16816.487530885701</v>
      </c>
      <c r="F8" s="55">
        <v>30759500.195529565</v>
      </c>
      <c r="G8" s="58"/>
      <c r="H8" s="55">
        <v>18390.780661582354</v>
      </c>
      <c r="I8" s="57">
        <f>I10+I12+I14+I15+I16+I17</f>
        <v>19910.374086087581</v>
      </c>
      <c r="K8" s="61" t="s">
        <v>55</v>
      </c>
      <c r="L8" s="59">
        <v>169</v>
      </c>
      <c r="M8" s="59"/>
      <c r="N8" s="59"/>
      <c r="O8" s="59"/>
      <c r="P8" s="60"/>
    </row>
    <row r="9" spans="1:23" s="30" customFormat="1" ht="15.75">
      <c r="A9" s="62" t="s">
        <v>56</v>
      </c>
      <c r="B9" s="55"/>
      <c r="C9" s="56"/>
      <c r="D9" s="55"/>
      <c r="E9" s="57"/>
      <c r="F9" s="55"/>
      <c r="G9" s="58"/>
      <c r="H9" s="55"/>
      <c r="I9" s="57"/>
      <c r="K9" s="51" t="s">
        <v>57</v>
      </c>
      <c r="L9" s="52">
        <f>L6*L7*L8</f>
        <v>36803129.999999993</v>
      </c>
      <c r="M9" s="52">
        <f>'Воздушный транспорт'!AO14*1000</f>
        <v>8042580</v>
      </c>
      <c r="N9" s="308">
        <v>68322.31</v>
      </c>
      <c r="O9" s="309"/>
      <c r="P9" s="53">
        <f>'Воздушный транспорт'!AO15*1000</f>
        <v>113168019.99999999</v>
      </c>
    </row>
    <row r="10" spans="1:23" s="30" customFormat="1">
      <c r="A10" s="63" t="s">
        <v>58</v>
      </c>
      <c r="B10" s="64">
        <v>2980511.7638669768</v>
      </c>
      <c r="C10" s="65"/>
      <c r="D10" s="66">
        <v>13516.447162790699</v>
      </c>
      <c r="E10" s="67">
        <f>D10*U17*T17</f>
        <v>14633.284158957767</v>
      </c>
      <c r="F10" s="64">
        <v>24392221.669475846</v>
      </c>
      <c r="G10" s="65"/>
      <c r="H10" s="66">
        <v>14583.852004110997</v>
      </c>
      <c r="I10" s="67">
        <f>H10*U17*T17</f>
        <v>15788.88652750668</v>
      </c>
      <c r="K10" s="68" t="s">
        <v>59</v>
      </c>
      <c r="L10" s="69">
        <f>L5-L9</f>
        <v>33879488.705263637</v>
      </c>
      <c r="M10" s="69">
        <f>M5-M9</f>
        <v>70665025.370395258</v>
      </c>
      <c r="N10" s="310">
        <f>N5+O5-N9</f>
        <v>293750325.21571547</v>
      </c>
      <c r="O10" s="311"/>
      <c r="P10" s="70">
        <f>'Воздушный транспорт'!AQ15*1000</f>
        <v>330040851.60137439</v>
      </c>
    </row>
    <row r="11" spans="1:23" s="30" customFormat="1">
      <c r="A11" s="63" t="s">
        <v>60</v>
      </c>
      <c r="B11" s="64">
        <v>0</v>
      </c>
      <c r="C11" s="65"/>
      <c r="D11" s="66">
        <v>0</v>
      </c>
      <c r="E11" s="67"/>
      <c r="F11" s="64">
        <v>0</v>
      </c>
      <c r="G11" s="65"/>
      <c r="H11" s="66"/>
      <c r="I11" s="67"/>
    </row>
    <row r="12" spans="1:23" s="30" customFormat="1">
      <c r="A12" s="63" t="s">
        <v>61</v>
      </c>
      <c r="B12" s="64">
        <v>81423.762214159447</v>
      </c>
      <c r="C12" s="65"/>
      <c r="D12" s="66">
        <v>369.25201675279783</v>
      </c>
      <c r="E12" s="67">
        <f>D12*U17*T17</f>
        <v>399.762572393048</v>
      </c>
      <c r="F12" s="64">
        <v>539702.34816745401</v>
      </c>
      <c r="G12" s="65"/>
      <c r="H12" s="66">
        <v>322.68234023942722</v>
      </c>
      <c r="I12" s="67">
        <f>H12*U17*T17</f>
        <v>349.3449366487306</v>
      </c>
      <c r="K12" s="302" t="s">
        <v>0</v>
      </c>
      <c r="L12" s="302"/>
      <c r="M12" s="302"/>
      <c r="N12" s="302"/>
      <c r="O12" s="302"/>
      <c r="P12" s="302"/>
    </row>
    <row r="13" spans="1:23" s="30" customFormat="1" ht="45">
      <c r="A13" s="63" t="s">
        <v>62</v>
      </c>
      <c r="B13" s="64"/>
      <c r="C13" s="65"/>
      <c r="D13" s="66"/>
      <c r="E13" s="67"/>
      <c r="F13" s="64">
        <v>0</v>
      </c>
      <c r="G13" s="65"/>
      <c r="H13" s="66"/>
      <c r="I13" s="67"/>
      <c r="K13" s="71"/>
      <c r="L13" s="72" t="s">
        <v>6</v>
      </c>
      <c r="M13" s="72" t="s">
        <v>7</v>
      </c>
      <c r="N13" s="72" t="s">
        <v>63</v>
      </c>
      <c r="O13" s="72" t="s">
        <v>63</v>
      </c>
      <c r="P13" s="73" t="s">
        <v>64</v>
      </c>
    </row>
    <row r="14" spans="1:23" s="30" customFormat="1" ht="24">
      <c r="A14" s="63" t="s">
        <v>65</v>
      </c>
      <c r="B14" s="64">
        <v>363251.76395348838</v>
      </c>
      <c r="C14" s="65"/>
      <c r="D14" s="66">
        <v>1647.325581395349</v>
      </c>
      <c r="E14" s="67">
        <f>D14*U17*T17</f>
        <v>1783.4407995348838</v>
      </c>
      <c r="F14" s="64">
        <v>2558098.471976704</v>
      </c>
      <c r="G14" s="65"/>
      <c r="H14" s="66">
        <v>1529.4600890715997</v>
      </c>
      <c r="I14" s="67">
        <f>H14*U17*T17</f>
        <v>1655.8363173114076</v>
      </c>
      <c r="K14" s="74" t="s">
        <v>18</v>
      </c>
      <c r="L14" s="75">
        <v>4185838</v>
      </c>
      <c r="M14" s="75">
        <v>4018569</v>
      </c>
      <c r="N14" s="75">
        <v>6705434.5800000001</v>
      </c>
      <c r="O14" s="75">
        <v>6705434.5800000001</v>
      </c>
      <c r="P14" s="76"/>
    </row>
    <row r="15" spans="1:23" s="30" customFormat="1">
      <c r="A15" s="77" t="s">
        <v>66</v>
      </c>
      <c r="B15" s="64"/>
      <c r="C15" s="65"/>
      <c r="D15" s="66"/>
      <c r="E15" s="67"/>
      <c r="F15" s="64">
        <v>3147941.9375128467</v>
      </c>
      <c r="G15" s="65"/>
      <c r="H15" s="66">
        <v>1882.1212744090442</v>
      </c>
      <c r="I15" s="67">
        <f>H15*U17*T17</f>
        <v>2037.6371910709147</v>
      </c>
      <c r="K15" s="78" t="s">
        <v>19</v>
      </c>
      <c r="L15" s="12">
        <v>6358036</v>
      </c>
      <c r="M15" s="12">
        <v>6197280</v>
      </c>
      <c r="N15" s="12">
        <v>6681667.5800000001</v>
      </c>
      <c r="O15" s="12">
        <v>6681667.5800000001</v>
      </c>
      <c r="P15" s="79"/>
      <c r="S15" s="80"/>
      <c r="T15" s="81">
        <v>2019</v>
      </c>
      <c r="U15" s="81">
        <v>2020</v>
      </c>
      <c r="V15" s="81">
        <v>2021</v>
      </c>
      <c r="W15" s="81">
        <v>2022</v>
      </c>
    </row>
    <row r="16" spans="1:23" s="30" customFormat="1" ht="24">
      <c r="A16" s="63" t="s">
        <v>67</v>
      </c>
      <c r="B16" s="64"/>
      <c r="C16" s="65"/>
      <c r="D16" s="66"/>
      <c r="E16" s="67"/>
      <c r="F16" s="64">
        <v>7263.1873244261724</v>
      </c>
      <c r="G16" s="65"/>
      <c r="H16" s="66">
        <v>4.3425830763960258</v>
      </c>
      <c r="I16" s="67">
        <f>H16*U17*T17</f>
        <v>4.701402030832476</v>
      </c>
      <c r="K16" s="82" t="s">
        <v>20</v>
      </c>
      <c r="L16" s="12">
        <v>4048210</v>
      </c>
      <c r="M16" s="12">
        <v>3911494</v>
      </c>
      <c r="N16" s="12"/>
      <c r="O16" s="12"/>
      <c r="P16" s="79"/>
      <c r="S16" s="83" t="s">
        <v>68</v>
      </c>
      <c r="T16" s="83">
        <v>1.05</v>
      </c>
      <c r="U16" s="83">
        <v>1.0369999999999999</v>
      </c>
      <c r="V16" s="80">
        <v>1.04</v>
      </c>
      <c r="W16" s="83">
        <v>1.04</v>
      </c>
    </row>
    <row r="17" spans="1:23" s="30" customFormat="1">
      <c r="A17" s="63" t="s">
        <v>69</v>
      </c>
      <c r="B17" s="64"/>
      <c r="C17" s="65"/>
      <c r="D17" s="66"/>
      <c r="E17" s="67"/>
      <c r="F17" s="64">
        <v>114272.58107228501</v>
      </c>
      <c r="G17" s="65"/>
      <c r="H17" s="66">
        <v>68.32237067488866</v>
      </c>
      <c r="I17" s="67">
        <f>H17*U17*T17</f>
        <v>73.967711519013349</v>
      </c>
      <c r="K17" s="78" t="s">
        <v>21</v>
      </c>
      <c r="L17" s="12">
        <v>4090042</v>
      </c>
      <c r="M17" s="12">
        <v>3936136</v>
      </c>
      <c r="N17" s="84">
        <v>4925926</v>
      </c>
      <c r="O17" s="84">
        <v>4925926</v>
      </c>
      <c r="P17" s="79"/>
      <c r="S17" s="85" t="s">
        <v>70</v>
      </c>
      <c r="T17" s="86">
        <v>1.044</v>
      </c>
      <c r="U17" s="86">
        <v>1.0369999999999999</v>
      </c>
      <c r="V17" s="80">
        <v>1.038</v>
      </c>
      <c r="W17" s="87">
        <v>1.04</v>
      </c>
    </row>
    <row r="18" spans="1:23" s="30" customFormat="1" ht="15" customHeight="1">
      <c r="A18" s="88" t="s">
        <v>71</v>
      </c>
      <c r="B18" s="55">
        <v>51794066.893672287</v>
      </c>
      <c r="C18" s="56"/>
      <c r="D18" s="55">
        <v>234883.07511528861</v>
      </c>
      <c r="E18" s="57">
        <f>E20+E21+E23+E24+E25</f>
        <v>184420.05977364443</v>
      </c>
      <c r="F18" s="55">
        <v>26820319.815585203</v>
      </c>
      <c r="G18" s="56"/>
      <c r="H18" s="55">
        <v>16035.586269818663</v>
      </c>
      <c r="I18" s="57">
        <f>I20+I21+I23+I24+I25</f>
        <v>16905.167987938232</v>
      </c>
      <c r="K18" s="82" t="s">
        <v>22</v>
      </c>
      <c r="L18" s="12">
        <v>4008834</v>
      </c>
      <c r="M18" s="12">
        <v>3872639</v>
      </c>
      <c r="N18" s="12">
        <v>5763303.5800000001</v>
      </c>
      <c r="O18" s="12">
        <v>5763303.5800000001</v>
      </c>
      <c r="P18" s="79"/>
      <c r="S18" s="85" t="s">
        <v>72</v>
      </c>
      <c r="T18" s="86">
        <v>1.0009999999999999</v>
      </c>
      <c r="U18" s="86">
        <v>0.99099999999999999</v>
      </c>
      <c r="V18" s="80">
        <v>1.014</v>
      </c>
      <c r="W18" s="89">
        <v>1.0169999999999999</v>
      </c>
    </row>
    <row r="19" spans="1:23" s="30" customFormat="1">
      <c r="A19" s="62" t="s">
        <v>56</v>
      </c>
      <c r="B19" s="66"/>
      <c r="C19" s="90"/>
      <c r="D19" s="66"/>
      <c r="E19" s="67"/>
      <c r="F19" s="66"/>
      <c r="G19" s="90"/>
      <c r="H19" s="66"/>
      <c r="I19" s="67"/>
      <c r="K19" s="78" t="s">
        <v>23</v>
      </c>
      <c r="L19" s="12">
        <v>4005350</v>
      </c>
      <c r="M19" s="12">
        <v>3865782</v>
      </c>
      <c r="N19" s="12">
        <v>5809678.5800000001</v>
      </c>
      <c r="O19" s="12">
        <v>5809678.5800000001</v>
      </c>
      <c r="P19" s="79"/>
    </row>
    <row r="20" spans="1:23" s="30" customFormat="1" ht="33" customHeight="1">
      <c r="A20" s="63" t="s">
        <v>73</v>
      </c>
      <c r="B20" s="64">
        <v>232636</v>
      </c>
      <c r="C20" s="65"/>
      <c r="D20" s="66">
        <v>1054.9907033694617</v>
      </c>
      <c r="E20" s="67">
        <f>D20*U16*T16</f>
        <v>1148.7266273638384</v>
      </c>
      <c r="F20" s="64">
        <v>215646</v>
      </c>
      <c r="G20" s="65"/>
      <c r="H20" s="66">
        <v>128.93246838659533</v>
      </c>
      <c r="I20" s="67">
        <f>H20*U16*T16</f>
        <v>140.38811820274432</v>
      </c>
      <c r="K20" s="82" t="s">
        <v>24</v>
      </c>
      <c r="L20" s="12">
        <v>3925826</v>
      </c>
      <c r="M20" s="12">
        <v>3804903</v>
      </c>
      <c r="N20" s="12">
        <v>5701087.5800000001</v>
      </c>
      <c r="O20" s="12">
        <v>5701087.5800000001</v>
      </c>
      <c r="P20" s="79"/>
    </row>
    <row r="21" spans="1:23" s="30" customFormat="1" ht="21.75" customHeight="1">
      <c r="A21" s="63" t="s">
        <v>74</v>
      </c>
      <c r="B21" s="64">
        <v>3206083.15</v>
      </c>
      <c r="C21" s="65"/>
      <c r="D21" s="66">
        <v>14539.400253956737</v>
      </c>
      <c r="E21" s="67">
        <f>D21*U16*T16</f>
        <v>15831.225966520791</v>
      </c>
      <c r="F21" s="64">
        <v>8833879.6999999993</v>
      </c>
      <c r="G21" s="65"/>
      <c r="H21" s="66">
        <v>5281.6834773250421</v>
      </c>
      <c r="I21" s="67">
        <f>H21*U16*T16</f>
        <v>5750.9610542853716</v>
      </c>
      <c r="K21" s="78" t="s">
        <v>25</v>
      </c>
      <c r="L21" s="12">
        <v>3918514</v>
      </c>
      <c r="M21" s="12">
        <v>3794095</v>
      </c>
      <c r="N21" s="12">
        <v>5744821.5800000001</v>
      </c>
      <c r="O21" s="12">
        <v>5744821.5800000001</v>
      </c>
      <c r="P21" s="79"/>
    </row>
    <row r="22" spans="1:23" s="30" customFormat="1" ht="15" customHeight="1">
      <c r="A22" s="63" t="s">
        <v>75</v>
      </c>
      <c r="B22" s="64"/>
      <c r="C22" s="65"/>
      <c r="D22" s="66"/>
      <c r="E22" s="67"/>
      <c r="F22" s="64">
        <v>309135</v>
      </c>
      <c r="G22" s="65"/>
      <c r="H22" s="66">
        <v>184.82855520014351</v>
      </c>
      <c r="I22" s="67">
        <f>H22*U16*T16</f>
        <v>201.25057232967626</v>
      </c>
      <c r="K22" s="82" t="s">
        <v>26</v>
      </c>
      <c r="L22" s="12">
        <v>3874494</v>
      </c>
      <c r="M22" s="12">
        <v>3757861</v>
      </c>
      <c r="N22" s="12">
        <v>8640296.5800000001</v>
      </c>
      <c r="O22" s="12">
        <v>8640296.5800000001</v>
      </c>
      <c r="P22" s="79"/>
    </row>
    <row r="23" spans="1:23" s="30" customFormat="1">
      <c r="A23" s="63" t="s">
        <v>76</v>
      </c>
      <c r="B23" s="64">
        <v>64983.784186046512</v>
      </c>
      <c r="C23" s="65"/>
      <c r="D23" s="66">
        <v>294.69767441860466</v>
      </c>
      <c r="E23" s="67">
        <f>D23*U16*T16</f>
        <v>320.88156279069767</v>
      </c>
      <c r="F23" s="64">
        <v>245086.16022610481</v>
      </c>
      <c r="G23" s="65"/>
      <c r="H23" s="66">
        <v>146.5344295991778</v>
      </c>
      <c r="I23" s="67">
        <f>H23*U16*T16</f>
        <v>159.55401366906474</v>
      </c>
      <c r="K23" s="78" t="s">
        <v>27</v>
      </c>
      <c r="L23" s="12">
        <v>3797572</v>
      </c>
      <c r="M23" s="12">
        <v>3699463</v>
      </c>
      <c r="N23" s="12">
        <v>5631820.5800000001</v>
      </c>
      <c r="O23" s="12">
        <v>5631820.5800000001</v>
      </c>
      <c r="P23" s="79"/>
    </row>
    <row r="24" spans="1:23" s="30" customFormat="1" ht="46.5" customHeight="1">
      <c r="A24" s="63" t="s">
        <v>77</v>
      </c>
      <c r="B24" s="64">
        <v>45363118.741000004</v>
      </c>
      <c r="C24" s="65"/>
      <c r="D24" s="91">
        <v>205719.10000000003</v>
      </c>
      <c r="E24" s="92">
        <f>P30</f>
        <v>156264.96081518804</v>
      </c>
      <c r="F24" s="64">
        <v>0</v>
      </c>
      <c r="G24" s="65"/>
      <c r="H24" s="93"/>
      <c r="I24" s="94"/>
      <c r="K24" s="82" t="s">
        <v>28</v>
      </c>
      <c r="L24" s="12">
        <v>3784345</v>
      </c>
      <c r="M24" s="12">
        <v>3684134</v>
      </c>
      <c r="N24" s="12">
        <v>5672613.5800000001</v>
      </c>
      <c r="O24" s="12">
        <v>5672613.5800000001</v>
      </c>
      <c r="P24" s="79"/>
    </row>
    <row r="25" spans="1:23" s="30" customFormat="1" ht="24">
      <c r="A25" s="95" t="s">
        <v>78</v>
      </c>
      <c r="B25" s="64">
        <v>2198166.8103418658</v>
      </c>
      <c r="C25" s="65"/>
      <c r="D25" s="66">
        <v>9968.5583889250647</v>
      </c>
      <c r="E25" s="67">
        <f>D25*U16*T16</f>
        <v>10854.264801781057</v>
      </c>
      <c r="F25" s="64">
        <v>16672912.333396608</v>
      </c>
      <c r="G25" s="65"/>
      <c r="H25" s="66">
        <v>9968.5583889250593</v>
      </c>
      <c r="I25" s="67">
        <f>H25*U16*T16</f>
        <v>10854.264801781052</v>
      </c>
      <c r="K25" s="78" t="s">
        <v>29</v>
      </c>
      <c r="L25" s="12">
        <v>3709217</v>
      </c>
      <c r="M25" s="12">
        <v>3627431</v>
      </c>
      <c r="N25" s="12">
        <v>5567235.5800000001</v>
      </c>
      <c r="O25" s="12">
        <v>5567235.5800000001</v>
      </c>
      <c r="P25" s="79"/>
    </row>
    <row r="26" spans="1:23" s="30" customFormat="1">
      <c r="A26" s="96" t="s">
        <v>79</v>
      </c>
      <c r="B26" s="97">
        <v>67411200.975512072</v>
      </c>
      <c r="C26" s="98">
        <f>220.51+260.39</f>
        <v>480.9</v>
      </c>
      <c r="D26" s="99">
        <v>305705.86810354213</v>
      </c>
      <c r="E26" s="100">
        <f>E5+E6+E7+E8+E18</f>
        <v>261400.21710526489</v>
      </c>
      <c r="F26" s="97">
        <v>124593372.71916789</v>
      </c>
      <c r="G26" s="101">
        <v>1672.55</v>
      </c>
      <c r="H26" s="102">
        <v>74493.063118691774</v>
      </c>
      <c r="I26" s="100">
        <f>I5+I6+I7+I8+I18</f>
        <v>80417.057007432901</v>
      </c>
      <c r="K26" s="103" t="s">
        <v>30</v>
      </c>
      <c r="L26" s="25">
        <f t="shared" ref="L26:M26" si="0">SUM(L14:L25)</f>
        <v>49706278</v>
      </c>
      <c r="M26" s="25">
        <f t="shared" si="0"/>
        <v>48169787</v>
      </c>
      <c r="N26" s="25">
        <f>SUM(N14:N25)</f>
        <v>66843885.79999999</v>
      </c>
      <c r="O26" s="25">
        <f>SUM(O14:O25)</f>
        <v>66843885.79999999</v>
      </c>
      <c r="P26" s="79"/>
    </row>
    <row r="27" spans="1:23" s="30" customFormat="1" ht="29.25" customHeight="1">
      <c r="K27" s="104" t="s">
        <v>31</v>
      </c>
      <c r="L27" s="105">
        <f t="shared" ref="L27:M27" si="1">L26/1.2</f>
        <v>41421898.333333336</v>
      </c>
      <c r="M27" s="105">
        <f t="shared" si="1"/>
        <v>40141489.166666672</v>
      </c>
      <c r="N27" s="105">
        <f>N26/1.2</f>
        <v>55703238.166666657</v>
      </c>
      <c r="O27" s="105">
        <f>O26/1.2</f>
        <v>55703238.166666657</v>
      </c>
      <c r="P27" s="106">
        <f>SUM(L27:O27)</f>
        <v>192969863.83333331</v>
      </c>
      <c r="Q27" s="107"/>
      <c r="R27" s="107"/>
      <c r="S27" s="107"/>
      <c r="T27" s="107"/>
    </row>
    <row r="28" spans="1:23" s="30" customFormat="1" ht="22.5" customHeight="1">
      <c r="K28" s="312" t="s">
        <v>80</v>
      </c>
      <c r="L28" s="313"/>
      <c r="M28" s="313"/>
      <c r="N28" s="313"/>
      <c r="O28" s="313"/>
      <c r="P28" s="108">
        <f>P27*0.9</f>
        <v>173672877.44999999</v>
      </c>
      <c r="Q28" s="109"/>
    </row>
    <row r="29" spans="1:23" ht="15" customHeight="1">
      <c r="K29" s="314" t="s">
        <v>81</v>
      </c>
      <c r="L29" s="315"/>
      <c r="M29" s="315"/>
      <c r="N29" s="315"/>
      <c r="O29" s="315"/>
      <c r="P29" s="110">
        <f>O4+L4+M4</f>
        <v>1111.4000000000001</v>
      </c>
      <c r="Q29" s="109"/>
      <c r="R29" s="109"/>
    </row>
    <row r="30" spans="1:23" ht="19.5" customHeight="1">
      <c r="K30" s="306" t="s">
        <v>82</v>
      </c>
      <c r="L30" s="307"/>
      <c r="M30" s="307"/>
      <c r="N30" s="307"/>
      <c r="O30" s="307"/>
      <c r="P30" s="111">
        <f>P28/P29</f>
        <v>156264.96081518804</v>
      </c>
      <c r="Q30" s="109"/>
      <c r="R30" s="109"/>
    </row>
    <row r="31" spans="1:23" ht="13.5" customHeight="1">
      <c r="Q31" s="109"/>
      <c r="R31" s="109"/>
    </row>
    <row r="32" spans="1:23">
      <c r="Q32" s="109"/>
      <c r="R32" s="109"/>
    </row>
    <row r="33" spans="17:19">
      <c r="Q33" s="109"/>
    </row>
    <row r="34" spans="17:19">
      <c r="Q34" s="109"/>
    </row>
    <row r="35" spans="17:19">
      <c r="Q35" s="109"/>
    </row>
    <row r="36" spans="17:19">
      <c r="Q36" s="109"/>
    </row>
    <row r="37" spans="17:19">
      <c r="Q37" s="109"/>
    </row>
    <row r="38" spans="17:19">
      <c r="Q38" s="109"/>
    </row>
    <row r="39" spans="17:19">
      <c r="Q39" s="109"/>
    </row>
    <row r="40" spans="17:19">
      <c r="Q40" s="109"/>
    </row>
    <row r="41" spans="17:19">
      <c r="Q41" s="109"/>
    </row>
    <row r="42" spans="17:19">
      <c r="Q42" s="109"/>
    </row>
    <row r="43" spans="17:19" ht="15" customHeight="1">
      <c r="Q43" s="112"/>
      <c r="R43" s="112"/>
      <c r="S43" s="113"/>
    </row>
    <row r="44" spans="17:19" ht="15.75" customHeight="1">
      <c r="Q44" s="112"/>
      <c r="R44" s="112"/>
      <c r="S44" s="113"/>
    </row>
    <row r="45" spans="17:19">
      <c r="Q45" s="114"/>
      <c r="R45" s="114"/>
      <c r="S45" s="115"/>
    </row>
    <row r="46" spans="17:19" ht="19.5" customHeight="1"/>
    <row r="47" spans="17:19" ht="16.5" customHeight="1"/>
  </sheetData>
  <mergeCells count="16"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  <mergeCell ref="K30:O30"/>
    <mergeCell ref="N9:O9"/>
    <mergeCell ref="N10:O10"/>
    <mergeCell ref="K12:P12"/>
    <mergeCell ref="K28:O28"/>
    <mergeCell ref="K29:O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28"/>
  <sheetViews>
    <sheetView tabSelected="1" zoomScale="86" zoomScaleNormal="86" workbookViewId="0">
      <selection activeCell="BN12" sqref="BN12"/>
    </sheetView>
  </sheetViews>
  <sheetFormatPr defaultColWidth="55" defaultRowHeight="15.75" outlineLevelRow="1" outlineLevelCol="1"/>
  <cols>
    <col min="1" max="1" width="34.85546875" style="116" bestFit="1" customWidth="1"/>
    <col min="2" max="2" width="2.5703125" style="116" hidden="1" bestFit="1" customWidth="1" outlineLevel="1"/>
    <col min="3" max="3" width="3.28515625" style="116" hidden="1" bestFit="1" customWidth="1" outlineLevel="1"/>
    <col min="4" max="4" width="16.5703125" style="116" hidden="1" bestFit="1" customWidth="1" outlineLevel="1"/>
    <col min="5" max="5" width="18.28515625" style="116" hidden="1" bestFit="1" customWidth="1" outlineLevel="1"/>
    <col min="6" max="6" width="14.7109375" style="116" hidden="1" bestFit="1" customWidth="1" outlineLevel="1"/>
    <col min="7" max="7" width="17.28515625" style="116" hidden="1" bestFit="1" customWidth="1" outlineLevel="1"/>
    <col min="8" max="8" width="10" style="116" hidden="1" bestFit="1" customWidth="1" outlineLevel="1"/>
    <col min="9" max="9" width="17.140625" style="116" hidden="1" bestFit="1" customWidth="1" outlineLevel="1"/>
    <col min="10" max="10" width="10" style="116" hidden="1" bestFit="1" customWidth="1" outlineLevel="1"/>
    <col min="11" max="11" width="17.140625" style="116" hidden="1" bestFit="1" customWidth="1" outlineLevel="1"/>
    <col min="12" max="12" width="10.28515625" style="116" hidden="1" bestFit="1" customWidth="1" outlineLevel="1"/>
    <col min="13" max="13" width="17.140625" style="116" hidden="1" bestFit="1" customWidth="1" outlineLevel="1"/>
    <col min="14" max="14" width="10.28515625" style="116" hidden="1" bestFit="1" customWidth="1" outlineLevel="1"/>
    <col min="15" max="15" width="17.140625" style="116" hidden="1" bestFit="1" customWidth="1" outlineLevel="1" collapsed="1"/>
    <col min="16" max="16" width="23.5703125" style="116" hidden="1" bestFit="1" customWidth="1" outlineLevel="1"/>
    <col min="17" max="17" width="13.140625" style="116" hidden="1" bestFit="1" customWidth="1" outlineLevel="1"/>
    <col min="18" max="18" width="12.28515625" style="116" hidden="1" bestFit="1" customWidth="1" outlineLevel="1"/>
    <col min="19" max="19" width="12.140625" style="116" hidden="1" bestFit="1" customWidth="1" outlineLevel="1"/>
    <col min="20" max="20" width="11.28515625" style="116" hidden="1" bestFit="1" customWidth="1" outlineLevel="1"/>
    <col min="21" max="21" width="9.42578125" style="116" hidden="1" bestFit="1" customWidth="1" outlineLevel="1"/>
    <col min="22" max="22" width="13.42578125" style="116" hidden="1" bestFit="1" customWidth="1" outlineLevel="1"/>
    <col min="23" max="23" width="12.5703125" style="116" hidden="1" bestFit="1" customWidth="1" outlineLevel="1"/>
    <col min="24" max="24" width="13.28515625" style="116" hidden="1" bestFit="1" customWidth="1" outlineLevel="1"/>
    <col min="25" max="25" width="9.42578125" style="116" hidden="1" bestFit="1" customWidth="1" outlineLevel="1" collapsed="1"/>
    <col min="26" max="26" width="17.85546875" style="116" hidden="1" bestFit="1" customWidth="1" collapsed="1"/>
    <col min="27" max="27" width="17" style="116" hidden="1" bestFit="1" customWidth="1"/>
    <col min="28" max="28" width="14.85546875" style="117" hidden="1" bestFit="1" customWidth="1"/>
    <col min="29" max="29" width="14.7109375" style="117" hidden="1" bestFit="1" customWidth="1"/>
    <col min="30" max="30" width="12.140625" style="117" hidden="1" bestFit="1" customWidth="1"/>
    <col min="31" max="31" width="14.7109375" style="117" hidden="1" bestFit="1" customWidth="1"/>
    <col min="32" max="32" width="11.7109375" style="118" hidden="1" bestFit="1" customWidth="1"/>
    <col min="33" max="33" width="18.7109375" style="118" hidden="1" bestFit="1" customWidth="1"/>
    <col min="34" max="34" width="15" style="118" hidden="1" bestFit="1" customWidth="1"/>
    <col min="35" max="35" width="14.42578125" style="117" hidden="1" bestFit="1" customWidth="1"/>
    <col min="36" max="36" width="12.28515625" style="117" hidden="1" bestFit="1" customWidth="1"/>
    <col min="37" max="37" width="14.5703125" style="117" hidden="1" bestFit="1" customWidth="1"/>
    <col min="38" max="38" width="12.5703125" style="117" hidden="1" bestFit="1" customWidth="1"/>
    <col min="39" max="39" width="17" style="117" hidden="1" bestFit="1" customWidth="1"/>
    <col min="40" max="40" width="15.85546875" style="117" hidden="1" bestFit="1" customWidth="1"/>
    <col min="41" max="42" width="13.140625" style="117" hidden="1" bestFit="1" customWidth="1"/>
    <col min="43" max="43" width="15.85546875" style="117" hidden="1" bestFit="1" customWidth="1"/>
    <col min="44" max="44" width="12.85546875" style="117" hidden="1" bestFit="1" customWidth="1"/>
    <col min="45" max="45" width="16.28515625" style="117" hidden="1" bestFit="1" customWidth="1"/>
    <col min="46" max="46" width="12.85546875" style="117" hidden="1" bestFit="1" customWidth="1"/>
    <col min="47" max="47" width="16.28515625" style="118" hidden="1" customWidth="1"/>
    <col min="48" max="48" width="14.140625" style="117" hidden="1" customWidth="1"/>
    <col min="49" max="49" width="14.28515625" style="119" hidden="1" customWidth="1"/>
    <col min="50" max="50" width="10.7109375" style="117" hidden="1" customWidth="1"/>
    <col min="51" max="51" width="17.42578125" style="116" bestFit="1" customWidth="1"/>
    <col min="52" max="52" width="18.7109375" style="116" customWidth="1"/>
    <col min="53" max="53" width="11.28515625" style="116" bestFit="1" customWidth="1"/>
    <col min="54" max="54" width="19" style="116" bestFit="1" customWidth="1"/>
    <col min="55" max="55" width="12" style="116" hidden="1" customWidth="1"/>
    <col min="56" max="56" width="15.42578125" style="116" hidden="1" customWidth="1"/>
    <col min="57" max="57" width="13.140625" style="116" hidden="1" customWidth="1"/>
    <col min="58" max="58" width="14" style="116" hidden="1" customWidth="1"/>
    <col min="59" max="59" width="14.140625" style="116" hidden="1" customWidth="1"/>
    <col min="60" max="60" width="16.5703125" style="116" hidden="1" customWidth="1"/>
    <col min="61" max="61" width="14.85546875" style="116" hidden="1" customWidth="1"/>
    <col min="62" max="62" width="14.5703125" style="116" hidden="1" customWidth="1"/>
    <col min="63" max="63" width="10.5703125" style="116" hidden="1" customWidth="1"/>
    <col min="64" max="64" width="14" style="116" hidden="1" customWidth="1"/>
    <col min="65" max="65" width="16" style="116" hidden="1" customWidth="1"/>
    <col min="66" max="66" width="55" style="116" bestFit="1"/>
    <col min="67" max="16384" width="55" style="116"/>
  </cols>
  <sheetData>
    <row r="1" spans="1:65" ht="136.5" customHeight="1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</row>
    <row r="2" spans="1:65" ht="14.25" customHeight="1">
      <c r="B2" s="120"/>
      <c r="C2" s="120"/>
      <c r="D2" s="120"/>
      <c r="E2" s="120"/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121"/>
      <c r="AX2" s="116"/>
      <c r="BB2" s="293" t="s">
        <v>148</v>
      </c>
      <c r="BC2" s="292" t="s">
        <v>148</v>
      </c>
    </row>
    <row r="3" spans="1:65" ht="30.75" customHeight="1">
      <c r="A3" s="369" t="s">
        <v>83</v>
      </c>
      <c r="B3" s="122" t="s">
        <v>84</v>
      </c>
      <c r="C3" s="123" t="s">
        <v>85</v>
      </c>
      <c r="D3" s="371" t="s">
        <v>86</v>
      </c>
      <c r="E3" s="372"/>
      <c r="F3" s="371" t="s">
        <v>87</v>
      </c>
      <c r="G3" s="373"/>
      <c r="H3" s="373"/>
      <c r="I3" s="371" t="s">
        <v>88</v>
      </c>
      <c r="J3" s="372"/>
      <c r="K3" s="373" t="s">
        <v>89</v>
      </c>
      <c r="L3" s="372"/>
      <c r="M3" s="371" t="s">
        <v>90</v>
      </c>
      <c r="N3" s="373"/>
      <c r="O3" s="374" t="s">
        <v>91</v>
      </c>
      <c r="P3" s="366"/>
      <c r="Q3" s="364" t="s">
        <v>92</v>
      </c>
      <c r="R3" s="365"/>
      <c r="S3" s="365"/>
      <c r="T3" s="365"/>
      <c r="U3" s="365"/>
      <c r="V3" s="365" t="s">
        <v>93</v>
      </c>
      <c r="W3" s="365"/>
      <c r="X3" s="365"/>
      <c r="Y3" s="375"/>
      <c r="Z3" s="125" t="s">
        <v>94</v>
      </c>
      <c r="AA3" s="376" t="s">
        <v>95</v>
      </c>
      <c r="AB3" s="364" t="s">
        <v>96</v>
      </c>
      <c r="AC3" s="365"/>
      <c r="AD3" s="365"/>
      <c r="AE3" s="365"/>
      <c r="AF3" s="375"/>
      <c r="AG3" s="125" t="s">
        <v>1</v>
      </c>
      <c r="AH3" s="374" t="s">
        <v>97</v>
      </c>
      <c r="AI3" s="365"/>
      <c r="AJ3" s="365"/>
      <c r="AK3" s="365"/>
      <c r="AL3" s="366"/>
      <c r="AM3" s="126" t="s">
        <v>2</v>
      </c>
      <c r="AN3" s="371" t="s">
        <v>98</v>
      </c>
      <c r="AO3" s="373"/>
      <c r="AP3" s="373"/>
      <c r="AQ3" s="373"/>
      <c r="AR3" s="373"/>
      <c r="AS3" s="374" t="s">
        <v>99</v>
      </c>
      <c r="AT3" s="366" t="s">
        <v>100</v>
      </c>
      <c r="AU3" s="364" t="s">
        <v>101</v>
      </c>
      <c r="AV3" s="365"/>
      <c r="AW3" s="365"/>
      <c r="AX3" s="366"/>
      <c r="AY3" s="364" t="s">
        <v>102</v>
      </c>
      <c r="AZ3" s="365"/>
      <c r="BA3" s="365"/>
      <c r="BB3" s="365"/>
      <c r="BC3" s="366"/>
      <c r="BD3" s="364" t="s">
        <v>103</v>
      </c>
      <c r="BE3" s="365"/>
      <c r="BF3" s="365"/>
      <c r="BG3" s="365"/>
      <c r="BH3" s="366"/>
      <c r="BI3" s="364" t="s">
        <v>104</v>
      </c>
      <c r="BJ3" s="365"/>
      <c r="BK3" s="365"/>
      <c r="BL3" s="365"/>
      <c r="BM3" s="366"/>
    </row>
    <row r="4" spans="1:65" ht="74.25" customHeight="1">
      <c r="A4" s="370"/>
      <c r="B4" s="127" t="s">
        <v>105</v>
      </c>
      <c r="C4" s="124" t="s">
        <v>106</v>
      </c>
      <c r="D4" s="124" t="s">
        <v>107</v>
      </c>
      <c r="E4" s="124" t="s">
        <v>108</v>
      </c>
      <c r="F4" s="124" t="s">
        <v>107</v>
      </c>
      <c r="G4" s="128" t="s">
        <v>109</v>
      </c>
      <c r="H4" s="129" t="s">
        <v>110</v>
      </c>
      <c r="I4" s="128" t="s">
        <v>111</v>
      </c>
      <c r="J4" s="130" t="s">
        <v>112</v>
      </c>
      <c r="K4" s="131" t="s">
        <v>113</v>
      </c>
      <c r="L4" s="130" t="s">
        <v>112</v>
      </c>
      <c r="M4" s="128" t="s">
        <v>114</v>
      </c>
      <c r="N4" s="129" t="s">
        <v>115</v>
      </c>
      <c r="O4" s="132" t="s">
        <v>116</v>
      </c>
      <c r="P4" s="133" t="s">
        <v>117</v>
      </c>
      <c r="Q4" s="134" t="s">
        <v>118</v>
      </c>
      <c r="R4" s="135" t="s">
        <v>119</v>
      </c>
      <c r="S4" s="135" t="s">
        <v>120</v>
      </c>
      <c r="T4" s="135" t="s">
        <v>121</v>
      </c>
      <c r="U4" s="135" t="s">
        <v>122</v>
      </c>
      <c r="V4" s="135" t="s">
        <v>118</v>
      </c>
      <c r="W4" s="135" t="s">
        <v>119</v>
      </c>
      <c r="X4" s="135" t="s">
        <v>121</v>
      </c>
      <c r="Y4" s="136"/>
      <c r="Z4" s="137" t="s">
        <v>123</v>
      </c>
      <c r="AA4" s="377"/>
      <c r="AB4" s="134" t="s">
        <v>118</v>
      </c>
      <c r="AC4" s="135" t="s">
        <v>119</v>
      </c>
      <c r="AD4" s="135" t="s">
        <v>124</v>
      </c>
      <c r="AE4" s="135" t="s">
        <v>121</v>
      </c>
      <c r="AF4" s="136" t="s">
        <v>125</v>
      </c>
      <c r="AG4" s="137" t="s">
        <v>126</v>
      </c>
      <c r="AH4" s="132" t="s">
        <v>118</v>
      </c>
      <c r="AI4" s="135" t="s">
        <v>119</v>
      </c>
      <c r="AJ4" s="135" t="s">
        <v>120</v>
      </c>
      <c r="AK4" s="135" t="s">
        <v>121</v>
      </c>
      <c r="AL4" s="133" t="s">
        <v>127</v>
      </c>
      <c r="AM4" s="138" t="s">
        <v>128</v>
      </c>
      <c r="AN4" s="139" t="s">
        <v>118</v>
      </c>
      <c r="AO4" s="140" t="s">
        <v>119</v>
      </c>
      <c r="AP4" s="140" t="s">
        <v>120</v>
      </c>
      <c r="AQ4" s="140" t="s">
        <v>121</v>
      </c>
      <c r="AR4" s="141" t="s">
        <v>129</v>
      </c>
      <c r="AS4" s="378"/>
      <c r="AT4" s="379"/>
      <c r="AU4" s="142" t="s">
        <v>118</v>
      </c>
      <c r="AV4" s="143" t="s">
        <v>119</v>
      </c>
      <c r="AW4" s="143" t="s">
        <v>121</v>
      </c>
      <c r="AX4" s="144" t="s">
        <v>130</v>
      </c>
      <c r="AY4" s="134" t="s">
        <v>118</v>
      </c>
      <c r="AZ4" s="135" t="s">
        <v>119</v>
      </c>
      <c r="BA4" s="135" t="s">
        <v>120</v>
      </c>
      <c r="BB4" s="135" t="s">
        <v>121</v>
      </c>
      <c r="BC4" s="133" t="s">
        <v>131</v>
      </c>
      <c r="BD4" s="134" t="s">
        <v>118</v>
      </c>
      <c r="BE4" s="135" t="s">
        <v>119</v>
      </c>
      <c r="BF4" s="135" t="s">
        <v>120</v>
      </c>
      <c r="BG4" s="135" t="s">
        <v>121</v>
      </c>
      <c r="BH4" s="133" t="s">
        <v>131</v>
      </c>
      <c r="BI4" s="134" t="s">
        <v>118</v>
      </c>
      <c r="BJ4" s="135" t="s">
        <v>119</v>
      </c>
      <c r="BK4" s="135" t="s">
        <v>120</v>
      </c>
      <c r="BL4" s="135" t="s">
        <v>121</v>
      </c>
      <c r="BM4" s="133" t="s">
        <v>131</v>
      </c>
    </row>
    <row r="5" spans="1:65" ht="45.75" hidden="1" customHeight="1">
      <c r="A5" s="145" t="s">
        <v>132</v>
      </c>
      <c r="B5" s="146"/>
      <c r="C5" s="147"/>
      <c r="D5" s="147"/>
      <c r="E5" s="147"/>
      <c r="F5" s="147"/>
      <c r="G5" s="147"/>
      <c r="H5" s="147"/>
      <c r="I5" s="367"/>
      <c r="J5" s="367"/>
      <c r="K5" s="147"/>
      <c r="L5" s="148"/>
      <c r="M5" s="148"/>
      <c r="N5" s="148"/>
      <c r="O5" s="148"/>
      <c r="P5" s="149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50"/>
      <c r="AC5" s="150"/>
      <c r="AD5" s="150"/>
      <c r="AE5" s="150"/>
      <c r="AF5" s="151"/>
      <c r="AG5" s="152"/>
      <c r="AH5" s="153"/>
      <c r="AI5" s="154"/>
      <c r="AJ5" s="155"/>
      <c r="AK5" s="154"/>
      <c r="AL5" s="156"/>
      <c r="AM5" s="157"/>
      <c r="AN5" s="158"/>
      <c r="AO5" s="159"/>
      <c r="AP5" s="160"/>
      <c r="AQ5" s="159"/>
      <c r="AR5" s="161"/>
      <c r="AS5" s="162"/>
      <c r="AT5" s="163"/>
      <c r="AU5" s="153"/>
      <c r="AV5" s="154"/>
      <c r="AW5" s="164"/>
      <c r="AX5" s="165"/>
      <c r="AY5" s="166"/>
      <c r="AZ5" s="154"/>
      <c r="BA5" s="167"/>
      <c r="BB5" s="154"/>
      <c r="BC5" s="165"/>
      <c r="BD5" s="153"/>
      <c r="BE5" s="154"/>
      <c r="BF5" s="167"/>
      <c r="BG5" s="154"/>
      <c r="BH5" s="165"/>
      <c r="BI5" s="153"/>
      <c r="BJ5" s="154"/>
      <c r="BK5" s="167"/>
      <c r="BL5" s="154"/>
      <c r="BM5" s="165"/>
    </row>
    <row r="6" spans="1:65" ht="25.5" hidden="1" customHeight="1">
      <c r="A6" s="168" t="s">
        <v>133</v>
      </c>
      <c r="B6" s="169">
        <v>15037.3</v>
      </c>
      <c r="C6" s="170">
        <v>19769.599999999999</v>
      </c>
      <c r="D6" s="170">
        <v>44729</v>
      </c>
      <c r="E6" s="170">
        <v>24788.3</v>
      </c>
      <c r="F6" s="170"/>
      <c r="G6" s="171">
        <v>24788.3</v>
      </c>
      <c r="H6" s="172">
        <f t="shared" ref="H6:H8" si="0">G6/E6*100</f>
        <v>100</v>
      </c>
      <c r="I6" s="173">
        <v>38190.800000000003</v>
      </c>
      <c r="J6" s="172">
        <f t="shared" ref="J6:J7" si="1">I6/G6*100</f>
        <v>154.06784652436835</v>
      </c>
      <c r="K6" s="174">
        <v>41729</v>
      </c>
      <c r="L6" s="175">
        <f t="shared" ref="L6:L7" si="2">K6/I6*100</f>
        <v>109.26453491416781</v>
      </c>
      <c r="M6" s="176">
        <v>47067.6</v>
      </c>
      <c r="N6" s="175">
        <f>M6/K6*100</f>
        <v>112.79350092261976</v>
      </c>
      <c r="O6" s="177">
        <f>57596.8+604.4</f>
        <v>58201.200000000004</v>
      </c>
      <c r="P6" s="178">
        <f>O6/M6</f>
        <v>1.2365448843790634</v>
      </c>
      <c r="Q6" s="179">
        <v>123212.2</v>
      </c>
      <c r="R6" s="179">
        <v>49149.7</v>
      </c>
      <c r="S6" s="180">
        <v>105.5</v>
      </c>
      <c r="T6" s="179">
        <f t="shared" ref="T6:T9" si="3">Q6-R6</f>
        <v>74062.5</v>
      </c>
      <c r="U6" s="180">
        <f>T6/O6*100</f>
        <v>127.25253087565204</v>
      </c>
      <c r="V6" s="362">
        <v>132560.47099999999</v>
      </c>
      <c r="W6" s="362">
        <v>60013.67</v>
      </c>
      <c r="X6" s="362">
        <v>72222.84</v>
      </c>
      <c r="Y6" s="181"/>
      <c r="Z6" s="362">
        <f>80899.9-21230.9</f>
        <v>59668.999999999993</v>
      </c>
      <c r="AA6" s="362">
        <v>73725</v>
      </c>
      <c r="AB6" s="182">
        <f>Q6*1.045*1.036+56108.06</f>
        <v>189500.05196399998</v>
      </c>
      <c r="AC6" s="182">
        <f t="shared" ref="AC6:AC9" si="4">R6*1.07*1.04</f>
        <v>54693.786159999996</v>
      </c>
      <c r="AD6" s="183">
        <f t="shared" ref="AD6:AD15" si="5">AC6/R6*100</f>
        <v>111.28</v>
      </c>
      <c r="AE6" s="182">
        <f t="shared" ref="AE6:AE9" si="6">AB6-AC6</f>
        <v>134806.265804</v>
      </c>
      <c r="AF6" s="356">
        <f>(AE6+AE8+AE9)/Z6</f>
        <v>2.4991025499002832</v>
      </c>
      <c r="AG6" s="358">
        <v>149118.99</v>
      </c>
      <c r="AH6" s="360">
        <f>AB6*1.04-56108.06+63616.61+AB8*1.04+AB9*1.04</f>
        <v>248787.11984399997</v>
      </c>
      <c r="AI6" s="348">
        <f>77381.24</f>
        <v>77381.240000000005</v>
      </c>
      <c r="AJ6" s="337">
        <f>AI6/AC6</f>
        <v>1.4148086178131942</v>
      </c>
      <c r="AK6" s="348">
        <f>AH6-AI6</f>
        <v>171405.87984399998</v>
      </c>
      <c r="AL6" s="350">
        <f>AK6/(AG6)</f>
        <v>1.1494570868807521</v>
      </c>
      <c r="AM6" s="352">
        <v>213589.6</v>
      </c>
      <c r="AN6" s="354">
        <f>('авиа расчет'!N5+'авиа расчет'!O5)/1000</f>
        <v>293818.64752571547</v>
      </c>
      <c r="AO6" s="339">
        <f>45839.12+10657.14+11826.05</f>
        <v>68322.31</v>
      </c>
      <c r="AP6" s="337">
        <f>AO6/AI6</f>
        <v>0.88293118590500741</v>
      </c>
      <c r="AQ6" s="339">
        <f>AN6-AO6</f>
        <v>225496.33752571547</v>
      </c>
      <c r="AR6" s="341">
        <f>(AQ6+AQ11+AQ14)/AM6</f>
        <v>1.5452103079989588</v>
      </c>
      <c r="AS6" s="185"/>
      <c r="AT6" s="186"/>
      <c r="AU6" s="187"/>
      <c r="AV6" s="188"/>
      <c r="AW6" s="184"/>
      <c r="AX6" s="189"/>
      <c r="AY6" s="190"/>
      <c r="AZ6" s="191"/>
      <c r="BA6" s="192"/>
      <c r="BB6" s="191"/>
      <c r="BC6" s="193"/>
      <c r="BD6" s="194"/>
      <c r="BE6" s="191"/>
      <c r="BF6" s="192"/>
      <c r="BG6" s="191"/>
      <c r="BH6" s="193"/>
      <c r="BI6" s="194"/>
      <c r="BJ6" s="191"/>
      <c r="BK6" s="192"/>
      <c r="BL6" s="191"/>
      <c r="BM6" s="193"/>
    </row>
    <row r="7" spans="1:65" ht="25.5" hidden="1" customHeight="1" outlineLevel="1">
      <c r="A7" s="195" t="s">
        <v>134</v>
      </c>
      <c r="B7" s="196">
        <v>18284.400000000001</v>
      </c>
      <c r="C7" s="197">
        <v>15302</v>
      </c>
      <c r="D7" s="197">
        <v>23922.37</v>
      </c>
      <c r="E7" s="197">
        <v>17466.900000000001</v>
      </c>
      <c r="F7" s="197"/>
      <c r="G7" s="198">
        <v>17466.900000000001</v>
      </c>
      <c r="H7" s="199">
        <f t="shared" si="0"/>
        <v>100</v>
      </c>
      <c r="I7" s="200">
        <v>27103.9</v>
      </c>
      <c r="J7" s="199">
        <f t="shared" si="1"/>
        <v>155.1729270792184</v>
      </c>
      <c r="K7" s="198">
        <v>21887.7</v>
      </c>
      <c r="L7" s="201">
        <f t="shared" si="2"/>
        <v>80.754799124849185</v>
      </c>
      <c r="M7" s="201" t="s">
        <v>135</v>
      </c>
      <c r="N7" s="201" t="s">
        <v>135</v>
      </c>
      <c r="O7" s="202"/>
      <c r="P7" s="203" t="e">
        <f>O7/M7*100</f>
        <v>#VALUE!</v>
      </c>
      <c r="Q7" s="204"/>
      <c r="R7" s="204"/>
      <c r="S7" s="205">
        <v>107</v>
      </c>
      <c r="T7" s="204">
        <f t="shared" si="3"/>
        <v>0</v>
      </c>
      <c r="U7" s="205" t="e">
        <f>T7/M7*100</f>
        <v>#VALUE!</v>
      </c>
      <c r="V7" s="363"/>
      <c r="W7" s="363"/>
      <c r="X7" s="363"/>
      <c r="Y7" s="206"/>
      <c r="Z7" s="363"/>
      <c r="AA7" s="363"/>
      <c r="AB7" s="207">
        <f t="shared" ref="AB7:AB9" si="7">Q7*1.045*1.036</f>
        <v>0</v>
      </c>
      <c r="AC7" s="207">
        <f t="shared" si="4"/>
        <v>0</v>
      </c>
      <c r="AD7" s="208" t="e">
        <f t="shared" si="5"/>
        <v>#DIV/0!</v>
      </c>
      <c r="AE7" s="207">
        <f t="shared" si="6"/>
        <v>0</v>
      </c>
      <c r="AF7" s="357"/>
      <c r="AG7" s="359"/>
      <c r="AH7" s="361"/>
      <c r="AI7" s="349"/>
      <c r="AJ7" s="338"/>
      <c r="AK7" s="349"/>
      <c r="AL7" s="351"/>
      <c r="AM7" s="353"/>
      <c r="AN7" s="355"/>
      <c r="AO7" s="340"/>
      <c r="AP7" s="338"/>
      <c r="AQ7" s="340"/>
      <c r="AR7" s="342"/>
      <c r="AS7" s="217"/>
      <c r="AT7" s="218"/>
      <c r="AU7" s="219"/>
      <c r="AV7" s="220"/>
      <c r="AW7" s="212"/>
      <c r="AX7" s="221"/>
      <c r="AY7" s="222"/>
      <c r="AZ7" s="223"/>
      <c r="BA7" s="224"/>
      <c r="BB7" s="223"/>
      <c r="BC7" s="225"/>
      <c r="BD7" s="226"/>
      <c r="BE7" s="223"/>
      <c r="BF7" s="224"/>
      <c r="BG7" s="223"/>
      <c r="BH7" s="225"/>
      <c r="BI7" s="226"/>
      <c r="BJ7" s="223"/>
      <c r="BK7" s="224"/>
      <c r="BL7" s="223"/>
      <c r="BM7" s="225"/>
    </row>
    <row r="8" spans="1:65" ht="43.5" customHeight="1" collapsed="1">
      <c r="A8" s="227" t="s">
        <v>136</v>
      </c>
      <c r="B8" s="196">
        <v>0</v>
      </c>
      <c r="C8" s="197">
        <v>0</v>
      </c>
      <c r="D8" s="197">
        <v>15000</v>
      </c>
      <c r="E8" s="197">
        <v>14035.4</v>
      </c>
      <c r="F8" s="197"/>
      <c r="G8" s="198">
        <v>14035.4</v>
      </c>
      <c r="H8" s="199">
        <f t="shared" si="0"/>
        <v>100</v>
      </c>
      <c r="I8" s="200" t="s">
        <v>135</v>
      </c>
      <c r="J8" s="199"/>
      <c r="K8" s="198">
        <v>5000</v>
      </c>
      <c r="L8" s="201" t="s">
        <v>135</v>
      </c>
      <c r="M8" s="228">
        <v>3399.8</v>
      </c>
      <c r="N8" s="201">
        <f>M8/K8*100</f>
        <v>67.995999999999995</v>
      </c>
      <c r="O8" s="202">
        <v>1467.8</v>
      </c>
      <c r="P8" s="203">
        <f>O8/M8</f>
        <v>0.4317312783104888</v>
      </c>
      <c r="Q8" s="204">
        <v>21025.9</v>
      </c>
      <c r="R8" s="204">
        <v>12664.4</v>
      </c>
      <c r="S8" s="205">
        <f t="shared" ref="S8:S9" si="8">4700/4430*100</f>
        <v>106.09480812641084</v>
      </c>
      <c r="T8" s="204">
        <f t="shared" si="3"/>
        <v>8361.5000000000018</v>
      </c>
      <c r="U8" s="205">
        <f>T8/O8*100</f>
        <v>569.66207930235737</v>
      </c>
      <c r="V8" s="363"/>
      <c r="W8" s="363"/>
      <c r="X8" s="363"/>
      <c r="Y8" s="206"/>
      <c r="Z8" s="363"/>
      <c r="AA8" s="363"/>
      <c r="AB8" s="207">
        <f t="shared" si="7"/>
        <v>22763.059858000001</v>
      </c>
      <c r="AC8" s="207">
        <f t="shared" si="4"/>
        <v>14092.944320000002</v>
      </c>
      <c r="AD8" s="208">
        <f t="shared" si="5"/>
        <v>111.28000000000003</v>
      </c>
      <c r="AE8" s="207">
        <f t="shared" si="6"/>
        <v>8670.1155379999982</v>
      </c>
      <c r="AF8" s="357"/>
      <c r="AG8" s="359"/>
      <c r="AH8" s="361"/>
      <c r="AI8" s="349"/>
      <c r="AJ8" s="338"/>
      <c r="AK8" s="349"/>
      <c r="AL8" s="351"/>
      <c r="AM8" s="353"/>
      <c r="AN8" s="355"/>
      <c r="AO8" s="340"/>
      <c r="AP8" s="338"/>
      <c r="AQ8" s="340"/>
      <c r="AR8" s="342"/>
      <c r="AS8" s="343">
        <v>225496.33752571547</v>
      </c>
      <c r="AT8" s="346">
        <v>251702.89</v>
      </c>
      <c r="AU8" s="229">
        <f>48089102*2+233595.5</f>
        <v>96411799.5</v>
      </c>
      <c r="AV8" s="230">
        <f>10830409*2</f>
        <v>21660818</v>
      </c>
      <c r="AW8" s="230">
        <f t="shared" ref="AW8:AW14" si="9">AU8-AV8</f>
        <v>74750981.5</v>
      </c>
      <c r="AX8" s="334">
        <f>(AW8+AW9+AW10)/AS8/1000</f>
        <v>0.90058905491908903</v>
      </c>
      <c r="AY8" s="232">
        <v>115348995.40000001</v>
      </c>
      <c r="AZ8" s="232">
        <v>26173446.5</v>
      </c>
      <c r="BA8" s="233">
        <f t="shared" ref="BA8:BA14" si="10">AZ8/AV8</f>
        <v>1.2083313981955806</v>
      </c>
      <c r="BB8" s="230">
        <f t="shared" ref="BB8:BB14" si="11">AY8-AZ8</f>
        <v>89175548.900000006</v>
      </c>
      <c r="BC8" s="214">
        <f t="shared" ref="BC8:BC14" si="12">BB8/AW8</f>
        <v>1.1929682675805402</v>
      </c>
      <c r="BD8" s="234">
        <f t="shared" ref="BD8:BD14" si="13">AY8*1.04</f>
        <v>119962955.21600001</v>
      </c>
      <c r="BE8" s="235">
        <f t="shared" ref="BE8:BE14" si="14">AZ8*1.04</f>
        <v>27220384.359999999</v>
      </c>
      <c r="BF8" s="236">
        <f t="shared" ref="BF8:BF15" si="15">BE8/AZ8</f>
        <v>1.04</v>
      </c>
      <c r="BG8" s="230">
        <f t="shared" ref="BG8:BG14" si="16">BD8-BE8</f>
        <v>92742570.856000006</v>
      </c>
      <c r="BH8" s="231">
        <f t="shared" ref="BH8:BH14" si="17">BG8/BB8</f>
        <v>1.04</v>
      </c>
      <c r="BI8" s="234">
        <f t="shared" ref="BI8:BI14" si="18">BD8*1.04</f>
        <v>124761473.42464001</v>
      </c>
      <c r="BJ8" s="235">
        <f t="shared" ref="BJ8:BJ14" si="19">BE8*1.04</f>
        <v>28309199.7344</v>
      </c>
      <c r="BK8" s="236">
        <f t="shared" ref="BK8:BK15" si="20">BJ8/BE8</f>
        <v>1.04</v>
      </c>
      <c r="BL8" s="230">
        <f t="shared" ref="BL8:BL14" si="21">BI8-BJ8</f>
        <v>96452273.690240011</v>
      </c>
      <c r="BM8" s="231">
        <f t="shared" ref="BM8:BM14" si="22">BL8/BG8</f>
        <v>1.04</v>
      </c>
    </row>
    <row r="9" spans="1:65" ht="48" customHeight="1">
      <c r="A9" s="227" t="s">
        <v>137</v>
      </c>
      <c r="B9" s="196"/>
      <c r="C9" s="197"/>
      <c r="D9" s="197"/>
      <c r="E9" s="197"/>
      <c r="F9" s="197"/>
      <c r="G9" s="198"/>
      <c r="H9" s="199"/>
      <c r="I9" s="200"/>
      <c r="J9" s="199"/>
      <c r="K9" s="198"/>
      <c r="L9" s="201"/>
      <c r="M9" s="228"/>
      <c r="N9" s="201"/>
      <c r="O9" s="202" t="s">
        <v>135</v>
      </c>
      <c r="P9" s="203" t="s">
        <v>135</v>
      </c>
      <c r="Q9" s="204">
        <v>18229.400000000001</v>
      </c>
      <c r="R9" s="204">
        <v>12664.4</v>
      </c>
      <c r="S9" s="205">
        <f t="shared" si="8"/>
        <v>106.09480812641084</v>
      </c>
      <c r="T9" s="204">
        <f t="shared" si="3"/>
        <v>5565.0000000000018</v>
      </c>
      <c r="U9" s="205" t="s">
        <v>135</v>
      </c>
      <c r="V9" s="363"/>
      <c r="W9" s="363"/>
      <c r="X9" s="363"/>
      <c r="Y9" s="206"/>
      <c r="Z9" s="363"/>
      <c r="AA9" s="363"/>
      <c r="AB9" s="207">
        <f t="shared" si="7"/>
        <v>19735.513028000001</v>
      </c>
      <c r="AC9" s="207">
        <f t="shared" si="4"/>
        <v>14092.944320000002</v>
      </c>
      <c r="AD9" s="208">
        <f t="shared" si="5"/>
        <v>111.28000000000003</v>
      </c>
      <c r="AE9" s="207">
        <f t="shared" si="6"/>
        <v>5642.5687079999989</v>
      </c>
      <c r="AF9" s="357"/>
      <c r="AG9" s="359"/>
      <c r="AH9" s="361"/>
      <c r="AI9" s="349"/>
      <c r="AJ9" s="338"/>
      <c r="AK9" s="349"/>
      <c r="AL9" s="351"/>
      <c r="AM9" s="353"/>
      <c r="AN9" s="355"/>
      <c r="AO9" s="340"/>
      <c r="AP9" s="338"/>
      <c r="AQ9" s="340"/>
      <c r="AR9" s="342"/>
      <c r="AS9" s="344"/>
      <c r="AT9" s="346"/>
      <c r="AU9" s="229">
        <f>65605561*2</f>
        <v>131211122</v>
      </c>
      <c r="AV9" s="230">
        <f>16093356*2</f>
        <v>32186712</v>
      </c>
      <c r="AW9" s="230">
        <f t="shared" si="9"/>
        <v>99024410</v>
      </c>
      <c r="AX9" s="334"/>
      <c r="AY9" s="232">
        <v>131591614.40000001</v>
      </c>
      <c r="AZ9" s="235">
        <v>31992352.5</v>
      </c>
      <c r="BA9" s="233">
        <f t="shared" si="10"/>
        <v>0.99396149877005147</v>
      </c>
      <c r="BB9" s="230">
        <f t="shared" si="11"/>
        <v>99599261.900000006</v>
      </c>
      <c r="BC9" s="214">
        <f t="shared" si="12"/>
        <v>1.0058051534970014</v>
      </c>
      <c r="BD9" s="234">
        <f t="shared" si="13"/>
        <v>136855278.97600001</v>
      </c>
      <c r="BE9" s="235">
        <f t="shared" si="14"/>
        <v>33272046.600000001</v>
      </c>
      <c r="BF9" s="236">
        <f t="shared" si="15"/>
        <v>1.04</v>
      </c>
      <c r="BG9" s="230">
        <f t="shared" si="16"/>
        <v>103583232.37600002</v>
      </c>
      <c r="BH9" s="231">
        <f t="shared" si="17"/>
        <v>1.04</v>
      </c>
      <c r="BI9" s="234">
        <f t="shared" si="18"/>
        <v>142329490.13504001</v>
      </c>
      <c r="BJ9" s="235">
        <f t="shared" si="19"/>
        <v>34602928.464000002</v>
      </c>
      <c r="BK9" s="236">
        <f t="shared" si="20"/>
        <v>1.04</v>
      </c>
      <c r="BL9" s="230">
        <f t="shared" si="21"/>
        <v>107726561.67104001</v>
      </c>
      <c r="BM9" s="231">
        <f t="shared" si="22"/>
        <v>1.04</v>
      </c>
    </row>
    <row r="10" spans="1:65" ht="36" customHeight="1">
      <c r="A10" s="227" t="s">
        <v>138</v>
      </c>
      <c r="B10" s="196"/>
      <c r="C10" s="197"/>
      <c r="D10" s="197"/>
      <c r="E10" s="197"/>
      <c r="F10" s="197"/>
      <c r="G10" s="198"/>
      <c r="H10" s="199"/>
      <c r="I10" s="200"/>
      <c r="J10" s="199"/>
      <c r="K10" s="198"/>
      <c r="L10" s="201"/>
      <c r="M10" s="228"/>
      <c r="N10" s="201"/>
      <c r="O10" s="202"/>
      <c r="P10" s="203"/>
      <c r="Q10" s="204"/>
      <c r="R10" s="204"/>
      <c r="S10" s="205"/>
      <c r="T10" s="204"/>
      <c r="U10" s="205"/>
      <c r="V10" s="206"/>
      <c r="W10" s="206"/>
      <c r="X10" s="206"/>
      <c r="Y10" s="206"/>
      <c r="Z10" s="206"/>
      <c r="AA10" s="206"/>
      <c r="AB10" s="207"/>
      <c r="AC10" s="207"/>
      <c r="AD10" s="208"/>
      <c r="AE10" s="207"/>
      <c r="AF10" s="209"/>
      <c r="AG10" s="210"/>
      <c r="AH10" s="211"/>
      <c r="AI10" s="212"/>
      <c r="AJ10" s="213"/>
      <c r="AK10" s="212"/>
      <c r="AL10" s="214"/>
      <c r="AM10" s="353"/>
      <c r="AN10" s="215"/>
      <c r="AO10" s="216"/>
      <c r="AP10" s="213"/>
      <c r="AQ10" s="216"/>
      <c r="AR10" s="342"/>
      <c r="AS10" s="345"/>
      <c r="AT10" s="346"/>
      <c r="AU10" s="229">
        <f>(14577460+5432695)*2</f>
        <v>40020310</v>
      </c>
      <c r="AV10" s="230">
        <f>(3847607+1510477)*2</f>
        <v>10716168</v>
      </c>
      <c r="AW10" s="230">
        <f>AU10-AV10</f>
        <v>29304142</v>
      </c>
      <c r="AX10" s="334"/>
      <c r="AY10" s="232">
        <v>52515338.399999999</v>
      </c>
      <c r="AZ10" s="235">
        <v>13769282.5</v>
      </c>
      <c r="BA10" s="233">
        <f t="shared" si="10"/>
        <v>1.2849073008187255</v>
      </c>
      <c r="BB10" s="230">
        <f t="shared" si="11"/>
        <v>38746055.899999999</v>
      </c>
      <c r="BC10" s="214">
        <f t="shared" si="12"/>
        <v>1.3222040727211872</v>
      </c>
      <c r="BD10" s="234">
        <f t="shared" si="13"/>
        <v>54615951.935999997</v>
      </c>
      <c r="BE10" s="235">
        <f t="shared" si="14"/>
        <v>14320053.800000001</v>
      </c>
      <c r="BF10" s="236">
        <f t="shared" si="15"/>
        <v>1.04</v>
      </c>
      <c r="BG10" s="230">
        <f t="shared" si="16"/>
        <v>40295898.135999992</v>
      </c>
      <c r="BH10" s="231">
        <f t="shared" si="17"/>
        <v>1.0399999999999998</v>
      </c>
      <c r="BI10" s="234">
        <f t="shared" si="18"/>
        <v>56800590.013439998</v>
      </c>
      <c r="BJ10" s="235">
        <f t="shared" si="19"/>
        <v>14892855.952000001</v>
      </c>
      <c r="BK10" s="236">
        <f t="shared" si="20"/>
        <v>1.04</v>
      </c>
      <c r="BL10" s="230">
        <f t="shared" si="21"/>
        <v>41907734.061439998</v>
      </c>
      <c r="BM10" s="231">
        <f t="shared" si="22"/>
        <v>1.0400000000000003</v>
      </c>
    </row>
    <row r="11" spans="1:65" ht="51" customHeight="1">
      <c r="A11" s="227" t="s">
        <v>139</v>
      </c>
      <c r="B11" s="196"/>
      <c r="C11" s="197"/>
      <c r="D11" s="197"/>
      <c r="E11" s="197"/>
      <c r="F11" s="197"/>
      <c r="G11" s="198"/>
      <c r="H11" s="199"/>
      <c r="I11" s="200"/>
      <c r="J11" s="199"/>
      <c r="K11" s="198"/>
      <c r="L11" s="201"/>
      <c r="M11" s="228"/>
      <c r="N11" s="201"/>
      <c r="O11" s="202"/>
      <c r="P11" s="203"/>
      <c r="Q11" s="204"/>
      <c r="R11" s="204"/>
      <c r="S11" s="205"/>
      <c r="T11" s="204"/>
      <c r="U11" s="205"/>
      <c r="V11" s="206"/>
      <c r="W11" s="206"/>
      <c r="X11" s="206"/>
      <c r="Y11" s="206"/>
      <c r="Z11" s="206"/>
      <c r="AA11" s="206"/>
      <c r="AB11" s="207"/>
      <c r="AC11" s="207"/>
      <c r="AD11" s="208"/>
      <c r="AE11" s="207"/>
      <c r="AF11" s="209"/>
      <c r="AG11" s="210"/>
      <c r="AH11" s="211"/>
      <c r="AI11" s="212"/>
      <c r="AJ11" s="213"/>
      <c r="AK11" s="212"/>
      <c r="AL11" s="214"/>
      <c r="AM11" s="353"/>
      <c r="AN11" s="215">
        <f>'авиа расчет'!L5/1000</f>
        <v>70682.618705263623</v>
      </c>
      <c r="AO11" s="216">
        <f>'авиа расчет'!L9/1000</f>
        <v>36803.12999999999</v>
      </c>
      <c r="AP11" s="213"/>
      <c r="AQ11" s="216">
        <f>AN11-AO11</f>
        <v>33879.488705263633</v>
      </c>
      <c r="AR11" s="342"/>
      <c r="AS11" s="237">
        <v>33879.488705263633</v>
      </c>
      <c r="AT11" s="346"/>
      <c r="AU11" s="229">
        <f>27719318*2</f>
        <v>55438636</v>
      </c>
      <c r="AV11" s="230">
        <f>11556090*2</f>
        <v>23112180</v>
      </c>
      <c r="AW11" s="230">
        <f t="shared" si="9"/>
        <v>32326456</v>
      </c>
      <c r="AX11" s="238">
        <f>AW11/AS11/1000</f>
        <v>0.95416009023116244</v>
      </c>
      <c r="AY11" s="232">
        <v>89611662.400000006</v>
      </c>
      <c r="AZ11" s="235">
        <v>37286350</v>
      </c>
      <c r="BA11" s="233">
        <f t="shared" si="10"/>
        <v>1.6132770686278837</v>
      </c>
      <c r="BB11" s="230">
        <f t="shared" si="11"/>
        <v>52325312.400000006</v>
      </c>
      <c r="BC11" s="214">
        <f t="shared" si="12"/>
        <v>1.6186529200726489</v>
      </c>
      <c r="BD11" s="234">
        <f t="shared" si="13"/>
        <v>93196128.896000013</v>
      </c>
      <c r="BE11" s="235">
        <f t="shared" si="14"/>
        <v>38777804</v>
      </c>
      <c r="BF11" s="236">
        <f t="shared" si="15"/>
        <v>1.04</v>
      </c>
      <c r="BG11" s="230">
        <f t="shared" si="16"/>
        <v>54418324.896000013</v>
      </c>
      <c r="BH11" s="231">
        <f t="shared" si="17"/>
        <v>1.04</v>
      </c>
      <c r="BI11" s="234">
        <f t="shared" si="18"/>
        <v>96923974.051840022</v>
      </c>
      <c r="BJ11" s="235">
        <f t="shared" si="19"/>
        <v>40328916.160000004</v>
      </c>
      <c r="BK11" s="236">
        <f t="shared" si="20"/>
        <v>1.04</v>
      </c>
      <c r="BL11" s="230">
        <f t="shared" si="21"/>
        <v>56595057.891840018</v>
      </c>
      <c r="BM11" s="231">
        <f t="shared" si="22"/>
        <v>1.04</v>
      </c>
    </row>
    <row r="12" spans="1:65" ht="50.25" customHeight="1">
      <c r="A12" s="227" t="s">
        <v>140</v>
      </c>
      <c r="B12" s="196"/>
      <c r="C12" s="197"/>
      <c r="D12" s="197"/>
      <c r="E12" s="197"/>
      <c r="F12" s="197"/>
      <c r="G12" s="198"/>
      <c r="H12" s="199"/>
      <c r="I12" s="200"/>
      <c r="J12" s="199"/>
      <c r="K12" s="198"/>
      <c r="L12" s="201"/>
      <c r="M12" s="228"/>
      <c r="N12" s="201"/>
      <c r="O12" s="202"/>
      <c r="P12" s="203"/>
      <c r="Q12" s="204"/>
      <c r="R12" s="204"/>
      <c r="S12" s="205"/>
      <c r="T12" s="204"/>
      <c r="U12" s="205"/>
      <c r="V12" s="206"/>
      <c r="W12" s="206"/>
      <c r="X12" s="206"/>
      <c r="Y12" s="206"/>
      <c r="Z12" s="206"/>
      <c r="AA12" s="206"/>
      <c r="AB12" s="207"/>
      <c r="AC12" s="207"/>
      <c r="AD12" s="208"/>
      <c r="AE12" s="207"/>
      <c r="AF12" s="209"/>
      <c r="AG12" s="210"/>
      <c r="AH12" s="211"/>
      <c r="AI12" s="212"/>
      <c r="AJ12" s="213"/>
      <c r="AK12" s="212"/>
      <c r="AL12" s="214"/>
      <c r="AM12" s="353"/>
      <c r="AN12" s="215"/>
      <c r="AO12" s="216"/>
      <c r="AP12" s="213"/>
      <c r="AQ12" s="216"/>
      <c r="AR12" s="342"/>
      <c r="AS12" s="217"/>
      <c r="AT12" s="346"/>
      <c r="AU12" s="229">
        <f>22385224*2</f>
        <v>44770448</v>
      </c>
      <c r="AV12" s="230">
        <f>1392912*2</f>
        <v>2785824</v>
      </c>
      <c r="AW12" s="230">
        <f t="shared" si="9"/>
        <v>41984624</v>
      </c>
      <c r="AX12" s="221"/>
      <c r="AY12" s="232">
        <v>66349804.399999999</v>
      </c>
      <c r="AZ12" s="235">
        <v>4120651.5</v>
      </c>
      <c r="BA12" s="236">
        <f t="shared" si="10"/>
        <v>1.4791499750163686</v>
      </c>
      <c r="BB12" s="230">
        <f t="shared" si="11"/>
        <v>62229152.899999999</v>
      </c>
      <c r="BC12" s="214">
        <f t="shared" si="12"/>
        <v>1.4821891199978354</v>
      </c>
      <c r="BD12" s="234">
        <f>AY12*1.03999993</f>
        <v>69003791.931513697</v>
      </c>
      <c r="BE12" s="235">
        <f t="shared" si="14"/>
        <v>4285477.5600000005</v>
      </c>
      <c r="BF12" s="236">
        <f t="shared" si="15"/>
        <v>1.04</v>
      </c>
      <c r="BG12" s="230">
        <f t="shared" si="16"/>
        <v>64718314.371513695</v>
      </c>
      <c r="BH12" s="231">
        <f t="shared" si="17"/>
        <v>1.0399999253647834</v>
      </c>
      <c r="BI12" s="234">
        <f t="shared" si="18"/>
        <v>71763943.608774245</v>
      </c>
      <c r="BJ12" s="235">
        <f>BE12*1.0399995</f>
        <v>4456894.5196612207</v>
      </c>
      <c r="BK12" s="236">
        <f t="shared" si="20"/>
        <v>1.0399995</v>
      </c>
      <c r="BL12" s="230">
        <f t="shared" si="21"/>
        <v>67307049.089113027</v>
      </c>
      <c r="BM12" s="231">
        <f t="shared" si="22"/>
        <v>1.0400000331086927</v>
      </c>
    </row>
    <row r="13" spans="1:65" ht="43.5" customHeight="1">
      <c r="A13" s="227" t="s">
        <v>141</v>
      </c>
      <c r="B13" s="196"/>
      <c r="C13" s="197"/>
      <c r="D13" s="197"/>
      <c r="E13" s="197"/>
      <c r="F13" s="197"/>
      <c r="G13" s="198"/>
      <c r="H13" s="199"/>
      <c r="I13" s="200"/>
      <c r="J13" s="199"/>
      <c r="K13" s="198"/>
      <c r="L13" s="201"/>
      <c r="M13" s="228"/>
      <c r="N13" s="201"/>
      <c r="O13" s="202"/>
      <c r="P13" s="203"/>
      <c r="Q13" s="204"/>
      <c r="R13" s="204"/>
      <c r="S13" s="205"/>
      <c r="T13" s="204"/>
      <c r="U13" s="205"/>
      <c r="V13" s="206"/>
      <c r="W13" s="206"/>
      <c r="X13" s="206"/>
      <c r="Y13" s="206"/>
      <c r="Z13" s="206"/>
      <c r="AA13" s="206"/>
      <c r="AB13" s="207"/>
      <c r="AC13" s="207"/>
      <c r="AD13" s="208"/>
      <c r="AE13" s="207"/>
      <c r="AF13" s="209"/>
      <c r="AG13" s="210"/>
      <c r="AH13" s="211"/>
      <c r="AI13" s="212"/>
      <c r="AJ13" s="213"/>
      <c r="AK13" s="212"/>
      <c r="AL13" s="214"/>
      <c r="AM13" s="353"/>
      <c r="AN13" s="215"/>
      <c r="AO13" s="216"/>
      <c r="AP13" s="213"/>
      <c r="AQ13" s="216"/>
      <c r="AR13" s="342"/>
      <c r="AS13" s="217"/>
      <c r="AT13" s="346"/>
      <c r="AU13" s="229">
        <f>25059907*2</f>
        <v>50119814</v>
      </c>
      <c r="AV13" s="230">
        <f>3799971*2</f>
        <v>7599942</v>
      </c>
      <c r="AW13" s="230">
        <f t="shared" si="9"/>
        <v>42519872</v>
      </c>
      <c r="AX13" s="231"/>
      <c r="AY13" s="232">
        <v>58089185.399999999</v>
      </c>
      <c r="AZ13" s="235">
        <v>7400749.5</v>
      </c>
      <c r="BA13" s="236">
        <f t="shared" si="10"/>
        <v>0.97379026050461959</v>
      </c>
      <c r="BB13" s="230">
        <f t="shared" si="11"/>
        <v>50688435.899999999</v>
      </c>
      <c r="BC13" s="214">
        <f t="shared" si="12"/>
        <v>1.1921116766296944</v>
      </c>
      <c r="BD13" s="234">
        <f t="shared" si="13"/>
        <v>60412752.816</v>
      </c>
      <c r="BE13" s="235">
        <f t="shared" si="14"/>
        <v>7696779.4800000004</v>
      </c>
      <c r="BF13" s="236">
        <f t="shared" si="15"/>
        <v>1.04</v>
      </c>
      <c r="BG13" s="230">
        <f t="shared" si="16"/>
        <v>52715973.335999995</v>
      </c>
      <c r="BH13" s="231">
        <f t="shared" si="17"/>
        <v>1.04</v>
      </c>
      <c r="BI13" s="234">
        <f t="shared" si="18"/>
        <v>62829262.928640001</v>
      </c>
      <c r="BJ13" s="235">
        <f t="shared" si="19"/>
        <v>8004650.6592000006</v>
      </c>
      <c r="BK13" s="236">
        <f t="shared" si="20"/>
        <v>1.04</v>
      </c>
      <c r="BL13" s="230">
        <f t="shared" si="21"/>
        <v>54824612.269440003</v>
      </c>
      <c r="BM13" s="231">
        <f t="shared" si="22"/>
        <v>1.04</v>
      </c>
    </row>
    <row r="14" spans="1:65" ht="42.75" customHeight="1">
      <c r="A14" s="227" t="s">
        <v>142</v>
      </c>
      <c r="B14" s="196"/>
      <c r="C14" s="197"/>
      <c r="D14" s="197"/>
      <c r="E14" s="197"/>
      <c r="F14" s="197"/>
      <c r="G14" s="198"/>
      <c r="H14" s="199"/>
      <c r="I14" s="200"/>
      <c r="J14" s="199"/>
      <c r="K14" s="198" t="s">
        <v>135</v>
      </c>
      <c r="L14" s="201" t="s">
        <v>135</v>
      </c>
      <c r="M14" s="228">
        <v>21352.9</v>
      </c>
      <c r="N14" s="201" t="s">
        <v>135</v>
      </c>
      <c r="O14" s="239">
        <v>21230.9</v>
      </c>
      <c r="P14" s="240">
        <f t="shared" ref="P14:P15" si="23">O14/M14</f>
        <v>0.99428649035962324</v>
      </c>
      <c r="Q14" s="241">
        <f>'[1]Расчет субсидии'!$H$13</f>
        <v>39525.347176898591</v>
      </c>
      <c r="R14" s="241">
        <f>'[1]Расчет субсидии'!$H$14</f>
        <v>18740.909090909088</v>
      </c>
      <c r="S14" s="205">
        <f>4750/4500*100</f>
        <v>105.55555555555556</v>
      </c>
      <c r="T14" s="241">
        <f>Q14-R14</f>
        <v>20784.438085989503</v>
      </c>
      <c r="U14" s="205">
        <f t="shared" ref="U14:U15" si="24">T14/O14*100</f>
        <v>97.897112632952442</v>
      </c>
      <c r="V14" s="206">
        <v>44673.517999999996</v>
      </c>
      <c r="W14" s="206">
        <v>13366.364</v>
      </c>
      <c r="X14" s="206">
        <v>29109.922999999999</v>
      </c>
      <c r="Y14" s="206"/>
      <c r="Z14" s="206">
        <v>21230.9</v>
      </c>
      <c r="AA14" s="206">
        <v>4452.8</v>
      </c>
      <c r="AB14" s="207">
        <f>Q14</f>
        <v>39525.347176898591</v>
      </c>
      <c r="AC14" s="207">
        <f>R14</f>
        <v>18740.909090909088</v>
      </c>
      <c r="AD14" s="208">
        <f t="shared" si="5"/>
        <v>100</v>
      </c>
      <c r="AE14" s="242">
        <f>AB14-AC14</f>
        <v>20784.438085989503</v>
      </c>
      <c r="AF14" s="243">
        <f t="shared" ref="AF14:AF15" si="25">AE14/X14</f>
        <v>0.71399838762849022</v>
      </c>
      <c r="AG14" s="244">
        <f>2340.102+18444.308</f>
        <v>20784.41</v>
      </c>
      <c r="AH14" s="211">
        <f>AB14*1.04</f>
        <v>41106.361063974538</v>
      </c>
      <c r="AI14" s="212">
        <v>13901.02</v>
      </c>
      <c r="AJ14" s="213">
        <f t="shared" ref="AJ14:AJ15" si="26">AI14/AC14</f>
        <v>0.74174736842105271</v>
      </c>
      <c r="AK14" s="212">
        <f>AH14-AI14</f>
        <v>27205.341063974538</v>
      </c>
      <c r="AL14" s="214">
        <f t="shared" ref="AL14:AL15" si="27">AK14/AG14</f>
        <v>1.3089301579392698</v>
      </c>
      <c r="AM14" s="353"/>
      <c r="AN14" s="215">
        <f>'авиа расчет'!M5/1000</f>
        <v>78707.605370395264</v>
      </c>
      <c r="AO14" s="216">
        <v>8042.58</v>
      </c>
      <c r="AP14" s="213">
        <f t="shared" ref="AP14:AP15" si="28">AO14/AI14</f>
        <v>0.57856042218484682</v>
      </c>
      <c r="AQ14" s="216">
        <f>AN14-AO14</f>
        <v>70665.025370395262</v>
      </c>
      <c r="AR14" s="342"/>
      <c r="AS14" s="237">
        <v>70665.025370395262</v>
      </c>
      <c r="AT14" s="346"/>
      <c r="AU14" s="229">
        <f>40510034*2</f>
        <v>81020068</v>
      </c>
      <c r="AV14" s="230">
        <f>3104529*2</f>
        <v>6209058</v>
      </c>
      <c r="AW14" s="230">
        <f t="shared" si="9"/>
        <v>74811010</v>
      </c>
      <c r="AX14" s="238">
        <f t="shared" ref="AX14:AX15" si="29">AW14/AS14/1000</f>
        <v>1.0586709565003805</v>
      </c>
      <c r="AY14" s="232">
        <v>97027670.400000006</v>
      </c>
      <c r="AZ14" s="235">
        <v>13782818.5</v>
      </c>
      <c r="BA14" s="236">
        <f t="shared" si="10"/>
        <v>2.2197921971416599</v>
      </c>
      <c r="BB14" s="230">
        <f t="shared" si="11"/>
        <v>83244851.900000006</v>
      </c>
      <c r="BC14" s="214">
        <f t="shared" si="12"/>
        <v>1.1127353032661904</v>
      </c>
      <c r="BD14" s="234">
        <f t="shared" si="13"/>
        <v>100908777.21600001</v>
      </c>
      <c r="BE14" s="235">
        <f t="shared" si="14"/>
        <v>14334131.24</v>
      </c>
      <c r="BF14" s="236">
        <f t="shared" si="15"/>
        <v>1.04</v>
      </c>
      <c r="BG14" s="230">
        <f t="shared" si="16"/>
        <v>86574645.976000011</v>
      </c>
      <c r="BH14" s="231">
        <f t="shared" si="17"/>
        <v>1.04</v>
      </c>
      <c r="BI14" s="234">
        <f t="shared" si="18"/>
        <v>104945128.30464001</v>
      </c>
      <c r="BJ14" s="235">
        <f t="shared" si="19"/>
        <v>14907496.489600001</v>
      </c>
      <c r="BK14" s="236">
        <f t="shared" si="20"/>
        <v>1.04</v>
      </c>
      <c r="BL14" s="230">
        <f t="shared" si="21"/>
        <v>90037631.815040007</v>
      </c>
      <c r="BM14" s="231">
        <f t="shared" si="22"/>
        <v>1.04</v>
      </c>
    </row>
    <row r="15" spans="1:65" s="245" customFormat="1" ht="48" customHeight="1">
      <c r="A15" s="246" t="s">
        <v>143</v>
      </c>
      <c r="B15" s="247">
        <f>B6+B7+B8</f>
        <v>33321.699999999997</v>
      </c>
      <c r="C15" s="248">
        <f>C6+C7+C8</f>
        <v>35071.599999999999</v>
      </c>
      <c r="D15" s="248">
        <f>D6+D7+D8</f>
        <v>83651.37</v>
      </c>
      <c r="E15" s="248">
        <f>SUM(E6:E8)</f>
        <v>56290.6</v>
      </c>
      <c r="F15" s="248">
        <f>F6+F7+F8</f>
        <v>0</v>
      </c>
      <c r="G15" s="249">
        <f>G6+G7+G8</f>
        <v>56290.6</v>
      </c>
      <c r="H15" s="250">
        <f>G15/E15*100</f>
        <v>100</v>
      </c>
      <c r="I15" s="251">
        <f>SUM(I6:I8)+15346.6</f>
        <v>80641.3</v>
      </c>
      <c r="J15" s="250">
        <f>I15/G15*100</f>
        <v>143.2589100133948</v>
      </c>
      <c r="K15" s="249">
        <f>K6+K7+K8</f>
        <v>68616.7</v>
      </c>
      <c r="L15" s="252">
        <f>K15/I15*100</f>
        <v>85.088782050884589</v>
      </c>
      <c r="M15" s="253">
        <f>M6+M8+M14</f>
        <v>71820.3</v>
      </c>
      <c r="N15" s="252">
        <f>M15/K15*100</f>
        <v>104.66883426337905</v>
      </c>
      <c r="O15" s="254">
        <f>O6+O8+O14</f>
        <v>80899.900000000009</v>
      </c>
      <c r="P15" s="255">
        <f t="shared" si="23"/>
        <v>1.1264210815048115</v>
      </c>
      <c r="Q15" s="256">
        <f>Q6+Q8+Q9+Q14</f>
        <v>201992.84717689859</v>
      </c>
      <c r="R15" s="256">
        <f>R6+R8+R9+R14</f>
        <v>93219.409090909088</v>
      </c>
      <c r="S15" s="257">
        <f>R15/(R6/S6*100+R8/S8*100+R14/S14*100+R9/S9*100)*100</f>
        <v>105.67215373660299</v>
      </c>
      <c r="T15" s="256">
        <f>T6+T8+T9+T14</f>
        <v>108773.4380859895</v>
      </c>
      <c r="U15" s="257">
        <f t="shared" si="24"/>
        <v>134.45435419078328</v>
      </c>
      <c r="V15" s="258">
        <f>V6+V14</f>
        <v>177233.989</v>
      </c>
      <c r="W15" s="258">
        <f>W6+W14</f>
        <v>73380.034</v>
      </c>
      <c r="X15" s="258">
        <f>X6+X14</f>
        <v>101332.76299999999</v>
      </c>
      <c r="Y15" s="258"/>
      <c r="Z15" s="256">
        <v>80899.899999999994</v>
      </c>
      <c r="AA15" s="256">
        <f>AA6+AA14</f>
        <v>78177.8</v>
      </c>
      <c r="AB15" s="259">
        <f>AB6+AB8+AB9+AB14</f>
        <v>271523.97202689853</v>
      </c>
      <c r="AC15" s="259">
        <f>AC6+AC8+AC9+AC14</f>
        <v>101620.5838909091</v>
      </c>
      <c r="AD15" s="260">
        <f t="shared" si="5"/>
        <v>109.01225923005696</v>
      </c>
      <c r="AE15" s="259">
        <f>AE6+AE8+AE9+AE14</f>
        <v>169903.38813598949</v>
      </c>
      <c r="AF15" s="261">
        <f t="shared" si="25"/>
        <v>1.6766876092778551</v>
      </c>
      <c r="AG15" s="262">
        <f>AG6+AG14</f>
        <v>169903.4</v>
      </c>
      <c r="AH15" s="263">
        <f>AH6+AH8+AH9+AH14</f>
        <v>289893.48090797453</v>
      </c>
      <c r="AI15" s="264">
        <f>AI6+AI8+AI9+AI14</f>
        <v>91282.260000000009</v>
      </c>
      <c r="AJ15" s="265">
        <f t="shared" si="26"/>
        <v>0.89826545474283637</v>
      </c>
      <c r="AK15" s="264">
        <f>AK6+AK8+AK9+AK14</f>
        <v>198611.22090797452</v>
      </c>
      <c r="AL15" s="266">
        <f t="shared" si="27"/>
        <v>1.1689655469400526</v>
      </c>
      <c r="AM15" s="267">
        <f>AM6</f>
        <v>213589.6</v>
      </c>
      <c r="AN15" s="268">
        <f>AN6+AN14+AN11</f>
        <v>443208.87160137435</v>
      </c>
      <c r="AO15" s="269">
        <f>AO6+AO14+AO11</f>
        <v>113168.01999999999</v>
      </c>
      <c r="AP15" s="265">
        <f t="shared" si="28"/>
        <v>1.2397591821236675</v>
      </c>
      <c r="AQ15" s="269">
        <f>AQ6+AQ14+AQ11</f>
        <v>330040.85160137439</v>
      </c>
      <c r="AR15" s="270">
        <f>AQ15/AM15</f>
        <v>1.5452103079989588</v>
      </c>
      <c r="AS15" s="268">
        <f>AS8+AS11+AS14</f>
        <v>330040.85160137439</v>
      </c>
      <c r="AT15" s="347"/>
      <c r="AU15" s="271">
        <f>SUM(AU8:AU14)</f>
        <v>498992197.5</v>
      </c>
      <c r="AV15" s="272">
        <f t="shared" ref="AV15:AW15" si="30">SUM(AV8:AV14)</f>
        <v>104270702</v>
      </c>
      <c r="AW15" s="273">
        <f t="shared" si="30"/>
        <v>394721495.5</v>
      </c>
      <c r="AX15" s="274">
        <f t="shared" si="29"/>
        <v>1.1959776905943369</v>
      </c>
      <c r="AY15" s="275">
        <f>SUM(AY8:AY14)</f>
        <v>610534270.79999995</v>
      </c>
      <c r="AZ15" s="269">
        <f>SUM(AZ8:AZ14)</f>
        <v>134525651</v>
      </c>
      <c r="BA15" s="269">
        <f>SUM(BA8:BA14)</f>
        <v>9.77320969907489</v>
      </c>
      <c r="BB15" s="272">
        <f>SUM(BB8:BB14)</f>
        <v>476008619.79999995</v>
      </c>
      <c r="BC15" s="276">
        <f>BB15/AW15</f>
        <v>1.2059353879297408</v>
      </c>
      <c r="BD15" s="271">
        <f>SUM(BD8:BD14)</f>
        <v>634955636.98751366</v>
      </c>
      <c r="BE15" s="272">
        <f>SUM(BE8:BE14)</f>
        <v>139906677.04000002</v>
      </c>
      <c r="BF15" s="277">
        <f t="shared" si="15"/>
        <v>1.0400000000000003</v>
      </c>
      <c r="BG15" s="272">
        <f>SUM(BG8:BG14)</f>
        <v>495048959.94751376</v>
      </c>
      <c r="BH15" s="274">
        <f>BG15/BB15</f>
        <v>1.0399999902428527</v>
      </c>
      <c r="BI15" s="271">
        <f>SUM(BI8:BI14)</f>
        <v>660353862.46701431</v>
      </c>
      <c r="BJ15" s="272">
        <f>SUM(BJ8:BJ14)</f>
        <v>145502941.97886121</v>
      </c>
      <c r="BK15" s="277">
        <f t="shared" si="20"/>
        <v>1.0399999846845136</v>
      </c>
      <c r="BL15" s="272">
        <f>SUM(BL8:BL14)</f>
        <v>514850920.48815304</v>
      </c>
      <c r="BM15" s="274">
        <f>BL15/BG15</f>
        <v>1.0400000043283371</v>
      </c>
    </row>
    <row r="16" spans="1:65" ht="22.5" hidden="1" customHeight="1">
      <c r="A16" s="335" t="s">
        <v>144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278"/>
      <c r="W16" s="278"/>
      <c r="X16" s="278"/>
      <c r="Y16" s="278"/>
      <c r="Z16" s="278"/>
      <c r="AA16" s="278"/>
      <c r="AB16" s="279"/>
      <c r="AC16" s="279"/>
      <c r="AD16" s="279"/>
      <c r="AE16" s="280"/>
      <c r="AF16" s="281"/>
      <c r="AG16" s="281"/>
      <c r="AH16" s="281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79"/>
      <c r="AU16" s="281"/>
      <c r="AV16" s="279"/>
      <c r="AW16" s="282"/>
      <c r="AX16" s="279"/>
      <c r="AY16" s="283"/>
      <c r="AZ16" s="283"/>
      <c r="BA16" s="283"/>
      <c r="BB16" s="283"/>
      <c r="BC16" s="283"/>
    </row>
    <row r="17" spans="1:65" ht="39" hidden="1" customHeight="1">
      <c r="A17" s="336" t="s">
        <v>145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</row>
    <row r="18" spans="1:65" ht="39" hidden="1" customHeight="1">
      <c r="A18" s="336" t="s">
        <v>146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</row>
    <row r="19" spans="1:65" ht="65.25" hidden="1" customHeight="1">
      <c r="A19" s="336" t="s">
        <v>147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  <c r="BG19" s="336"/>
      <c r="BH19" s="336"/>
      <c r="BI19" s="336"/>
      <c r="BJ19" s="336"/>
      <c r="BK19" s="336"/>
      <c r="BL19" s="336"/>
      <c r="BM19" s="336"/>
    </row>
    <row r="20" spans="1:65" ht="27.75" customHeight="1">
      <c r="A20" s="284"/>
      <c r="B20" s="285"/>
      <c r="C20" s="285"/>
      <c r="D20" s="285"/>
      <c r="E20" s="285"/>
      <c r="F20" s="285"/>
    </row>
    <row r="21" spans="1:65">
      <c r="A21" s="286"/>
      <c r="B21" s="286"/>
      <c r="C21" s="286"/>
      <c r="D21" s="286"/>
      <c r="E21" s="286"/>
      <c r="F21" s="286"/>
    </row>
    <row r="22" spans="1:65">
      <c r="A22" s="287"/>
      <c r="B22" s="285"/>
      <c r="C22" s="285"/>
      <c r="D22" s="285"/>
      <c r="E22" s="285"/>
      <c r="F22" s="285"/>
    </row>
    <row r="23" spans="1:65">
      <c r="A23" s="287"/>
      <c r="B23" s="285"/>
      <c r="C23" s="285"/>
      <c r="D23" s="285"/>
      <c r="E23" s="285"/>
      <c r="F23" s="285"/>
      <c r="AW23" s="288"/>
    </row>
    <row r="25" spans="1:65">
      <c r="A25" s="289"/>
      <c r="B25" s="289"/>
      <c r="C25" s="289"/>
      <c r="D25" s="289"/>
      <c r="E25" s="289"/>
      <c r="F25" s="289"/>
      <c r="AW25" s="288"/>
    </row>
    <row r="26" spans="1:65">
      <c r="A26" s="290"/>
      <c r="B26" s="290"/>
      <c r="C26" s="290"/>
      <c r="D26" s="290"/>
      <c r="E26" s="290"/>
      <c r="F26" s="290"/>
    </row>
    <row r="28" spans="1:65">
      <c r="A28" s="291"/>
      <c r="B28" s="291"/>
      <c r="C28" s="291"/>
      <c r="D28" s="291"/>
      <c r="E28" s="291"/>
      <c r="F28" s="291"/>
    </row>
  </sheetData>
  <mergeCells count="46">
    <mergeCell ref="A1:BM1"/>
    <mergeCell ref="A3:A4"/>
    <mergeCell ref="D3:E3"/>
    <mergeCell ref="F3:H3"/>
    <mergeCell ref="I3:J3"/>
    <mergeCell ref="K3:L3"/>
    <mergeCell ref="M3:N3"/>
    <mergeCell ref="O3:P3"/>
    <mergeCell ref="Q3:U3"/>
    <mergeCell ref="V3:Y3"/>
    <mergeCell ref="AA3:AA4"/>
    <mergeCell ref="AB3:AF3"/>
    <mergeCell ref="AH3:AL3"/>
    <mergeCell ref="AN3:AR3"/>
    <mergeCell ref="AS3:AS4"/>
    <mergeCell ref="AT3:AT4"/>
    <mergeCell ref="AU3:AX3"/>
    <mergeCell ref="AY3:BC3"/>
    <mergeCell ref="BD3:BH3"/>
    <mergeCell ref="BI3:BM3"/>
    <mergeCell ref="I5:J5"/>
    <mergeCell ref="AG6:AG9"/>
    <mergeCell ref="AH6:AH9"/>
    <mergeCell ref="AI6:AI9"/>
    <mergeCell ref="AJ6:AJ9"/>
    <mergeCell ref="V6:V9"/>
    <mergeCell ref="W6:W9"/>
    <mergeCell ref="X6:X9"/>
    <mergeCell ref="Z6:Z9"/>
    <mergeCell ref="AA6:AA9"/>
    <mergeCell ref="AX8:AX10"/>
    <mergeCell ref="A16:U16"/>
    <mergeCell ref="A17:BM17"/>
    <mergeCell ref="A18:BM18"/>
    <mergeCell ref="A19:BM19"/>
    <mergeCell ref="AP6:AP9"/>
    <mergeCell ref="AQ6:AQ9"/>
    <mergeCell ref="AR6:AR14"/>
    <mergeCell ref="AS8:AS10"/>
    <mergeCell ref="AT8:AT15"/>
    <mergeCell ref="AK6:AK9"/>
    <mergeCell ref="AL6:AL9"/>
    <mergeCell ref="AM6:AM14"/>
    <mergeCell ref="AN6:AN9"/>
    <mergeCell ref="AO6:AO9"/>
    <mergeCell ref="AF6:AF9"/>
  </mergeCells>
  <pageMargins left="1.1023622047244095" right="0.31496062992125984" top="0.74803149606299213" bottom="0.74803149606299213" header="0.31496062992125984" footer="0.31496062992125984"/>
  <pageSetup paperSize="9" scale="8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Лизинг</vt:lpstr>
      <vt:lpstr>авиа расчет</vt:lpstr>
      <vt:lpstr>Воздушный транспорт</vt:lpstr>
      <vt:lpstr>'авиа расчет'!Область_печати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8</cp:revision>
  <cp:lastPrinted>2022-06-03T17:26:51Z</cp:lastPrinted>
  <dcterms:created xsi:type="dcterms:W3CDTF">2017-08-04T07:55:22Z</dcterms:created>
  <dcterms:modified xsi:type="dcterms:W3CDTF">2022-06-03T17:26:53Z</dcterms:modified>
</cp:coreProperties>
</file>