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aveExternalLinkValues="0"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definedNames>
    <definedName name="Z_40F15A73_9550_4519_BD07_5B1306791A2B_.wvu.PrintTitles" localSheetId="0" hidden="1">Лист1!$A:$F,Лист1!$3:$6</definedName>
    <definedName name="Z_40F15A73_9550_4519_BD07_5B1306791A2B_.wvu.Rows" localSheetId="0" hidden="1">Лист1!$15:$16,Лист1!$28:$32,Лист1!$45:$46,Лист1!$84:$84,Лист1!$242:$242,Лист1!#REF!</definedName>
    <definedName name="Z_F6681789_96F0_4D5A_90BA_C1A8630D3E2C_.wvu.PrintTitles" localSheetId="0" hidden="1">Лист1!$A:$F,Лист1!$3:$6</definedName>
    <definedName name="Z_F6681789_96F0_4D5A_90BA_C1A8630D3E2C_.wvu.Rows" localSheetId="0" hidden="1">Лист1!$15:$16,Лист1!$28:$32,Лист1!$45:$46</definedName>
    <definedName name="_xlnm.Print_Titles" localSheetId="0">Лист1!$A:$F,Лист1!$3:$6</definedName>
    <definedName name="_xlnm.Print_Area" localSheetId="0">Лист1!$A$1:$W$265</definedName>
  </definedNames>
  <calcPr calcId="124519"/>
  <customWorkbookViews>
    <customWorkbookView name="Pavlenko - Личное представление" guid="{40F15A73-9550-4519-BD07-5B1306791A2B}" mergeInterval="0" personalView="1" maximized="1" xWindow="1" yWindow="1" windowWidth="1920" windowHeight="850" activeSheetId="1"/>
    <customWorkbookView name="Телицина Татьяна Александровна - Личное представление" guid="{1B5FFDB8-A1F9-475C-854F-961801845FF2}" mergeInterval="0" personalView="1" maximized="1" xWindow="1" yWindow="1" windowWidth="1920" windowHeight="776" activeSheetId="1"/>
    <customWorkbookView name="minfin user - Личное представление" guid="{F6681789-96F0-4D5A-90BA-C1A8630D3E2C}" mergeInterval="0" personalView="1" maximized="1" xWindow="1" yWindow="1" windowWidth="1920" windowHeight="850" activeSheetId="1"/>
  </customWorkbookViews>
</workbook>
</file>

<file path=xl/calcChain.xml><?xml version="1.0" encoding="utf-8"?>
<calcChain xmlns="http://schemas.openxmlformats.org/spreadsheetml/2006/main">
  <c r="U236" i="1"/>
  <c r="S236" l="1"/>
  <c r="W236" s="1"/>
  <c r="W251"/>
  <c r="W250"/>
  <c r="W249"/>
  <c r="W237"/>
  <c r="W235"/>
  <c r="W233"/>
  <c r="W214"/>
  <c r="W213"/>
  <c r="W212"/>
  <c r="W211"/>
  <c r="W203"/>
  <c r="W190"/>
  <c r="W189"/>
  <c r="W188"/>
  <c r="W187"/>
  <c r="W186"/>
  <c r="W185"/>
  <c r="W184"/>
  <c r="W183"/>
  <c r="W182"/>
  <c r="W181"/>
  <c r="W178"/>
  <c r="W177"/>
  <c r="W132"/>
  <c r="W99"/>
  <c r="W72"/>
  <c r="W43"/>
  <c r="W42"/>
  <c r="W40"/>
  <c r="W39"/>
  <c r="W37"/>
  <c r="W35"/>
  <c r="N197"/>
  <c r="U256"/>
  <c r="R256"/>
  <c r="O256"/>
  <c r="T256"/>
  <c r="Q256"/>
  <c r="N256"/>
  <c r="U259"/>
  <c r="R259"/>
  <c r="O259"/>
  <c r="U252"/>
  <c r="R252"/>
  <c r="O252"/>
  <c r="M252"/>
  <c r="U250"/>
  <c r="R250"/>
  <c r="O250"/>
  <c r="T250"/>
  <c r="Q250"/>
  <c r="N250"/>
  <c r="U239"/>
  <c r="R239"/>
  <c r="P239" s="1"/>
  <c r="O239"/>
  <c r="T239"/>
  <c r="Q239"/>
  <c r="N239"/>
  <c r="R236"/>
  <c r="O236"/>
  <c r="L239"/>
  <c r="K239"/>
  <c r="S241"/>
  <c r="P241"/>
  <c r="M241"/>
  <c r="S243"/>
  <c r="S240"/>
  <c r="S237"/>
  <c r="S235"/>
  <c r="S233"/>
  <c r="P243"/>
  <c r="P240"/>
  <c r="P237"/>
  <c r="P236"/>
  <c r="P235"/>
  <c r="P233"/>
  <c r="M243"/>
  <c r="M240"/>
  <c r="M239"/>
  <c r="M237"/>
  <c r="M236"/>
  <c r="M235"/>
  <c r="M233"/>
  <c r="J243"/>
  <c r="J241"/>
  <c r="J240"/>
  <c r="J239"/>
  <c r="J237"/>
  <c r="J236"/>
  <c r="J235"/>
  <c r="J233"/>
  <c r="J234"/>
  <c r="Q221"/>
  <c r="T221"/>
  <c r="T222"/>
  <c r="Q222"/>
  <c r="N221"/>
  <c r="N222"/>
  <c r="P229"/>
  <c r="T225"/>
  <c r="Q225"/>
  <c r="N225"/>
  <c r="J225"/>
  <c r="M229"/>
  <c r="M228"/>
  <c r="M227"/>
  <c r="M226"/>
  <c r="S229"/>
  <c r="J229"/>
  <c r="K204"/>
  <c r="N204"/>
  <c r="N200" s="1"/>
  <c r="Q204"/>
  <c r="P204" s="1"/>
  <c r="T204"/>
  <c r="T200" s="1"/>
  <c r="U200"/>
  <c r="U218"/>
  <c r="R218"/>
  <c r="O218"/>
  <c r="L200"/>
  <c r="U219"/>
  <c r="R219"/>
  <c r="O219"/>
  <c r="U216"/>
  <c r="T216"/>
  <c r="S216" s="1"/>
  <c r="R216"/>
  <c r="Q216"/>
  <c r="P216" s="1"/>
  <c r="O216"/>
  <c r="N216"/>
  <c r="M216" s="1"/>
  <c r="U213"/>
  <c r="T213"/>
  <c r="S213" s="1"/>
  <c r="R213"/>
  <c r="Q213"/>
  <c r="O213"/>
  <c r="N213"/>
  <c r="U209"/>
  <c r="T209"/>
  <c r="S209" s="1"/>
  <c r="R209"/>
  <c r="Q209"/>
  <c r="O209"/>
  <c r="N209"/>
  <c r="N211"/>
  <c r="M211"/>
  <c r="U211"/>
  <c r="T211"/>
  <c r="S211" s="1"/>
  <c r="R211"/>
  <c r="Q211"/>
  <c r="O211"/>
  <c r="J212"/>
  <c r="J211"/>
  <c r="J210"/>
  <c r="J209"/>
  <c r="J208"/>
  <c r="J207"/>
  <c r="J206"/>
  <c r="J205"/>
  <c r="J204"/>
  <c r="J203"/>
  <c r="J218"/>
  <c r="J217"/>
  <c r="J216"/>
  <c r="J215"/>
  <c r="J214"/>
  <c r="L213"/>
  <c r="J213" s="1"/>
  <c r="S215"/>
  <c r="P215"/>
  <c r="M215"/>
  <c r="S220"/>
  <c r="S219"/>
  <c r="S218"/>
  <c r="S217"/>
  <c r="S214"/>
  <c r="S212"/>
  <c r="S210"/>
  <c r="S208"/>
  <c r="S207"/>
  <c r="S206"/>
  <c r="S205"/>
  <c r="S204"/>
  <c r="S203"/>
  <c r="S202"/>
  <c r="S201"/>
  <c r="P220"/>
  <c r="P219"/>
  <c r="P218"/>
  <c r="P217"/>
  <c r="P214"/>
  <c r="P213"/>
  <c r="P212"/>
  <c r="P211"/>
  <c r="P210"/>
  <c r="P209"/>
  <c r="P208"/>
  <c r="P207"/>
  <c r="P206"/>
  <c r="P205"/>
  <c r="P203"/>
  <c r="P202"/>
  <c r="P201"/>
  <c r="M219"/>
  <c r="M220"/>
  <c r="M218"/>
  <c r="M217"/>
  <c r="M214"/>
  <c r="M213"/>
  <c r="M212"/>
  <c r="M210"/>
  <c r="M208"/>
  <c r="M207"/>
  <c r="M206"/>
  <c r="M205"/>
  <c r="M204"/>
  <c r="M203"/>
  <c r="M202"/>
  <c r="M201"/>
  <c r="S195"/>
  <c r="S193"/>
  <c r="S192"/>
  <c r="S190"/>
  <c r="S189"/>
  <c r="S188"/>
  <c r="S187"/>
  <c r="S186"/>
  <c r="S185"/>
  <c r="S184"/>
  <c r="S182"/>
  <c r="S180"/>
  <c r="S179"/>
  <c r="S178"/>
  <c r="S177"/>
  <c r="S176"/>
  <c r="S175"/>
  <c r="S173"/>
  <c r="S171"/>
  <c r="S169"/>
  <c r="P195"/>
  <c r="P193"/>
  <c r="P192"/>
  <c r="P190"/>
  <c r="P189"/>
  <c r="P188"/>
  <c r="P187"/>
  <c r="P186"/>
  <c r="P185"/>
  <c r="P184"/>
  <c r="P182"/>
  <c r="P181"/>
  <c r="P180"/>
  <c r="P179"/>
  <c r="P178"/>
  <c r="P177"/>
  <c r="P176"/>
  <c r="P175"/>
  <c r="P173"/>
  <c r="P171"/>
  <c r="P169"/>
  <c r="M195"/>
  <c r="M193"/>
  <c r="M192"/>
  <c r="M190"/>
  <c r="M189"/>
  <c r="M188"/>
  <c r="M187"/>
  <c r="M186"/>
  <c r="M184"/>
  <c r="M182"/>
  <c r="M181"/>
  <c r="M180"/>
  <c r="M179"/>
  <c r="M178"/>
  <c r="M177"/>
  <c r="M176"/>
  <c r="M175"/>
  <c r="M173"/>
  <c r="M171"/>
  <c r="M169"/>
  <c r="M168"/>
  <c r="M185"/>
  <c r="S239" l="1"/>
  <c r="J200"/>
  <c r="M209"/>
  <c r="U194"/>
  <c r="T194"/>
  <c r="S194" s="1"/>
  <c r="U191"/>
  <c r="T191"/>
  <c r="U189"/>
  <c r="T189"/>
  <c r="U187"/>
  <c r="T187"/>
  <c r="U185"/>
  <c r="T185"/>
  <c r="U183"/>
  <c r="T183"/>
  <c r="S183" s="1"/>
  <c r="U181"/>
  <c r="T181"/>
  <c r="U177"/>
  <c r="T177"/>
  <c r="U174"/>
  <c r="T174"/>
  <c r="S174" s="1"/>
  <c r="U172"/>
  <c r="T172"/>
  <c r="S172" s="1"/>
  <c r="U170"/>
  <c r="T170"/>
  <c r="U168"/>
  <c r="T168"/>
  <c r="R194"/>
  <c r="Q194"/>
  <c r="P194" s="1"/>
  <c r="R191"/>
  <c r="Q191"/>
  <c r="P191" s="1"/>
  <c r="R189"/>
  <c r="Q189"/>
  <c r="R187"/>
  <c r="Q187"/>
  <c r="R185"/>
  <c r="Q185"/>
  <c r="R183"/>
  <c r="Q183"/>
  <c r="P183" s="1"/>
  <c r="R181"/>
  <c r="Q181"/>
  <c r="R177"/>
  <c r="Q177"/>
  <c r="R174"/>
  <c r="Q174"/>
  <c r="P174" s="1"/>
  <c r="R172"/>
  <c r="Q172"/>
  <c r="P172" s="1"/>
  <c r="R170"/>
  <c r="Q170"/>
  <c r="P170" s="1"/>
  <c r="R168"/>
  <c r="Q168"/>
  <c r="O194"/>
  <c r="N194"/>
  <c r="M194" s="1"/>
  <c r="O191"/>
  <c r="N191"/>
  <c r="M191" s="1"/>
  <c r="O189"/>
  <c r="N189"/>
  <c r="O187"/>
  <c r="N187"/>
  <c r="O185"/>
  <c r="N185"/>
  <c r="O183"/>
  <c r="N183"/>
  <c r="M183" s="1"/>
  <c r="O181"/>
  <c r="N181"/>
  <c r="O177"/>
  <c r="N177"/>
  <c r="O174"/>
  <c r="N174"/>
  <c r="M174" s="1"/>
  <c r="O172"/>
  <c r="N172"/>
  <c r="O170"/>
  <c r="N170"/>
  <c r="O168"/>
  <c r="N168"/>
  <c r="L194"/>
  <c r="J194" s="1"/>
  <c r="L191"/>
  <c r="L189"/>
  <c r="J189" s="1"/>
  <c r="L187"/>
  <c r="L185"/>
  <c r="J185" s="1"/>
  <c r="L183"/>
  <c r="L181"/>
  <c r="J181" s="1"/>
  <c r="L174"/>
  <c r="L172"/>
  <c r="L170"/>
  <c r="L168"/>
  <c r="K194"/>
  <c r="K191"/>
  <c r="K189"/>
  <c r="K187"/>
  <c r="J187" s="1"/>
  <c r="K185"/>
  <c r="K183"/>
  <c r="J183" s="1"/>
  <c r="K181"/>
  <c r="K177"/>
  <c r="K174"/>
  <c r="K172"/>
  <c r="J172" s="1"/>
  <c r="K170"/>
  <c r="K168"/>
  <c r="J168" s="1"/>
  <c r="S168"/>
  <c r="J195"/>
  <c r="J193"/>
  <c r="J192"/>
  <c r="J190"/>
  <c r="J188"/>
  <c r="J186"/>
  <c r="J184"/>
  <c r="J182"/>
  <c r="J180"/>
  <c r="J179"/>
  <c r="J178"/>
  <c r="J176"/>
  <c r="J175"/>
  <c r="J174"/>
  <c r="J173"/>
  <c r="J171"/>
  <c r="J170"/>
  <c r="J169"/>
  <c r="S162"/>
  <c r="U161"/>
  <c r="U160" s="1"/>
  <c r="P162"/>
  <c r="R161"/>
  <c r="R160" s="1"/>
  <c r="M162"/>
  <c r="O161"/>
  <c r="M161" s="1"/>
  <c r="S156"/>
  <c r="U155"/>
  <c r="U154" s="1"/>
  <c r="S154" s="1"/>
  <c r="S153"/>
  <c r="U152"/>
  <c r="S152"/>
  <c r="U151"/>
  <c r="S151"/>
  <c r="U150"/>
  <c r="S150"/>
  <c r="S148" s="1"/>
  <c r="U148"/>
  <c r="P156"/>
  <c r="R155"/>
  <c r="R154" s="1"/>
  <c r="P154" s="1"/>
  <c r="P153"/>
  <c r="R152"/>
  <c r="P152" s="1"/>
  <c r="R151"/>
  <c r="P151" s="1"/>
  <c r="R150"/>
  <c r="R148" s="1"/>
  <c r="P150"/>
  <c r="P148" s="1"/>
  <c r="O151"/>
  <c r="M151" s="1"/>
  <c r="M153"/>
  <c r="O152"/>
  <c r="M152" s="1"/>
  <c r="U136"/>
  <c r="U135" s="1"/>
  <c r="U137"/>
  <c r="S137"/>
  <c r="S138"/>
  <c r="M131"/>
  <c r="M129"/>
  <c r="M125"/>
  <c r="M124"/>
  <c r="M123"/>
  <c r="M117"/>
  <c r="S131"/>
  <c r="S130"/>
  <c r="S129"/>
  <c r="S128"/>
  <c r="S127"/>
  <c r="S125"/>
  <c r="S124"/>
  <c r="S123"/>
  <c r="S121"/>
  <c r="S120"/>
  <c r="S119"/>
  <c r="S117"/>
  <c r="S113"/>
  <c r="P131"/>
  <c r="P130"/>
  <c r="P129"/>
  <c r="P128"/>
  <c r="P127"/>
  <c r="P125"/>
  <c r="P124"/>
  <c r="P123"/>
  <c r="P121"/>
  <c r="P120"/>
  <c r="P119"/>
  <c r="P117"/>
  <c r="P113"/>
  <c r="M110"/>
  <c r="M109"/>
  <c r="P110"/>
  <c r="P109"/>
  <c r="S110"/>
  <c r="W110" s="1"/>
  <c r="S109"/>
  <c r="N105"/>
  <c r="Q105"/>
  <c r="T105"/>
  <c r="M107"/>
  <c r="P107"/>
  <c r="S107"/>
  <c r="S102"/>
  <c r="P102"/>
  <c r="M102"/>
  <c r="S99"/>
  <c r="P99"/>
  <c r="M99"/>
  <c r="J98"/>
  <c r="M98"/>
  <c r="P98"/>
  <c r="S98"/>
  <c r="O85"/>
  <c r="N85"/>
  <c r="R85"/>
  <c r="Q85"/>
  <c r="T85"/>
  <c r="U85"/>
  <c r="K70"/>
  <c r="U70"/>
  <c r="R70"/>
  <c r="O70"/>
  <c r="T70"/>
  <c r="Q70"/>
  <c r="N70"/>
  <c r="N63"/>
  <c r="Q63"/>
  <c r="P65"/>
  <c r="M65"/>
  <c r="M66"/>
  <c r="P66"/>
  <c r="S66"/>
  <c r="U58"/>
  <c r="R58"/>
  <c r="O58"/>
  <c r="O57" s="1"/>
  <c r="R25"/>
  <c r="T25"/>
  <c r="U25"/>
  <c r="K48"/>
  <c r="L48"/>
  <c r="U42"/>
  <c r="T42"/>
  <c r="R42"/>
  <c r="Q42"/>
  <c r="O42"/>
  <c r="N42"/>
  <c r="S44"/>
  <c r="S43"/>
  <c r="P44"/>
  <c r="P43"/>
  <c r="M44"/>
  <c r="M43"/>
  <c r="S49"/>
  <c r="S48"/>
  <c r="P49"/>
  <c r="P48"/>
  <c r="M49"/>
  <c r="M48"/>
  <c r="P41"/>
  <c r="U39"/>
  <c r="T39"/>
  <c r="R39"/>
  <c r="Q39"/>
  <c r="O39"/>
  <c r="N39"/>
  <c r="S41"/>
  <c r="N35"/>
  <c r="O35"/>
  <c r="U35"/>
  <c r="R35"/>
  <c r="T35"/>
  <c r="Q35"/>
  <c r="S37"/>
  <c r="P37"/>
  <c r="M37"/>
  <c r="S27"/>
  <c r="P27"/>
  <c r="M27"/>
  <c r="Q25"/>
  <c r="O25"/>
  <c r="N25"/>
  <c r="S181" l="1"/>
  <c r="M172"/>
  <c r="S170"/>
  <c r="M170"/>
  <c r="S191"/>
  <c r="P168"/>
  <c r="S135"/>
  <c r="U133"/>
  <c r="S133" s="1"/>
  <c r="S136"/>
  <c r="J191"/>
  <c r="O160"/>
  <c r="U159"/>
  <c r="S160"/>
  <c r="S161"/>
  <c r="R159"/>
  <c r="P160"/>
  <c r="P161"/>
  <c r="S155"/>
  <c r="P155"/>
  <c r="S25"/>
  <c r="P25"/>
  <c r="O159" l="1"/>
  <c r="M160"/>
  <c r="U157"/>
  <c r="S157" s="1"/>
  <c r="S159"/>
  <c r="R157"/>
  <c r="P157" s="1"/>
  <c r="P159"/>
  <c r="M159" l="1"/>
  <c r="O157"/>
  <c r="M157" s="1"/>
  <c r="S265" l="1"/>
  <c r="U264"/>
  <c r="S264" s="1"/>
  <c r="U263"/>
  <c r="S263" s="1"/>
  <c r="S260"/>
  <c r="S259"/>
  <c r="S258"/>
  <c r="S257"/>
  <c r="S256"/>
  <c r="U255"/>
  <c r="T255"/>
  <c r="T244" s="1"/>
  <c r="S254"/>
  <c r="S252"/>
  <c r="S251"/>
  <c r="S250"/>
  <c r="U249"/>
  <c r="U244" s="1"/>
  <c r="U245" s="1"/>
  <c r="T249"/>
  <c r="S248"/>
  <c r="U246"/>
  <c r="T246"/>
  <c r="U238"/>
  <c r="T238"/>
  <c r="U234"/>
  <c r="T234"/>
  <c r="U232"/>
  <c r="T232"/>
  <c r="S228"/>
  <c r="S226"/>
  <c r="U225"/>
  <c r="T224"/>
  <c r="U223"/>
  <c r="U222"/>
  <c r="S222" s="1"/>
  <c r="S200"/>
  <c r="U199"/>
  <c r="T199"/>
  <c r="T196" s="1"/>
  <c r="S199"/>
  <c r="S196" s="1"/>
  <c r="U197"/>
  <c r="T197"/>
  <c r="S197"/>
  <c r="U196"/>
  <c r="V191"/>
  <c r="V189"/>
  <c r="V183"/>
  <c r="U167"/>
  <c r="T167"/>
  <c r="U165"/>
  <c r="T165"/>
  <c r="U164"/>
  <c r="T164"/>
  <c r="S147"/>
  <c r="S146" s="1"/>
  <c r="U146"/>
  <c r="U145" s="1"/>
  <c r="U141"/>
  <c r="U139" s="1"/>
  <c r="S141"/>
  <c r="S139" s="1"/>
  <c r="U111"/>
  <c r="S111"/>
  <c r="U108"/>
  <c r="S108" s="1"/>
  <c r="T108"/>
  <c r="S106"/>
  <c r="U105"/>
  <c r="S105" s="1"/>
  <c r="S97"/>
  <c r="T96"/>
  <c r="T95" s="1"/>
  <c r="U93"/>
  <c r="T93"/>
  <c r="S88"/>
  <c r="S85"/>
  <c r="S83"/>
  <c r="U82"/>
  <c r="U79" s="1"/>
  <c r="T82"/>
  <c r="U81"/>
  <c r="T81"/>
  <c r="T79"/>
  <c r="T80" s="1"/>
  <c r="S75"/>
  <c r="S74"/>
  <c r="U73"/>
  <c r="T73"/>
  <c r="S71"/>
  <c r="S70"/>
  <c r="U69"/>
  <c r="T69"/>
  <c r="S64"/>
  <c r="U63"/>
  <c r="S63" s="1"/>
  <c r="S62"/>
  <c r="S61"/>
  <c r="S59"/>
  <c r="S58"/>
  <c r="U57"/>
  <c r="T57"/>
  <c r="T56" s="1"/>
  <c r="T55" s="1"/>
  <c r="U54"/>
  <c r="T54"/>
  <c r="U53"/>
  <c r="T53"/>
  <c r="U47"/>
  <c r="T47"/>
  <c r="S42"/>
  <c r="S40"/>
  <c r="S39"/>
  <c r="S38"/>
  <c r="S36"/>
  <c r="S35"/>
  <c r="S33"/>
  <c r="S26"/>
  <c r="S24"/>
  <c r="S23"/>
  <c r="S22"/>
  <c r="U21"/>
  <c r="T21"/>
  <c r="S20"/>
  <c r="S19"/>
  <c r="S18"/>
  <c r="U17"/>
  <c r="U14" s="1"/>
  <c r="U12"/>
  <c r="S12" s="1"/>
  <c r="P265"/>
  <c r="R264"/>
  <c r="P264" s="1"/>
  <c r="P260"/>
  <c r="P259"/>
  <c r="P258"/>
  <c r="P257"/>
  <c r="P256"/>
  <c r="R255"/>
  <c r="Q255"/>
  <c r="P254"/>
  <c r="P252"/>
  <c r="P251"/>
  <c r="P250"/>
  <c r="R249"/>
  <c r="Q249"/>
  <c r="P248"/>
  <c r="R246"/>
  <c r="Q246"/>
  <c r="Q244"/>
  <c r="Q245" s="1"/>
  <c r="R238"/>
  <c r="R230" s="1"/>
  <c r="Q238"/>
  <c r="R234"/>
  <c r="Q234"/>
  <c r="R232"/>
  <c r="Q232"/>
  <c r="P228"/>
  <c r="P226"/>
  <c r="R225"/>
  <c r="Q224"/>
  <c r="R223"/>
  <c r="R222"/>
  <c r="P222" s="1"/>
  <c r="R200"/>
  <c r="Q200"/>
  <c r="P200"/>
  <c r="R199"/>
  <c r="Q199"/>
  <c r="Q196" s="1"/>
  <c r="P199"/>
  <c r="P196" s="1"/>
  <c r="R197"/>
  <c r="Q197"/>
  <c r="P197"/>
  <c r="R196"/>
  <c r="R198" s="1"/>
  <c r="R167"/>
  <c r="Q167"/>
  <c r="R165"/>
  <c r="Q165"/>
  <c r="R164"/>
  <c r="Q164"/>
  <c r="Q163" s="1"/>
  <c r="P147"/>
  <c r="P146" s="1"/>
  <c r="P145" s="1"/>
  <c r="R146"/>
  <c r="R145" s="1"/>
  <c r="R141"/>
  <c r="R139" s="1"/>
  <c r="R111"/>
  <c r="P111"/>
  <c r="R108"/>
  <c r="P108" s="1"/>
  <c r="Q108"/>
  <c r="P106"/>
  <c r="R105"/>
  <c r="P105" s="1"/>
  <c r="P97"/>
  <c r="Q96"/>
  <c r="R93"/>
  <c r="Q93"/>
  <c r="P88"/>
  <c r="P85"/>
  <c r="P83"/>
  <c r="R82"/>
  <c r="Q82"/>
  <c r="Q79" s="1"/>
  <c r="R81"/>
  <c r="Q81"/>
  <c r="P81" s="1"/>
  <c r="R79"/>
  <c r="R80" s="1"/>
  <c r="P75"/>
  <c r="P74"/>
  <c r="R73"/>
  <c r="Q73"/>
  <c r="P71"/>
  <c r="P70"/>
  <c r="R69"/>
  <c r="Q69"/>
  <c r="P64"/>
  <c r="R63"/>
  <c r="P63" s="1"/>
  <c r="P62"/>
  <c r="P61"/>
  <c r="P59"/>
  <c r="P58"/>
  <c r="R57"/>
  <c r="Q57"/>
  <c r="R54"/>
  <c r="Q54"/>
  <c r="R53"/>
  <c r="Q53"/>
  <c r="R47"/>
  <c r="Q47"/>
  <c r="P42"/>
  <c r="P40"/>
  <c r="P39"/>
  <c r="P38"/>
  <c r="P35"/>
  <c r="P33"/>
  <c r="P26"/>
  <c r="P24"/>
  <c r="P23"/>
  <c r="P22"/>
  <c r="R21"/>
  <c r="Q21"/>
  <c r="Q14" s="1"/>
  <c r="P20"/>
  <c r="P19"/>
  <c r="P18"/>
  <c r="R17"/>
  <c r="Q13"/>
  <c r="Q11" s="1"/>
  <c r="R12"/>
  <c r="P12" s="1"/>
  <c r="M265"/>
  <c r="O264"/>
  <c r="O263" s="1"/>
  <c r="M260"/>
  <c r="M259"/>
  <c r="M258"/>
  <c r="M257"/>
  <c r="M256"/>
  <c r="O255"/>
  <c r="N255"/>
  <c r="M254"/>
  <c r="M246" s="1"/>
  <c r="M251"/>
  <c r="M250"/>
  <c r="O249"/>
  <c r="N249"/>
  <c r="M248"/>
  <c r="O246"/>
  <c r="N246"/>
  <c r="O238"/>
  <c r="N238"/>
  <c r="O234"/>
  <c r="N234"/>
  <c r="O232"/>
  <c r="N232"/>
  <c r="O225"/>
  <c r="N224"/>
  <c r="O223"/>
  <c r="O222"/>
  <c r="M222" s="1"/>
  <c r="O200"/>
  <c r="M200"/>
  <c r="O199"/>
  <c r="O196" s="1"/>
  <c r="N199"/>
  <c r="M199"/>
  <c r="M196" s="1"/>
  <c r="O197"/>
  <c r="M197"/>
  <c r="N196"/>
  <c r="N167"/>
  <c r="O167"/>
  <c r="O165"/>
  <c r="N165"/>
  <c r="M165" s="1"/>
  <c r="O164"/>
  <c r="N164"/>
  <c r="M156"/>
  <c r="O155"/>
  <c r="M155" s="1"/>
  <c r="O150"/>
  <c r="M150" s="1"/>
  <c r="M148" s="1"/>
  <c r="M147"/>
  <c r="O146"/>
  <c r="M146"/>
  <c r="M145" s="1"/>
  <c r="O145"/>
  <c r="O141"/>
  <c r="M141"/>
  <c r="O139"/>
  <c r="M139"/>
  <c r="O111"/>
  <c r="M111"/>
  <c r="O108"/>
  <c r="M108" s="1"/>
  <c r="N108"/>
  <c r="M106"/>
  <c r="O105"/>
  <c r="M105" s="1"/>
  <c r="M97"/>
  <c r="N96"/>
  <c r="N95" s="1"/>
  <c r="O93"/>
  <c r="N93"/>
  <c r="M88"/>
  <c r="M85"/>
  <c r="M83"/>
  <c r="O82"/>
  <c r="N82"/>
  <c r="O81"/>
  <c r="N81"/>
  <c r="O79"/>
  <c r="N79"/>
  <c r="N80" s="1"/>
  <c r="M75"/>
  <c r="M74"/>
  <c r="O73"/>
  <c r="N73"/>
  <c r="M73"/>
  <c r="M71"/>
  <c r="M70"/>
  <c r="O69"/>
  <c r="N69"/>
  <c r="M64"/>
  <c r="O63"/>
  <c r="M63" s="1"/>
  <c r="M62"/>
  <c r="M61"/>
  <c r="M59"/>
  <c r="M58"/>
  <c r="W58" s="1"/>
  <c r="N57"/>
  <c r="O54"/>
  <c r="N54"/>
  <c r="O53"/>
  <c r="N53"/>
  <c r="O47"/>
  <c r="M47" s="1"/>
  <c r="N47"/>
  <c r="M42"/>
  <c r="M40"/>
  <c r="M39"/>
  <c r="M38"/>
  <c r="M36"/>
  <c r="M35"/>
  <c r="M33"/>
  <c r="M26"/>
  <c r="M25"/>
  <c r="M24"/>
  <c r="M23"/>
  <c r="M22"/>
  <c r="O21"/>
  <c r="N21"/>
  <c r="M20"/>
  <c r="M19"/>
  <c r="M18"/>
  <c r="O17"/>
  <c r="M17" s="1"/>
  <c r="N14"/>
  <c r="N13" s="1"/>
  <c r="N11" s="1"/>
  <c r="N10" s="1"/>
  <c r="O12"/>
  <c r="M12" s="1"/>
  <c r="L264"/>
  <c r="J264" s="1"/>
  <c r="J265"/>
  <c r="J260"/>
  <c r="J259"/>
  <c r="J258"/>
  <c r="J257"/>
  <c r="J256"/>
  <c r="L255"/>
  <c r="K255"/>
  <c r="J255" s="1"/>
  <c r="J254"/>
  <c r="J252"/>
  <c r="J251"/>
  <c r="J250"/>
  <c r="L249"/>
  <c r="K249"/>
  <c r="J248"/>
  <c r="L246"/>
  <c r="K246"/>
  <c r="J246"/>
  <c r="L238"/>
  <c r="K238"/>
  <c r="L234"/>
  <c r="K234"/>
  <c r="L232"/>
  <c r="K232"/>
  <c r="J228"/>
  <c r="J226"/>
  <c r="L225"/>
  <c r="K224"/>
  <c r="L223"/>
  <c r="L222"/>
  <c r="K200"/>
  <c r="L199"/>
  <c r="L196" s="1"/>
  <c r="L198" s="1"/>
  <c r="K199"/>
  <c r="K196" s="1"/>
  <c r="J199"/>
  <c r="J196" s="1"/>
  <c r="L197"/>
  <c r="K197"/>
  <c r="J197"/>
  <c r="L177"/>
  <c r="J177" s="1"/>
  <c r="K167"/>
  <c r="L165"/>
  <c r="J165" s="1"/>
  <c r="K165"/>
  <c r="L164"/>
  <c r="K164"/>
  <c r="J156"/>
  <c r="V156" s="1"/>
  <c r="L155"/>
  <c r="L154" s="1"/>
  <c r="J154" s="1"/>
  <c r="V154" s="1"/>
  <c r="L150"/>
  <c r="L148" s="1"/>
  <c r="J147"/>
  <c r="J146" s="1"/>
  <c r="J145" s="1"/>
  <c r="L146"/>
  <c r="L145" s="1"/>
  <c r="L141"/>
  <c r="L139" s="1"/>
  <c r="L111"/>
  <c r="J111"/>
  <c r="L108"/>
  <c r="K108"/>
  <c r="J108"/>
  <c r="J106"/>
  <c r="L105"/>
  <c r="J105"/>
  <c r="J97"/>
  <c r="L96"/>
  <c r="L95" s="1"/>
  <c r="L94" s="1"/>
  <c r="K96"/>
  <c r="K95"/>
  <c r="L93"/>
  <c r="K93"/>
  <c r="J88"/>
  <c r="J85"/>
  <c r="J83"/>
  <c r="L82"/>
  <c r="L79" s="1"/>
  <c r="L80" s="1"/>
  <c r="K82"/>
  <c r="K79" s="1"/>
  <c r="J82"/>
  <c r="L81"/>
  <c r="K81"/>
  <c r="J81" s="1"/>
  <c r="J75"/>
  <c r="J74"/>
  <c r="L73"/>
  <c r="J73" s="1"/>
  <c r="K73"/>
  <c r="J71"/>
  <c r="J70"/>
  <c r="L69"/>
  <c r="L56" s="1"/>
  <c r="L55" s="1"/>
  <c r="K69"/>
  <c r="J64"/>
  <c r="L63"/>
  <c r="J63"/>
  <c r="J62"/>
  <c r="J61"/>
  <c r="J59"/>
  <c r="J58"/>
  <c r="L57"/>
  <c r="K57"/>
  <c r="L54"/>
  <c r="L52" s="1"/>
  <c r="K54"/>
  <c r="L53"/>
  <c r="K53"/>
  <c r="J48"/>
  <c r="L47"/>
  <c r="J47" s="1"/>
  <c r="K47"/>
  <c r="J43"/>
  <c r="L42"/>
  <c r="J42" s="1"/>
  <c r="J40"/>
  <c r="L39"/>
  <c r="J39"/>
  <c r="J38"/>
  <c r="J36"/>
  <c r="L35"/>
  <c r="J35"/>
  <c r="J33"/>
  <c r="J26"/>
  <c r="L25"/>
  <c r="J25"/>
  <c r="J24"/>
  <c r="J23"/>
  <c r="J22"/>
  <c r="L21"/>
  <c r="J21" s="1"/>
  <c r="K21"/>
  <c r="K14" s="1"/>
  <c r="K13" s="1"/>
  <c r="K11" s="1"/>
  <c r="J20"/>
  <c r="J19"/>
  <c r="J18"/>
  <c r="L17"/>
  <c r="J17" s="1"/>
  <c r="L14"/>
  <c r="L12"/>
  <c r="J12" s="1"/>
  <c r="H249"/>
  <c r="I249"/>
  <c r="I244" s="1"/>
  <c r="I255"/>
  <c r="H255"/>
  <c r="G255" s="1"/>
  <c r="G260"/>
  <c r="G259"/>
  <c r="G258"/>
  <c r="G257"/>
  <c r="G256"/>
  <c r="G254"/>
  <c r="G252"/>
  <c r="G251"/>
  <c r="G250"/>
  <c r="G248"/>
  <c r="G244" s="1"/>
  <c r="H232"/>
  <c r="I232"/>
  <c r="I223"/>
  <c r="I222"/>
  <c r="G222" s="1"/>
  <c r="G228"/>
  <c r="I164"/>
  <c r="G164" s="1"/>
  <c r="H164"/>
  <c r="G195"/>
  <c r="I194"/>
  <c r="H194"/>
  <c r="G194" s="1"/>
  <c r="G193"/>
  <c r="G192"/>
  <c r="I191"/>
  <c r="H191"/>
  <c r="G191" s="1"/>
  <c r="G190"/>
  <c r="I189"/>
  <c r="H189"/>
  <c r="G184"/>
  <c r="I183"/>
  <c r="H183"/>
  <c r="G183" s="1"/>
  <c r="G178"/>
  <c r="I177"/>
  <c r="H177"/>
  <c r="G176"/>
  <c r="G175"/>
  <c r="I174"/>
  <c r="I167" s="1"/>
  <c r="H174"/>
  <c r="I150"/>
  <c r="G150" s="1"/>
  <c r="G148" s="1"/>
  <c r="G156"/>
  <c r="I155"/>
  <c r="I154" s="1"/>
  <c r="G154" s="1"/>
  <c r="I141"/>
  <c r="I139" s="1"/>
  <c r="G141"/>
  <c r="G139" s="1"/>
  <c r="I146"/>
  <c r="I145" s="1"/>
  <c r="G146"/>
  <c r="G145" s="1"/>
  <c r="G147"/>
  <c r="G97"/>
  <c r="G75"/>
  <c r="I53"/>
  <c r="I54"/>
  <c r="H54"/>
  <c r="H53"/>
  <c r="H73"/>
  <c r="G74"/>
  <c r="G64"/>
  <c r="G61"/>
  <c r="I57"/>
  <c r="H57"/>
  <c r="G58"/>
  <c r="G59"/>
  <c r="I69"/>
  <c r="H69"/>
  <c r="G70"/>
  <c r="G71"/>
  <c r="I47"/>
  <c r="H47"/>
  <c r="H21"/>
  <c r="I12"/>
  <c r="G38"/>
  <c r="G23"/>
  <c r="G19"/>
  <c r="G249"/>
  <c r="I246"/>
  <c r="H246"/>
  <c r="G246"/>
  <c r="G243"/>
  <c r="G240"/>
  <c r="G239"/>
  <c r="I238"/>
  <c r="H238"/>
  <c r="G236"/>
  <c r="G235"/>
  <c r="I234"/>
  <c r="I230" s="1"/>
  <c r="H234"/>
  <c r="H230" s="1"/>
  <c r="G226"/>
  <c r="I225"/>
  <c r="I224" s="1"/>
  <c r="G225"/>
  <c r="H224"/>
  <c r="I200"/>
  <c r="H200"/>
  <c r="G200"/>
  <c r="I199"/>
  <c r="H199"/>
  <c r="H196" s="1"/>
  <c r="H198" s="1"/>
  <c r="G199"/>
  <c r="G196" s="1"/>
  <c r="I197"/>
  <c r="H197"/>
  <c r="G197"/>
  <c r="I196"/>
  <c r="G182"/>
  <c r="G181"/>
  <c r="I165"/>
  <c r="H165"/>
  <c r="I111"/>
  <c r="G111"/>
  <c r="I108"/>
  <c r="H108"/>
  <c r="G108"/>
  <c r="G106"/>
  <c r="I105"/>
  <c r="G105" s="1"/>
  <c r="H96"/>
  <c r="H95" s="1"/>
  <c r="I93"/>
  <c r="H93"/>
  <c r="G88"/>
  <c r="G85"/>
  <c r="G83"/>
  <c r="I82"/>
  <c r="H82"/>
  <c r="H79" s="1"/>
  <c r="I81"/>
  <c r="H81"/>
  <c r="I79"/>
  <c r="I73"/>
  <c r="G73" s="1"/>
  <c r="I63"/>
  <c r="G62"/>
  <c r="G48"/>
  <c r="G47"/>
  <c r="G43"/>
  <c r="I42"/>
  <c r="G42" s="1"/>
  <c r="G40"/>
  <c r="I39"/>
  <c r="G39" s="1"/>
  <c r="G36"/>
  <c r="I35"/>
  <c r="G35" s="1"/>
  <c r="G33"/>
  <c r="G26"/>
  <c r="I25"/>
  <c r="G25" s="1"/>
  <c r="G24"/>
  <c r="G22"/>
  <c r="I21"/>
  <c r="G21" s="1"/>
  <c r="G20"/>
  <c r="G18"/>
  <c r="I17"/>
  <c r="G17" s="1"/>
  <c r="G12"/>
  <c r="W219"/>
  <c r="V15"/>
  <c r="W15"/>
  <c r="V16"/>
  <c r="W16"/>
  <c r="V19"/>
  <c r="V20"/>
  <c r="V23"/>
  <c r="V24"/>
  <c r="V26"/>
  <c r="V27"/>
  <c r="V28"/>
  <c r="W28"/>
  <c r="V29"/>
  <c r="W29"/>
  <c r="V30"/>
  <c r="W30"/>
  <c r="V31"/>
  <c r="W31"/>
  <c r="V32"/>
  <c r="W32"/>
  <c r="V33"/>
  <c r="W33"/>
  <c r="V37"/>
  <c r="V41"/>
  <c r="V44"/>
  <c r="V45"/>
  <c r="W45"/>
  <c r="V46"/>
  <c r="W46"/>
  <c r="W48"/>
  <c r="V49"/>
  <c r="W49"/>
  <c r="V60"/>
  <c r="W60"/>
  <c r="V61"/>
  <c r="W61"/>
  <c r="V65"/>
  <c r="V66"/>
  <c r="W66"/>
  <c r="W70"/>
  <c r="W71"/>
  <c r="V72"/>
  <c r="V85"/>
  <c r="V88"/>
  <c r="V97"/>
  <c r="W97"/>
  <c r="V98"/>
  <c r="V99"/>
  <c r="V102"/>
  <c r="V107"/>
  <c r="V109"/>
  <c r="V110"/>
  <c r="V111"/>
  <c r="V113"/>
  <c r="V117"/>
  <c r="V119"/>
  <c r="V120"/>
  <c r="V121"/>
  <c r="V123"/>
  <c r="V124"/>
  <c r="V125"/>
  <c r="V127"/>
  <c r="V128"/>
  <c r="V129"/>
  <c r="V130"/>
  <c r="V131"/>
  <c r="V132"/>
  <c r="V133"/>
  <c r="W133"/>
  <c r="V135"/>
  <c r="W135"/>
  <c r="V136"/>
  <c r="W136"/>
  <c r="V137"/>
  <c r="W137"/>
  <c r="V138"/>
  <c r="W138"/>
  <c r="W141"/>
  <c r="V142"/>
  <c r="W142"/>
  <c r="V143"/>
  <c r="W143"/>
  <c r="V144"/>
  <c r="W144"/>
  <c r="V151"/>
  <c r="V152"/>
  <c r="V153"/>
  <c r="V157"/>
  <c r="V159"/>
  <c r="V160"/>
  <c r="V161"/>
  <c r="V162"/>
  <c r="V168"/>
  <c r="V169"/>
  <c r="V172"/>
  <c r="W173"/>
  <c r="W174"/>
  <c r="V175"/>
  <c r="V176"/>
  <c r="W176"/>
  <c r="V178"/>
  <c r="V182"/>
  <c r="V184"/>
  <c r="V185"/>
  <c r="V186"/>
  <c r="V187"/>
  <c r="V188"/>
  <c r="V190"/>
  <c r="V192"/>
  <c r="V193"/>
  <c r="W197"/>
  <c r="V201"/>
  <c r="V202"/>
  <c r="W202"/>
  <c r="V203"/>
  <c r="V205"/>
  <c r="W205"/>
  <c r="V206"/>
  <c r="W206"/>
  <c r="V207"/>
  <c r="V208"/>
  <c r="V209"/>
  <c r="V210"/>
  <c r="V211"/>
  <c r="V212"/>
  <c r="V213"/>
  <c r="V214"/>
  <c r="V216"/>
  <c r="V217"/>
  <c r="V219"/>
  <c r="V220"/>
  <c r="W220"/>
  <c r="V226"/>
  <c r="V227"/>
  <c r="V228"/>
  <c r="W228"/>
  <c r="V229"/>
  <c r="V233"/>
  <c r="V235"/>
  <c r="V236"/>
  <c r="V237"/>
  <c r="V239"/>
  <c r="W239"/>
  <c r="V240"/>
  <c r="W240"/>
  <c r="V241"/>
  <c r="W241"/>
  <c r="W243"/>
  <c r="V243"/>
  <c r="V248"/>
  <c r="V250"/>
  <c r="V251"/>
  <c r="V252"/>
  <c r="V254"/>
  <c r="V257"/>
  <c r="V258"/>
  <c r="W258"/>
  <c r="V259"/>
  <c r="V260"/>
  <c r="W169"/>
  <c r="V62"/>
  <c r="V48"/>
  <c r="V173"/>
  <c r="W168"/>
  <c r="V40"/>
  <c r="V170"/>
  <c r="V36"/>
  <c r="V108"/>
  <c r="V181"/>
  <c r="W175"/>
  <c r="V83"/>
  <c r="V43"/>
  <c r="V106"/>
  <c r="W256"/>
  <c r="V171"/>
  <c r="W26"/>
  <c r="V22"/>
  <c r="W204"/>
  <c r="U230" l="1"/>
  <c r="S234"/>
  <c r="W234" s="1"/>
  <c r="K247"/>
  <c r="L244"/>
  <c r="L245" s="1"/>
  <c r="O247"/>
  <c r="S246"/>
  <c r="U247"/>
  <c r="S249"/>
  <c r="P249"/>
  <c r="Q247"/>
  <c r="O244"/>
  <c r="M249"/>
  <c r="R263"/>
  <c r="P263" s="1"/>
  <c r="M238"/>
  <c r="S238"/>
  <c r="P238"/>
  <c r="O230"/>
  <c r="S232"/>
  <c r="V232" s="1"/>
  <c r="P234"/>
  <c r="P232"/>
  <c r="M232"/>
  <c r="M234"/>
  <c r="J232"/>
  <c r="J238"/>
  <c r="L230"/>
  <c r="K230"/>
  <c r="J230" s="1"/>
  <c r="O221"/>
  <c r="U224"/>
  <c r="S224" s="1"/>
  <c r="S225"/>
  <c r="V225" s="1"/>
  <c r="R224"/>
  <c r="P225"/>
  <c r="R221"/>
  <c r="O224"/>
  <c r="M224" s="1"/>
  <c r="M223" s="1"/>
  <c r="M225"/>
  <c r="L221"/>
  <c r="N198"/>
  <c r="K198"/>
  <c r="J198"/>
  <c r="O198"/>
  <c r="T198"/>
  <c r="T9" s="1"/>
  <c r="M198"/>
  <c r="P198"/>
  <c r="L167"/>
  <c r="S164"/>
  <c r="S165"/>
  <c r="L163"/>
  <c r="P17"/>
  <c r="R14"/>
  <c r="V59"/>
  <c r="W59"/>
  <c r="V75"/>
  <c r="W75"/>
  <c r="I80"/>
  <c r="H167"/>
  <c r="G177"/>
  <c r="H247"/>
  <c r="K80"/>
  <c r="J80" s="1"/>
  <c r="J222"/>
  <c r="L224"/>
  <c r="J224" s="1"/>
  <c r="J223" s="1"/>
  <c r="J221" s="1"/>
  <c r="Q198"/>
  <c r="R247"/>
  <c r="R262"/>
  <c r="W23"/>
  <c r="W88"/>
  <c r="W108"/>
  <c r="U221"/>
  <c r="V74"/>
  <c r="W74"/>
  <c r="I148"/>
  <c r="K52"/>
  <c r="K94"/>
  <c r="K92" s="1"/>
  <c r="N94"/>
  <c r="N92" s="1"/>
  <c r="O245"/>
  <c r="N247"/>
  <c r="M264"/>
  <c r="V58"/>
  <c r="V63"/>
  <c r="W85"/>
  <c r="T94"/>
  <c r="T92" s="1"/>
  <c r="W139"/>
  <c r="K163"/>
  <c r="J163" s="1"/>
  <c r="J164"/>
  <c r="G165"/>
  <c r="I198"/>
  <c r="H14"/>
  <c r="H13" s="1"/>
  <c r="G57"/>
  <c r="G189"/>
  <c r="H244"/>
  <c r="L92"/>
  <c r="J249"/>
  <c r="L247"/>
  <c r="M81"/>
  <c r="P69"/>
  <c r="P93"/>
  <c r="S69"/>
  <c r="S81"/>
  <c r="U198"/>
  <c r="T245"/>
  <c r="T247"/>
  <c r="U262"/>
  <c r="J93"/>
  <c r="S21"/>
  <c r="T14"/>
  <c r="M255"/>
  <c r="M244" s="1"/>
  <c r="M245" s="1"/>
  <c r="P246"/>
  <c r="U80"/>
  <c r="V105"/>
  <c r="S198"/>
  <c r="W238"/>
  <c r="U163"/>
  <c r="U166" s="1"/>
  <c r="S167"/>
  <c r="P167"/>
  <c r="R163"/>
  <c r="R166" s="1"/>
  <c r="O163"/>
  <c r="O166" s="1"/>
  <c r="M167"/>
  <c r="W167" s="1"/>
  <c r="T163"/>
  <c r="P164"/>
  <c r="Q166"/>
  <c r="P165"/>
  <c r="N163"/>
  <c r="N166" s="1"/>
  <c r="M164"/>
  <c r="L166"/>
  <c r="V165"/>
  <c r="J167"/>
  <c r="O148"/>
  <c r="P141"/>
  <c r="P139" s="1"/>
  <c r="S145"/>
  <c r="V146"/>
  <c r="W146"/>
  <c r="V147"/>
  <c r="W147"/>
  <c r="U96"/>
  <c r="U95" s="1"/>
  <c r="S95" s="1"/>
  <c r="S93"/>
  <c r="V93" s="1"/>
  <c r="M93"/>
  <c r="O96"/>
  <c r="O95" s="1"/>
  <c r="O94" s="1"/>
  <c r="O92" s="1"/>
  <c r="M82"/>
  <c r="P82"/>
  <c r="S82"/>
  <c r="W82" s="1"/>
  <c r="O80"/>
  <c r="J69"/>
  <c r="K56"/>
  <c r="K55" s="1"/>
  <c r="S73"/>
  <c r="W73" s="1"/>
  <c r="P73"/>
  <c r="Q56"/>
  <c r="Q55" s="1"/>
  <c r="M69"/>
  <c r="N56"/>
  <c r="R56"/>
  <c r="R55" s="1"/>
  <c r="O56"/>
  <c r="O55" s="1"/>
  <c r="U56"/>
  <c r="U55" s="1"/>
  <c r="S54"/>
  <c r="U52"/>
  <c r="M54"/>
  <c r="O52"/>
  <c r="Q52"/>
  <c r="P54"/>
  <c r="R52"/>
  <c r="J54"/>
  <c r="P57"/>
  <c r="S53"/>
  <c r="S57"/>
  <c r="M53"/>
  <c r="M57"/>
  <c r="T52"/>
  <c r="N55"/>
  <c r="N52"/>
  <c r="S47"/>
  <c r="P47"/>
  <c r="J14"/>
  <c r="J13" s="1"/>
  <c r="U13"/>
  <c r="U11" s="1"/>
  <c r="U10" s="1"/>
  <c r="O14"/>
  <c r="O13" s="1"/>
  <c r="O11" s="1"/>
  <c r="T13"/>
  <c r="T11" s="1"/>
  <c r="T10" s="1"/>
  <c r="P21"/>
  <c r="M21"/>
  <c r="V222"/>
  <c r="S80"/>
  <c r="V73"/>
  <c r="V177"/>
  <c r="T230"/>
  <c r="S255"/>
  <c r="W105"/>
  <c r="S79"/>
  <c r="V17"/>
  <c r="Q80"/>
  <c r="P80" s="1"/>
  <c r="P79"/>
  <c r="Q10"/>
  <c r="P224"/>
  <c r="P223" s="1"/>
  <c r="P221" s="1"/>
  <c r="Q95"/>
  <c r="R96"/>
  <c r="R95" s="1"/>
  <c r="R94" s="1"/>
  <c r="Q230"/>
  <c r="P230" s="1"/>
  <c r="P255"/>
  <c r="P247" s="1"/>
  <c r="P53"/>
  <c r="R13"/>
  <c r="R11" s="1"/>
  <c r="R244"/>
  <c r="R245" s="1"/>
  <c r="O262"/>
  <c r="M263"/>
  <c r="M80"/>
  <c r="N9"/>
  <c r="J244"/>
  <c r="O154"/>
  <c r="M154" s="1"/>
  <c r="N230"/>
  <c r="M79"/>
  <c r="L263"/>
  <c r="N244"/>
  <c r="N245" s="1"/>
  <c r="N8" s="1"/>
  <c r="K10"/>
  <c r="J94"/>
  <c r="K9"/>
  <c r="K166"/>
  <c r="L9"/>
  <c r="J247"/>
  <c r="L13"/>
  <c r="L11" s="1"/>
  <c r="J11" s="1"/>
  <c r="J53"/>
  <c r="J52" s="1"/>
  <c r="J57"/>
  <c r="V57" s="1"/>
  <c r="J79"/>
  <c r="J95"/>
  <c r="V174"/>
  <c r="J96"/>
  <c r="J150"/>
  <c r="J155"/>
  <c r="V155" s="1"/>
  <c r="K244"/>
  <c r="J141"/>
  <c r="G167"/>
  <c r="W106"/>
  <c r="V82"/>
  <c r="I52"/>
  <c r="G155"/>
  <c r="G174"/>
  <c r="I163"/>
  <c r="I221"/>
  <c r="G232"/>
  <c r="W170"/>
  <c r="H163"/>
  <c r="V200"/>
  <c r="V71"/>
  <c r="G81"/>
  <c r="V199"/>
  <c r="G230"/>
  <c r="G238"/>
  <c r="H56"/>
  <c r="H55" s="1"/>
  <c r="V204"/>
  <c r="V238"/>
  <c r="V42"/>
  <c r="W69"/>
  <c r="V256"/>
  <c r="V246"/>
  <c r="W22"/>
  <c r="G82"/>
  <c r="G53"/>
  <c r="W171"/>
  <c r="V35"/>
  <c r="V18"/>
  <c r="I56"/>
  <c r="I55" s="1"/>
  <c r="G54"/>
  <c r="V39"/>
  <c r="W200"/>
  <c r="W62"/>
  <c r="V81"/>
  <c r="V69"/>
  <c r="G198"/>
  <c r="G234"/>
  <c r="W246"/>
  <c r="G69"/>
  <c r="I14"/>
  <c r="V249"/>
  <c r="V12"/>
  <c r="W12"/>
  <c r="H11"/>
  <c r="W199"/>
  <c r="V196"/>
  <c r="W25"/>
  <c r="V25"/>
  <c r="V70"/>
  <c r="V21"/>
  <c r="V197"/>
  <c r="W165"/>
  <c r="H52"/>
  <c r="G56"/>
  <c r="G55" s="1"/>
  <c r="W172"/>
  <c r="G93"/>
  <c r="I96"/>
  <c r="I95" s="1"/>
  <c r="I94" s="1"/>
  <c r="I9" s="1"/>
  <c r="I166"/>
  <c r="G224"/>
  <c r="G223" s="1"/>
  <c r="G221" s="1"/>
  <c r="G52"/>
  <c r="G245"/>
  <c r="G247"/>
  <c r="H80"/>
  <c r="G80" s="1"/>
  <c r="G79"/>
  <c r="G63"/>
  <c r="H94"/>
  <c r="H92" s="1"/>
  <c r="I247"/>
  <c r="S230" l="1"/>
  <c r="V230" s="1"/>
  <c r="V234"/>
  <c r="P244"/>
  <c r="P245" s="1"/>
  <c r="W255"/>
  <c r="O8"/>
  <c r="M247"/>
  <c r="W232"/>
  <c r="M230"/>
  <c r="S223"/>
  <c r="V223" s="1"/>
  <c r="V224"/>
  <c r="W224"/>
  <c r="M166"/>
  <c r="M163"/>
  <c r="H10"/>
  <c r="P262"/>
  <c r="R261"/>
  <c r="P261" s="1"/>
  <c r="M94"/>
  <c r="M92" s="1"/>
  <c r="P56"/>
  <c r="P55" s="1"/>
  <c r="W79"/>
  <c r="W80"/>
  <c r="V95"/>
  <c r="H9"/>
  <c r="S262"/>
  <c r="U261"/>
  <c r="S261" s="1"/>
  <c r="W21"/>
  <c r="S96"/>
  <c r="V96" s="1"/>
  <c r="U94"/>
  <c r="U92" s="1"/>
  <c r="J166"/>
  <c r="M96"/>
  <c r="W96" s="1"/>
  <c r="J92"/>
  <c r="V167"/>
  <c r="P166"/>
  <c r="P163"/>
  <c r="T166"/>
  <c r="S166" s="1"/>
  <c r="W166" s="1"/>
  <c r="S163"/>
  <c r="U9"/>
  <c r="W93"/>
  <c r="O9"/>
  <c r="M95"/>
  <c r="W95" s="1"/>
  <c r="R9"/>
  <c r="R92"/>
  <c r="Q8"/>
  <c r="J56"/>
  <c r="J55" s="1"/>
  <c r="S56"/>
  <c r="S55" s="1"/>
  <c r="V55" s="1"/>
  <c r="M56"/>
  <c r="M55" s="1"/>
  <c r="S52"/>
  <c r="M52"/>
  <c r="P52"/>
  <c r="W57"/>
  <c r="M14"/>
  <c r="M13" s="1"/>
  <c r="O10"/>
  <c r="M11"/>
  <c r="M8" s="1"/>
  <c r="S14"/>
  <c r="S13" s="1"/>
  <c r="T8"/>
  <c r="S11"/>
  <c r="S10" s="1"/>
  <c r="U8"/>
  <c r="S247"/>
  <c r="V247" s="1"/>
  <c r="V255"/>
  <c r="V164"/>
  <c r="W164"/>
  <c r="S244"/>
  <c r="V244" s="1"/>
  <c r="T7"/>
  <c r="R8"/>
  <c r="R10"/>
  <c r="Q94"/>
  <c r="Q92" s="1"/>
  <c r="P95"/>
  <c r="P11"/>
  <c r="P14"/>
  <c r="P13" s="1"/>
  <c r="P96"/>
  <c r="O261"/>
  <c r="M261" s="1"/>
  <c r="M262"/>
  <c r="K245"/>
  <c r="K8" s="1"/>
  <c r="K7"/>
  <c r="O7"/>
  <c r="J263"/>
  <c r="J9" s="1"/>
  <c r="L262"/>
  <c r="J245"/>
  <c r="M221"/>
  <c r="N7"/>
  <c r="J10"/>
  <c r="J8"/>
  <c r="V141"/>
  <c r="J139"/>
  <c r="V139" s="1"/>
  <c r="J148"/>
  <c r="V148" s="1"/>
  <c r="V150"/>
  <c r="L8"/>
  <c r="L10"/>
  <c r="G163"/>
  <c r="H166"/>
  <c r="G166" s="1"/>
  <c r="V54"/>
  <c r="W54"/>
  <c r="I92"/>
  <c r="G95"/>
  <c r="V52"/>
  <c r="G96"/>
  <c r="V79"/>
  <c r="V53"/>
  <c r="W53"/>
  <c r="V198"/>
  <c r="W247"/>
  <c r="W196"/>
  <c r="V47"/>
  <c r="W47"/>
  <c r="V80"/>
  <c r="G94"/>
  <c r="G9" s="1"/>
  <c r="I13"/>
  <c r="G14"/>
  <c r="G13" s="1"/>
  <c r="W230" l="1"/>
  <c r="U7"/>
  <c r="S221"/>
  <c r="V221" s="1"/>
  <c r="W223"/>
  <c r="M9"/>
  <c r="S94"/>
  <c r="W163"/>
  <c r="V163"/>
  <c r="V166"/>
  <c r="R7"/>
  <c r="V56"/>
  <c r="W52"/>
  <c r="W55"/>
  <c r="W56"/>
  <c r="V14"/>
  <c r="W14"/>
  <c r="M10"/>
  <c r="M7" s="1"/>
  <c r="S245"/>
  <c r="W244"/>
  <c r="P10"/>
  <c r="P8"/>
  <c r="Q7"/>
  <c r="Q9"/>
  <c r="P94"/>
  <c r="P92" s="1"/>
  <c r="J262"/>
  <c r="L261"/>
  <c r="G92"/>
  <c r="W198"/>
  <c r="W13"/>
  <c r="V13"/>
  <c r="I11"/>
  <c r="W221" l="1"/>
  <c r="S92"/>
  <c r="S9"/>
  <c r="V94"/>
  <c r="I10"/>
  <c r="W245"/>
  <c r="V245"/>
  <c r="S8"/>
  <c r="P9"/>
  <c r="P7"/>
  <c r="J261"/>
  <c r="J7" s="1"/>
  <c r="L7"/>
  <c r="V10"/>
  <c r="W10"/>
  <c r="W11"/>
  <c r="V11"/>
  <c r="G11"/>
  <c r="G8" s="1"/>
  <c r="V92" l="1"/>
  <c r="S7"/>
  <c r="V7" s="1"/>
  <c r="W92"/>
  <c r="W9"/>
  <c r="V9"/>
  <c r="G10"/>
  <c r="G7" s="1"/>
  <c r="W8"/>
  <c r="V8"/>
  <c r="W7" l="1"/>
  <c r="H7"/>
  <c r="H245"/>
  <c r="H8" s="1"/>
  <c r="I7"/>
  <c r="I245"/>
  <c r="I8" s="1"/>
</calcChain>
</file>

<file path=xl/sharedStrings.xml><?xml version="1.0" encoding="utf-8"?>
<sst xmlns="http://schemas.openxmlformats.org/spreadsheetml/2006/main" count="876" uniqueCount="330">
  <si>
    <t>Наименование объекта капитального строительства (объекта недвижимого имущества, мероприятия) с указанием направления инвестирования</t>
  </si>
  <si>
    <t>Прогнозная мощность (прогнозный прирост мощности)</t>
  </si>
  <si>
    <t>Всего</t>
  </si>
  <si>
    <t>В том числе</t>
  </si>
  <si>
    <t>средства федерального бюджета и прочие целевые средства</t>
  </si>
  <si>
    <t>средства областного бюджета</t>
  </si>
  <si>
    <t>ВСЕГО по областной адресной инвестиционной программе, в том числе:</t>
  </si>
  <si>
    <t>по федеральным проектам</t>
  </si>
  <si>
    <t>вне рамок федеральных проектов</t>
  </si>
  <si>
    <t>Государственная программа Архангельской области "Развитие здравоохранения Архангельской области"</t>
  </si>
  <si>
    <t>Подпрограмма "Совершенствование системы территориального планирования Архангельской области"</t>
  </si>
  <si>
    <t>Министерство строительства и архитектуры Архангельской области</t>
  </si>
  <si>
    <t>Поликлиника ГБУЗ АО "Лешуконская центральная районная больница" по адресу: Архангельская область, Лешуконский район, с. Лешуконское, ул. Мелоспольская, д. 4, корп. 9. Проектирование и строительство</t>
  </si>
  <si>
    <t>-</t>
  </si>
  <si>
    <t>200 посещений / смену</t>
  </si>
  <si>
    <t>государственное казенное учреждение Архангельской области "Главное управление капитального строительства"</t>
  </si>
  <si>
    <t>2024/2025</t>
  </si>
  <si>
    <t>Федеральный проект "Модернизация первичного звена здравоохранения Российской Федерации"</t>
  </si>
  <si>
    <t>N 9</t>
  </si>
  <si>
    <t>Врачебная амбулатория в п. Подюга Коношского района на 50 посещений в смену. Проектирование и строительство</t>
  </si>
  <si>
    <t>50 посещений в смену</t>
  </si>
  <si>
    <t>2021/2022</t>
  </si>
  <si>
    <t>вне рамок федерального проекта</t>
  </si>
  <si>
    <t>Корректировка проектной документации и строительство больницы на 16 стационарных коек и 7 коек дневного стационара в пос. Урдома Ленского района</t>
  </si>
  <si>
    <t>16 коек</t>
  </si>
  <si>
    <t>2020/2022</t>
  </si>
  <si>
    <t>Корректировка проектной документации и строительство объекта "Пристройка к зданию хирургического корпуса государственного бюджетного учреждения здравоохранения Архангельской области "Мезенская центральная районная больница"</t>
  </si>
  <si>
    <t>298 посещений в смену</t>
  </si>
  <si>
    <t>2015/2022</t>
  </si>
  <si>
    <t>Корректировка ПСД, реконструкция, строительство инженерных сетей и благоустройство территории ГБУЗ АО "АОКБ", г. Архангельск, пр. Ломоносова, 292</t>
  </si>
  <si>
    <t>1520 п.м.</t>
  </si>
  <si>
    <t>2022/2024</t>
  </si>
  <si>
    <t>400 посещений, 20 коек</t>
  </si>
  <si>
    <t>2021/2023</t>
  </si>
  <si>
    <t>Поликлиника на 250 посещений в смену, второй пусковой комплекс по адресу Архангельская область, Пинежский район,</t>
  </si>
  <si>
    <t>с. Карпогоры, ул. Ленина 47 Б. Корректировка проектной документации и строительство</t>
  </si>
  <si>
    <t>250 посещений в смену</t>
  </si>
  <si>
    <t>Проектирование и строительство фельдшерско-акушерского пункта в дер. Патровская Каргопольского муниципального округа Архангельской области</t>
  </si>
  <si>
    <t>20 посещений в смену</t>
  </si>
  <si>
    <t>2021/2024</t>
  </si>
  <si>
    <t>Проектирование и строительство больницы</t>
  </si>
  <si>
    <t>в пос. Березник Виноградовского муниципального округа Архангельской области</t>
  </si>
  <si>
    <t>45 коек</t>
  </si>
  <si>
    <t>2015/2021</t>
  </si>
  <si>
    <t>Проектирование и строительство врачебной амбулатории в с. Сура, Пинежского района Архангельской области (для ГБУЗ АО "Карпогорская центральная районная больница")</t>
  </si>
  <si>
    <t>Проектирование и строительство фельдшерско-акушерского пункта в дер. Усачевская Каргопольского муниципального округа Архангельской области</t>
  </si>
  <si>
    <t>Проектирование и строительство фельдшерско-акушерского пункта в с. Койда Мезенского района Архангельской области &lt;*&gt;</t>
  </si>
  <si>
    <t>2020/2021</t>
  </si>
  <si>
    <t>Реконструкция главного корпуса ГБУЗ АО "Вельская центральная районная больница" по адресу: Архангельская область, Вельский район, г. Вельск, ул. Конева, д. 28а</t>
  </si>
  <si>
    <t>780 посещений в смену</t>
  </si>
  <si>
    <t>Строительство лечебно-диагностического корпуса ГБУЗ Архангельской области "Архангельская областная детская клиническая больница им. П.Г.Выжлецова"</t>
  </si>
  <si>
    <t>70 коек</t>
  </si>
  <si>
    <t>2011/2022</t>
  </si>
  <si>
    <t>Федеральный проект "Развитие детского здравоохранения, включая создание современной инфраструктуры оказания медицинской помощи детям"</t>
  </si>
  <si>
    <t>N 4</t>
  </si>
  <si>
    <t>Строительство офиса врача общей практики в г. Архангельск, ул. Карская, 15</t>
  </si>
  <si>
    <t>Государственная программа Архангельской области "Развитие образования и науки Архангельской области"</t>
  </si>
  <si>
    <t>Подпрограмма "Строительство и капитальный ремонт объектов инфраструктуры системы образования в Архангельской области"</t>
  </si>
  <si>
    <t>Строительство детского сада на 120 мест в пос. Малошуйка Онежского района &lt;*&gt;</t>
  </si>
  <si>
    <t>120 мест</t>
  </si>
  <si>
    <t>администрация Онежского муниципального района Архангельской области</t>
  </si>
  <si>
    <t>2019/2022</t>
  </si>
  <si>
    <t>Строительство детского сада на 220 мест в пос. Урдома Ленского района</t>
  </si>
  <si>
    <t>220 мест</t>
  </si>
  <si>
    <t>Строительство начальной общеобразовательной школы на 320 учащихся в с. Ильинско-Подомское Вилегодского муниципального округа Архангельской области &lt;*&gt;</t>
  </si>
  <si>
    <t>320 мест</t>
  </si>
  <si>
    <t>администрация Вилегодского муниципального округа Архангельской области</t>
  </si>
  <si>
    <t>Строительство пристройки на 200 учащихся к зданию школы в пос. Приводино Котласского района</t>
  </si>
  <si>
    <t>200 мест</t>
  </si>
  <si>
    <t>Строительство средней общеобразовательной школы на 240 мест в поселке Оксовский Плесецкого муниципального округа Архангельской области &lt;*&gt;</t>
  </si>
  <si>
    <t>240 мест</t>
  </si>
  <si>
    <t>администрация Плесецкого муниципального района Архангельской области</t>
  </si>
  <si>
    <t>2022/2023</t>
  </si>
  <si>
    <t>Федеральный проект "Современная школа"</t>
  </si>
  <si>
    <t>E1</t>
  </si>
  <si>
    <t>Строительство средней общеобразовательной школы на 250 учащихся с блоком временного проживания на 50 человек в с. Ровдино Шенкурского района &lt;*&gt;</t>
  </si>
  <si>
    <t>250 мест</t>
  </si>
  <si>
    <t>администрация Шенкурского муниципального района Архангельской области</t>
  </si>
  <si>
    <t>2013/2021</t>
  </si>
  <si>
    <t>Строительство школы на 1 600 мест в территориальном округе Варавино-Фактория г. Архангельска</t>
  </si>
  <si>
    <t>1600 мест</t>
  </si>
  <si>
    <t>администрация городского округа "Город Архангельск"</t>
  </si>
  <si>
    <t>2023/2024</t>
  </si>
  <si>
    <t>Строительство школы на 1 600 мест в территориальном округе Майская горка г. Архангельска</t>
  </si>
  <si>
    <t>1 600 мест</t>
  </si>
  <si>
    <t>Строительство школы на 860 мест в территориальном округе Варавино-Фактория г. Архангельска &lt;*&gt;</t>
  </si>
  <si>
    <t>860 мест</t>
  </si>
  <si>
    <t>2019/2021</t>
  </si>
  <si>
    <t>Строительство школы на 90 учащихся в с. Долгощелье Мезенского района Архангельской области &lt;*&gt;</t>
  </si>
  <si>
    <t>90 мест</t>
  </si>
  <si>
    <t>администрация Мезенского муниципального района Архангельской области</t>
  </si>
  <si>
    <t>2018/2022</t>
  </si>
  <si>
    <t>Министерство образования Архангельской области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</si>
  <si>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</si>
  <si>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Государственная программа Архангельской области "Культура Русского Севера"</t>
  </si>
  <si>
    <t>Реконструкция здания Новодвинского ГКЦ</t>
  </si>
  <si>
    <t>Сельский дом культуры на 100 мест в д. Ватамановская. Строительство</t>
  </si>
  <si>
    <t>администрация Каргопольского муниципального округа Архангельской области</t>
  </si>
  <si>
    <t>Федеральный проект "Культурная среда"</t>
  </si>
  <si>
    <t>A1</t>
  </si>
  <si>
    <t>Министерство транспорта Архангельской области</t>
  </si>
  <si>
    <t>Строительство моста (Пентус)</t>
  </si>
  <si>
    <t>ДФ</t>
  </si>
  <si>
    <t>протяженность моста - 130 м</t>
  </si>
  <si>
    <t>администрация Устьянского муниципального района Архангельской области</t>
  </si>
  <si>
    <t>Федеральный проект "Развитие туристической инфраструктуры"</t>
  </si>
  <si>
    <t>J1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</si>
  <si>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области"</t>
  </si>
  <si>
    <t>Подпрограмма "Создание условий для обеспечения доступным и комфортным жильем жителей Архангельской области"</t>
  </si>
  <si>
    <t>Обеспечение земельных участков, предоставляемых многодетным семьям для индивидуального жилищного строительства, объектами инженерной инфраструктуры (подъездные дороги в дер. Боброво, с. Емецке и с. Матигоры), 1 этап: Боброво-1, Боброво-2</t>
  </si>
  <si>
    <t>0,9098 км</t>
  </si>
  <si>
    <t>Обустройство объектами инженерной инфраструктуры площадки под комплексную жилищную застройку по адресу: Архангельская область, Вилегодский муниципальный округ Архангельской области, село Ильинско-Подомское, ул. Советская</t>
  </si>
  <si>
    <t>517,3 м автомобильной дороги местного значения, 1371,1 м водопроводных сетей, 791,7 м канализационных сетей</t>
  </si>
  <si>
    <t>Проектирование и строительство канализационных очистных сооружений мощностью до 2 500 куб. м / сутки с трассами напорного коллектора в пос. Приводино Котласского района</t>
  </si>
  <si>
    <t>до 2 500 куб. м / сутки</t>
  </si>
  <si>
    <t>Реконструкция зданий жилищного фонда (устройство вентилируемых фасадов многоквартирных домов) в г. Мирный Архангельской области</t>
  </si>
  <si>
    <t>62 жилых дома</t>
  </si>
  <si>
    <t>администрация городского округа Архангельской области "Мирный"</t>
  </si>
  <si>
    <t>2014/2022</t>
  </si>
  <si>
    <t>Создание инженерной и транспортной инфраструктуры (II очереди) 17 и 19 кварталов земельного участка "Зеленый-1" в г. Коряжме Архангельской области</t>
  </si>
  <si>
    <t>184 земельных участка</t>
  </si>
  <si>
    <t>администрация городского округа Архангельской области "Город Коряжма"</t>
  </si>
  <si>
    <t>(ул. Таежная) &lt;*&gt;</t>
  </si>
  <si>
    <t>1,29 км</t>
  </si>
  <si>
    <t>администрация городского округа Архангельской области "Котлас"</t>
  </si>
  <si>
    <t>Строительство служебного жилья для молодых специалистов</t>
  </si>
  <si>
    <t>35 квартир</t>
  </si>
  <si>
    <t>Строительство школы на 860 мест в г. Котласе &lt;*&gt;</t>
  </si>
  <si>
    <t>Федеральный проект "Жилье"</t>
  </si>
  <si>
    <t>F1</t>
  </si>
  <si>
    <t>Министерство топливно-энергетического комплекса и жилищно-коммунального хозяйства Архангельской области</t>
  </si>
  <si>
    <t>Приобретение жилых помещений для переселения граждан из жилых домов, расположенных по адресам: с. Холмогоры, ул. Ломоносова, д. 64, корп. 1 и корп. 2</t>
  </si>
  <si>
    <t>9 жилых помещений</t>
  </si>
  <si>
    <t>администрация Холмогорского муниципального района Архангельской области</t>
  </si>
  <si>
    <t>Приобретение жилых помещений для переселения граждан из жилого дома, расположенного по адресу: г. Онега, ул. Привокзальная, д. 30, корп. А</t>
  </si>
  <si>
    <t>4 жилых помещения</t>
  </si>
  <si>
    <t>Министерство здравоохранения Архангельской области</t>
  </si>
  <si>
    <t>Приобретение жилых помещений для предоставления в качестве служебного жилья медицинским работникам</t>
  </si>
  <si>
    <t>Приобретение 1 квартиры</t>
  </si>
  <si>
    <t>государственное автономное учреждение здравоохранения Архангельской области "Вельская стоматологическая поликлиника"</t>
  </si>
  <si>
    <t>государственное автономное учреждение здравоохранения Архангельской области "Коряжемская стоматологическая поликлиника"</t>
  </si>
  <si>
    <t>государственное бюджетное учреждение здравоохранения Архангельской области "Архангельская областная детская клиническая больница имени П.Г. Выжлецова"</t>
  </si>
  <si>
    <t>государственное бюджетное учреждение здравоохранения Архангельской области "Архангельская областная клиническая станция скорой медицинской помощи"</t>
  </si>
  <si>
    <t>государственное бюджетное учреждение здравоохранения Архангельской области "Котласский психоневрологический диспансер"</t>
  </si>
  <si>
    <t>государственное бюджетное учреждение здравоохранения Архангельской области "Новодвинская центральная городская больница"</t>
  </si>
  <si>
    <t>государственное бюджетное учреждение здравоохранения Архангельской области "Северодвинская городская детская клиническая больница"</t>
  </si>
  <si>
    <t>Приобретение 2 квартир</t>
  </si>
  <si>
    <t>государственное бюджетное учреждение здравоохранения Архангельской области "Архангельская городская клиническая больница N 4"</t>
  </si>
  <si>
    <t>государственное бюджетное учреждение здравоохранения Архангельской области "Архангельская городская клиническая поликлиника N 1"</t>
  </si>
  <si>
    <t>государственное бюджетное учреждение здравоохранения Архангельской области "Мирнинская центральная городская больница"</t>
  </si>
  <si>
    <t>государственное бюджетное учреждение здравоохранения Архангельской области "Северодвинская городская больница N 2 скорой медицинской помощи"</t>
  </si>
  <si>
    <t>государственное бюджетное учреждение здравоохранения Архангельской области "Северодвинская станция скорой медицинской помощи"</t>
  </si>
  <si>
    <t>Приобретение 3 квартир</t>
  </si>
  <si>
    <t>государственное бюджетное учреждение здравоохранения Архангельской области "Плесецкая центральная районная больница"</t>
  </si>
  <si>
    <t>государственное бюджетное учреждение здравоохранения Архангельской области "Приморская центральная районная больница"</t>
  </si>
  <si>
    <t>государственное бюджетное учреждение здравоохранения Архангельской области "Устьянская центральная районная больница"</t>
  </si>
  <si>
    <t>Приобретение 4 квартир</t>
  </si>
  <si>
    <t>государственное автономное учреждение здравоохранения Архангельской области "Котласская городская стоматологическая поликлиника"</t>
  </si>
  <si>
    <t>государственное бюджетное учреждение здравоохранения Архангельской области "Коношская центральная районная больница"</t>
  </si>
  <si>
    <t>государственное бюджетное учреждение здравоохранения Архангельской области "Красноборская центральная районная больница"</t>
  </si>
  <si>
    <t>государственное бюджетное учреждение здравоохранения Архангельской области "Няндомская центральная районная больница"</t>
  </si>
  <si>
    <t>Приобретение 6 квартир</t>
  </si>
  <si>
    <t>государственное бюджетное учреждение здравоохранения Архангельской области "Вельская центральная районная больница"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</si>
  <si>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области"</t>
  </si>
  <si>
    <t>Подпрограмма "Профилактика преступлений и иных правонарушений в Архангельской области"</t>
  </si>
  <si>
    <t>Строительство здания специального учреждения УФМС в г. Архангельске</t>
  </si>
  <si>
    <t>31 человек</t>
  </si>
  <si>
    <t>2017/2022</t>
  </si>
  <si>
    <t>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объектах"</t>
  </si>
  <si>
    <t>Подпрограмма "Пожарная безопасность в Архангельской области"</t>
  </si>
  <si>
    <t>Проектирование и строительство объекта "Пожарное депо ГКУ "ОГПС-21" на 4 автомашины в г. Сольвычегодске Котласского района</t>
  </si>
  <si>
    <t>4 автомобиля</t>
  </si>
  <si>
    <t>2013/2022</t>
  </si>
  <si>
    <t>Государственная программа Архангельской области "Охрана окружающей среды, воспроизводство и использование природных ресурсов Архангельской области"</t>
  </si>
  <si>
    <t>Подпрограмма "Охрана окружающей среды и обеспечение экологической безопасности Архангельской области"</t>
  </si>
  <si>
    <t>Строительство кладбища в деревне Валдушки</t>
  </si>
  <si>
    <t>Площадь - 25,7 га</t>
  </si>
  <si>
    <t>2000/2028</t>
  </si>
  <si>
    <t>Государственная программа Архангельской области "Совершенствование государственного управления и местного самоуправления, развитие институтов гражданского общества в Архангельской области"</t>
  </si>
  <si>
    <t>Подпрограмма "Развитие отдельных направлений системы государственного управления Архангельской области"</t>
  </si>
  <si>
    <t>Администрация Губернатора Архангельской области и Правительства Архангельской области</t>
  </si>
  <si>
    <t>Строительство учебных корпусов N 5 и N 6 в Загородном комплексе "Бабанегово", расположенном по адресу: Архангельская область, Приморский район, д. Бабанегово</t>
  </si>
  <si>
    <t>536 кв м</t>
  </si>
  <si>
    <t>государственное казенное учреждение Архангельской области "Управление делами"</t>
  </si>
  <si>
    <t>Государственная программа Архангельской области "Развитие энергетики и жилищно-коммунального хозяйства Архангельской области"</t>
  </si>
  <si>
    <t>Подпрограмма "Энергосбережение и повышение энергетической эффективности в Архангельской области"</t>
  </si>
  <si>
    <t>Водоснабжение правобережной части города Каргополя Каргопольского муниципального округа Архангельской области. Строительство</t>
  </si>
  <si>
    <t>6,58 км</t>
  </si>
  <si>
    <t>Федеральный проект "Чистая вода"</t>
  </si>
  <si>
    <t>F5</t>
  </si>
  <si>
    <t>Проектирование водопровода от точки подключения к городскому водопроводу по адресу: г. Архангельск, ул. Дрейера 1 стр. 1 МО "Город Архангельск" до ВОС дер. Рикасово д. 27 МО "Заостровское" Приморского района Архангельской области (2 этап)</t>
  </si>
  <si>
    <t>администрация Приморского муниципального района Архангельской области</t>
  </si>
  <si>
    <t>Проектирование и строительство водопровода от дер. Рикасиха до пос. Лайский Док МО Приморское Приморского района Архангельской области</t>
  </si>
  <si>
    <t>4,5665 км</t>
  </si>
  <si>
    <t>Проектирование и строительство водопровода от точки подключения к городскому водопроводу по адресу: г. Архангельск, ул. Дрейера 1 стр. 1 МО Город Архангельск до ВОС дер. Рикасово д. 27 МО Заостровское Приморского района Архангельской области</t>
  </si>
  <si>
    <t>4,709 км</t>
  </si>
  <si>
    <t>Реконструкция водопровода с. Яренск Ленского района Архангельской области (Строительство ВОС. 1 этап)</t>
  </si>
  <si>
    <t>500 куб м/сутки</t>
  </si>
  <si>
    <t>администрация Ленского муниципального района Архангельской области</t>
  </si>
  <si>
    <t>Реконструкция водопроводных очистных сооружений г. Вельск (1 этап)</t>
  </si>
  <si>
    <t>6 600 куб м / сутки</t>
  </si>
  <si>
    <t>администрация Вельского муниципального района Архангельской области</t>
  </si>
  <si>
    <t>Реконструкция очистных сооружений водопровода в г. Котласе Архангельской области</t>
  </si>
  <si>
    <t>30 000 куб. м / сутки</t>
  </si>
  <si>
    <t>Реконструкция системы водоснабжения г. Каргополя (левобережная часть) и пос. Пригородный</t>
  </si>
  <si>
    <t>17,231 км</t>
  </si>
  <si>
    <t>Реконструкция системы водоснабжения п. Плесецк Архангельской области ВЗУ-1 (1 этап)</t>
  </si>
  <si>
    <t>2 520 куб м / сутки</t>
  </si>
  <si>
    <t>администрация Плесецкого муниципального округа Архангельской области</t>
  </si>
  <si>
    <t>Реконструкция системы водоснабжения пос. Двинской (1 этап)</t>
  </si>
  <si>
    <t>730,93 куб. м/сутки</t>
  </si>
  <si>
    <t>администрация Верхнетоемского муниципального округа Архангельской области</t>
  </si>
  <si>
    <t>Реконструкция системы водоснабжения с вводом в эксплуатацию новой скважины, строительство и подключение блочно-модульной станции очистки воды пос. Ерцево</t>
  </si>
  <si>
    <t>530 куб м/сутки</t>
  </si>
  <si>
    <t>администрация Коношского муниципального района Архангельской области</t>
  </si>
  <si>
    <t>Станция очистки холодной воды производительностью 490 м3/сут. и водопроводные сети для нужд хозяйственно-питьевого водоснабжения районного центра поселка Березник Архангельской области. Строительство</t>
  </si>
  <si>
    <t>490 куб. м / сутки</t>
  </si>
  <si>
    <t>администрация Виноградовского муниципального округа Архангельской области</t>
  </si>
  <si>
    <t>Строительство водоочистных сооружений и водонасосной станции, реконструкция сетей водоснабжения, пос. Шипицыно (1 этап)</t>
  </si>
  <si>
    <t>767,9 куб м / сутки</t>
  </si>
  <si>
    <t>администрация Котласского муниципального района Архангельской области</t>
  </si>
  <si>
    <t>Установка и подключение блочно-модульной станции холодной воды в дер. Рембуево</t>
  </si>
  <si>
    <t>100 куб м/сутки</t>
  </si>
  <si>
    <t>Государственная программа Архангельской области "Развитие транспортной системы Архангельской области"</t>
  </si>
  <si>
    <t>Подпрограмма "Развитие общественного пассажирского транспорта и транспортной инфраструктуры Архангельской области"</t>
  </si>
  <si>
    <t>Проектирование и строительство наплавного моста</t>
  </si>
  <si>
    <t>1 мост</t>
  </si>
  <si>
    <t>Проектирование и строительство судов ледового класса для осуществления грузопассажирских перевозок в период ледохода на территории Архангельской области</t>
  </si>
  <si>
    <t>2 судна</t>
  </si>
  <si>
    <t>государственное бюджетное учреждение Архангельской области "Региональная транспортная служба"</t>
  </si>
  <si>
    <t>Разработка проектной документации и строительство причальных сооружений</t>
  </si>
  <si>
    <t>1 причал</t>
  </si>
  <si>
    <t>Реконструкция моста через Никольское устье Северной Двины в г. Северодвинске</t>
  </si>
  <si>
    <t>протяженность дороги - 2,916 км, в том числе моста - 185,8 пог. м</t>
  </si>
  <si>
    <t>администрация городского округа Архангельской области "Северодвинск"</t>
  </si>
  <si>
    <t>2019/2023</t>
  </si>
  <si>
    <t>Федеральный проект "Региональная и местная дорожная сеть"</t>
  </si>
  <si>
    <t>R1</t>
  </si>
  <si>
    <t>Строительство автодорог в рамках комплексной застройки квартала N 152 в г. Архангельске</t>
  </si>
  <si>
    <t>протяженность - 2,32 км</t>
  </si>
  <si>
    <t>Строительство автодорог в рамках комплексной застройки квартала N 85 в г. Северодвинске</t>
  </si>
  <si>
    <t>протяженность - 2 км</t>
  </si>
  <si>
    <t>Строительство автодороги по ул. Ушинского на участке от ул. Маяковского до ул. Посадская (протяженность 1 900 м) в г. Котласе Архангельской области</t>
  </si>
  <si>
    <t>строительная длина - 1,8909 км</t>
  </si>
  <si>
    <t>Строительство автомобильной дороги по проспекту Мира на участке от ул. Ушинского до объездной автомобильной дороги "Котлас - Коряжма, км 0 - км 41"</t>
  </si>
  <si>
    <t>протяженность дороги - 1,38 км</t>
  </si>
  <si>
    <t>Строительство окружной дороги (соединение ул. Окружной с ул. Юбилейной) в г. Северодвинске (1-й этап)</t>
  </si>
  <si>
    <t>Строительная длина: первый этап - 1077,15 м</t>
  </si>
  <si>
    <t>Строительство окружной дороги (соединение ул. Окружной с ул. Юбилейной) в г. Северодвинске (2 этап)</t>
  </si>
  <si>
    <t>Строительная длина: второй этап - 263,44 м</t>
  </si>
  <si>
    <t>Подпрограмма "Развитие и совершенствование сети автомобильных дорог общего пользования регионального значения"</t>
  </si>
  <si>
    <t>Строительство мостового перехода через реку Устья на км 139 + 309 автомобильной дороги Шангалы - Квазеньга - Кизема</t>
  </si>
  <si>
    <t>протяженность дороги - 5,6 км, в том числе моста - 113,6 п. м</t>
  </si>
  <si>
    <t>государственное казенное учреждение Архангельской области "Дорожное агентство "Архангельскавтодор"</t>
  </si>
  <si>
    <t>Государственная программа Архангельской области "Развитие инфраструктуры Соловецкого архипелага"</t>
  </si>
  <si>
    <t>Реконструкция аэропортового комплекса "Соловки" о. Соловецкий, Архангельская область</t>
  </si>
  <si>
    <t>68 675 кв. м</t>
  </si>
  <si>
    <t>2018/2021</t>
  </si>
  <si>
    <t>Федеральный проект "Развитие региональных аэропортов и маршрутов"</t>
  </si>
  <si>
    <t>V7</t>
  </si>
  <si>
    <t>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</si>
  <si>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10 коек</t>
  </si>
  <si>
    <t>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</si>
  <si>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протяженность - 14,4 км, производительность - 600 куб. м / сутки</t>
  </si>
  <si>
    <t>Государственная программа Архангельской области "Комплексное развитие сельских территорий Архангельской области"</t>
  </si>
  <si>
    <t>Подпрограмма "Создание условий для обеспечения доступным и комфортным жильем сельского населения"</t>
  </si>
  <si>
    <t>Комплексное обустройство площадки под компактную жилищную застройку в дер. Бор Няндомского района Архангельской области. Строительство</t>
  </si>
  <si>
    <t>Автомобильные дороги - 1,05864 км, водопровод - 900 м, расчетная мощность освещения - 2,48 кВт</t>
  </si>
  <si>
    <t>администрация Няндомского муниципального района Архангельской области</t>
  </si>
  <si>
    <t>Комплексное обустройство площадки под компактную жилищную застройку в дер. Куимиха Котласского района Архангельской области. Строительство</t>
  </si>
  <si>
    <t>Проезжая часть протяженностью 3413,5 м, уличное освещение протяженностью 2450 м</t>
  </si>
  <si>
    <t>администрация городского поселения "Приводинское"</t>
  </si>
  <si>
    <t>Подпрограмма "Создание и развитие инфраструктуры на сельских территориях"</t>
  </si>
  <si>
    <t>Строительство детского сада "Золушка" в с. Черевково Красноборского района Архангельской области (90 мест)</t>
  </si>
  <si>
    <t>администрация Красноборского муниципального района Архангельской области</t>
  </si>
  <si>
    <t>Строительство детского сада на 60 мест в пос. Лайский Док Приморского района Архангельской области</t>
  </si>
  <si>
    <t>60 мест</t>
  </si>
  <si>
    <t>352 учащихся</t>
  </si>
  <si>
    <t>75 мест</t>
  </si>
  <si>
    <t>Государственная программа Архангельской области "Развитие физической культуры и спорта в Архангельской области"</t>
  </si>
  <si>
    <t>Здание крытой ледовой арены учебно-тренировочного комплекса на территории стадиона "Север" в г. Северодвинске Архангельской области. Строительство</t>
  </si>
  <si>
    <t>Размер хоккейного корта - 26 на 60 м</t>
  </si>
  <si>
    <t>Корректировка проектной документации и строительство многоцелевого физкультурно-оздоровительного объекта (хоккейная аренда - "Ледовый дворец") по адресу: Российская Федерация, Архангельская область, г. Коряжма, ул. Архангельская, земельный участок 35</t>
  </si>
  <si>
    <t>100 человек в смену</t>
  </si>
  <si>
    <t>Федеральный проект "Спорт - норма жизни"</t>
  </si>
  <si>
    <t>P5</t>
  </si>
  <si>
    <t>Проектирование и строительство крытого катка с искусственным льдом в г. Архангельске</t>
  </si>
  <si>
    <t>Строительство объекта "Спортивный зал "ГАПОУ АО "Каргопольский индустриальный техникум" по адресу: г. Каргополь, ул. Семенковская, д. 79"</t>
  </si>
  <si>
    <t>44 человека</t>
  </si>
  <si>
    <t>2021/2021</t>
  </si>
  <si>
    <t>Строительство спортивного зала ГБНОУ АО "АГЛ имени М.В. Ломоносова" по адресу: г. Архангельск, набережная Северной Двины, д. 25</t>
  </si>
  <si>
    <t>483,9 кв. м</t>
  </si>
  <si>
    <t>Министерство по делам молодежи и спорту Архангельской области</t>
  </si>
  <si>
    <t>Лыжно-биатлонный комплекс "Малиновка". Проектирование и строительство</t>
  </si>
  <si>
    <t>500 посещений в смену</t>
  </si>
  <si>
    <t>В рамках дорожного фонда (ДФ)</t>
  </si>
  <si>
    <t>Наименование заказчика по объектам государственной (муниципальной) собственности</t>
  </si>
  <si>
    <t>Код федераль-ного проекта</t>
  </si>
  <si>
    <t>Прогноз-ный срок (начало/ окончание)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</si>
  <si>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</si>
  <si>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к уточненной сводной бюджетной росписи на год</t>
  </si>
  <si>
    <t>Поликлиника для детского населения в г. Котлас. Строительство</t>
  </si>
  <si>
    <t>Общая площадь здания 4740,9 кв. м вместимость зрительного зала 269 чел</t>
  </si>
  <si>
    <t>общая площадь - 554 кв. м зрительный зал - 100 мест</t>
  </si>
  <si>
    <t>государственное бюджетное учреждение здравоохранения Архангельской области "Каргопольская центральная районная больница имени Н.Д. Кировой"</t>
  </si>
  <si>
    <t>Государственное автономное спортивное учреждение Архангельской области "Спортивная школа олимпийского резерва "Устьянский лыжный клуб"</t>
  </si>
  <si>
    <t>Строительство социально-культурного центра в пос. Лайский Док МО "Приморское" Приморского района Архангельской области (на 75 мест)</t>
  </si>
  <si>
    <t>Строительство объекта "Средняя общеобразовательная школа на 352 учащихся с интернатом на 80 мест в п. Шалакуша" &lt;*&gt;</t>
  </si>
  <si>
    <t>рублей</t>
  </si>
  <si>
    <t>Утверждено постановлением Правительства Архангельской области  от 24.01.2022 № 19-пп (в ред. от 15.06.2022 № 428-пп) на 2022 год</t>
  </si>
  <si>
    <t>Уточненная сводная бюджетная роспись на 2022 год по состоянию на 30.06.2022</t>
  </si>
  <si>
    <t>План кассовых выплат на I  полугодие 2022 года</t>
  </si>
  <si>
    <t>Исполнено на 30.06.2022</t>
  </si>
  <si>
    <t>Исполнение I полугодия, в процентах</t>
  </si>
  <si>
    <t>к плану на I полугодие</t>
  </si>
  <si>
    <t>Отчет об исполнении областной адресной инвестиционной программы за I полугодие 2022 года</t>
  </si>
  <si>
    <t>аа</t>
  </si>
  <si>
    <t>Проектирование и строительство фельдшерско-акушерского пункта в дер. Гридино Няндомского муниципального района Архангельской области</t>
  </si>
  <si>
    <t>Р2</t>
  </si>
  <si>
    <t>Федеральный проект "Содействие занятости"</t>
  </si>
  <si>
    <t xml:space="preserve">Строительство канализационной насосной станции в Южном районе в г. Котласе </t>
  </si>
  <si>
    <t>Агентство государственной противопожарной службы и гражданской защиты Архангельской области</t>
  </si>
  <si>
    <t>Закупка маломерного судна, подлежащего государственной регистрации</t>
  </si>
  <si>
    <t>Подпрограмма "Снижение рисков и смягчение последствий чрезвычайных ситуаций межмуниципального и регионального характера, а также обеспечение безопасности людей на водных объектах в Архангельской области"</t>
  </si>
  <si>
    <t>Проектирование и строительство объекта "Укрепление правого берега реки Северная Двина в Соломбальском территориальном округе г. Архангельска на участке от ул. Маяковского до ул. Кедрова"</t>
  </si>
  <si>
    <t>Подпрограмма "Развитие водохозяйственного комплекса Архангельской области"</t>
  </si>
  <si>
    <t xml:space="preserve">Строительство станции очистки холодной воды по адресу: Архангельская область, Холмогорский район, МО Емецкое, дер. Кузнецово </t>
  </si>
  <si>
    <t>408 куб м/сутки</t>
  </si>
  <si>
    <t>Государственная программа Архангельской области "Молодежь Поморья"</t>
  </si>
  <si>
    <t>Приобретение помещений для муниципального учреждения "Молодежный Центр" по адресу: Архангельская область, г. Котлас, ул. Володарского, д. 21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</si>
</sst>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9">
      <alignment horizontal="center" vertical="center" wrapText="1"/>
    </xf>
    <xf numFmtId="4" fontId="1" fillId="0" borderId="9">
      <alignment horizontal="right" vertical="top" shrinkToFit="1"/>
    </xf>
    <xf numFmtId="10" fontId="1" fillId="3" borderId="9">
      <alignment horizontal="right" vertical="top" shrinkToFit="1"/>
    </xf>
  </cellStyleXfs>
  <cellXfs count="162">
    <xf numFmtId="0" fontId="0" fillId="0" borderId="0" xfId="0"/>
    <xf numFmtId="0" fontId="0" fillId="0" borderId="0" xfId="0" applyFont="1"/>
    <xf numFmtId="0" fontId="0" fillId="0" borderId="0" xfId="0" applyFont="1"/>
    <xf numFmtId="0" fontId="0" fillId="2" borderId="0" xfId="0" applyFill="1"/>
    <xf numFmtId="0" fontId="2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0" borderId="2" xfId="0" applyFont="1" applyBorder="1"/>
    <xf numFmtId="2" fontId="3" fillId="0" borderId="1" xfId="0" applyNumberFormat="1" applyFont="1" applyBorder="1" applyAlignment="1">
      <alignment horizontal="right" vertical="top" wrapText="1"/>
    </xf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center" vertical="top" wrapText="1"/>
    </xf>
    <xf numFmtId="4" fontId="2" fillId="0" borderId="0" xfId="0" applyNumberFormat="1" applyFont="1"/>
    <xf numFmtId="4" fontId="3" fillId="4" borderId="1" xfId="0" applyNumberFormat="1" applyFont="1" applyFill="1" applyBorder="1" applyAlignment="1">
      <alignment horizontal="right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right" vertical="top" wrapText="1"/>
    </xf>
    <xf numFmtId="0" fontId="2" fillId="0" borderId="8" xfId="0" applyFont="1" applyBorder="1" applyAlignment="1">
      <alignment horizontal="center"/>
    </xf>
    <xf numFmtId="0" fontId="2" fillId="4" borderId="17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4" fontId="3" fillId="4" borderId="16" xfId="0" applyNumberFormat="1" applyFont="1" applyFill="1" applyBorder="1" applyAlignment="1">
      <alignment horizontal="right" vertical="top" wrapText="1"/>
    </xf>
    <xf numFmtId="4" fontId="3" fillId="4" borderId="17" xfId="0" applyNumberFormat="1" applyFont="1" applyFill="1" applyBorder="1" applyAlignment="1">
      <alignment horizontal="right" vertical="top" wrapText="1"/>
    </xf>
    <xf numFmtId="4" fontId="2" fillId="4" borderId="16" xfId="0" applyNumberFormat="1" applyFont="1" applyFill="1" applyBorder="1" applyAlignment="1">
      <alignment horizontal="right" vertical="top" wrapText="1"/>
    </xf>
    <xf numFmtId="4" fontId="2" fillId="4" borderId="17" xfId="0" applyNumberFormat="1" applyFont="1" applyFill="1" applyBorder="1" applyAlignment="1">
      <alignment horizontal="right" vertical="top" wrapText="1"/>
    </xf>
    <xf numFmtId="0" fontId="2" fillId="4" borderId="16" xfId="0" applyFont="1" applyFill="1" applyBorder="1" applyAlignment="1">
      <alignment horizontal="right" vertical="top" wrapText="1"/>
    </xf>
    <xf numFmtId="0" fontId="2" fillId="4" borderId="17" xfId="0" applyFont="1" applyFill="1" applyBorder="1" applyAlignment="1">
      <alignment horizontal="right" vertical="top" wrapText="1"/>
    </xf>
    <xf numFmtId="0" fontId="3" fillId="4" borderId="16" xfId="0" applyFont="1" applyFill="1" applyBorder="1" applyAlignment="1">
      <alignment horizontal="right" vertical="top" wrapText="1"/>
    </xf>
    <xf numFmtId="0" fontId="3" fillId="4" borderId="17" xfId="0" applyFont="1" applyFill="1" applyBorder="1" applyAlignment="1">
      <alignment horizontal="right" vertical="top" wrapText="1"/>
    </xf>
    <xf numFmtId="4" fontId="2" fillId="4" borderId="16" xfId="0" applyNumberFormat="1" applyFont="1" applyFill="1" applyBorder="1" applyAlignment="1" applyProtection="1">
      <alignment horizontal="right" vertical="top" shrinkToFit="1"/>
    </xf>
    <xf numFmtId="4" fontId="2" fillId="4" borderId="17" xfId="0" applyNumberFormat="1" applyFont="1" applyFill="1" applyBorder="1" applyAlignment="1" applyProtection="1">
      <alignment horizontal="right" vertical="top" shrinkToFit="1"/>
    </xf>
    <xf numFmtId="0" fontId="2" fillId="0" borderId="16" xfId="0" applyFont="1" applyBorder="1" applyAlignment="1">
      <alignment horizontal="center"/>
    </xf>
    <xf numFmtId="2" fontId="3" fillId="0" borderId="8" xfId="0" applyNumberFormat="1" applyFont="1" applyBorder="1" applyAlignment="1">
      <alignment horizontal="right" vertical="top" wrapText="1"/>
    </xf>
    <xf numFmtId="2" fontId="2" fillId="0" borderId="8" xfId="0" applyNumberFormat="1" applyFont="1" applyBorder="1" applyAlignment="1">
      <alignment horizontal="right" vertical="top" wrapText="1"/>
    </xf>
    <xf numFmtId="4" fontId="6" fillId="4" borderId="9" xfId="0" applyNumberFormat="1" applyFont="1" applyFill="1" applyBorder="1" applyAlignment="1">
      <alignment horizontal="right" vertical="top" wrapText="1"/>
    </xf>
    <xf numFmtId="4" fontId="6" fillId="4" borderId="18" xfId="0" applyNumberFormat="1" applyFont="1" applyFill="1" applyBorder="1" applyAlignment="1">
      <alignment horizontal="right" vertical="top" wrapText="1"/>
    </xf>
    <xf numFmtId="4" fontId="7" fillId="4" borderId="16" xfId="0" applyNumberFormat="1" applyFont="1" applyFill="1" applyBorder="1" applyAlignment="1">
      <alignment horizontal="right" vertical="top" wrapText="1"/>
    </xf>
    <xf numFmtId="0" fontId="7" fillId="4" borderId="16" xfId="0" applyFont="1" applyFill="1" applyBorder="1" applyAlignment="1">
      <alignment horizontal="right" vertical="top" wrapText="1"/>
    </xf>
    <xf numFmtId="0" fontId="7" fillId="4" borderId="1" xfId="0" applyFont="1" applyFill="1" applyBorder="1" applyAlignment="1">
      <alignment horizontal="right" vertical="top" wrapText="1"/>
    </xf>
    <xf numFmtId="0" fontId="7" fillId="4" borderId="17" xfId="0" applyFont="1" applyFill="1" applyBorder="1" applyAlignment="1">
      <alignment horizontal="right" vertical="top" wrapText="1"/>
    </xf>
    <xf numFmtId="4" fontId="7" fillId="4" borderId="1" xfId="0" applyNumberFormat="1" applyFont="1" applyFill="1" applyBorder="1" applyAlignment="1">
      <alignment horizontal="right" vertical="top" wrapText="1"/>
    </xf>
    <xf numFmtId="4" fontId="7" fillId="4" borderId="17" xfId="0" applyNumberFormat="1" applyFont="1" applyFill="1" applyBorder="1" applyAlignment="1">
      <alignment horizontal="right" vertical="top" wrapText="1"/>
    </xf>
    <xf numFmtId="4" fontId="8" fillId="4" borderId="16" xfId="0" applyNumberFormat="1" applyFont="1" applyFill="1" applyBorder="1" applyAlignment="1">
      <alignment horizontal="right" vertical="top" wrapText="1"/>
    </xf>
    <xf numFmtId="4" fontId="8" fillId="4" borderId="1" xfId="0" applyNumberFormat="1" applyFont="1" applyFill="1" applyBorder="1" applyAlignment="1">
      <alignment horizontal="right" vertical="top" wrapText="1"/>
    </xf>
    <xf numFmtId="4" fontId="8" fillId="4" borderId="17" xfId="0" applyNumberFormat="1" applyFont="1" applyFill="1" applyBorder="1" applyAlignment="1">
      <alignment horizontal="right" vertical="top" wrapText="1"/>
    </xf>
    <xf numFmtId="0" fontId="8" fillId="4" borderId="16" xfId="0" applyFont="1" applyFill="1" applyBorder="1" applyAlignment="1">
      <alignment horizontal="right" vertical="top" wrapText="1"/>
    </xf>
    <xf numFmtId="0" fontId="8" fillId="4" borderId="1" xfId="0" applyFont="1" applyFill="1" applyBorder="1" applyAlignment="1">
      <alignment horizontal="right" vertical="top" wrapText="1"/>
    </xf>
    <xf numFmtId="0" fontId="8" fillId="4" borderId="17" xfId="0" applyFont="1" applyFill="1" applyBorder="1" applyAlignment="1">
      <alignment horizontal="right" vertical="top" wrapText="1"/>
    </xf>
    <xf numFmtId="4" fontId="7" fillId="4" borderId="1" xfId="0" applyNumberFormat="1" applyFont="1" applyFill="1" applyBorder="1" applyAlignment="1">
      <alignment vertical="top" wrapText="1"/>
    </xf>
    <xf numFmtId="4" fontId="7" fillId="4" borderId="17" xfId="0" applyNumberFormat="1" applyFont="1" applyFill="1" applyBorder="1" applyAlignment="1" applyProtection="1">
      <alignment horizontal="right" vertical="top" shrinkToFit="1"/>
    </xf>
    <xf numFmtId="4" fontId="7" fillId="4" borderId="16" xfId="0" applyNumberFormat="1" applyFont="1" applyFill="1" applyBorder="1" applyAlignment="1" applyProtection="1">
      <alignment horizontal="right" vertical="top" shrinkToFit="1"/>
    </xf>
    <xf numFmtId="0" fontId="8" fillId="4" borderId="1" xfId="0" applyFont="1" applyFill="1" applyBorder="1" applyAlignment="1">
      <alignment vertical="top"/>
    </xf>
    <xf numFmtId="0" fontId="7" fillId="4" borderId="1" xfId="0" applyFont="1" applyFill="1" applyBorder="1" applyAlignment="1">
      <alignment vertical="top"/>
    </xf>
    <xf numFmtId="4" fontId="7" fillId="4" borderId="25" xfId="0" applyNumberFormat="1" applyFont="1" applyFill="1" applyBorder="1" applyAlignment="1">
      <alignment horizontal="right" vertical="top" wrapText="1"/>
    </xf>
    <xf numFmtId="0" fontId="7" fillId="4" borderId="26" xfId="0" applyFont="1" applyFill="1" applyBorder="1" applyAlignment="1">
      <alignment vertical="top"/>
    </xf>
    <xf numFmtId="4" fontId="7" fillId="4" borderId="27" xfId="0" applyNumberFormat="1" applyFont="1" applyFill="1" applyBorder="1" applyAlignment="1">
      <alignment horizontal="right" vertical="top" wrapText="1"/>
    </xf>
    <xf numFmtId="2" fontId="7" fillId="4" borderId="8" xfId="0" applyNumberFormat="1" applyFont="1" applyFill="1" applyBorder="1" applyAlignment="1">
      <alignment horizontal="right" vertical="top" wrapText="1"/>
    </xf>
    <xf numFmtId="2" fontId="7" fillId="4" borderId="1" xfId="0" applyNumberFormat="1" applyFont="1" applyFill="1" applyBorder="1" applyAlignment="1">
      <alignment horizontal="right" vertical="top" wrapText="1"/>
    </xf>
    <xf numFmtId="0" fontId="7" fillId="4" borderId="17" xfId="0" applyFont="1" applyFill="1" applyBorder="1" applyAlignment="1">
      <alignment vertical="top"/>
    </xf>
    <xf numFmtId="4" fontId="6" fillId="4" borderId="18" xfId="2" applyNumberFormat="1" applyFont="1" applyFill="1" applyBorder="1" applyAlignment="1" applyProtection="1">
      <alignment horizontal="center" vertical="top" shrinkToFit="1"/>
    </xf>
    <xf numFmtId="2" fontId="8" fillId="4" borderId="8" xfId="0" applyNumberFormat="1" applyFont="1" applyFill="1" applyBorder="1" applyAlignment="1">
      <alignment horizontal="right" vertical="top" wrapText="1"/>
    </xf>
    <xf numFmtId="2" fontId="8" fillId="4" borderId="1" xfId="0" applyNumberFormat="1" applyFont="1" applyFill="1" applyBorder="1" applyAlignment="1">
      <alignment horizontal="right" vertical="top" wrapText="1"/>
    </xf>
    <xf numFmtId="4" fontId="7" fillId="4" borderId="2" xfId="0" applyNumberFormat="1" applyFont="1" applyFill="1" applyBorder="1" applyAlignment="1">
      <alignment horizontal="right" vertical="top" wrapText="1"/>
    </xf>
    <xf numFmtId="4" fontId="7" fillId="4" borderId="28" xfId="0" applyNumberFormat="1" applyFont="1" applyFill="1" applyBorder="1" applyAlignment="1">
      <alignment horizontal="right" vertical="top" wrapText="1"/>
    </xf>
    <xf numFmtId="4" fontId="7" fillId="4" borderId="22" xfId="0" applyNumberFormat="1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right"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11" xfId="0" applyFont="1" applyBorder="1"/>
    <xf numFmtId="0" fontId="2" fillId="4" borderId="17" xfId="0" applyFont="1" applyFill="1" applyBorder="1" applyAlignment="1">
      <alignment horizontal="right" vertical="top"/>
    </xf>
    <xf numFmtId="0" fontId="2" fillId="4" borderId="16" xfId="0" applyFont="1" applyFill="1" applyBorder="1" applyAlignment="1">
      <alignment horizontal="right" vertical="top"/>
    </xf>
    <xf numFmtId="0" fontId="2" fillId="4" borderId="25" xfId="0" applyFont="1" applyFill="1" applyBorder="1" applyAlignment="1">
      <alignment horizontal="right" vertical="top"/>
    </xf>
    <xf numFmtId="0" fontId="2" fillId="4" borderId="26" xfId="0" applyFont="1" applyFill="1" applyBorder="1" applyAlignment="1">
      <alignment horizontal="right" vertical="top"/>
    </xf>
    <xf numFmtId="0" fontId="2" fillId="4" borderId="27" xfId="0" applyFont="1" applyFill="1" applyBorder="1" applyAlignment="1">
      <alignment horizontal="right" vertical="top"/>
    </xf>
    <xf numFmtId="2" fontId="7" fillId="4" borderId="19" xfId="0" applyNumberFormat="1" applyFont="1" applyFill="1" applyBorder="1" applyAlignment="1">
      <alignment horizontal="right" vertical="top" wrapText="1"/>
    </xf>
    <xf numFmtId="2" fontId="7" fillId="4" borderId="21" xfId="0" applyNumberFormat="1" applyFont="1" applyFill="1" applyBorder="1" applyAlignment="1">
      <alignment horizontal="right" vertical="top" wrapText="1"/>
    </xf>
    <xf numFmtId="2" fontId="7" fillId="4" borderId="5" xfId="0" applyNumberFormat="1" applyFont="1" applyFill="1" applyBorder="1" applyAlignment="1">
      <alignment horizontal="right" vertical="top" wrapText="1"/>
    </xf>
    <xf numFmtId="2" fontId="7" fillId="4" borderId="4" xfId="0" applyNumberFormat="1" applyFont="1" applyFill="1" applyBorder="1" applyAlignment="1">
      <alignment horizontal="right" vertical="top" wrapText="1"/>
    </xf>
    <xf numFmtId="2" fontId="7" fillId="4" borderId="23" xfId="0" applyNumberFormat="1" applyFont="1" applyFill="1" applyBorder="1" applyAlignment="1">
      <alignment horizontal="right" vertical="top" wrapText="1"/>
    </xf>
    <xf numFmtId="2" fontId="7" fillId="4" borderId="6" xfId="0" applyNumberFormat="1" applyFont="1" applyFill="1" applyBorder="1" applyAlignment="1">
      <alignment horizontal="right" vertical="top" wrapText="1"/>
    </xf>
    <xf numFmtId="4" fontId="7" fillId="4" borderId="19" xfId="0" applyNumberFormat="1" applyFont="1" applyFill="1" applyBorder="1" applyAlignment="1">
      <alignment horizontal="center" vertical="top" wrapText="1"/>
    </xf>
    <xf numFmtId="4" fontId="7" fillId="4" borderId="21" xfId="0" applyNumberFormat="1" applyFont="1" applyFill="1" applyBorder="1" applyAlignment="1">
      <alignment horizontal="center" vertical="top" wrapText="1"/>
    </xf>
    <xf numFmtId="4" fontId="7" fillId="4" borderId="5" xfId="0" applyNumberFormat="1" applyFont="1" applyFill="1" applyBorder="1" applyAlignment="1">
      <alignment horizontal="center" vertical="top" wrapText="1"/>
    </xf>
    <xf numFmtId="4" fontId="7" fillId="4" borderId="4" xfId="0" applyNumberFormat="1" applyFont="1" applyFill="1" applyBorder="1" applyAlignment="1">
      <alignment horizontal="center" vertical="top" wrapText="1"/>
    </xf>
    <xf numFmtId="4" fontId="7" fillId="4" borderId="20" xfId="0" applyNumberFormat="1" applyFont="1" applyFill="1" applyBorder="1" applyAlignment="1">
      <alignment horizontal="center" vertical="top" wrapText="1"/>
    </xf>
    <xf numFmtId="4" fontId="7" fillId="4" borderId="22" xfId="0" applyNumberFormat="1" applyFont="1" applyFill="1" applyBorder="1" applyAlignment="1">
      <alignment horizontal="center" vertical="top" wrapText="1"/>
    </xf>
    <xf numFmtId="4" fontId="7" fillId="4" borderId="23" xfId="0" applyNumberFormat="1" applyFont="1" applyFill="1" applyBorder="1" applyAlignment="1">
      <alignment horizontal="center" vertical="top" wrapText="1"/>
    </xf>
    <xf numFmtId="4" fontId="7" fillId="4" borderId="6" xfId="0" applyNumberFormat="1" applyFont="1" applyFill="1" applyBorder="1" applyAlignment="1">
      <alignment horizontal="center" vertical="top" wrapText="1"/>
    </xf>
    <xf numFmtId="4" fontId="7" fillId="4" borderId="24" xfId="0" applyNumberFormat="1" applyFont="1" applyFill="1" applyBorder="1" applyAlignment="1">
      <alignment horizontal="center" vertical="top" wrapText="1"/>
    </xf>
    <xf numFmtId="0" fontId="2" fillId="4" borderId="13" xfId="0" applyFont="1" applyFill="1" applyBorder="1" applyAlignment="1">
      <alignment horizontal="right" vertical="top" wrapText="1"/>
    </xf>
    <xf numFmtId="0" fontId="2" fillId="4" borderId="14" xfId="0" applyFont="1" applyFill="1" applyBorder="1" applyAlignment="1">
      <alignment horizontal="right" vertical="top" wrapText="1"/>
    </xf>
    <xf numFmtId="0" fontId="2" fillId="4" borderId="15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right" vertical="top" wrapText="1"/>
    </xf>
    <xf numFmtId="0" fontId="2" fillId="4" borderId="17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4" borderId="16" xfId="0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right"/>
    </xf>
    <xf numFmtId="0" fontId="0" fillId="0" borderId="3" xfId="0" applyBorder="1" applyAlignment="1"/>
    <xf numFmtId="0" fontId="0" fillId="0" borderId="0" xfId="0" applyBorder="1" applyAlignment="1"/>
    <xf numFmtId="4" fontId="2" fillId="4" borderId="5" xfId="0" applyNumberFormat="1" applyFont="1" applyFill="1" applyBorder="1" applyAlignment="1">
      <alignment horizontal="right" vertical="top" wrapText="1"/>
    </xf>
    <xf numFmtId="4" fontId="2" fillId="4" borderId="4" xfId="0" applyNumberFormat="1" applyFont="1" applyFill="1" applyBorder="1" applyAlignment="1">
      <alignment horizontal="right" vertical="top" wrapText="1"/>
    </xf>
    <xf numFmtId="4" fontId="2" fillId="4" borderId="20" xfId="0" applyNumberFormat="1" applyFont="1" applyFill="1" applyBorder="1" applyAlignment="1">
      <alignment horizontal="right" vertical="top" wrapText="1"/>
    </xf>
    <xf numFmtId="4" fontId="2" fillId="4" borderId="22" xfId="0" applyNumberFormat="1" applyFont="1" applyFill="1" applyBorder="1" applyAlignment="1">
      <alignment horizontal="right" vertical="top" wrapText="1"/>
    </xf>
    <xf numFmtId="4" fontId="2" fillId="4" borderId="19" xfId="0" applyNumberFormat="1" applyFont="1" applyFill="1" applyBorder="1" applyAlignment="1">
      <alignment horizontal="right" vertical="top" wrapText="1"/>
    </xf>
    <xf numFmtId="4" fontId="2" fillId="4" borderId="23" xfId="0" applyNumberFormat="1" applyFont="1" applyFill="1" applyBorder="1" applyAlignment="1">
      <alignment horizontal="right" vertical="top" wrapText="1"/>
    </xf>
    <xf numFmtId="4" fontId="2" fillId="4" borderId="21" xfId="0" applyNumberFormat="1" applyFont="1" applyFill="1" applyBorder="1" applyAlignment="1">
      <alignment horizontal="right" vertical="top" wrapText="1"/>
    </xf>
    <xf numFmtId="4" fontId="2" fillId="4" borderId="6" xfId="0" applyNumberFormat="1" applyFont="1" applyFill="1" applyBorder="1" applyAlignment="1">
      <alignment horizontal="right" vertical="top" wrapText="1"/>
    </xf>
    <xf numFmtId="4" fontId="2" fillId="4" borderId="24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2" fillId="4" borderId="8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/>
    <xf numFmtId="49" fontId="2" fillId="4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/>
    <xf numFmtId="0" fontId="2" fillId="0" borderId="4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" fontId="3" fillId="0" borderId="16" xfId="0" applyNumberFormat="1" applyFont="1" applyFill="1" applyBorder="1" applyAlignment="1">
      <alignment horizontal="right" vertical="top" wrapText="1"/>
    </xf>
  </cellXfs>
  <cellStyles count="4">
    <cellStyle name="st66" xfId="1"/>
    <cellStyle name="xl40" xfId="2"/>
    <cellStyle name="xl65" xfId="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6"/>
  <sheetViews>
    <sheetView tabSelected="1" view="pageBreakPreview" zoomScale="85" zoomScaleSheetLayoutView="85" workbookViewId="0">
      <pane xSplit="6" ySplit="5" topLeftCell="N6" activePane="bottomRight" state="frozen"/>
      <selection pane="topRight" activeCell="G1" sqref="G1"/>
      <selection pane="bottomLeft" activeCell="A6" sqref="A6"/>
      <selection pane="bottomRight" activeCell="S7" sqref="S7"/>
    </sheetView>
  </sheetViews>
  <sheetFormatPr defaultRowHeight="15"/>
  <cols>
    <col min="1" max="1" width="32.28515625" style="13" customWidth="1"/>
    <col min="2" max="2" width="10" style="7" customWidth="1"/>
    <col min="3" max="3" width="12.42578125" style="13" customWidth="1"/>
    <col min="4" max="4" width="13.140625" style="13" customWidth="1"/>
    <col min="5" max="5" width="21.5703125" style="13" customWidth="1"/>
    <col min="6" max="6" width="10" style="13" customWidth="1"/>
    <col min="7" max="7" width="22.5703125" style="13" customWidth="1"/>
    <col min="8" max="8" width="19.5703125" style="13" customWidth="1"/>
    <col min="9" max="9" width="18.140625" style="14" customWidth="1"/>
    <col min="10" max="10" width="19.140625" style="5" customWidth="1"/>
    <col min="11" max="11" width="19.42578125" style="5" customWidth="1"/>
    <col min="12" max="12" width="21.140625" style="5" customWidth="1"/>
    <col min="13" max="13" width="18.85546875" style="5" customWidth="1"/>
    <col min="14" max="15" width="17.7109375" style="5" customWidth="1"/>
    <col min="16" max="16" width="25.42578125" style="5" customWidth="1"/>
    <col min="17" max="17" width="22.28515625" style="5" customWidth="1"/>
    <col min="18" max="18" width="21" style="5" customWidth="1"/>
    <col min="19" max="19" width="25.5703125" style="5" customWidth="1"/>
    <col min="20" max="20" width="23.140625" style="5" customWidth="1"/>
    <col min="21" max="21" width="23.28515625" style="5" customWidth="1"/>
    <col min="22" max="22" width="19.85546875" style="5" customWidth="1"/>
    <col min="23" max="23" width="18.42578125" style="5" customWidth="1"/>
  </cols>
  <sheetData>
    <row r="1" spans="1:23" ht="18.75">
      <c r="A1" s="4"/>
      <c r="B1" s="137" t="s">
        <v>315</v>
      </c>
      <c r="C1" s="138"/>
      <c r="D1" s="138"/>
      <c r="E1" s="138"/>
      <c r="F1" s="138"/>
      <c r="G1" s="138"/>
      <c r="H1" s="138"/>
      <c r="I1" s="138"/>
      <c r="J1" s="139"/>
      <c r="K1" s="139"/>
      <c r="L1" s="139"/>
      <c r="M1" s="24"/>
    </row>
    <row r="2" spans="1:23" ht="15.75" thickBot="1">
      <c r="A2" s="123" t="s">
        <v>308</v>
      </c>
      <c r="B2" s="124"/>
      <c r="C2" s="124"/>
      <c r="D2" s="124"/>
      <c r="E2" s="124"/>
      <c r="F2" s="124"/>
      <c r="G2" s="125"/>
      <c r="H2" s="125"/>
      <c r="I2" s="125"/>
      <c r="J2" s="125"/>
      <c r="K2" s="125"/>
      <c r="L2" s="125"/>
      <c r="W2" s="17" t="s">
        <v>308</v>
      </c>
    </row>
    <row r="3" spans="1:23" ht="43.5" customHeight="1">
      <c r="A3" s="114" t="s">
        <v>0</v>
      </c>
      <c r="B3" s="114" t="s">
        <v>297</v>
      </c>
      <c r="C3" s="115" t="s">
        <v>295</v>
      </c>
      <c r="D3" s="115" t="s">
        <v>1</v>
      </c>
      <c r="E3" s="115" t="s">
        <v>296</v>
      </c>
      <c r="F3" s="119" t="s">
        <v>298</v>
      </c>
      <c r="G3" s="103" t="s">
        <v>309</v>
      </c>
      <c r="H3" s="104"/>
      <c r="I3" s="105"/>
      <c r="J3" s="147" t="s">
        <v>310</v>
      </c>
      <c r="K3" s="148"/>
      <c r="L3" s="149"/>
      <c r="M3" s="147" t="s">
        <v>311</v>
      </c>
      <c r="N3" s="148"/>
      <c r="O3" s="149"/>
      <c r="P3" s="147" t="s">
        <v>299</v>
      </c>
      <c r="Q3" s="148"/>
      <c r="R3" s="149"/>
      <c r="S3" s="152" t="s">
        <v>312</v>
      </c>
      <c r="T3" s="153"/>
      <c r="U3" s="154"/>
      <c r="V3" s="140" t="s">
        <v>313</v>
      </c>
      <c r="W3" s="141"/>
    </row>
    <row r="4" spans="1:23" ht="19.5" customHeight="1">
      <c r="A4" s="114"/>
      <c r="B4" s="114"/>
      <c r="C4" s="116"/>
      <c r="D4" s="116"/>
      <c r="E4" s="116"/>
      <c r="F4" s="120"/>
      <c r="G4" s="118" t="s">
        <v>2</v>
      </c>
      <c r="H4" s="106" t="s">
        <v>3</v>
      </c>
      <c r="I4" s="107"/>
      <c r="J4" s="150" t="s">
        <v>2</v>
      </c>
      <c r="K4" s="141" t="s">
        <v>3</v>
      </c>
      <c r="L4" s="151"/>
      <c r="M4" s="150" t="s">
        <v>2</v>
      </c>
      <c r="N4" s="141" t="s">
        <v>3</v>
      </c>
      <c r="O4" s="151"/>
      <c r="P4" s="150" t="s">
        <v>2</v>
      </c>
      <c r="Q4" s="141" t="s">
        <v>3</v>
      </c>
      <c r="R4" s="151"/>
      <c r="S4" s="150" t="s">
        <v>2</v>
      </c>
      <c r="T4" s="141" t="s">
        <v>3</v>
      </c>
      <c r="U4" s="151"/>
      <c r="V4" s="142" t="s">
        <v>300</v>
      </c>
      <c r="W4" s="144" t="s">
        <v>314</v>
      </c>
    </row>
    <row r="5" spans="1:23" ht="67.5" customHeight="1">
      <c r="A5" s="114"/>
      <c r="B5" s="114"/>
      <c r="C5" s="117"/>
      <c r="D5" s="117"/>
      <c r="E5" s="117"/>
      <c r="F5" s="121"/>
      <c r="G5" s="118"/>
      <c r="H5" s="27" t="s">
        <v>4</v>
      </c>
      <c r="I5" s="38" t="s">
        <v>5</v>
      </c>
      <c r="J5" s="150"/>
      <c r="K5" s="23" t="s">
        <v>4</v>
      </c>
      <c r="L5" s="30" t="s">
        <v>5</v>
      </c>
      <c r="M5" s="150"/>
      <c r="N5" s="23" t="s">
        <v>4</v>
      </c>
      <c r="O5" s="30" t="s">
        <v>5</v>
      </c>
      <c r="P5" s="150"/>
      <c r="Q5" s="23" t="s">
        <v>4</v>
      </c>
      <c r="R5" s="30" t="s">
        <v>5</v>
      </c>
      <c r="S5" s="150"/>
      <c r="T5" s="23" t="s">
        <v>4</v>
      </c>
      <c r="U5" s="30" t="s">
        <v>5</v>
      </c>
      <c r="V5" s="143"/>
      <c r="W5" s="145"/>
    </row>
    <row r="6" spans="1:23">
      <c r="A6" s="6">
        <v>1</v>
      </c>
      <c r="B6" s="6">
        <v>2</v>
      </c>
      <c r="C6" s="6">
        <v>3</v>
      </c>
      <c r="D6" s="6">
        <v>4</v>
      </c>
      <c r="E6" s="6">
        <v>5</v>
      </c>
      <c r="F6" s="78">
        <v>6</v>
      </c>
      <c r="G6" s="37">
        <v>7</v>
      </c>
      <c r="H6" s="27">
        <v>8</v>
      </c>
      <c r="I6" s="38">
        <v>9</v>
      </c>
      <c r="J6" s="31">
        <v>10</v>
      </c>
      <c r="K6" s="7">
        <v>11</v>
      </c>
      <c r="L6" s="32">
        <v>12</v>
      </c>
      <c r="M6" s="43">
        <v>13</v>
      </c>
      <c r="N6" s="7">
        <v>14</v>
      </c>
      <c r="O6" s="32">
        <v>15</v>
      </c>
      <c r="P6" s="43">
        <v>16</v>
      </c>
      <c r="Q6" s="7">
        <v>17</v>
      </c>
      <c r="R6" s="32">
        <v>18</v>
      </c>
      <c r="S6" s="43">
        <v>19</v>
      </c>
      <c r="T6" s="7">
        <v>20</v>
      </c>
      <c r="U6" s="32">
        <v>21</v>
      </c>
      <c r="V6" s="29">
        <v>22</v>
      </c>
      <c r="W6" s="7">
        <v>23</v>
      </c>
    </row>
    <row r="7" spans="1:23" s="16" customFormat="1" ht="14.25" customHeight="1">
      <c r="A7" s="110" t="s">
        <v>6</v>
      </c>
      <c r="B7" s="110"/>
      <c r="C7" s="110"/>
      <c r="D7" s="110"/>
      <c r="E7" s="110"/>
      <c r="F7" s="111"/>
      <c r="G7" s="33">
        <f>G10+G52+G79+G92+G133+G139+G148+G157+G163+G196+G221+G230+G244</f>
        <v>10490394978.93</v>
      </c>
      <c r="H7" s="25">
        <f>H10+H52+H79+H92+H133+H139+H148+H157+H163+H196+H221+H230+H244</f>
        <v>7928729344.2700005</v>
      </c>
      <c r="I7" s="34">
        <f>I10+I52+I79+I92+I133+I139+I148+I157+I163+I196+I221+I230+I244</f>
        <v>2561665634.6600003</v>
      </c>
      <c r="J7" s="161">
        <f t="shared" ref="J7:U7" si="0">J10+J52+J79+J92+J133+J139+J148+J157+J163+J196+J221+J230+J244+J261</f>
        <v>10415715035.200001</v>
      </c>
      <c r="K7" s="25">
        <f t="shared" si="0"/>
        <v>7856028852.2700005</v>
      </c>
      <c r="L7" s="34">
        <f t="shared" si="0"/>
        <v>2559686182.9300003</v>
      </c>
      <c r="M7" s="33">
        <f t="shared" si="0"/>
        <v>4531736132.0200005</v>
      </c>
      <c r="N7" s="25">
        <f t="shared" si="0"/>
        <v>3323035416.1900001</v>
      </c>
      <c r="O7" s="34">
        <f t="shared" si="0"/>
        <v>1208700715.8299999</v>
      </c>
      <c r="P7" s="33">
        <f t="shared" si="0"/>
        <v>4130769414.9499998</v>
      </c>
      <c r="Q7" s="25">
        <f t="shared" si="0"/>
        <v>3073741304.1300001</v>
      </c>
      <c r="R7" s="34">
        <f t="shared" si="0"/>
        <v>1057028110.8199998</v>
      </c>
      <c r="S7" s="161">
        <f t="shared" si="0"/>
        <v>4023629310.1599994</v>
      </c>
      <c r="T7" s="25">
        <f t="shared" si="0"/>
        <v>3018434079.1699996</v>
      </c>
      <c r="U7" s="34">
        <f t="shared" si="0"/>
        <v>1005195230.99</v>
      </c>
      <c r="V7" s="44">
        <f>S7/J7*100</f>
        <v>38.630370517646732</v>
      </c>
      <c r="W7" s="15">
        <f>S7/M7*100</f>
        <v>88.78781096123717</v>
      </c>
    </row>
    <row r="8" spans="1:23" ht="16.5" customHeight="1">
      <c r="A8" s="108" t="s">
        <v>7</v>
      </c>
      <c r="B8" s="108"/>
      <c r="C8" s="108"/>
      <c r="D8" s="108"/>
      <c r="E8" s="108"/>
      <c r="F8" s="109"/>
      <c r="G8" s="35">
        <f t="shared" ref="G8:U8" si="1">G11+G53+G80+G93+G140+G149+G158+G164+G197+G222+G231+G245</f>
        <v>7039814750.1800003</v>
      </c>
      <c r="H8" s="26">
        <f t="shared" si="1"/>
        <v>6495240239.0900002</v>
      </c>
      <c r="I8" s="36">
        <f t="shared" si="1"/>
        <v>544574511.08999991</v>
      </c>
      <c r="J8" s="35">
        <f t="shared" si="1"/>
        <v>6959036325.0699997</v>
      </c>
      <c r="K8" s="26">
        <f t="shared" si="1"/>
        <v>6422539747.0900002</v>
      </c>
      <c r="L8" s="36">
        <f t="shared" si="1"/>
        <v>536496577.97999996</v>
      </c>
      <c r="M8" s="35">
        <f t="shared" si="1"/>
        <v>3102679348.9699998</v>
      </c>
      <c r="N8" s="26">
        <f t="shared" si="1"/>
        <v>2843356119.0100002</v>
      </c>
      <c r="O8" s="36">
        <f t="shared" si="1"/>
        <v>259323229.96000001</v>
      </c>
      <c r="P8" s="35">
        <f t="shared" si="1"/>
        <v>2860269839.4199996</v>
      </c>
      <c r="Q8" s="26">
        <f t="shared" si="1"/>
        <v>2626242583.4200001</v>
      </c>
      <c r="R8" s="36">
        <f t="shared" si="1"/>
        <v>234027256</v>
      </c>
      <c r="S8" s="35">
        <f t="shared" si="1"/>
        <v>2800521518.5899992</v>
      </c>
      <c r="T8" s="26">
        <f t="shared" si="1"/>
        <v>2570939423.0999999</v>
      </c>
      <c r="U8" s="36">
        <f t="shared" si="1"/>
        <v>229582095.49000001</v>
      </c>
      <c r="V8" s="45">
        <f t="shared" ref="V8:V73" si="2">S8/J8*100</f>
        <v>40.242950140971267</v>
      </c>
      <c r="W8" s="8">
        <f t="shared" ref="W8:W73" si="3">S8/M8*100</f>
        <v>90.261390353459888</v>
      </c>
    </row>
    <row r="9" spans="1:23" ht="13.5" customHeight="1">
      <c r="A9" s="108" t="s">
        <v>8</v>
      </c>
      <c r="B9" s="108"/>
      <c r="C9" s="108"/>
      <c r="D9" s="108"/>
      <c r="E9" s="108"/>
      <c r="F9" s="109"/>
      <c r="G9" s="35">
        <f t="shared" ref="G9:U9" si="4">G12+G54+G81+G94+G141+G150+G159+G165+G198+G223+G232+G246+G135+G263</f>
        <v>3450580228.75</v>
      </c>
      <c r="H9" s="26">
        <f t="shared" si="4"/>
        <v>1433489105.1800001</v>
      </c>
      <c r="I9" s="36">
        <f t="shared" si="4"/>
        <v>2017091123.5700004</v>
      </c>
      <c r="J9" s="35">
        <f t="shared" si="4"/>
        <v>3456678710.1299996</v>
      </c>
      <c r="K9" s="26">
        <f t="shared" si="4"/>
        <v>1433489105.1800001</v>
      </c>
      <c r="L9" s="36">
        <f t="shared" si="4"/>
        <v>2023189604.95</v>
      </c>
      <c r="M9" s="35">
        <f t="shared" si="4"/>
        <v>1429056783.0500002</v>
      </c>
      <c r="N9" s="26">
        <f t="shared" si="4"/>
        <v>479679297.17999995</v>
      </c>
      <c r="O9" s="36">
        <f t="shared" si="4"/>
        <v>949377485.87000012</v>
      </c>
      <c r="P9" s="35">
        <f t="shared" si="4"/>
        <v>1270499575.5300002</v>
      </c>
      <c r="Q9" s="26">
        <f t="shared" si="4"/>
        <v>447498720.71000004</v>
      </c>
      <c r="R9" s="36">
        <f t="shared" si="4"/>
        <v>823000854.82000005</v>
      </c>
      <c r="S9" s="35">
        <f t="shared" si="4"/>
        <v>1223107791.5700002</v>
      </c>
      <c r="T9" s="26">
        <f t="shared" si="4"/>
        <v>447494656.06999999</v>
      </c>
      <c r="U9" s="36">
        <f t="shared" si="4"/>
        <v>775613135.5</v>
      </c>
      <c r="V9" s="45">
        <f t="shared" si="2"/>
        <v>35.383901546464564</v>
      </c>
      <c r="W9" s="8">
        <f t="shared" si="3"/>
        <v>85.588466887897326</v>
      </c>
    </row>
    <row r="10" spans="1:23" s="16" customFormat="1" ht="31.5" customHeight="1">
      <c r="A10" s="112" t="s">
        <v>9</v>
      </c>
      <c r="B10" s="112"/>
      <c r="C10" s="112"/>
      <c r="D10" s="112"/>
      <c r="E10" s="112"/>
      <c r="F10" s="113"/>
      <c r="G10" s="33">
        <f>G11+G12</f>
        <v>3024124599.02</v>
      </c>
      <c r="H10" s="25">
        <f t="shared" ref="H10:I10" si="5">H11+H12</f>
        <v>2673796147.0900002</v>
      </c>
      <c r="I10" s="34">
        <f t="shared" si="5"/>
        <v>350328451.93000001</v>
      </c>
      <c r="J10" s="33">
        <f>J11+J12</f>
        <v>3162068487.9099998</v>
      </c>
      <c r="K10" s="25">
        <f t="shared" ref="K10:L10" si="6">K11+K12</f>
        <v>2801095647.0900002</v>
      </c>
      <c r="L10" s="34">
        <f t="shared" si="6"/>
        <v>360972840.81999999</v>
      </c>
      <c r="M10" s="33">
        <f>M11+M12</f>
        <v>1351002424.2</v>
      </c>
      <c r="N10" s="25">
        <f t="shared" ref="N10:O10" si="7">N11+N12</f>
        <v>1160641750.78</v>
      </c>
      <c r="O10" s="34">
        <f t="shared" si="7"/>
        <v>190360673.42000002</v>
      </c>
      <c r="P10" s="33">
        <f>P11+P12</f>
        <v>1288871382.9499998</v>
      </c>
      <c r="Q10" s="25">
        <f t="shared" ref="Q10:R10" si="8">Q11+Q12</f>
        <v>1105929746.9099998</v>
      </c>
      <c r="R10" s="34">
        <f t="shared" si="8"/>
        <v>182941636.04000002</v>
      </c>
      <c r="S10" s="33">
        <f>S11+S12</f>
        <v>1288791732.9499998</v>
      </c>
      <c r="T10" s="25">
        <f t="shared" ref="T10:U10" si="9">T11+T12</f>
        <v>1105929746.9099998</v>
      </c>
      <c r="U10" s="34">
        <f t="shared" si="9"/>
        <v>182861986.04000002</v>
      </c>
      <c r="V10" s="44">
        <f t="shared" si="2"/>
        <v>40.757869030276424</v>
      </c>
      <c r="W10" s="15">
        <f t="shared" si="3"/>
        <v>95.395219865216859</v>
      </c>
    </row>
    <row r="11" spans="1:23">
      <c r="A11" s="108" t="s">
        <v>7</v>
      </c>
      <c r="B11" s="108"/>
      <c r="C11" s="108"/>
      <c r="D11" s="108"/>
      <c r="E11" s="108"/>
      <c r="F11" s="109"/>
      <c r="G11" s="35">
        <f>H11+I11</f>
        <v>2709366121.4000001</v>
      </c>
      <c r="H11" s="26">
        <f>H13-H12</f>
        <v>2475176147.0900002</v>
      </c>
      <c r="I11" s="36">
        <f>I13-I12</f>
        <v>234189974.31</v>
      </c>
      <c r="J11" s="35">
        <f>K11+L11</f>
        <v>2850810010.29</v>
      </c>
      <c r="K11" s="26">
        <f>K13-K12</f>
        <v>2602475647.0900002</v>
      </c>
      <c r="L11" s="36">
        <f>L13-L12</f>
        <v>248334363.19999999</v>
      </c>
      <c r="M11" s="35">
        <f>N11+O11</f>
        <v>1065271355.52</v>
      </c>
      <c r="N11" s="26">
        <f>N13-N12</f>
        <v>962021750.77999997</v>
      </c>
      <c r="O11" s="36">
        <f>O13-O12</f>
        <v>103249604.74000001</v>
      </c>
      <c r="P11" s="35">
        <f>Q11+R11</f>
        <v>1005930204.1499999</v>
      </c>
      <c r="Q11" s="26">
        <f>Q13-Q12</f>
        <v>907309746.90999985</v>
      </c>
      <c r="R11" s="36">
        <f>R13-R12</f>
        <v>98620457.24000001</v>
      </c>
      <c r="S11" s="35">
        <f>T11+U11</f>
        <v>1005930204.1499999</v>
      </c>
      <c r="T11" s="26">
        <f>T13-T12</f>
        <v>907309746.90999985</v>
      </c>
      <c r="U11" s="36">
        <f>U13-U12</f>
        <v>98620457.24000001</v>
      </c>
      <c r="V11" s="45">
        <f t="shared" si="2"/>
        <v>35.285767922769118</v>
      </c>
      <c r="W11" s="8">
        <f t="shared" si="3"/>
        <v>94.429480238766644</v>
      </c>
    </row>
    <row r="12" spans="1:23">
      <c r="A12" s="108" t="s">
        <v>8</v>
      </c>
      <c r="B12" s="108"/>
      <c r="C12" s="108"/>
      <c r="D12" s="108"/>
      <c r="E12" s="108"/>
      <c r="F12" s="109"/>
      <c r="G12" s="35">
        <f>H12+I12</f>
        <v>314758477.62</v>
      </c>
      <c r="H12" s="26">
        <v>198620000</v>
      </c>
      <c r="I12" s="36">
        <f>I19+I23+I20+I24+I27+I33+I37+I41+I44+I49+I38</f>
        <v>116138477.62</v>
      </c>
      <c r="J12" s="35">
        <f>K12+L12</f>
        <v>311258477.62</v>
      </c>
      <c r="K12" s="26">
        <v>198620000</v>
      </c>
      <c r="L12" s="36">
        <f>L19+L23+L20+L24+L27+L33+L37+L41+L44+L49+L38</f>
        <v>112638477.62</v>
      </c>
      <c r="M12" s="35">
        <f>N12+O12</f>
        <v>285731068.68000001</v>
      </c>
      <c r="N12" s="26">
        <v>198620000</v>
      </c>
      <c r="O12" s="36">
        <f>O19+O23+O20+O24+O27+O33+O37+O41+O44+O49+O38</f>
        <v>87111068.680000007</v>
      </c>
      <c r="P12" s="35">
        <f>Q12+R12</f>
        <v>282941178.80000001</v>
      </c>
      <c r="Q12" s="26">
        <v>198620000</v>
      </c>
      <c r="R12" s="36">
        <f>R19+R23+R20+R24+R27+R33+R37+R41+R44+R49+R38</f>
        <v>84321178.800000012</v>
      </c>
      <c r="S12" s="35">
        <f>T12+U12</f>
        <v>282861528.80000001</v>
      </c>
      <c r="T12" s="26">
        <v>198620000</v>
      </c>
      <c r="U12" s="36">
        <f>U19+U23+U20+U24+U27+U33+U37+U41+U44+U49+U38</f>
        <v>84241528.800000012</v>
      </c>
      <c r="V12" s="45">
        <f t="shared" si="2"/>
        <v>90.876730800351595</v>
      </c>
      <c r="W12" s="8">
        <f t="shared" si="3"/>
        <v>98.995720033786839</v>
      </c>
    </row>
    <row r="13" spans="1:23" s="2" customFormat="1">
      <c r="A13" s="108" t="s">
        <v>10</v>
      </c>
      <c r="B13" s="108"/>
      <c r="C13" s="108"/>
      <c r="D13" s="108"/>
      <c r="E13" s="108"/>
      <c r="F13" s="109"/>
      <c r="G13" s="35">
        <f>G14</f>
        <v>3024124599.02</v>
      </c>
      <c r="H13" s="26">
        <f t="shared" ref="H13:U13" si="10">H14</f>
        <v>2673796147.0900002</v>
      </c>
      <c r="I13" s="36">
        <f t="shared" si="10"/>
        <v>350328451.93000001</v>
      </c>
      <c r="J13" s="35">
        <f>J14</f>
        <v>3162068487.9100003</v>
      </c>
      <c r="K13" s="26">
        <f t="shared" si="10"/>
        <v>2801095647.0900002</v>
      </c>
      <c r="L13" s="36">
        <f t="shared" si="10"/>
        <v>360972840.81999999</v>
      </c>
      <c r="M13" s="35">
        <f>M14</f>
        <v>1351002424.2</v>
      </c>
      <c r="N13" s="26">
        <f t="shared" si="10"/>
        <v>1160641750.78</v>
      </c>
      <c r="O13" s="36">
        <f t="shared" si="10"/>
        <v>190360673.42000002</v>
      </c>
      <c r="P13" s="35">
        <f>P14</f>
        <v>1288871382.9499998</v>
      </c>
      <c r="Q13" s="26">
        <f t="shared" si="10"/>
        <v>1105929746.9099998</v>
      </c>
      <c r="R13" s="36">
        <f t="shared" si="10"/>
        <v>182941636.04000002</v>
      </c>
      <c r="S13" s="35">
        <f>S14</f>
        <v>1288791732.9499998</v>
      </c>
      <c r="T13" s="26">
        <f t="shared" si="10"/>
        <v>1105929746.9099998</v>
      </c>
      <c r="U13" s="36">
        <f t="shared" si="10"/>
        <v>182861986.04000002</v>
      </c>
      <c r="V13" s="45">
        <f t="shared" si="2"/>
        <v>40.757869030276417</v>
      </c>
      <c r="W13" s="8">
        <f t="shared" si="3"/>
        <v>95.395219865216859</v>
      </c>
    </row>
    <row r="14" spans="1:23" s="16" customFormat="1" ht="18.75" customHeight="1">
      <c r="A14" s="110" t="s">
        <v>11</v>
      </c>
      <c r="B14" s="110"/>
      <c r="C14" s="110"/>
      <c r="D14" s="110"/>
      <c r="E14" s="110"/>
      <c r="F14" s="111"/>
      <c r="G14" s="33">
        <f>H14+I14</f>
        <v>3024124599.02</v>
      </c>
      <c r="H14" s="25">
        <f>H17+H20+H21+H24+H25+H33+H35+H39+H42+H47</f>
        <v>2673796147.0900002</v>
      </c>
      <c r="I14" s="34">
        <f>I17+I20+I21+I24+I25+I33+I35+I39+I42+I47+I38</f>
        <v>350328451.93000001</v>
      </c>
      <c r="J14" s="33">
        <f>K14+L14</f>
        <v>3162068487.9100003</v>
      </c>
      <c r="K14" s="25">
        <f>K17+K20+K21+K24+K25+K33+K35+K39+K42+K47</f>
        <v>2801095647.0900002</v>
      </c>
      <c r="L14" s="34">
        <f>L17+L20+L21+L24+L25+L33+L35+L39+L42+L47+L38</f>
        <v>360972840.81999999</v>
      </c>
      <c r="M14" s="33">
        <f>N14+O14</f>
        <v>1351002424.2</v>
      </c>
      <c r="N14" s="25">
        <f>N17+N20+N21+N24+N25+N33+N35+N39+N42+N47</f>
        <v>1160641750.78</v>
      </c>
      <c r="O14" s="34">
        <f>O17+O20+O21+O24+O25+O33+O35+O39+O42+O47+O38</f>
        <v>190360673.42000002</v>
      </c>
      <c r="P14" s="33">
        <f>Q14+R14</f>
        <v>1288871382.9499998</v>
      </c>
      <c r="Q14" s="25">
        <f>Q17+Q20+Q21+Q24+Q25+Q33+Q35+Q39+Q42+Q47</f>
        <v>1105929746.9099998</v>
      </c>
      <c r="R14" s="34">
        <f>R17+R20+R21+R24+R25+R33+R35+R39+R42+R47+R38</f>
        <v>182941636.04000002</v>
      </c>
      <c r="S14" s="33">
        <f>T14+U14</f>
        <v>1288791732.9499998</v>
      </c>
      <c r="T14" s="25">
        <f>T17+T20+T21+T24+T25+T33+T35+T39+T42+T47</f>
        <v>1105929746.9099998</v>
      </c>
      <c r="U14" s="34">
        <f>U17+U20+U21+U24+U25+U33+U35+U39+U42+U47+U38</f>
        <v>182861986.04000002</v>
      </c>
      <c r="V14" s="44">
        <f t="shared" si="2"/>
        <v>40.757869030276417</v>
      </c>
      <c r="W14" s="15">
        <f t="shared" si="3"/>
        <v>95.395219865216859</v>
      </c>
    </row>
    <row r="15" spans="1:23" ht="123" hidden="1" customHeight="1">
      <c r="A15" s="9" t="s">
        <v>12</v>
      </c>
      <c r="B15" s="6" t="s">
        <v>13</v>
      </c>
      <c r="C15" s="6" t="s">
        <v>13</v>
      </c>
      <c r="D15" s="6" t="s">
        <v>14</v>
      </c>
      <c r="E15" s="6" t="s">
        <v>15</v>
      </c>
      <c r="F15" s="78" t="s">
        <v>16</v>
      </c>
      <c r="G15" s="37"/>
      <c r="H15" s="27"/>
      <c r="I15" s="38"/>
      <c r="J15" s="37"/>
      <c r="K15" s="27"/>
      <c r="L15" s="38"/>
      <c r="M15" s="37"/>
      <c r="N15" s="27"/>
      <c r="O15" s="38"/>
      <c r="P15" s="37"/>
      <c r="Q15" s="27"/>
      <c r="R15" s="38"/>
      <c r="S15" s="37"/>
      <c r="T15" s="27"/>
      <c r="U15" s="38"/>
      <c r="V15" s="45" t="e">
        <f t="shared" si="2"/>
        <v>#DIV/0!</v>
      </c>
      <c r="W15" s="8" t="e">
        <f t="shared" si="3"/>
        <v>#DIV/0!</v>
      </c>
    </row>
    <row r="16" spans="1:23" ht="60" hidden="1" customHeight="1">
      <c r="A16" s="9" t="s">
        <v>17</v>
      </c>
      <c r="B16" s="6" t="s">
        <v>18</v>
      </c>
      <c r="C16" s="9"/>
      <c r="D16" s="9"/>
      <c r="E16" s="9"/>
      <c r="F16" s="79"/>
      <c r="G16" s="37"/>
      <c r="H16" s="27"/>
      <c r="I16" s="38"/>
      <c r="J16" s="37"/>
      <c r="K16" s="27"/>
      <c r="L16" s="38"/>
      <c r="M16" s="37"/>
      <c r="N16" s="27"/>
      <c r="O16" s="38"/>
      <c r="P16" s="37"/>
      <c r="Q16" s="27"/>
      <c r="R16" s="38"/>
      <c r="S16" s="37"/>
      <c r="T16" s="27"/>
      <c r="U16" s="38"/>
      <c r="V16" s="45" t="e">
        <f t="shared" si="2"/>
        <v>#DIV/0!</v>
      </c>
      <c r="W16" s="8" t="e">
        <f t="shared" si="3"/>
        <v>#DIV/0!</v>
      </c>
    </row>
    <row r="17" spans="1:23" ht="104.25" customHeight="1">
      <c r="A17" s="9" t="s">
        <v>19</v>
      </c>
      <c r="B17" s="6" t="s">
        <v>13</v>
      </c>
      <c r="C17" s="6" t="s">
        <v>13</v>
      </c>
      <c r="D17" s="6" t="s">
        <v>20</v>
      </c>
      <c r="E17" s="6" t="s">
        <v>15</v>
      </c>
      <c r="F17" s="78" t="s">
        <v>21</v>
      </c>
      <c r="G17" s="35">
        <f>H17+I17</f>
        <v>49400000</v>
      </c>
      <c r="H17" s="26">
        <v>45477215.32</v>
      </c>
      <c r="I17" s="36">
        <f>I18+I19</f>
        <v>3922784.6799999997</v>
      </c>
      <c r="J17" s="48">
        <f>K17+L17</f>
        <v>49400000</v>
      </c>
      <c r="K17" s="52">
        <v>45477215.32</v>
      </c>
      <c r="L17" s="53">
        <f>L18+L19</f>
        <v>3922784.6799999997</v>
      </c>
      <c r="M17" s="48">
        <f>N17+O17</f>
        <v>0</v>
      </c>
      <c r="N17" s="52">
        <v>0</v>
      </c>
      <c r="O17" s="53">
        <f>O18+O19</f>
        <v>0</v>
      </c>
      <c r="P17" s="48">
        <f>Q17+R17</f>
        <v>0</v>
      </c>
      <c r="Q17" s="52">
        <v>0</v>
      </c>
      <c r="R17" s="53">
        <f>R18+R19</f>
        <v>0</v>
      </c>
      <c r="S17" s="48">
        <v>0</v>
      </c>
      <c r="T17" s="52">
        <v>0</v>
      </c>
      <c r="U17" s="53">
        <f>U18+U19</f>
        <v>0</v>
      </c>
      <c r="V17" s="68">
        <f t="shared" si="2"/>
        <v>0</v>
      </c>
      <c r="W17" s="69">
        <v>0</v>
      </c>
    </row>
    <row r="18" spans="1:23" ht="60">
      <c r="A18" s="9" t="s">
        <v>17</v>
      </c>
      <c r="B18" s="6" t="s">
        <v>18</v>
      </c>
      <c r="C18" s="9"/>
      <c r="D18" s="9"/>
      <c r="E18" s="9"/>
      <c r="F18" s="79"/>
      <c r="G18" s="35">
        <f>H18+I18</f>
        <v>47000000</v>
      </c>
      <c r="H18" s="26">
        <v>45477215.32</v>
      </c>
      <c r="I18" s="36">
        <v>1522784.68</v>
      </c>
      <c r="J18" s="48">
        <f>K18+L18</f>
        <v>47000000</v>
      </c>
      <c r="K18" s="52">
        <v>45477215.32</v>
      </c>
      <c r="L18" s="53">
        <v>1522784.68</v>
      </c>
      <c r="M18" s="48">
        <f>N18+O18</f>
        <v>0</v>
      </c>
      <c r="N18" s="52"/>
      <c r="O18" s="53"/>
      <c r="P18" s="48">
        <f>Q18+R18</f>
        <v>0</v>
      </c>
      <c r="Q18" s="52"/>
      <c r="R18" s="53"/>
      <c r="S18" s="48">
        <f>T18+U18</f>
        <v>0</v>
      </c>
      <c r="T18" s="52"/>
      <c r="U18" s="53"/>
      <c r="V18" s="68">
        <f t="shared" si="2"/>
        <v>0</v>
      </c>
      <c r="W18" s="69">
        <v>0</v>
      </c>
    </row>
    <row r="19" spans="1:23">
      <c r="A19" s="9" t="s">
        <v>22</v>
      </c>
      <c r="B19" s="6" t="s">
        <v>13</v>
      </c>
      <c r="C19" s="9"/>
      <c r="D19" s="9"/>
      <c r="E19" s="9"/>
      <c r="F19" s="79"/>
      <c r="G19" s="35">
        <f>I19</f>
        <v>2400000</v>
      </c>
      <c r="H19" s="27"/>
      <c r="I19" s="36">
        <v>2400000</v>
      </c>
      <c r="J19" s="48">
        <f>L19</f>
        <v>2400000</v>
      </c>
      <c r="K19" s="50"/>
      <c r="L19" s="53">
        <v>2400000</v>
      </c>
      <c r="M19" s="48">
        <f>O19</f>
        <v>0</v>
      </c>
      <c r="N19" s="50"/>
      <c r="O19" s="53"/>
      <c r="P19" s="48">
        <f>R19</f>
        <v>0</v>
      </c>
      <c r="Q19" s="50"/>
      <c r="R19" s="53"/>
      <c r="S19" s="48">
        <f>U19</f>
        <v>0</v>
      </c>
      <c r="T19" s="50"/>
      <c r="U19" s="53"/>
      <c r="V19" s="68">
        <f t="shared" si="2"/>
        <v>0</v>
      </c>
      <c r="W19" s="69">
        <v>0</v>
      </c>
    </row>
    <row r="20" spans="1:23" ht="104.25" customHeight="1">
      <c r="A20" s="9" t="s">
        <v>23</v>
      </c>
      <c r="B20" s="6" t="s">
        <v>13</v>
      </c>
      <c r="C20" s="6" t="s">
        <v>13</v>
      </c>
      <c r="D20" s="6" t="s">
        <v>24</v>
      </c>
      <c r="E20" s="6" t="s">
        <v>15</v>
      </c>
      <c r="F20" s="78" t="s">
        <v>25</v>
      </c>
      <c r="G20" s="35">
        <f>H20</f>
        <v>198620000</v>
      </c>
      <c r="H20" s="26">
        <v>198620000</v>
      </c>
      <c r="I20" s="83"/>
      <c r="J20" s="48">
        <f>K20</f>
        <v>198620000</v>
      </c>
      <c r="K20" s="52">
        <v>198620000</v>
      </c>
      <c r="L20" s="70"/>
      <c r="M20" s="48">
        <f>N20</f>
        <v>0</v>
      </c>
      <c r="N20" s="52"/>
      <c r="O20" s="70"/>
      <c r="P20" s="48">
        <f>Q20</f>
        <v>0</v>
      </c>
      <c r="Q20" s="52"/>
      <c r="R20" s="70"/>
      <c r="S20" s="48">
        <f>T20</f>
        <v>0</v>
      </c>
      <c r="T20" s="52"/>
      <c r="U20" s="70"/>
      <c r="V20" s="68">
        <f t="shared" si="2"/>
        <v>0</v>
      </c>
      <c r="W20" s="69">
        <v>0</v>
      </c>
    </row>
    <row r="21" spans="1:23" ht="139.5" customHeight="1">
      <c r="A21" s="9" t="s">
        <v>26</v>
      </c>
      <c r="B21" s="6" t="s">
        <v>13</v>
      </c>
      <c r="C21" s="6" t="s">
        <v>13</v>
      </c>
      <c r="D21" s="6" t="s">
        <v>27</v>
      </c>
      <c r="E21" s="6" t="s">
        <v>15</v>
      </c>
      <c r="F21" s="78" t="s">
        <v>28</v>
      </c>
      <c r="G21" s="35">
        <f>H21+I21</f>
        <v>146912673.53</v>
      </c>
      <c r="H21" s="26">
        <f>H22</f>
        <v>135324583.69999999</v>
      </c>
      <c r="I21" s="36">
        <f>I22+I23</f>
        <v>11588089.83</v>
      </c>
      <c r="J21" s="48">
        <f>K21+L21</f>
        <v>146912673.53</v>
      </c>
      <c r="K21" s="52">
        <f>K22</f>
        <v>135324583.69999999</v>
      </c>
      <c r="L21" s="53">
        <f>L22+L23</f>
        <v>11588089.83</v>
      </c>
      <c r="M21" s="48">
        <f>N21+O21</f>
        <v>141166952.78</v>
      </c>
      <c r="N21" s="52">
        <f>N22</f>
        <v>135324583.69999999</v>
      </c>
      <c r="O21" s="53">
        <f>O22+O23</f>
        <v>5842369.0800000001</v>
      </c>
      <c r="P21" s="48">
        <f>Q21+R21</f>
        <v>141166952.78</v>
      </c>
      <c r="Q21" s="52">
        <f>Q22</f>
        <v>135324583.69999999</v>
      </c>
      <c r="R21" s="53">
        <f>R22+R23</f>
        <v>5842369.0800000001</v>
      </c>
      <c r="S21" s="48">
        <f>T21+U21</f>
        <v>141166952.78</v>
      </c>
      <c r="T21" s="52">
        <f>T22</f>
        <v>135324583.69999999</v>
      </c>
      <c r="U21" s="53">
        <f>U22+U23</f>
        <v>5842369.0800000001</v>
      </c>
      <c r="V21" s="68">
        <f t="shared" si="2"/>
        <v>96.089023082935938</v>
      </c>
      <c r="W21" s="69">
        <f t="shared" si="3"/>
        <v>100</v>
      </c>
    </row>
    <row r="22" spans="1:23" ht="60">
      <c r="A22" s="9" t="s">
        <v>17</v>
      </c>
      <c r="B22" s="6" t="s">
        <v>18</v>
      </c>
      <c r="C22" s="9"/>
      <c r="D22" s="9"/>
      <c r="E22" s="9"/>
      <c r="F22" s="79"/>
      <c r="G22" s="35">
        <f>H22+I22</f>
        <v>139855913.53</v>
      </c>
      <c r="H22" s="26">
        <v>135324583.69999999</v>
      </c>
      <c r="I22" s="36">
        <v>4531329.83</v>
      </c>
      <c r="J22" s="48">
        <f>K22+L22</f>
        <v>139855913.53</v>
      </c>
      <c r="K22" s="52">
        <v>135324583.69999999</v>
      </c>
      <c r="L22" s="53">
        <v>4531329.83</v>
      </c>
      <c r="M22" s="48">
        <f>N22+O22</f>
        <v>139855913.53</v>
      </c>
      <c r="N22" s="52">
        <v>135324583.69999999</v>
      </c>
      <c r="O22" s="53">
        <v>4531329.83</v>
      </c>
      <c r="P22" s="48">
        <f>Q22+R22</f>
        <v>139855913.53</v>
      </c>
      <c r="Q22" s="52">
        <v>135324583.69999999</v>
      </c>
      <c r="R22" s="53">
        <v>4531329.83</v>
      </c>
      <c r="S22" s="48">
        <f>T22+U22</f>
        <v>139855913.53</v>
      </c>
      <c r="T22" s="52">
        <v>135324583.69999999</v>
      </c>
      <c r="U22" s="53">
        <v>4531329.83</v>
      </c>
      <c r="V22" s="68">
        <f t="shared" si="2"/>
        <v>100</v>
      </c>
      <c r="W22" s="69">
        <f t="shared" si="3"/>
        <v>100</v>
      </c>
    </row>
    <row r="23" spans="1:23">
      <c r="A23" s="9" t="s">
        <v>22</v>
      </c>
      <c r="B23" s="6" t="s">
        <v>13</v>
      </c>
      <c r="C23" s="9"/>
      <c r="D23" s="9"/>
      <c r="E23" s="9"/>
      <c r="F23" s="79"/>
      <c r="G23" s="35">
        <f>I23</f>
        <v>7056760</v>
      </c>
      <c r="H23" s="26"/>
      <c r="I23" s="36">
        <v>7056760</v>
      </c>
      <c r="J23" s="48">
        <f>L23</f>
        <v>7056760</v>
      </c>
      <c r="K23" s="52"/>
      <c r="L23" s="53">
        <v>7056760</v>
      </c>
      <c r="M23" s="48">
        <f>O23</f>
        <v>1311039.25</v>
      </c>
      <c r="N23" s="52"/>
      <c r="O23" s="47">
        <v>1311039.25</v>
      </c>
      <c r="P23" s="48">
        <f>R23</f>
        <v>1311039.25</v>
      </c>
      <c r="Q23" s="52"/>
      <c r="R23" s="47">
        <v>1311039.25</v>
      </c>
      <c r="S23" s="48">
        <f>U23</f>
        <v>1311039.25</v>
      </c>
      <c r="T23" s="52"/>
      <c r="U23" s="47">
        <v>1311039.25</v>
      </c>
      <c r="V23" s="68">
        <f t="shared" si="2"/>
        <v>18.578487152744319</v>
      </c>
      <c r="W23" s="69">
        <f t="shared" si="3"/>
        <v>100</v>
      </c>
    </row>
    <row r="24" spans="1:23" ht="105.75" customHeight="1">
      <c r="A24" s="9" t="s">
        <v>29</v>
      </c>
      <c r="B24" s="6" t="s">
        <v>13</v>
      </c>
      <c r="C24" s="6" t="s">
        <v>13</v>
      </c>
      <c r="D24" s="6" t="s">
        <v>30</v>
      </c>
      <c r="E24" s="6" t="s">
        <v>15</v>
      </c>
      <c r="F24" s="78" t="s">
        <v>31</v>
      </c>
      <c r="G24" s="35">
        <f>H24+I24</f>
        <v>1000000</v>
      </c>
      <c r="H24" s="26"/>
      <c r="I24" s="36">
        <v>1000000</v>
      </c>
      <c r="J24" s="48">
        <f>K24+L24</f>
        <v>1000000</v>
      </c>
      <c r="K24" s="52"/>
      <c r="L24" s="53">
        <v>1000000</v>
      </c>
      <c r="M24" s="48">
        <f>N24+O24</f>
        <v>0</v>
      </c>
      <c r="N24" s="52"/>
      <c r="O24" s="53"/>
      <c r="P24" s="48">
        <f>Q24+R24</f>
        <v>0</v>
      </c>
      <c r="Q24" s="52"/>
      <c r="R24" s="53"/>
      <c r="S24" s="48">
        <f>T24+U24</f>
        <v>0</v>
      </c>
      <c r="T24" s="52"/>
      <c r="U24" s="53"/>
      <c r="V24" s="68">
        <f t="shared" si="2"/>
        <v>0</v>
      </c>
      <c r="W24" s="69">
        <v>0</v>
      </c>
    </row>
    <row r="25" spans="1:23" ht="107.25" customHeight="1">
      <c r="A25" s="9" t="s">
        <v>301</v>
      </c>
      <c r="B25" s="6" t="s">
        <v>13</v>
      </c>
      <c r="C25" s="6" t="s">
        <v>13</v>
      </c>
      <c r="D25" s="6" t="s">
        <v>32</v>
      </c>
      <c r="E25" s="6" t="s">
        <v>15</v>
      </c>
      <c r="F25" s="78" t="s">
        <v>33</v>
      </c>
      <c r="G25" s="35">
        <f>H25+I25</f>
        <v>285305219.80000001</v>
      </c>
      <c r="H25" s="26">
        <v>271416942.13999999</v>
      </c>
      <c r="I25" s="36">
        <f>I26+I27</f>
        <v>13888277.66</v>
      </c>
      <c r="J25" s="48">
        <f>K25+L25</f>
        <v>285305219.80000001</v>
      </c>
      <c r="K25" s="52">
        <v>271416942.13999999</v>
      </c>
      <c r="L25" s="53">
        <f>L26+L27</f>
        <v>13888277.66</v>
      </c>
      <c r="M25" s="48">
        <f>N25+O25</f>
        <v>195649274.44</v>
      </c>
      <c r="N25" s="52">
        <f>N26</f>
        <v>189053554.38</v>
      </c>
      <c r="O25" s="53">
        <f>O26+O27</f>
        <v>6595720.0599999996</v>
      </c>
      <c r="P25" s="48">
        <f>Q25+R25</f>
        <v>166827237.82999998</v>
      </c>
      <c r="Q25" s="52">
        <f>Q26</f>
        <v>161499601.38999999</v>
      </c>
      <c r="R25" s="47">
        <f>R26+R27</f>
        <v>5327636.4399999995</v>
      </c>
      <c r="S25" s="48">
        <f>T25+U25</f>
        <v>166827237.82999998</v>
      </c>
      <c r="T25" s="46">
        <f>T26+T27</f>
        <v>161499601.38999999</v>
      </c>
      <c r="U25" s="47">
        <f>U26+U27</f>
        <v>5327636.4399999995</v>
      </c>
      <c r="V25" s="68">
        <f t="shared" si="2"/>
        <v>58.473251189356603</v>
      </c>
      <c r="W25" s="69">
        <f t="shared" si="3"/>
        <v>85.268518530162552</v>
      </c>
    </row>
    <row r="26" spans="1:23" ht="60">
      <c r="A26" s="9" t="s">
        <v>17</v>
      </c>
      <c r="B26" s="6" t="s">
        <v>18</v>
      </c>
      <c r="C26" s="9"/>
      <c r="D26" s="9"/>
      <c r="E26" s="9"/>
      <c r="F26" s="79"/>
      <c r="G26" s="35">
        <f>H26+I26</f>
        <v>280505219.80000001</v>
      </c>
      <c r="H26" s="26">
        <v>271416942.13999999</v>
      </c>
      <c r="I26" s="36">
        <v>9088277.6600000001</v>
      </c>
      <c r="J26" s="48">
        <f>K26+L26</f>
        <v>280505219.80000001</v>
      </c>
      <c r="K26" s="52">
        <v>271416942.13999999</v>
      </c>
      <c r="L26" s="53">
        <v>9088277.6600000001</v>
      </c>
      <c r="M26" s="48">
        <f>N26+O26</f>
        <v>195568835.75999999</v>
      </c>
      <c r="N26" s="46">
        <v>189053554.38</v>
      </c>
      <c r="O26" s="53">
        <v>6515281.3799999999</v>
      </c>
      <c r="P26" s="48">
        <f>Q26+R26</f>
        <v>166746799.14999998</v>
      </c>
      <c r="Q26" s="46">
        <v>161499601.38999999</v>
      </c>
      <c r="R26" s="47">
        <v>5247197.76</v>
      </c>
      <c r="S26" s="48">
        <f>T26+U26</f>
        <v>166746799.14999998</v>
      </c>
      <c r="T26" s="46">
        <v>161499601.38999999</v>
      </c>
      <c r="U26" s="47">
        <v>5247197.76</v>
      </c>
      <c r="V26" s="68">
        <f t="shared" si="2"/>
        <v>59.445167996834535</v>
      </c>
      <c r="W26" s="69">
        <f t="shared" si="3"/>
        <v>85.262459380097695</v>
      </c>
    </row>
    <row r="27" spans="1:23" ht="15.75" customHeight="1">
      <c r="A27" s="9" t="s">
        <v>22</v>
      </c>
      <c r="B27" s="6" t="s">
        <v>13</v>
      </c>
      <c r="C27" s="9"/>
      <c r="D27" s="9"/>
      <c r="E27" s="9"/>
      <c r="F27" s="79"/>
      <c r="G27" s="35">
        <v>4800000</v>
      </c>
      <c r="H27" s="26"/>
      <c r="I27" s="36">
        <v>4800000</v>
      </c>
      <c r="J27" s="48">
        <v>4800000</v>
      </c>
      <c r="K27" s="52"/>
      <c r="L27" s="53">
        <v>4800000</v>
      </c>
      <c r="M27" s="48">
        <f>O27</f>
        <v>80438.679999999993</v>
      </c>
      <c r="N27" s="52"/>
      <c r="O27" s="47">
        <v>80438.679999999993</v>
      </c>
      <c r="P27" s="48">
        <f>R27</f>
        <v>80438.679999999993</v>
      </c>
      <c r="Q27" s="52"/>
      <c r="R27" s="47">
        <v>80438.679999999993</v>
      </c>
      <c r="S27" s="48">
        <f>U27</f>
        <v>80438.679999999993</v>
      </c>
      <c r="T27" s="52"/>
      <c r="U27" s="47">
        <v>80438.679999999993</v>
      </c>
      <c r="V27" s="68">
        <f t="shared" si="2"/>
        <v>1.6758058333333332</v>
      </c>
      <c r="W27" s="69">
        <v>0</v>
      </c>
    </row>
    <row r="28" spans="1:23" ht="60" hidden="1" customHeight="1">
      <c r="A28" s="9" t="s">
        <v>34</v>
      </c>
      <c r="B28" s="114" t="s">
        <v>13</v>
      </c>
      <c r="C28" s="114" t="s">
        <v>13</v>
      </c>
      <c r="D28" s="114" t="s">
        <v>36</v>
      </c>
      <c r="E28" s="114" t="s">
        <v>15</v>
      </c>
      <c r="F28" s="122" t="s">
        <v>16</v>
      </c>
      <c r="G28" s="37"/>
      <c r="H28" s="27"/>
      <c r="I28" s="38"/>
      <c r="J28" s="49"/>
      <c r="K28" s="50"/>
      <c r="L28" s="51"/>
      <c r="M28" s="49"/>
      <c r="N28" s="50"/>
      <c r="O28" s="51"/>
      <c r="P28" s="49"/>
      <c r="Q28" s="50"/>
      <c r="R28" s="51"/>
      <c r="S28" s="49"/>
      <c r="T28" s="50"/>
      <c r="U28" s="51"/>
      <c r="V28" s="68" t="e">
        <f t="shared" si="2"/>
        <v>#DIV/0!</v>
      </c>
      <c r="W28" s="69" t="e">
        <f t="shared" si="3"/>
        <v>#DIV/0!</v>
      </c>
    </row>
    <row r="29" spans="1:23" ht="45" hidden="1" customHeight="1">
      <c r="A29" s="9" t="s">
        <v>35</v>
      </c>
      <c r="B29" s="114"/>
      <c r="C29" s="114"/>
      <c r="D29" s="114"/>
      <c r="E29" s="114"/>
      <c r="F29" s="122"/>
      <c r="G29" s="37"/>
      <c r="H29" s="27"/>
      <c r="I29" s="38"/>
      <c r="J29" s="49"/>
      <c r="K29" s="50"/>
      <c r="L29" s="51"/>
      <c r="M29" s="49"/>
      <c r="N29" s="50"/>
      <c r="O29" s="51"/>
      <c r="P29" s="49"/>
      <c r="Q29" s="50"/>
      <c r="R29" s="51"/>
      <c r="S29" s="49"/>
      <c r="T29" s="50"/>
      <c r="U29" s="51"/>
      <c r="V29" s="68" t="e">
        <f t="shared" si="2"/>
        <v>#DIV/0!</v>
      </c>
      <c r="W29" s="69" t="e">
        <f t="shared" si="3"/>
        <v>#DIV/0!</v>
      </c>
    </row>
    <row r="30" spans="1:23" ht="60" hidden="1" customHeight="1">
      <c r="A30" s="9" t="s">
        <v>17</v>
      </c>
      <c r="B30" s="6" t="s">
        <v>18</v>
      </c>
      <c r="C30" s="9"/>
      <c r="D30" s="9"/>
      <c r="E30" s="9"/>
      <c r="F30" s="79"/>
      <c r="G30" s="37"/>
      <c r="H30" s="27"/>
      <c r="I30" s="38"/>
      <c r="J30" s="49"/>
      <c r="K30" s="50"/>
      <c r="L30" s="51"/>
      <c r="M30" s="49"/>
      <c r="N30" s="50"/>
      <c r="O30" s="51"/>
      <c r="P30" s="49"/>
      <c r="Q30" s="50"/>
      <c r="R30" s="51"/>
      <c r="S30" s="49"/>
      <c r="T30" s="50"/>
      <c r="U30" s="51"/>
      <c r="V30" s="68" t="e">
        <f t="shared" si="2"/>
        <v>#DIV/0!</v>
      </c>
      <c r="W30" s="69" t="e">
        <f t="shared" si="3"/>
        <v>#DIV/0!</v>
      </c>
    </row>
    <row r="31" spans="1:23" ht="150" hidden="1" customHeight="1">
      <c r="A31" s="9" t="s">
        <v>37</v>
      </c>
      <c r="B31" s="6" t="s">
        <v>13</v>
      </c>
      <c r="C31" s="6" t="s">
        <v>13</v>
      </c>
      <c r="D31" s="6" t="s">
        <v>38</v>
      </c>
      <c r="E31" s="6" t="s">
        <v>15</v>
      </c>
      <c r="F31" s="78" t="s">
        <v>39</v>
      </c>
      <c r="G31" s="37"/>
      <c r="H31" s="27"/>
      <c r="I31" s="38"/>
      <c r="J31" s="49"/>
      <c r="K31" s="50"/>
      <c r="L31" s="51"/>
      <c r="M31" s="49"/>
      <c r="N31" s="50"/>
      <c r="O31" s="51"/>
      <c r="P31" s="49"/>
      <c r="Q31" s="50"/>
      <c r="R31" s="51"/>
      <c r="S31" s="49"/>
      <c r="T31" s="50"/>
      <c r="U31" s="51"/>
      <c r="V31" s="68" t="e">
        <f t="shared" si="2"/>
        <v>#DIV/0!</v>
      </c>
      <c r="W31" s="69" t="e">
        <f t="shared" si="3"/>
        <v>#DIV/0!</v>
      </c>
    </row>
    <row r="32" spans="1:23" ht="60" hidden="1" customHeight="1">
      <c r="A32" s="9" t="s">
        <v>17</v>
      </c>
      <c r="B32" s="6" t="s">
        <v>18</v>
      </c>
      <c r="C32" s="9"/>
      <c r="D32" s="9"/>
      <c r="E32" s="9"/>
      <c r="F32" s="79"/>
      <c r="G32" s="37"/>
      <c r="H32" s="27"/>
      <c r="I32" s="38"/>
      <c r="J32" s="49"/>
      <c r="K32" s="50"/>
      <c r="L32" s="51"/>
      <c r="M32" s="49"/>
      <c r="N32" s="50"/>
      <c r="O32" s="51"/>
      <c r="P32" s="49"/>
      <c r="Q32" s="50"/>
      <c r="R32" s="51"/>
      <c r="S32" s="49"/>
      <c r="T32" s="50"/>
      <c r="U32" s="51"/>
      <c r="V32" s="68" t="e">
        <f t="shared" si="2"/>
        <v>#DIV/0!</v>
      </c>
      <c r="W32" s="69" t="e">
        <f t="shared" si="3"/>
        <v>#DIV/0!</v>
      </c>
    </row>
    <row r="33" spans="1:23" ht="30">
      <c r="A33" s="9" t="s">
        <v>40</v>
      </c>
      <c r="B33" s="114" t="s">
        <v>13</v>
      </c>
      <c r="C33" s="114" t="s">
        <v>13</v>
      </c>
      <c r="D33" s="114" t="s">
        <v>42</v>
      </c>
      <c r="E33" s="114" t="s">
        <v>15</v>
      </c>
      <c r="F33" s="122" t="s">
        <v>43</v>
      </c>
      <c r="G33" s="35">
        <f>H33+I33</f>
        <v>90193003.290000007</v>
      </c>
      <c r="H33" s="26"/>
      <c r="I33" s="36">
        <v>90193003.290000007</v>
      </c>
      <c r="J33" s="48">
        <f>K33+L33</f>
        <v>86693003.290000007</v>
      </c>
      <c r="K33" s="52"/>
      <c r="L33" s="47">
        <v>86693003.290000007</v>
      </c>
      <c r="M33" s="48">
        <f>N33+O33</f>
        <v>82394647.530000001</v>
      </c>
      <c r="N33" s="52"/>
      <c r="O33" s="47">
        <v>82394647.530000001</v>
      </c>
      <c r="P33" s="48">
        <f>Q33+R33</f>
        <v>80394647.530000001</v>
      </c>
      <c r="Q33" s="52"/>
      <c r="R33" s="47">
        <v>80394647.530000001</v>
      </c>
      <c r="S33" s="48">
        <f>T33+U33</f>
        <v>80394647.530000001</v>
      </c>
      <c r="T33" s="52"/>
      <c r="U33" s="47">
        <v>80394647.530000001</v>
      </c>
      <c r="V33" s="68">
        <f t="shared" si="2"/>
        <v>92.734874187100033</v>
      </c>
      <c r="W33" s="69">
        <f t="shared" si="3"/>
        <v>97.572657860728398</v>
      </c>
    </row>
    <row r="34" spans="1:23" ht="77.25" customHeight="1">
      <c r="A34" s="9" t="s">
        <v>41</v>
      </c>
      <c r="B34" s="114"/>
      <c r="C34" s="114"/>
      <c r="D34" s="114"/>
      <c r="E34" s="114"/>
      <c r="F34" s="122"/>
      <c r="G34" s="37"/>
      <c r="H34" s="27"/>
      <c r="I34" s="38"/>
      <c r="J34" s="49"/>
      <c r="K34" s="50"/>
      <c r="L34" s="51"/>
      <c r="M34" s="49"/>
      <c r="N34" s="50"/>
      <c r="O34" s="51"/>
      <c r="P34" s="49"/>
      <c r="Q34" s="50"/>
      <c r="R34" s="51"/>
      <c r="S34" s="49"/>
      <c r="T34" s="50"/>
      <c r="U34" s="51"/>
      <c r="V34" s="68"/>
      <c r="W34" s="69"/>
    </row>
    <row r="35" spans="1:23" ht="106.5" customHeight="1">
      <c r="A35" s="9" t="s">
        <v>44</v>
      </c>
      <c r="B35" s="6" t="s">
        <v>13</v>
      </c>
      <c r="C35" s="6" t="s">
        <v>13</v>
      </c>
      <c r="D35" s="6" t="s">
        <v>20</v>
      </c>
      <c r="E35" s="6" t="s">
        <v>15</v>
      </c>
      <c r="F35" s="78" t="s">
        <v>33</v>
      </c>
      <c r="G35" s="35">
        <f>H35+I35</f>
        <v>22682435.289999999</v>
      </c>
      <c r="H35" s="26">
        <v>19352210</v>
      </c>
      <c r="I35" s="36">
        <f>I36+I37</f>
        <v>3330225.29</v>
      </c>
      <c r="J35" s="48">
        <f>K35+L35</f>
        <v>22682435.289999999</v>
      </c>
      <c r="K35" s="52">
        <v>19352210</v>
      </c>
      <c r="L35" s="53">
        <f>L36+L37</f>
        <v>3330225.29</v>
      </c>
      <c r="M35" s="48">
        <f>N35+O35</f>
        <v>5310225</v>
      </c>
      <c r="N35" s="52">
        <f>N36</f>
        <v>2697947.6</v>
      </c>
      <c r="O35" s="53">
        <f>O36+O37</f>
        <v>2612277.4</v>
      </c>
      <c r="P35" s="48">
        <f>Q35+R35</f>
        <v>1873335.12</v>
      </c>
      <c r="Q35" s="52">
        <f t="shared" ref="Q35" si="11">Q36</f>
        <v>0</v>
      </c>
      <c r="R35" s="53">
        <f>R36+R37</f>
        <v>1873335.12</v>
      </c>
      <c r="S35" s="48">
        <f>T35+U35</f>
        <v>1873335.12</v>
      </c>
      <c r="T35" s="52">
        <f t="shared" ref="T35" si="12">T36</f>
        <v>0</v>
      </c>
      <c r="U35" s="53">
        <f>U36+U37</f>
        <v>1873335.12</v>
      </c>
      <c r="V35" s="68">
        <f t="shared" si="2"/>
        <v>8.2589682106396083</v>
      </c>
      <c r="W35" s="69">
        <f t="shared" si="3"/>
        <v>35.277885965283964</v>
      </c>
    </row>
    <row r="36" spans="1:23" ht="60">
      <c r="A36" s="9" t="s">
        <v>17</v>
      </c>
      <c r="B36" s="6" t="s">
        <v>18</v>
      </c>
      <c r="C36" s="9"/>
      <c r="D36" s="9"/>
      <c r="E36" s="19" t="s">
        <v>316</v>
      </c>
      <c r="F36" s="79"/>
      <c r="G36" s="35">
        <f>H36+I36</f>
        <v>20000210.289999999</v>
      </c>
      <c r="H36" s="26">
        <v>19352210</v>
      </c>
      <c r="I36" s="36">
        <v>648000.29</v>
      </c>
      <c r="J36" s="48">
        <f>K36+L36</f>
        <v>20000210.289999999</v>
      </c>
      <c r="K36" s="52">
        <v>19352210</v>
      </c>
      <c r="L36" s="53">
        <v>648000.29</v>
      </c>
      <c r="M36" s="48">
        <f>N36+O36</f>
        <v>2788000</v>
      </c>
      <c r="N36" s="46">
        <v>2697947.6</v>
      </c>
      <c r="O36" s="53">
        <v>90052.4</v>
      </c>
      <c r="P36" s="48"/>
      <c r="Q36" s="52"/>
      <c r="R36" s="53"/>
      <c r="S36" s="48">
        <f>T36+U36</f>
        <v>0</v>
      </c>
      <c r="T36" s="52"/>
      <c r="U36" s="53"/>
      <c r="V36" s="68">
        <f t="shared" si="2"/>
        <v>0</v>
      </c>
      <c r="W36" s="69">
        <v>0</v>
      </c>
    </row>
    <row r="37" spans="1:23">
      <c r="A37" s="9" t="s">
        <v>22</v>
      </c>
      <c r="B37" s="6" t="s">
        <v>13</v>
      </c>
      <c r="C37" s="9"/>
      <c r="D37" s="9"/>
      <c r="E37" s="9"/>
      <c r="F37" s="79"/>
      <c r="G37" s="35">
        <v>2682225</v>
      </c>
      <c r="H37" s="26"/>
      <c r="I37" s="36">
        <v>2682225</v>
      </c>
      <c r="J37" s="48">
        <v>2682225</v>
      </c>
      <c r="K37" s="52"/>
      <c r="L37" s="53">
        <v>2682225</v>
      </c>
      <c r="M37" s="48">
        <f>N37+O37</f>
        <v>2522225</v>
      </c>
      <c r="N37" s="52"/>
      <c r="O37" s="53">
        <v>2522225</v>
      </c>
      <c r="P37" s="48">
        <f>Q37+R37</f>
        <v>1873335.12</v>
      </c>
      <c r="Q37" s="52"/>
      <c r="R37" s="53">
        <v>1873335.12</v>
      </c>
      <c r="S37" s="48">
        <f>T37+U37</f>
        <v>1873335.12</v>
      </c>
      <c r="T37" s="52"/>
      <c r="U37" s="53">
        <v>1873335.12</v>
      </c>
      <c r="V37" s="68">
        <f t="shared" si="2"/>
        <v>69.842579201968519</v>
      </c>
      <c r="W37" s="69">
        <f t="shared" si="3"/>
        <v>74.273116791721591</v>
      </c>
    </row>
    <row r="38" spans="1:23" ht="102" customHeight="1">
      <c r="A38" s="19" t="s">
        <v>317</v>
      </c>
      <c r="B38" s="18" t="s">
        <v>13</v>
      </c>
      <c r="C38" s="18" t="s">
        <v>13</v>
      </c>
      <c r="D38" s="18" t="s">
        <v>38</v>
      </c>
      <c r="E38" s="18" t="s">
        <v>15</v>
      </c>
      <c r="F38" s="78" t="s">
        <v>21</v>
      </c>
      <c r="G38" s="35">
        <f>I38</f>
        <v>5200000</v>
      </c>
      <c r="H38" s="26"/>
      <c r="I38" s="36">
        <v>5200000</v>
      </c>
      <c r="J38" s="48">
        <f>L38</f>
        <v>5200000</v>
      </c>
      <c r="K38" s="52"/>
      <c r="L38" s="53">
        <v>5200000</v>
      </c>
      <c r="M38" s="48">
        <f>O38</f>
        <v>179650</v>
      </c>
      <c r="N38" s="52"/>
      <c r="O38" s="53">
        <v>179650</v>
      </c>
      <c r="P38" s="48">
        <f>R38</f>
        <v>79650</v>
      </c>
      <c r="Q38" s="52"/>
      <c r="R38" s="53">
        <v>79650</v>
      </c>
      <c r="S38" s="48">
        <f>U38</f>
        <v>0</v>
      </c>
      <c r="T38" s="52"/>
      <c r="U38" s="53">
        <v>0</v>
      </c>
      <c r="V38" s="68"/>
      <c r="W38" s="69"/>
    </row>
    <row r="39" spans="1:23" ht="110.25" customHeight="1">
      <c r="A39" s="9" t="s">
        <v>45</v>
      </c>
      <c r="B39" s="6" t="s">
        <v>13</v>
      </c>
      <c r="C39" s="6" t="s">
        <v>13</v>
      </c>
      <c r="D39" s="6" t="s">
        <v>38</v>
      </c>
      <c r="E39" s="6" t="s">
        <v>15</v>
      </c>
      <c r="F39" s="78" t="s">
        <v>21</v>
      </c>
      <c r="G39" s="35">
        <f>H39+I39</f>
        <v>25041000</v>
      </c>
      <c r="H39" s="26">
        <v>24190008.149999999</v>
      </c>
      <c r="I39" s="36">
        <f>I40+I41</f>
        <v>850991.85</v>
      </c>
      <c r="J39" s="48">
        <f>K39+L39</f>
        <v>25041000</v>
      </c>
      <c r="K39" s="52">
        <v>24190008.149999999</v>
      </c>
      <c r="L39" s="53">
        <f>L40+L41</f>
        <v>850991.85</v>
      </c>
      <c r="M39" s="48">
        <f>N39+O39</f>
        <v>6382895.0199999996</v>
      </c>
      <c r="N39" s="52">
        <f>N40+N41</f>
        <v>6136419.6799999997</v>
      </c>
      <c r="O39" s="53">
        <f>O40+O41</f>
        <v>246475.34</v>
      </c>
      <c r="P39" s="48">
        <f>Q39+R39</f>
        <v>6341895.0199999996</v>
      </c>
      <c r="Q39" s="52">
        <f t="shared" ref="Q39:R39" si="13">Q40+Q41</f>
        <v>6136419.6799999997</v>
      </c>
      <c r="R39" s="53">
        <f t="shared" si="13"/>
        <v>205475.34</v>
      </c>
      <c r="S39" s="48">
        <f>T39+U39</f>
        <v>6341895.0199999996</v>
      </c>
      <c r="T39" s="52">
        <f t="shared" ref="T39:U39" si="14">T40+T41</f>
        <v>6136419.6799999997</v>
      </c>
      <c r="U39" s="53">
        <f t="shared" si="14"/>
        <v>205475.34</v>
      </c>
      <c r="V39" s="68">
        <f t="shared" si="2"/>
        <v>25.326045365600415</v>
      </c>
      <c r="W39" s="69">
        <f t="shared" si="3"/>
        <v>99.357658243296626</v>
      </c>
    </row>
    <row r="40" spans="1:23" ht="60">
      <c r="A40" s="9" t="s">
        <v>17</v>
      </c>
      <c r="B40" s="6" t="s">
        <v>18</v>
      </c>
      <c r="C40" s="9"/>
      <c r="D40" s="9"/>
      <c r="E40" s="9"/>
      <c r="F40" s="79"/>
      <c r="G40" s="35">
        <f>H40+I40</f>
        <v>25000000</v>
      </c>
      <c r="H40" s="26">
        <v>24190008.149999999</v>
      </c>
      <c r="I40" s="36">
        <v>809991.85</v>
      </c>
      <c r="J40" s="48">
        <f>K40+L40</f>
        <v>25000000</v>
      </c>
      <c r="K40" s="52">
        <v>24190008.149999999</v>
      </c>
      <c r="L40" s="53">
        <v>809991.85</v>
      </c>
      <c r="M40" s="48">
        <f>N40+O40</f>
        <v>6341895.0199999996</v>
      </c>
      <c r="N40" s="46">
        <v>6136419.6799999997</v>
      </c>
      <c r="O40" s="47">
        <v>205475.34</v>
      </c>
      <c r="P40" s="48">
        <f>Q40+R40</f>
        <v>6341895.0199999996</v>
      </c>
      <c r="Q40" s="46">
        <v>6136419.6799999997</v>
      </c>
      <c r="R40" s="47">
        <v>205475.34</v>
      </c>
      <c r="S40" s="48">
        <f>T40+U40</f>
        <v>6341895.0199999996</v>
      </c>
      <c r="T40" s="46">
        <v>6136419.6799999997</v>
      </c>
      <c r="U40" s="47">
        <v>205475.34</v>
      </c>
      <c r="V40" s="68">
        <f t="shared" si="2"/>
        <v>25.367580079999996</v>
      </c>
      <c r="W40" s="69">
        <f t="shared" si="3"/>
        <v>100</v>
      </c>
    </row>
    <row r="41" spans="1:23">
      <c r="A41" s="9" t="s">
        <v>22</v>
      </c>
      <c r="B41" s="6" t="s">
        <v>13</v>
      </c>
      <c r="C41" s="9"/>
      <c r="D41" s="9"/>
      <c r="E41" s="9"/>
      <c r="F41" s="79"/>
      <c r="G41" s="35">
        <v>41000</v>
      </c>
      <c r="H41" s="26"/>
      <c r="I41" s="36">
        <v>41000</v>
      </c>
      <c r="J41" s="48">
        <v>41000</v>
      </c>
      <c r="K41" s="52"/>
      <c r="L41" s="53">
        <v>41000</v>
      </c>
      <c r="M41" s="48">
        <v>41000</v>
      </c>
      <c r="N41" s="52"/>
      <c r="O41" s="53">
        <v>41000</v>
      </c>
      <c r="P41" s="48">
        <f>Q41+R41</f>
        <v>0</v>
      </c>
      <c r="Q41" s="52"/>
      <c r="R41" s="53">
        <v>0</v>
      </c>
      <c r="S41" s="48">
        <f>T41+U41</f>
        <v>0</v>
      </c>
      <c r="T41" s="52"/>
      <c r="U41" s="53">
        <v>0</v>
      </c>
      <c r="V41" s="68">
        <f t="shared" si="2"/>
        <v>0</v>
      </c>
      <c r="W41" s="69">
        <v>0</v>
      </c>
    </row>
    <row r="42" spans="1:23" ht="109.5" customHeight="1">
      <c r="A42" s="10" t="s">
        <v>46</v>
      </c>
      <c r="B42" s="6" t="s">
        <v>13</v>
      </c>
      <c r="C42" s="6" t="s">
        <v>13</v>
      </c>
      <c r="D42" s="6" t="s">
        <v>38</v>
      </c>
      <c r="E42" s="6" t="s">
        <v>15</v>
      </c>
      <c r="F42" s="78" t="s">
        <v>47</v>
      </c>
      <c r="G42" s="35">
        <f>H42+I42</f>
        <v>31321000</v>
      </c>
      <c r="H42" s="26">
        <v>30214287.780000001</v>
      </c>
      <c r="I42" s="36">
        <f>I43+I44</f>
        <v>1106712.22</v>
      </c>
      <c r="J42" s="48">
        <f>K42+L42</f>
        <v>31321000</v>
      </c>
      <c r="K42" s="52">
        <v>30214287.780000001</v>
      </c>
      <c r="L42" s="53">
        <f>L43+L44</f>
        <v>1106712.22</v>
      </c>
      <c r="M42" s="48">
        <f t="shared" ref="M42:M44" si="15">N42+O42</f>
        <v>7753000.0099999998</v>
      </c>
      <c r="N42" s="52">
        <f>N43+N44</f>
        <v>7501805.3399999999</v>
      </c>
      <c r="O42" s="53">
        <f>O43+O44</f>
        <v>251194.67</v>
      </c>
      <c r="P42" s="48">
        <f t="shared" ref="P42:P44" si="16">Q42+R42</f>
        <v>7753000.0099999998</v>
      </c>
      <c r="Q42" s="52">
        <f t="shared" ref="Q42:R42" si="17">Q43+Q44</f>
        <v>7501805.3399999999</v>
      </c>
      <c r="R42" s="53">
        <f t="shared" si="17"/>
        <v>251194.67</v>
      </c>
      <c r="S42" s="48">
        <f t="shared" ref="S42:S44" si="18">T42+U42</f>
        <v>7753000.0099999998</v>
      </c>
      <c r="T42" s="52">
        <f t="shared" ref="T42:U42" si="19">T43+T44</f>
        <v>7501805.3399999999</v>
      </c>
      <c r="U42" s="53">
        <f t="shared" si="19"/>
        <v>251194.67</v>
      </c>
      <c r="V42" s="68">
        <f t="shared" si="2"/>
        <v>24.753360397177612</v>
      </c>
      <c r="W42" s="69">
        <f t="shared" si="3"/>
        <v>100</v>
      </c>
    </row>
    <row r="43" spans="1:23" ht="60">
      <c r="A43" s="9" t="s">
        <v>17</v>
      </c>
      <c r="B43" s="6" t="s">
        <v>18</v>
      </c>
      <c r="C43" s="9"/>
      <c r="D43" s="9"/>
      <c r="E43" s="9"/>
      <c r="F43" s="79"/>
      <c r="G43" s="35">
        <f>H43+I43</f>
        <v>31226000</v>
      </c>
      <c r="H43" s="26">
        <v>30214287.780000001</v>
      </c>
      <c r="I43" s="36">
        <v>1011712.22</v>
      </c>
      <c r="J43" s="48">
        <f>K43+L43</f>
        <v>31226000</v>
      </c>
      <c r="K43" s="52">
        <v>30214287.780000001</v>
      </c>
      <c r="L43" s="53">
        <v>1011712.22</v>
      </c>
      <c r="M43" s="48">
        <f t="shared" si="15"/>
        <v>7753000.0099999998</v>
      </c>
      <c r="N43" s="46">
        <v>7501805.3399999999</v>
      </c>
      <c r="O43" s="47">
        <v>251194.67</v>
      </c>
      <c r="P43" s="48">
        <f t="shared" si="16"/>
        <v>7753000.0099999998</v>
      </c>
      <c r="Q43" s="46">
        <v>7501805.3399999999</v>
      </c>
      <c r="R43" s="47">
        <v>251194.67</v>
      </c>
      <c r="S43" s="48">
        <f t="shared" si="18"/>
        <v>7753000.0099999998</v>
      </c>
      <c r="T43" s="46">
        <v>7501805.3399999999</v>
      </c>
      <c r="U43" s="47">
        <v>251194.67</v>
      </c>
      <c r="V43" s="68">
        <f t="shared" si="2"/>
        <v>24.828668449369115</v>
      </c>
      <c r="W43" s="69">
        <f t="shared" si="3"/>
        <v>100</v>
      </c>
    </row>
    <row r="44" spans="1:23">
      <c r="A44" s="9" t="s">
        <v>22</v>
      </c>
      <c r="B44" s="6" t="s">
        <v>13</v>
      </c>
      <c r="C44" s="9"/>
      <c r="D44" s="9"/>
      <c r="E44" s="9"/>
      <c r="F44" s="79"/>
      <c r="G44" s="35">
        <v>95000</v>
      </c>
      <c r="H44" s="26"/>
      <c r="I44" s="36">
        <v>95000</v>
      </c>
      <c r="J44" s="48">
        <v>95000</v>
      </c>
      <c r="K44" s="52"/>
      <c r="L44" s="53">
        <v>95000</v>
      </c>
      <c r="M44" s="48">
        <f t="shared" si="15"/>
        <v>0</v>
      </c>
      <c r="N44" s="52"/>
      <c r="O44" s="53">
        <v>0</v>
      </c>
      <c r="P44" s="48">
        <f t="shared" si="16"/>
        <v>0</v>
      </c>
      <c r="Q44" s="52"/>
      <c r="R44" s="53">
        <v>0</v>
      </c>
      <c r="S44" s="48">
        <f t="shared" si="18"/>
        <v>0</v>
      </c>
      <c r="T44" s="52"/>
      <c r="U44" s="53">
        <v>0</v>
      </c>
      <c r="V44" s="68">
        <f t="shared" si="2"/>
        <v>0</v>
      </c>
      <c r="W44" s="69">
        <v>0</v>
      </c>
    </row>
    <row r="45" spans="1:23" ht="150" hidden="1" customHeight="1">
      <c r="A45" s="9" t="s">
        <v>48</v>
      </c>
      <c r="B45" s="6" t="s">
        <v>13</v>
      </c>
      <c r="C45" s="6" t="s">
        <v>13</v>
      </c>
      <c r="D45" s="6" t="s">
        <v>49</v>
      </c>
      <c r="E45" s="6" t="s">
        <v>15</v>
      </c>
      <c r="F45" s="78" t="s">
        <v>16</v>
      </c>
      <c r="G45" s="37"/>
      <c r="H45" s="27"/>
      <c r="I45" s="38"/>
      <c r="J45" s="49"/>
      <c r="K45" s="50"/>
      <c r="L45" s="51"/>
      <c r="M45" s="49"/>
      <c r="N45" s="50"/>
      <c r="O45" s="51"/>
      <c r="P45" s="49"/>
      <c r="Q45" s="50"/>
      <c r="R45" s="51"/>
      <c r="S45" s="49"/>
      <c r="T45" s="50"/>
      <c r="U45" s="51"/>
      <c r="V45" s="68" t="e">
        <f t="shared" si="2"/>
        <v>#DIV/0!</v>
      </c>
      <c r="W45" s="69" t="e">
        <f t="shared" si="3"/>
        <v>#DIV/0!</v>
      </c>
    </row>
    <row r="46" spans="1:23" ht="60" hidden="1" customHeight="1">
      <c r="A46" s="9" t="s">
        <v>17</v>
      </c>
      <c r="B46" s="6" t="s">
        <v>18</v>
      </c>
      <c r="C46" s="9"/>
      <c r="D46" s="9"/>
      <c r="E46" s="9"/>
      <c r="F46" s="79"/>
      <c r="G46" s="37"/>
      <c r="H46" s="27"/>
      <c r="I46" s="38"/>
      <c r="J46" s="49"/>
      <c r="K46" s="50"/>
      <c r="L46" s="51"/>
      <c r="M46" s="49"/>
      <c r="N46" s="50"/>
      <c r="O46" s="51"/>
      <c r="P46" s="49"/>
      <c r="Q46" s="50"/>
      <c r="R46" s="51"/>
      <c r="S46" s="49"/>
      <c r="T46" s="50"/>
      <c r="U46" s="51"/>
      <c r="V46" s="68" t="e">
        <f t="shared" si="2"/>
        <v>#DIV/0!</v>
      </c>
      <c r="W46" s="69" t="e">
        <f t="shared" si="3"/>
        <v>#DIV/0!</v>
      </c>
    </row>
    <row r="47" spans="1:23" ht="105.75" customHeight="1">
      <c r="A47" s="9" t="s">
        <v>50</v>
      </c>
      <c r="B47" s="6" t="s">
        <v>13</v>
      </c>
      <c r="C47" s="6" t="s">
        <v>13</v>
      </c>
      <c r="D47" s="6" t="s">
        <v>51</v>
      </c>
      <c r="E47" s="6" t="s">
        <v>15</v>
      </c>
      <c r="F47" s="78" t="s">
        <v>52</v>
      </c>
      <c r="G47" s="35">
        <f>H47+I47</f>
        <v>2168449267.1100001</v>
      </c>
      <c r="H47" s="26">
        <f>H48</f>
        <v>1949200900</v>
      </c>
      <c r="I47" s="36">
        <f>I48+I49</f>
        <v>219248367.11000001</v>
      </c>
      <c r="J47" s="48">
        <f>K47+L47</f>
        <v>2309893156</v>
      </c>
      <c r="K47" s="52">
        <f>K48</f>
        <v>2076500400</v>
      </c>
      <c r="L47" s="53">
        <f>L48+L49</f>
        <v>233392756</v>
      </c>
      <c r="M47" s="48">
        <f>N47+O47</f>
        <v>912165779.42000008</v>
      </c>
      <c r="N47" s="52">
        <f>N48</f>
        <v>819927440.08000004</v>
      </c>
      <c r="O47" s="53">
        <f>O48+O49</f>
        <v>92238339.340000004</v>
      </c>
      <c r="P47" s="48">
        <f t="shared" ref="P47:P49" si="20">Q47+R47</f>
        <v>884434664.65999997</v>
      </c>
      <c r="Q47" s="52">
        <f>Q48</f>
        <v>795467336.79999995</v>
      </c>
      <c r="R47" s="53">
        <f>R48+R49</f>
        <v>88967327.859999999</v>
      </c>
      <c r="S47" s="48">
        <f t="shared" ref="S47:S49" si="21">T47+U47</f>
        <v>884434664.65999997</v>
      </c>
      <c r="T47" s="52">
        <f>T48</f>
        <v>795467336.79999995</v>
      </c>
      <c r="U47" s="53">
        <f>U48+U49</f>
        <v>88967327.859999999</v>
      </c>
      <c r="V47" s="68">
        <f t="shared" si="2"/>
        <v>38.288985893683474</v>
      </c>
      <c r="W47" s="69">
        <f t="shared" si="3"/>
        <v>96.95986021558133</v>
      </c>
    </row>
    <row r="48" spans="1:23" ht="75">
      <c r="A48" s="9" t="s">
        <v>53</v>
      </c>
      <c r="B48" s="6" t="s">
        <v>54</v>
      </c>
      <c r="C48" s="9"/>
      <c r="D48" s="9"/>
      <c r="E48" s="9"/>
      <c r="F48" s="79"/>
      <c r="G48" s="35">
        <f>H48+I48</f>
        <v>2165778777.7800002</v>
      </c>
      <c r="H48" s="26">
        <v>1949200900</v>
      </c>
      <c r="I48" s="36">
        <v>216577877.78</v>
      </c>
      <c r="J48" s="48">
        <f>K48+L48</f>
        <v>2307222666.6700001</v>
      </c>
      <c r="K48" s="52">
        <f>1712978700+236222200+127299500</f>
        <v>2076500400</v>
      </c>
      <c r="L48" s="53">
        <f>26246911.11+14144388.89+190330966.67</f>
        <v>230722266.66999999</v>
      </c>
      <c r="M48" s="48">
        <f t="shared" ref="M48:M49" si="22">N48+O48</f>
        <v>911583711.20000005</v>
      </c>
      <c r="N48" s="46">
        <v>819927440.08000004</v>
      </c>
      <c r="O48" s="47">
        <v>91656271.120000005</v>
      </c>
      <c r="P48" s="48">
        <f t="shared" si="20"/>
        <v>883852596.43999994</v>
      </c>
      <c r="Q48" s="46">
        <v>795467336.79999995</v>
      </c>
      <c r="R48" s="47">
        <v>88385259.640000001</v>
      </c>
      <c r="S48" s="48">
        <f t="shared" si="21"/>
        <v>883852596.43999994</v>
      </c>
      <c r="T48" s="46">
        <v>795467336.79999995</v>
      </c>
      <c r="U48" s="47">
        <v>88385259.640000001</v>
      </c>
      <c r="V48" s="68">
        <f t="shared" si="2"/>
        <v>38.308075297979748</v>
      </c>
      <c r="W48" s="69">
        <f t="shared" si="3"/>
        <v>96.957919012890741</v>
      </c>
    </row>
    <row r="49" spans="1:23">
      <c r="A49" s="9" t="s">
        <v>22</v>
      </c>
      <c r="B49" s="6" t="s">
        <v>13</v>
      </c>
      <c r="C49" s="9"/>
      <c r="D49" s="9"/>
      <c r="E49" s="9"/>
      <c r="F49" s="79"/>
      <c r="G49" s="35">
        <v>2670489.33</v>
      </c>
      <c r="H49" s="26"/>
      <c r="I49" s="36">
        <v>2670489.33</v>
      </c>
      <c r="J49" s="48">
        <v>2670489.33</v>
      </c>
      <c r="K49" s="52"/>
      <c r="L49" s="53">
        <v>2670489.33</v>
      </c>
      <c r="M49" s="48">
        <f t="shared" si="22"/>
        <v>582068.22</v>
      </c>
      <c r="N49" s="52"/>
      <c r="O49" s="71">
        <v>582068.22</v>
      </c>
      <c r="P49" s="48">
        <f t="shared" si="20"/>
        <v>582068.22</v>
      </c>
      <c r="Q49" s="52"/>
      <c r="R49" s="71">
        <v>582068.22</v>
      </c>
      <c r="S49" s="48">
        <f t="shared" si="21"/>
        <v>582068.22</v>
      </c>
      <c r="T49" s="52"/>
      <c r="U49" s="71">
        <v>582068.22</v>
      </c>
      <c r="V49" s="68">
        <f t="shared" si="2"/>
        <v>21.79631326218405</v>
      </c>
      <c r="W49" s="69">
        <f t="shared" si="3"/>
        <v>100</v>
      </c>
    </row>
    <row r="50" spans="1:23" ht="108.75" customHeight="1">
      <c r="A50" s="9" t="s">
        <v>55</v>
      </c>
      <c r="B50" s="6" t="s">
        <v>13</v>
      </c>
      <c r="C50" s="6" t="s">
        <v>13</v>
      </c>
      <c r="D50" s="6" t="s">
        <v>38</v>
      </c>
      <c r="E50" s="6" t="s">
        <v>15</v>
      </c>
      <c r="F50" s="78">
        <v>2024</v>
      </c>
      <c r="G50" s="37"/>
      <c r="H50" s="27"/>
      <c r="I50" s="38"/>
      <c r="J50" s="49"/>
      <c r="K50" s="50"/>
      <c r="L50" s="51"/>
      <c r="M50" s="49"/>
      <c r="N50" s="50"/>
      <c r="O50" s="51"/>
      <c r="P50" s="49"/>
      <c r="Q50" s="50"/>
      <c r="R50" s="51"/>
      <c r="S50" s="49"/>
      <c r="T50" s="50"/>
      <c r="U50" s="51"/>
      <c r="V50" s="68"/>
      <c r="W50" s="69"/>
    </row>
    <row r="51" spans="1:23" ht="60">
      <c r="A51" s="9" t="s">
        <v>17</v>
      </c>
      <c r="B51" s="6" t="s">
        <v>18</v>
      </c>
      <c r="C51" s="9"/>
      <c r="D51" s="9"/>
      <c r="E51" s="9"/>
      <c r="F51" s="79"/>
      <c r="G51" s="37"/>
      <c r="H51" s="27"/>
      <c r="I51" s="38"/>
      <c r="J51" s="49"/>
      <c r="K51" s="50"/>
      <c r="L51" s="51"/>
      <c r="M51" s="49"/>
      <c r="N51" s="50"/>
      <c r="O51" s="51"/>
      <c r="P51" s="49"/>
      <c r="Q51" s="50"/>
      <c r="R51" s="51"/>
      <c r="S51" s="49"/>
      <c r="T51" s="50"/>
      <c r="U51" s="51"/>
      <c r="V51" s="68"/>
      <c r="W51" s="69"/>
    </row>
    <row r="52" spans="1:23" s="16" customFormat="1" ht="28.5" customHeight="1">
      <c r="A52" s="112" t="s">
        <v>56</v>
      </c>
      <c r="B52" s="112"/>
      <c r="C52" s="112"/>
      <c r="D52" s="112"/>
      <c r="E52" s="112"/>
      <c r="F52" s="113"/>
      <c r="G52" s="33">
        <f>G53+G54</f>
        <v>1904696944.96</v>
      </c>
      <c r="H52" s="25">
        <f t="shared" ref="H52:I52" si="23">H53+H54</f>
        <v>1098413186.6100001</v>
      </c>
      <c r="I52" s="34">
        <f t="shared" si="23"/>
        <v>806283758.35000014</v>
      </c>
      <c r="J52" s="54">
        <f>J53+J54</f>
        <v>1908196944.96</v>
      </c>
      <c r="K52" s="55">
        <f t="shared" ref="K52:L52" si="24">K53+K54</f>
        <v>1098413186.6100001</v>
      </c>
      <c r="L52" s="56">
        <f t="shared" si="24"/>
        <v>809783758.35000014</v>
      </c>
      <c r="M52" s="54">
        <f>M53+M54</f>
        <v>1336687674.96</v>
      </c>
      <c r="N52" s="55">
        <f t="shared" ref="N52:O52" si="25">N53+N54</f>
        <v>772923415.96999991</v>
      </c>
      <c r="O52" s="56">
        <f t="shared" si="25"/>
        <v>563764258.99000001</v>
      </c>
      <c r="P52" s="54">
        <f>P53+P54</f>
        <v>1132932694.47</v>
      </c>
      <c r="Q52" s="55">
        <f t="shared" ref="Q52:R52" si="26">Q53+Q54</f>
        <v>664102573.00999999</v>
      </c>
      <c r="R52" s="56">
        <f t="shared" si="26"/>
        <v>468830121.46000004</v>
      </c>
      <c r="S52" s="54">
        <f>S53+S54</f>
        <v>1075333191.3199999</v>
      </c>
      <c r="T52" s="55">
        <f t="shared" ref="T52:U52" si="27">T53+T54</f>
        <v>642836456.65999997</v>
      </c>
      <c r="U52" s="56">
        <f t="shared" si="27"/>
        <v>432496734.66000003</v>
      </c>
      <c r="V52" s="72">
        <f t="shared" si="2"/>
        <v>56.353365105221954</v>
      </c>
      <c r="W52" s="73">
        <f t="shared" si="3"/>
        <v>80.447602791892209</v>
      </c>
    </row>
    <row r="53" spans="1:23">
      <c r="A53" s="108" t="s">
        <v>7</v>
      </c>
      <c r="B53" s="108"/>
      <c r="C53" s="108"/>
      <c r="D53" s="108"/>
      <c r="E53" s="108"/>
      <c r="F53" s="109"/>
      <c r="G53" s="35">
        <f>H53+I53</f>
        <v>1113837924.8299999</v>
      </c>
      <c r="H53" s="26">
        <f>H58+H64+H70+H74</f>
        <v>952090600</v>
      </c>
      <c r="I53" s="36">
        <f>I58+I64+I70+I74</f>
        <v>161747324.83000001</v>
      </c>
      <c r="J53" s="48">
        <f>K53+L53</f>
        <v>1113837924.8299999</v>
      </c>
      <c r="K53" s="52">
        <f>K58+K64+K70+K74</f>
        <v>952090600</v>
      </c>
      <c r="L53" s="53">
        <f>L58+L64+L70+L74</f>
        <v>161747324.83000001</v>
      </c>
      <c r="M53" s="48">
        <f>N53+O53</f>
        <v>811263766.93999994</v>
      </c>
      <c r="N53" s="52">
        <f>N58+N64+N70+N74</f>
        <v>692011021.80999994</v>
      </c>
      <c r="O53" s="53">
        <f>O58+O64+O70+O74</f>
        <v>119252745.13000001</v>
      </c>
      <c r="P53" s="48">
        <f>Q53+R53</f>
        <v>707582955.78999996</v>
      </c>
      <c r="Q53" s="52">
        <f>Q58+Q64+Q70+Q74</f>
        <v>603714943.64999998</v>
      </c>
      <c r="R53" s="53">
        <f>R58+R64+R70+R74</f>
        <v>103868012.14</v>
      </c>
      <c r="S53" s="48">
        <f>T53+U53</f>
        <v>684531137.6099999</v>
      </c>
      <c r="T53" s="52">
        <f>T58+T64+T70+T74</f>
        <v>582448827.29999995</v>
      </c>
      <c r="U53" s="53">
        <f>U58+U64+U70+U74</f>
        <v>102082310.31</v>
      </c>
      <c r="V53" s="68">
        <f t="shared" si="2"/>
        <v>61.456978825216133</v>
      </c>
      <c r="W53" s="69">
        <f t="shared" si="3"/>
        <v>84.378369342436926</v>
      </c>
    </row>
    <row r="54" spans="1:23">
      <c r="A54" s="108" t="s">
        <v>8</v>
      </c>
      <c r="B54" s="108"/>
      <c r="C54" s="108"/>
      <c r="D54" s="108"/>
      <c r="E54" s="108"/>
      <c r="F54" s="109"/>
      <c r="G54" s="35">
        <f>H54+I54</f>
        <v>790859020.13000011</v>
      </c>
      <c r="H54" s="26">
        <f>H59+H61+H62+H65+H71+H75+H60</f>
        <v>146322586.61000001</v>
      </c>
      <c r="I54" s="36">
        <f>I59+I61+I62+I65+I71+I75+I60+I66+I72</f>
        <v>644536433.5200001</v>
      </c>
      <c r="J54" s="48">
        <f>K54+L54</f>
        <v>794359020.13000011</v>
      </c>
      <c r="K54" s="52">
        <f>K59+K61+K62+K65+K71+K75+K60</f>
        <v>146322586.61000001</v>
      </c>
      <c r="L54" s="53">
        <f>L59+L61+L62+L65+L71+L75+L60+L66+L72</f>
        <v>648036433.5200001</v>
      </c>
      <c r="M54" s="48">
        <f>N54+O54</f>
        <v>525423908.01999998</v>
      </c>
      <c r="N54" s="52">
        <f>N59+N61+N62+N65+N71+N75+N60</f>
        <v>80912394.159999996</v>
      </c>
      <c r="O54" s="53">
        <f>O59+O61+O62+O65+O71+O75+O60+O66+O72</f>
        <v>444511513.86000001</v>
      </c>
      <c r="P54" s="48">
        <f>Q54+R54</f>
        <v>425349738.68000007</v>
      </c>
      <c r="Q54" s="52">
        <f>Q59+Q61+Q62+Q65+Q71+Q75+Q60</f>
        <v>60387629.359999999</v>
      </c>
      <c r="R54" s="53">
        <f>R59+R61+R62+R65+R71+R75+R60+R66+R72</f>
        <v>364962109.32000005</v>
      </c>
      <c r="S54" s="48">
        <f>T54+U54</f>
        <v>390802053.71000004</v>
      </c>
      <c r="T54" s="52">
        <f>T59+T61+T62+T65+T71+T75+T60</f>
        <v>60387629.359999999</v>
      </c>
      <c r="U54" s="53">
        <f>U59+U61+U62+U65+U71+U75+U60+U66+U72</f>
        <v>330414424.35000002</v>
      </c>
      <c r="V54" s="68">
        <f t="shared" si="2"/>
        <v>49.197156928619464</v>
      </c>
      <c r="W54" s="69">
        <f t="shared" si="3"/>
        <v>74.378430015241022</v>
      </c>
    </row>
    <row r="55" spans="1:23" ht="32.25" customHeight="1">
      <c r="A55" s="108" t="s">
        <v>57</v>
      </c>
      <c r="B55" s="108"/>
      <c r="C55" s="108"/>
      <c r="D55" s="108"/>
      <c r="E55" s="108"/>
      <c r="F55" s="109"/>
      <c r="G55" s="35">
        <f t="shared" ref="G55:U55" si="28">G56</f>
        <v>1904696944.9600003</v>
      </c>
      <c r="H55" s="26">
        <f t="shared" si="28"/>
        <v>1098413186.6100001</v>
      </c>
      <c r="I55" s="36">
        <f t="shared" si="28"/>
        <v>806283758.35000014</v>
      </c>
      <c r="J55" s="48">
        <f t="shared" si="28"/>
        <v>1908196944.9600003</v>
      </c>
      <c r="K55" s="52">
        <f t="shared" si="28"/>
        <v>1098413186.6100001</v>
      </c>
      <c r="L55" s="53">
        <f t="shared" si="28"/>
        <v>809783758.35000014</v>
      </c>
      <c r="M55" s="48">
        <f t="shared" si="28"/>
        <v>1336687674.96</v>
      </c>
      <c r="N55" s="52">
        <f t="shared" si="28"/>
        <v>772923415.97000003</v>
      </c>
      <c r="O55" s="53">
        <f t="shared" si="28"/>
        <v>563764258.99000001</v>
      </c>
      <c r="P55" s="48">
        <f t="shared" si="28"/>
        <v>1132932694.47</v>
      </c>
      <c r="Q55" s="52">
        <f t="shared" si="28"/>
        <v>664102573.00999999</v>
      </c>
      <c r="R55" s="53">
        <f t="shared" si="28"/>
        <v>468830121.45999998</v>
      </c>
      <c r="S55" s="48">
        <f t="shared" si="28"/>
        <v>1075333191.3199999</v>
      </c>
      <c r="T55" s="52">
        <f t="shared" si="28"/>
        <v>642836456.65999997</v>
      </c>
      <c r="U55" s="53">
        <f t="shared" si="28"/>
        <v>432496734.65999997</v>
      </c>
      <c r="V55" s="68">
        <f t="shared" si="2"/>
        <v>56.35336510522194</v>
      </c>
      <c r="W55" s="69">
        <f t="shared" si="3"/>
        <v>80.447602791892209</v>
      </c>
    </row>
    <row r="56" spans="1:23" s="16" customFormat="1">
      <c r="A56" s="110" t="s">
        <v>11</v>
      </c>
      <c r="B56" s="110"/>
      <c r="C56" s="110"/>
      <c r="D56" s="110"/>
      <c r="E56" s="110"/>
      <c r="F56" s="111"/>
      <c r="G56" s="33">
        <f>H56+I56</f>
        <v>1904696944.9600003</v>
      </c>
      <c r="H56" s="25">
        <f>H57+H60+H61+H62+H63+H66+H67+H69+H72+H73</f>
        <v>1098413186.6100001</v>
      </c>
      <c r="I56" s="34">
        <f>I57+I60+I61+I62+I63+I66+I67+I69+I72+I73+I59</f>
        <v>806283758.35000014</v>
      </c>
      <c r="J56" s="54">
        <f>K56+L56</f>
        <v>1908196944.9600003</v>
      </c>
      <c r="K56" s="55">
        <f>K57+K60+K61+K62+K63+K66+K67+K69+K72+K73</f>
        <v>1098413186.6100001</v>
      </c>
      <c r="L56" s="56">
        <f>L57+L60+L61+L62+L63+L66+L67+L69+L72+L73+L59</f>
        <v>809783758.35000014</v>
      </c>
      <c r="M56" s="54">
        <f>N56+O56</f>
        <v>1336687674.96</v>
      </c>
      <c r="N56" s="55">
        <f>N57+N60+N61+N62+N63+N66+N67+N69+N72+N73</f>
        <v>772923415.97000003</v>
      </c>
      <c r="O56" s="56">
        <f>O57+O60+O61+O62+O63+O66+O67+O69+O72+O73+O59</f>
        <v>563764258.99000001</v>
      </c>
      <c r="P56" s="54">
        <f>Q56+R56</f>
        <v>1132932694.47</v>
      </c>
      <c r="Q56" s="55">
        <f>Q57+Q60+Q61+Q62+Q63+Q66+Q67+Q69+Q72+Q73</f>
        <v>664102573.00999999</v>
      </c>
      <c r="R56" s="56">
        <f>R57+R60+R61+R62+R63+R66+R67+R69+R72+R73+R59</f>
        <v>468830121.45999998</v>
      </c>
      <c r="S56" s="54">
        <f>T56+U56</f>
        <v>1075333191.3199999</v>
      </c>
      <c r="T56" s="55">
        <f>T57+T60+T61+T62+T63+T66+T67+T69+T72+T73</f>
        <v>642836456.65999997</v>
      </c>
      <c r="U56" s="56">
        <f>U57+U60+U61+U62+U63+U66+U67+U69+U72+U73+U59</f>
        <v>432496734.65999997</v>
      </c>
      <c r="V56" s="72">
        <f t="shared" si="2"/>
        <v>56.35336510522194</v>
      </c>
      <c r="W56" s="73">
        <f t="shared" si="3"/>
        <v>80.447602791892209</v>
      </c>
    </row>
    <row r="57" spans="1:23" ht="105">
      <c r="A57" s="10" t="s">
        <v>58</v>
      </c>
      <c r="B57" s="6" t="s">
        <v>13</v>
      </c>
      <c r="C57" s="6" t="s">
        <v>13</v>
      </c>
      <c r="D57" s="6" t="s">
        <v>59</v>
      </c>
      <c r="E57" s="18" t="s">
        <v>15</v>
      </c>
      <c r="F57" s="78" t="s">
        <v>61</v>
      </c>
      <c r="G57" s="35">
        <f>H57+I57</f>
        <v>87071874.719999999</v>
      </c>
      <c r="H57" s="26">
        <f>H58</f>
        <v>18882200</v>
      </c>
      <c r="I57" s="36">
        <f>I58</f>
        <v>68189674.719999999</v>
      </c>
      <c r="J57" s="48">
        <f>K57+L57</f>
        <v>87071874.719999999</v>
      </c>
      <c r="K57" s="52">
        <f>K58</f>
        <v>18882200</v>
      </c>
      <c r="L57" s="53">
        <f>L58</f>
        <v>68189674.719999999</v>
      </c>
      <c r="M57" s="48">
        <f>N57+O57</f>
        <v>57652609.980000004</v>
      </c>
      <c r="N57" s="52">
        <f>N58</f>
        <v>13217540.560000001</v>
      </c>
      <c r="O57" s="53">
        <f>O58</f>
        <v>44435069.420000002</v>
      </c>
      <c r="P57" s="48">
        <f>Q57+R57</f>
        <v>52051930.120000005</v>
      </c>
      <c r="Q57" s="52">
        <f>Q58</f>
        <v>13217540.560000001</v>
      </c>
      <c r="R57" s="53">
        <f>R58</f>
        <v>38834389.560000002</v>
      </c>
      <c r="S57" s="48">
        <f>T57+U57</f>
        <v>52051930.120000005</v>
      </c>
      <c r="T57" s="52">
        <f>T58</f>
        <v>13217540.560000001</v>
      </c>
      <c r="U57" s="53">
        <f>U58</f>
        <v>38834389.560000002</v>
      </c>
      <c r="V57" s="68">
        <f t="shared" si="2"/>
        <v>59.780417370574803</v>
      </c>
      <c r="W57" s="69">
        <f t="shared" si="3"/>
        <v>90.285470402913404</v>
      </c>
    </row>
    <row r="58" spans="1:23" ht="39.75" customHeight="1">
      <c r="A58" s="19" t="s">
        <v>319</v>
      </c>
      <c r="B58" s="18" t="s">
        <v>318</v>
      </c>
      <c r="C58" s="18"/>
      <c r="D58" s="18"/>
      <c r="E58" s="18"/>
      <c r="F58" s="78"/>
      <c r="G58" s="35">
        <f>H58+I58</f>
        <v>87071874.719999999</v>
      </c>
      <c r="H58" s="26">
        <v>18882200</v>
      </c>
      <c r="I58" s="36">
        <v>68189674.719999999</v>
      </c>
      <c r="J58" s="48">
        <f>K58+L58</f>
        <v>87071874.719999999</v>
      </c>
      <c r="K58" s="52">
        <v>18882200</v>
      </c>
      <c r="L58" s="53">
        <v>68189674.719999999</v>
      </c>
      <c r="M58" s="48">
        <f>N58+O58</f>
        <v>57652609.980000004</v>
      </c>
      <c r="N58" s="46">
        <v>13217540.560000001</v>
      </c>
      <c r="O58" s="53">
        <f>269745.72+44165323.7</f>
        <v>44435069.420000002</v>
      </c>
      <c r="P58" s="48">
        <f>Q58+R58</f>
        <v>52051930.120000005</v>
      </c>
      <c r="Q58" s="46">
        <v>13217540.560000001</v>
      </c>
      <c r="R58" s="53">
        <f>269745.72+38564643.84</f>
        <v>38834389.560000002</v>
      </c>
      <c r="S58" s="48">
        <f>T58+U58</f>
        <v>52051930.120000005</v>
      </c>
      <c r="T58" s="46">
        <v>13217540.560000001</v>
      </c>
      <c r="U58" s="53">
        <f>269745.72+38564643.84</f>
        <v>38834389.560000002</v>
      </c>
      <c r="V58" s="68">
        <f t="shared" ref="V58:V59" si="29">S58/J58*100</f>
        <v>59.780417370574803</v>
      </c>
      <c r="W58" s="69">
        <f t="shared" ref="W58:W59" si="30">S58/M58*100</f>
        <v>90.285470402913404</v>
      </c>
    </row>
    <row r="59" spans="1:23" ht="87" customHeight="1">
      <c r="A59" s="10" t="s">
        <v>58</v>
      </c>
      <c r="B59" s="18" t="s">
        <v>13</v>
      </c>
      <c r="C59" s="18" t="s">
        <v>13</v>
      </c>
      <c r="D59" s="18" t="s">
        <v>59</v>
      </c>
      <c r="E59" s="18" t="s">
        <v>60</v>
      </c>
      <c r="F59" s="78" t="s">
        <v>61</v>
      </c>
      <c r="G59" s="35">
        <f>I59</f>
        <v>891887.72</v>
      </c>
      <c r="H59" s="26"/>
      <c r="I59" s="36">
        <v>891887.72</v>
      </c>
      <c r="J59" s="48">
        <f>L59</f>
        <v>891887.72</v>
      </c>
      <c r="K59" s="52"/>
      <c r="L59" s="53">
        <v>891887.72</v>
      </c>
      <c r="M59" s="48">
        <f>O59</f>
        <v>891887.72</v>
      </c>
      <c r="N59" s="52"/>
      <c r="O59" s="53">
        <v>891887.72</v>
      </c>
      <c r="P59" s="48">
        <f>R59</f>
        <v>891887.72</v>
      </c>
      <c r="Q59" s="52"/>
      <c r="R59" s="53">
        <v>891887.72</v>
      </c>
      <c r="S59" s="48">
        <f>U59</f>
        <v>891887.72</v>
      </c>
      <c r="T59" s="52"/>
      <c r="U59" s="53">
        <v>891887.72</v>
      </c>
      <c r="V59" s="68">
        <f t="shared" si="29"/>
        <v>100</v>
      </c>
      <c r="W59" s="69">
        <f t="shared" si="30"/>
        <v>100</v>
      </c>
    </row>
    <row r="60" spans="1:23" ht="150" customHeight="1">
      <c r="A60" s="9" t="s">
        <v>62</v>
      </c>
      <c r="B60" s="6" t="s">
        <v>13</v>
      </c>
      <c r="C60" s="6" t="s">
        <v>13</v>
      </c>
      <c r="D60" s="6" t="s">
        <v>63</v>
      </c>
      <c r="E60" s="6" t="s">
        <v>15</v>
      </c>
      <c r="F60" s="78" t="s">
        <v>25</v>
      </c>
      <c r="G60" s="35">
        <v>74158463.480000004</v>
      </c>
      <c r="H60" s="26">
        <v>74158463.480000004</v>
      </c>
      <c r="I60" s="36"/>
      <c r="J60" s="48">
        <v>74158463.480000004</v>
      </c>
      <c r="K60" s="52">
        <v>74158463.480000004</v>
      </c>
      <c r="L60" s="53"/>
      <c r="M60" s="48">
        <v>74158463.480000004</v>
      </c>
      <c r="N60" s="46">
        <v>43371746.140000001</v>
      </c>
      <c r="O60" s="53"/>
      <c r="P60" s="48">
        <v>74158463.480000004</v>
      </c>
      <c r="Q60" s="46">
        <v>32165115.600000001</v>
      </c>
      <c r="R60" s="53"/>
      <c r="S60" s="48">
        <v>74158463.480000004</v>
      </c>
      <c r="T60" s="46">
        <v>32165115.600000001</v>
      </c>
      <c r="U60" s="53"/>
      <c r="V60" s="68">
        <f t="shared" si="2"/>
        <v>100</v>
      </c>
      <c r="W60" s="69">
        <f t="shared" si="3"/>
        <v>100</v>
      </c>
    </row>
    <row r="61" spans="1:23" ht="105" customHeight="1">
      <c r="A61" s="10" t="s">
        <v>64</v>
      </c>
      <c r="B61" s="6" t="s">
        <v>13</v>
      </c>
      <c r="C61" s="6" t="s">
        <v>13</v>
      </c>
      <c r="D61" s="6" t="s">
        <v>65</v>
      </c>
      <c r="E61" s="6" t="s">
        <v>66</v>
      </c>
      <c r="F61" s="78" t="s">
        <v>61</v>
      </c>
      <c r="G61" s="35">
        <f>H61+I61</f>
        <v>100231815.75</v>
      </c>
      <c r="H61" s="26"/>
      <c r="I61" s="36">
        <v>100231815.75</v>
      </c>
      <c r="J61" s="48">
        <f>K61+L61</f>
        <v>100231815.75</v>
      </c>
      <c r="K61" s="52"/>
      <c r="L61" s="53">
        <v>100231815.75</v>
      </c>
      <c r="M61" s="48">
        <f>N61+O61</f>
        <v>100231815.75</v>
      </c>
      <c r="N61" s="52"/>
      <c r="O61" s="53">
        <v>100231815.75</v>
      </c>
      <c r="P61" s="48">
        <f>Q61+R61</f>
        <v>73797743.390000001</v>
      </c>
      <c r="Q61" s="52"/>
      <c r="R61" s="53">
        <v>73797743.390000001</v>
      </c>
      <c r="S61" s="48">
        <f>T61+U61</f>
        <v>73797743.390000001</v>
      </c>
      <c r="T61" s="52"/>
      <c r="U61" s="53">
        <v>73797743.390000001</v>
      </c>
      <c r="V61" s="68">
        <f t="shared" si="2"/>
        <v>73.627064258785509</v>
      </c>
      <c r="W61" s="69">
        <f t="shared" si="3"/>
        <v>73.627064258785509</v>
      </c>
    </row>
    <row r="62" spans="1:23" ht="105.75" customHeight="1">
      <c r="A62" s="9" t="s">
        <v>67</v>
      </c>
      <c r="B62" s="6" t="s">
        <v>13</v>
      </c>
      <c r="C62" s="6" t="s">
        <v>13</v>
      </c>
      <c r="D62" s="6" t="s">
        <v>68</v>
      </c>
      <c r="E62" s="6" t="s">
        <v>15</v>
      </c>
      <c r="F62" s="78" t="s">
        <v>25</v>
      </c>
      <c r="G62" s="35">
        <f>H62+I62</f>
        <v>93835500.189999998</v>
      </c>
      <c r="H62" s="26">
        <v>72164123.129999995</v>
      </c>
      <c r="I62" s="36">
        <v>21671377.059999999</v>
      </c>
      <c r="J62" s="48">
        <f>K62+L62</f>
        <v>93835500.189999998</v>
      </c>
      <c r="K62" s="52">
        <v>72164123.129999995</v>
      </c>
      <c r="L62" s="53">
        <v>21671377.059999999</v>
      </c>
      <c r="M62" s="48">
        <f>N62+O62</f>
        <v>59212025.079999998</v>
      </c>
      <c r="N62" s="46">
        <v>37540648.020000003</v>
      </c>
      <c r="O62" s="53">
        <v>21671377.059999999</v>
      </c>
      <c r="P62" s="48">
        <f>Q62+R62</f>
        <v>49765168.829999998</v>
      </c>
      <c r="Q62" s="46">
        <v>28222513.760000002</v>
      </c>
      <c r="R62" s="53">
        <v>21542655.07</v>
      </c>
      <c r="S62" s="48">
        <f>T62+U62</f>
        <v>49765168.829999998</v>
      </c>
      <c r="T62" s="46">
        <v>28222513.760000002</v>
      </c>
      <c r="U62" s="53">
        <v>21542655.07</v>
      </c>
      <c r="V62" s="68">
        <f t="shared" si="2"/>
        <v>53.03447919948686</v>
      </c>
      <c r="W62" s="69">
        <f t="shared" si="3"/>
        <v>84.045713286724151</v>
      </c>
    </row>
    <row r="63" spans="1:23" ht="79.5" customHeight="1">
      <c r="A63" s="10" t="s">
        <v>69</v>
      </c>
      <c r="B63" s="6" t="s">
        <v>13</v>
      </c>
      <c r="C63" s="6" t="s">
        <v>13</v>
      </c>
      <c r="D63" s="6" t="s">
        <v>70</v>
      </c>
      <c r="E63" s="6" t="s">
        <v>71</v>
      </c>
      <c r="F63" s="78" t="s">
        <v>72</v>
      </c>
      <c r="G63" s="35">
        <f>H63+I63</f>
        <v>114013322.45</v>
      </c>
      <c r="H63" s="26">
        <v>111707200</v>
      </c>
      <c r="I63" s="36">
        <f>I64+I65</f>
        <v>2306122.4500000002</v>
      </c>
      <c r="J63" s="48">
        <f>K63+L63</f>
        <v>114013322.45</v>
      </c>
      <c r="K63" s="52">
        <v>111707200</v>
      </c>
      <c r="L63" s="53">
        <f>L64+L65</f>
        <v>2306122.4500000002</v>
      </c>
      <c r="M63" s="48">
        <f>N63+O63</f>
        <v>6493500</v>
      </c>
      <c r="N63" s="52">
        <f>N64+N65</f>
        <v>6363629.9900000002</v>
      </c>
      <c r="O63" s="53">
        <f>O64+O65</f>
        <v>129870.01</v>
      </c>
      <c r="P63" s="48">
        <f>Q63+R63</f>
        <v>6493500</v>
      </c>
      <c r="Q63" s="52">
        <f>Q64+Q65</f>
        <v>6363629.9900000002</v>
      </c>
      <c r="R63" s="53">
        <f>R64+R65</f>
        <v>129870.01</v>
      </c>
      <c r="S63" s="48">
        <f>T63+U63</f>
        <v>0</v>
      </c>
      <c r="T63" s="52">
        <v>0</v>
      </c>
      <c r="U63" s="53">
        <f>U64+U65</f>
        <v>0</v>
      </c>
      <c r="V63" s="68">
        <f t="shared" si="2"/>
        <v>0</v>
      </c>
      <c r="W63" s="69">
        <v>0</v>
      </c>
    </row>
    <row r="64" spans="1:23" ht="30">
      <c r="A64" s="9" t="s">
        <v>73</v>
      </c>
      <c r="B64" s="6" t="s">
        <v>74</v>
      </c>
      <c r="C64" s="9"/>
      <c r="D64" s="9"/>
      <c r="E64" s="9"/>
      <c r="F64" s="79"/>
      <c r="G64" s="35">
        <f>H64+I64</f>
        <v>113986939</v>
      </c>
      <c r="H64" s="26">
        <v>111707200</v>
      </c>
      <c r="I64" s="36">
        <v>2279739</v>
      </c>
      <c r="J64" s="48">
        <f>K64+L64</f>
        <v>113986939</v>
      </c>
      <c r="K64" s="52">
        <v>111707200</v>
      </c>
      <c r="L64" s="53">
        <v>2279739</v>
      </c>
      <c r="M64" s="48">
        <f>N64+O64</f>
        <v>6493500</v>
      </c>
      <c r="N64" s="52">
        <v>6363629.9900000002</v>
      </c>
      <c r="O64" s="53">
        <v>129870.01</v>
      </c>
      <c r="P64" s="48">
        <f>Q64+R64</f>
        <v>6493500</v>
      </c>
      <c r="Q64" s="52">
        <v>6363629.9900000002</v>
      </c>
      <c r="R64" s="53">
        <v>129870.01</v>
      </c>
      <c r="S64" s="48">
        <f>T64+U64</f>
        <v>0</v>
      </c>
      <c r="T64" s="52"/>
      <c r="U64" s="53"/>
      <c r="V64" s="68">
        <v>0</v>
      </c>
      <c r="W64" s="69">
        <v>0</v>
      </c>
    </row>
    <row r="65" spans="1:23">
      <c r="A65" s="9" t="s">
        <v>22</v>
      </c>
      <c r="B65" s="6" t="s">
        <v>13</v>
      </c>
      <c r="C65" s="9"/>
      <c r="D65" s="9"/>
      <c r="E65" s="9"/>
      <c r="F65" s="79"/>
      <c r="G65" s="35">
        <v>26383.45</v>
      </c>
      <c r="H65" s="26"/>
      <c r="I65" s="36">
        <v>26383.45</v>
      </c>
      <c r="J65" s="48">
        <v>26383.45</v>
      </c>
      <c r="K65" s="52"/>
      <c r="L65" s="53">
        <v>26383.45</v>
      </c>
      <c r="M65" s="48">
        <f>N65+O65</f>
        <v>0</v>
      </c>
      <c r="N65" s="52"/>
      <c r="O65" s="53">
        <v>0</v>
      </c>
      <c r="P65" s="48">
        <f>Q65+R65</f>
        <v>0</v>
      </c>
      <c r="Q65" s="52"/>
      <c r="R65" s="53">
        <v>0</v>
      </c>
      <c r="S65" s="48">
        <v>0</v>
      </c>
      <c r="T65" s="52"/>
      <c r="U65" s="53"/>
      <c r="V65" s="68">
        <f t="shared" si="2"/>
        <v>0</v>
      </c>
      <c r="W65" s="69">
        <v>0</v>
      </c>
    </row>
    <row r="66" spans="1:23" ht="105" customHeight="1">
      <c r="A66" s="10" t="s">
        <v>75</v>
      </c>
      <c r="B66" s="6" t="s">
        <v>13</v>
      </c>
      <c r="C66" s="6" t="s">
        <v>13</v>
      </c>
      <c r="D66" s="6" t="s">
        <v>76</v>
      </c>
      <c r="E66" s="6" t="s">
        <v>77</v>
      </c>
      <c r="F66" s="78" t="s">
        <v>78</v>
      </c>
      <c r="G66" s="35">
        <v>50868496.340000004</v>
      </c>
      <c r="H66" s="26"/>
      <c r="I66" s="36">
        <v>50868496.340000004</v>
      </c>
      <c r="J66" s="48">
        <v>50868496.340000004</v>
      </c>
      <c r="K66" s="52"/>
      <c r="L66" s="53">
        <v>50868496.340000004</v>
      </c>
      <c r="M66" s="48">
        <f>O66</f>
        <v>42163496.340000004</v>
      </c>
      <c r="N66" s="52"/>
      <c r="O66" s="53">
        <v>42163496.340000004</v>
      </c>
      <c r="P66" s="48">
        <f>R66</f>
        <v>42156694.600000001</v>
      </c>
      <c r="Q66" s="52"/>
      <c r="R66" s="53">
        <v>42156694.600000001</v>
      </c>
      <c r="S66" s="48">
        <f>U66</f>
        <v>36162688.609999999</v>
      </c>
      <c r="T66" s="52"/>
      <c r="U66" s="53">
        <v>36162688.609999999</v>
      </c>
      <c r="V66" s="68">
        <f t="shared" si="2"/>
        <v>71.090539748397831</v>
      </c>
      <c r="W66" s="69">
        <f t="shared" si="3"/>
        <v>85.767765363644415</v>
      </c>
    </row>
    <row r="67" spans="1:23" ht="60">
      <c r="A67" s="9" t="s">
        <v>79</v>
      </c>
      <c r="B67" s="6" t="s">
        <v>13</v>
      </c>
      <c r="C67" s="6" t="s">
        <v>13</v>
      </c>
      <c r="D67" s="6" t="s">
        <v>80</v>
      </c>
      <c r="E67" s="6" t="s">
        <v>81</v>
      </c>
      <c r="F67" s="78" t="s">
        <v>82</v>
      </c>
      <c r="G67" s="37"/>
      <c r="H67" s="27"/>
      <c r="I67" s="38"/>
      <c r="J67" s="49"/>
      <c r="K67" s="50"/>
      <c r="L67" s="51"/>
      <c r="M67" s="49"/>
      <c r="N67" s="50"/>
      <c r="O67" s="51"/>
      <c r="P67" s="49"/>
      <c r="Q67" s="50"/>
      <c r="R67" s="51"/>
      <c r="S67" s="49"/>
      <c r="T67" s="50"/>
      <c r="U67" s="51"/>
      <c r="V67" s="68"/>
      <c r="W67" s="69"/>
    </row>
    <row r="68" spans="1:23" ht="30">
      <c r="A68" s="9" t="s">
        <v>73</v>
      </c>
      <c r="B68" s="6" t="s">
        <v>74</v>
      </c>
      <c r="C68" s="9"/>
      <c r="D68" s="9"/>
      <c r="E68" s="9"/>
      <c r="F68" s="79"/>
      <c r="G68" s="37"/>
      <c r="H68" s="27"/>
      <c r="I68" s="38"/>
      <c r="J68" s="49"/>
      <c r="K68" s="50"/>
      <c r="L68" s="51"/>
      <c r="M68" s="49"/>
      <c r="N68" s="50"/>
      <c r="O68" s="51"/>
      <c r="P68" s="49"/>
      <c r="Q68" s="50"/>
      <c r="R68" s="51"/>
      <c r="S68" s="49"/>
      <c r="T68" s="50"/>
      <c r="U68" s="51"/>
      <c r="V68" s="68"/>
      <c r="W68" s="69"/>
    </row>
    <row r="69" spans="1:23" ht="108" customHeight="1">
      <c r="A69" s="9" t="s">
        <v>83</v>
      </c>
      <c r="B69" s="6" t="s">
        <v>13</v>
      </c>
      <c r="C69" s="6" t="s">
        <v>13</v>
      </c>
      <c r="D69" s="6" t="s">
        <v>84</v>
      </c>
      <c r="E69" s="6" t="s">
        <v>15</v>
      </c>
      <c r="F69" s="78" t="s">
        <v>25</v>
      </c>
      <c r="G69" s="35">
        <f>H69+I69</f>
        <v>1215087347.3600001</v>
      </c>
      <c r="H69" s="26">
        <f>H70</f>
        <v>777834207</v>
      </c>
      <c r="I69" s="36">
        <f>I70+I71</f>
        <v>437253140.36000001</v>
      </c>
      <c r="J69" s="48">
        <f>K69+L69</f>
        <v>1218587347.3600001</v>
      </c>
      <c r="K69" s="52">
        <f>K70</f>
        <v>777834207</v>
      </c>
      <c r="L69" s="53">
        <f>L70+L71</f>
        <v>440753140.36000001</v>
      </c>
      <c r="M69" s="48">
        <f>N69+O69</f>
        <v>879425893.21000004</v>
      </c>
      <c r="N69" s="52">
        <f>N70</f>
        <v>628762858.25999999</v>
      </c>
      <c r="O69" s="53">
        <f>O70+O71</f>
        <v>250663034.95000002</v>
      </c>
      <c r="P69" s="48">
        <f>Q69+R69</f>
        <v>777706981.26999998</v>
      </c>
      <c r="Q69" s="52">
        <f>Q70</f>
        <v>584133773.10000002</v>
      </c>
      <c r="R69" s="53">
        <f>R70+R71</f>
        <v>193573208.16999999</v>
      </c>
      <c r="S69" s="48">
        <f>T69+U69</f>
        <v>759547148.39999998</v>
      </c>
      <c r="T69" s="52">
        <f>T70</f>
        <v>569231286.74000001</v>
      </c>
      <c r="U69" s="53">
        <f>U70+U71</f>
        <v>190315861.66</v>
      </c>
      <c r="V69" s="68">
        <f t="shared" si="2"/>
        <v>62.330135795806143</v>
      </c>
      <c r="W69" s="69">
        <f t="shared" si="3"/>
        <v>86.368522267131624</v>
      </c>
    </row>
    <row r="70" spans="1:23" ht="30">
      <c r="A70" s="9" t="s">
        <v>73</v>
      </c>
      <c r="B70" s="6" t="s">
        <v>74</v>
      </c>
      <c r="C70" s="9"/>
      <c r="D70" s="9"/>
      <c r="E70" s="9"/>
      <c r="F70" s="79"/>
      <c r="G70" s="35">
        <f>H70+I70</f>
        <v>864260230</v>
      </c>
      <c r="H70" s="26">
        <v>777834207</v>
      </c>
      <c r="I70" s="36">
        <v>86426023</v>
      </c>
      <c r="J70" s="48">
        <f>K70+L70</f>
        <v>864260230</v>
      </c>
      <c r="K70" s="52">
        <f>667094607+110739600</f>
        <v>777834207</v>
      </c>
      <c r="L70" s="53">
        <v>86426023</v>
      </c>
      <c r="M70" s="48">
        <f>N70+O70</f>
        <v>698598775.85000002</v>
      </c>
      <c r="N70" s="52">
        <f>579023258.26+49739600</f>
        <v>628762858.25999999</v>
      </c>
      <c r="O70" s="53">
        <f>64335917.59+5500000</f>
        <v>69835917.590000004</v>
      </c>
      <c r="P70" s="48">
        <f>Q70+R70</f>
        <v>649037525.67000008</v>
      </c>
      <c r="Q70" s="52">
        <f>549406528.59+34727244.51</f>
        <v>584133773.10000002</v>
      </c>
      <c r="R70" s="53">
        <f>61045169.85+3858582.72</f>
        <v>64903752.57</v>
      </c>
      <c r="S70" s="48">
        <f>T70+U70</f>
        <v>632479207.49000001</v>
      </c>
      <c r="T70" s="52">
        <f>549406528.59+19824758.15</f>
        <v>569231286.74000001</v>
      </c>
      <c r="U70" s="53">
        <f>61045169.85+2202750.9</f>
        <v>63247920.75</v>
      </c>
      <c r="V70" s="68">
        <f t="shared" si="2"/>
        <v>73.181570265011501</v>
      </c>
      <c r="W70" s="69">
        <f t="shared" si="3"/>
        <v>90.535401628846131</v>
      </c>
    </row>
    <row r="71" spans="1:23">
      <c r="A71" s="9" t="s">
        <v>22</v>
      </c>
      <c r="B71" s="6" t="s">
        <v>13</v>
      </c>
      <c r="C71" s="9"/>
      <c r="D71" s="9"/>
      <c r="E71" s="9"/>
      <c r="F71" s="79"/>
      <c r="G71" s="35">
        <f>I71</f>
        <v>350827117.36000001</v>
      </c>
      <c r="H71" s="26"/>
      <c r="I71" s="36">
        <v>350827117.36000001</v>
      </c>
      <c r="J71" s="48">
        <f>L71</f>
        <v>354327117.36000001</v>
      </c>
      <c r="K71" s="52"/>
      <c r="L71" s="53">
        <v>354327117.36000001</v>
      </c>
      <c r="M71" s="48">
        <f>O71</f>
        <v>180827117.36000001</v>
      </c>
      <c r="N71" s="52"/>
      <c r="O71" s="53">
        <v>180827117.36000001</v>
      </c>
      <c r="P71" s="48">
        <f>R71</f>
        <v>128669455.59999999</v>
      </c>
      <c r="Q71" s="52"/>
      <c r="R71" s="53">
        <v>128669455.59999999</v>
      </c>
      <c r="S71" s="48">
        <f>U71</f>
        <v>127067940.91</v>
      </c>
      <c r="T71" s="52"/>
      <c r="U71" s="53">
        <v>127067940.91</v>
      </c>
      <c r="V71" s="68">
        <f t="shared" si="2"/>
        <v>35.861760131922857</v>
      </c>
      <c r="W71" s="69">
        <f t="shared" si="3"/>
        <v>70.270401234692329</v>
      </c>
    </row>
    <row r="72" spans="1:23" ht="60">
      <c r="A72" s="10" t="s">
        <v>85</v>
      </c>
      <c r="B72" s="6" t="s">
        <v>13</v>
      </c>
      <c r="C72" s="6" t="s">
        <v>13</v>
      </c>
      <c r="D72" s="6" t="s">
        <v>86</v>
      </c>
      <c r="E72" s="6" t="s">
        <v>81</v>
      </c>
      <c r="F72" s="78" t="s">
        <v>87</v>
      </c>
      <c r="G72" s="35">
        <v>38020210</v>
      </c>
      <c r="H72" s="26"/>
      <c r="I72" s="36">
        <v>38020210</v>
      </c>
      <c r="J72" s="48">
        <v>38020210</v>
      </c>
      <c r="K72" s="52"/>
      <c r="L72" s="53">
        <v>38020210</v>
      </c>
      <c r="M72" s="48">
        <v>38020210</v>
      </c>
      <c r="N72" s="52"/>
      <c r="O72" s="53">
        <v>38020210</v>
      </c>
      <c r="P72" s="48">
        <v>38020210</v>
      </c>
      <c r="Q72" s="52"/>
      <c r="R72" s="53">
        <v>37198063.310000002</v>
      </c>
      <c r="S72" s="48">
        <v>38020210</v>
      </c>
      <c r="T72" s="52"/>
      <c r="U72" s="53">
        <v>10245899.02</v>
      </c>
      <c r="V72" s="68">
        <f t="shared" si="2"/>
        <v>100</v>
      </c>
      <c r="W72" s="69">
        <f t="shared" si="3"/>
        <v>100</v>
      </c>
    </row>
    <row r="73" spans="1:23" ht="75">
      <c r="A73" s="10" t="s">
        <v>88</v>
      </c>
      <c r="B73" s="6" t="s">
        <v>13</v>
      </c>
      <c r="C73" s="6" t="s">
        <v>13</v>
      </c>
      <c r="D73" s="6" t="s">
        <v>89</v>
      </c>
      <c r="E73" s="6" t="s">
        <v>90</v>
      </c>
      <c r="F73" s="78" t="s">
        <v>91</v>
      </c>
      <c r="G73" s="35">
        <f>H73+I73</f>
        <v>130518026.95</v>
      </c>
      <c r="H73" s="26">
        <f>H74</f>
        <v>43666993</v>
      </c>
      <c r="I73" s="36">
        <f>I74+I75</f>
        <v>86851033.950000003</v>
      </c>
      <c r="J73" s="48">
        <f>K73+L73</f>
        <v>130518026.95</v>
      </c>
      <c r="K73" s="52">
        <f>K74</f>
        <v>43666993</v>
      </c>
      <c r="L73" s="53">
        <f>L74+L75</f>
        <v>86851033.950000003</v>
      </c>
      <c r="M73" s="48">
        <f>N73+O73</f>
        <v>109224490.74000001</v>
      </c>
      <c r="N73" s="52">
        <f>N74</f>
        <v>43666993</v>
      </c>
      <c r="O73" s="53">
        <f>O74+O75</f>
        <v>65557497.740000002</v>
      </c>
      <c r="P73" s="48">
        <f>Q73+R73</f>
        <v>60705609.630000003</v>
      </c>
      <c r="Q73" s="52">
        <f>Q74</f>
        <v>0</v>
      </c>
      <c r="R73" s="53">
        <f>R74+R75</f>
        <v>60705609.630000003</v>
      </c>
      <c r="S73" s="48">
        <f>T73+U73</f>
        <v>60705609.630000003</v>
      </c>
      <c r="T73" s="52">
        <f>T74</f>
        <v>0</v>
      </c>
      <c r="U73" s="53">
        <f>U74+U75</f>
        <v>60705609.630000003</v>
      </c>
      <c r="V73" s="68">
        <f t="shared" si="2"/>
        <v>46.511283574073367</v>
      </c>
      <c r="W73" s="69">
        <f t="shared" si="3"/>
        <v>55.578752730928038</v>
      </c>
    </row>
    <row r="74" spans="1:23" ht="32.25" customHeight="1">
      <c r="A74" s="9" t="s">
        <v>73</v>
      </c>
      <c r="B74" s="6" t="s">
        <v>74</v>
      </c>
      <c r="C74" s="6"/>
      <c r="D74" s="6"/>
      <c r="E74" s="6"/>
      <c r="F74" s="78"/>
      <c r="G74" s="35">
        <f>H74+I74</f>
        <v>48518881.109999999</v>
      </c>
      <c r="H74" s="26">
        <v>43666993</v>
      </c>
      <c r="I74" s="36">
        <v>4851888.1100000003</v>
      </c>
      <c r="J74" s="48">
        <f>K74+L74</f>
        <v>48518881.109999999</v>
      </c>
      <c r="K74" s="52">
        <v>43666993</v>
      </c>
      <c r="L74" s="53">
        <v>4851888.1100000003</v>
      </c>
      <c r="M74" s="48">
        <f>N74+O74</f>
        <v>48518881.109999999</v>
      </c>
      <c r="N74" s="52">
        <v>43666993</v>
      </c>
      <c r="O74" s="53">
        <v>4851888.1100000003</v>
      </c>
      <c r="P74" s="48">
        <f>Q74+R74</f>
        <v>0</v>
      </c>
      <c r="Q74" s="52"/>
      <c r="R74" s="53"/>
      <c r="S74" s="48">
        <f>T74+U74</f>
        <v>0</v>
      </c>
      <c r="T74" s="52"/>
      <c r="U74" s="53"/>
      <c r="V74" s="68">
        <f t="shared" ref="V74:V75" si="31">S74/J74*100</f>
        <v>0</v>
      </c>
      <c r="W74" s="69">
        <f t="shared" ref="W74:W75" si="32">S74/M74*100</f>
        <v>0</v>
      </c>
    </row>
    <row r="75" spans="1:23" ht="24.75" customHeight="1">
      <c r="A75" s="9" t="s">
        <v>22</v>
      </c>
      <c r="B75" s="6"/>
      <c r="C75" s="6"/>
      <c r="D75" s="6"/>
      <c r="E75" s="6"/>
      <c r="F75" s="78"/>
      <c r="G75" s="35">
        <f>H75+I75</f>
        <v>81999145.840000004</v>
      </c>
      <c r="H75" s="26"/>
      <c r="I75" s="36">
        <v>81999145.840000004</v>
      </c>
      <c r="J75" s="48">
        <f>K75+L75</f>
        <v>81999145.840000004</v>
      </c>
      <c r="K75" s="52"/>
      <c r="L75" s="53">
        <v>81999145.840000004</v>
      </c>
      <c r="M75" s="48">
        <f>N75+O75</f>
        <v>60705609.630000003</v>
      </c>
      <c r="N75" s="52"/>
      <c r="O75" s="53">
        <v>60705609.630000003</v>
      </c>
      <c r="P75" s="48">
        <f>Q75+R75</f>
        <v>60705609.630000003</v>
      </c>
      <c r="Q75" s="52"/>
      <c r="R75" s="53">
        <v>60705609.630000003</v>
      </c>
      <c r="S75" s="48">
        <f>T75+U75</f>
        <v>60705609.630000003</v>
      </c>
      <c r="T75" s="52"/>
      <c r="U75" s="53">
        <v>60705609.630000003</v>
      </c>
      <c r="V75" s="68">
        <f t="shared" si="31"/>
        <v>74.032002416770538</v>
      </c>
      <c r="W75" s="69">
        <f t="shared" si="32"/>
        <v>100</v>
      </c>
    </row>
    <row r="76" spans="1:23" s="16" customFormat="1">
      <c r="A76" s="110" t="s">
        <v>92</v>
      </c>
      <c r="B76" s="110"/>
      <c r="C76" s="110"/>
      <c r="D76" s="110"/>
      <c r="E76" s="110"/>
      <c r="F76" s="111"/>
      <c r="G76" s="39"/>
      <c r="H76" s="28"/>
      <c r="I76" s="40"/>
      <c r="J76" s="57"/>
      <c r="K76" s="58"/>
      <c r="L76" s="59"/>
      <c r="M76" s="57"/>
      <c r="N76" s="58"/>
      <c r="O76" s="59"/>
      <c r="P76" s="57"/>
      <c r="Q76" s="58"/>
      <c r="R76" s="59"/>
      <c r="S76" s="57"/>
      <c r="T76" s="58"/>
      <c r="U76" s="59"/>
      <c r="V76" s="72"/>
      <c r="W76" s="73"/>
    </row>
    <row r="77" spans="1:23" ht="83.25" customHeight="1">
      <c r="A77" s="9" t="s">
        <v>93</v>
      </c>
      <c r="B77" s="6" t="s">
        <v>13</v>
      </c>
      <c r="C77" s="6" t="s">
        <v>13</v>
      </c>
      <c r="D77" s="6" t="s">
        <v>86</v>
      </c>
      <c r="E77" s="6" t="s">
        <v>92</v>
      </c>
      <c r="F77" s="78" t="s">
        <v>82</v>
      </c>
      <c r="G77" s="37"/>
      <c r="H77" s="27"/>
      <c r="I77" s="38"/>
      <c r="J77" s="49"/>
      <c r="K77" s="50"/>
      <c r="L77" s="51"/>
      <c r="M77" s="49"/>
      <c r="N77" s="50"/>
      <c r="O77" s="51"/>
      <c r="P77" s="49"/>
      <c r="Q77" s="50"/>
      <c r="R77" s="51"/>
      <c r="S77" s="49"/>
      <c r="T77" s="50"/>
      <c r="U77" s="51"/>
      <c r="V77" s="68"/>
      <c r="W77" s="69"/>
    </row>
    <row r="78" spans="1:23" ht="30">
      <c r="A78" s="9" t="s">
        <v>73</v>
      </c>
      <c r="B78" s="6" t="s">
        <v>74</v>
      </c>
      <c r="C78" s="9"/>
      <c r="D78" s="9"/>
      <c r="E78" s="9"/>
      <c r="F78" s="79"/>
      <c r="G78" s="37"/>
      <c r="H78" s="27"/>
      <c r="I78" s="38"/>
      <c r="J78" s="49"/>
      <c r="K78" s="50"/>
      <c r="L78" s="51"/>
      <c r="M78" s="49"/>
      <c r="N78" s="50"/>
      <c r="O78" s="51"/>
      <c r="P78" s="49"/>
      <c r="Q78" s="50"/>
      <c r="R78" s="51"/>
      <c r="S78" s="49"/>
      <c r="T78" s="50"/>
      <c r="U78" s="51"/>
      <c r="V78" s="68"/>
      <c r="W78" s="69"/>
    </row>
    <row r="79" spans="1:23" s="16" customFormat="1">
      <c r="A79" s="112" t="s">
        <v>94</v>
      </c>
      <c r="B79" s="112"/>
      <c r="C79" s="112"/>
      <c r="D79" s="112"/>
      <c r="E79" s="112"/>
      <c r="F79" s="113"/>
      <c r="G79" s="33">
        <f>H79+I79</f>
        <v>354934657.56</v>
      </c>
      <c r="H79" s="25">
        <f>H82+H89</f>
        <v>305061192</v>
      </c>
      <c r="I79" s="34">
        <f>I82+I89</f>
        <v>49873465.560000002</v>
      </c>
      <c r="J79" s="54">
        <f>K79+L79</f>
        <v>132712443.56</v>
      </c>
      <c r="K79" s="55">
        <f>K82+K89</f>
        <v>105061200</v>
      </c>
      <c r="L79" s="56">
        <f>L82+L89</f>
        <v>27651243.559999999</v>
      </c>
      <c r="M79" s="54">
        <f>N79+O79</f>
        <v>17376578.59</v>
      </c>
      <c r="N79" s="55">
        <f>N82+N89</f>
        <v>15638921.16</v>
      </c>
      <c r="O79" s="56">
        <f>O82+O89</f>
        <v>1737657.43</v>
      </c>
      <c r="P79" s="54">
        <f>Q79+R79</f>
        <v>17376578.59</v>
      </c>
      <c r="Q79" s="55">
        <f>Q82+Q89</f>
        <v>15638921.16</v>
      </c>
      <c r="R79" s="56">
        <f>R82+R89</f>
        <v>1737657.43</v>
      </c>
      <c r="S79" s="54">
        <f>T79+U79</f>
        <v>17359202.010000002</v>
      </c>
      <c r="T79" s="55">
        <f>T82+T89</f>
        <v>15623282.23</v>
      </c>
      <c r="U79" s="56">
        <f>U82+U89</f>
        <v>1735919.78</v>
      </c>
      <c r="V79" s="72">
        <f t="shared" ref="V79:V139" si="33">S79/J79*100</f>
        <v>13.080312248302334</v>
      </c>
      <c r="W79" s="73">
        <f t="shared" ref="W79:W88" si="34">S79/M79*100</f>
        <v>99.899999991885636</v>
      </c>
    </row>
    <row r="80" spans="1:23">
      <c r="A80" s="108" t="s">
        <v>7</v>
      </c>
      <c r="B80" s="108"/>
      <c r="C80" s="108"/>
      <c r="D80" s="108"/>
      <c r="E80" s="108"/>
      <c r="F80" s="109"/>
      <c r="G80" s="35">
        <f>H80+I80</f>
        <v>254734657.56</v>
      </c>
      <c r="H80" s="26">
        <f>H79-H81</f>
        <v>229261192</v>
      </c>
      <c r="I80" s="36">
        <f>I79-I81</f>
        <v>25473465.560000002</v>
      </c>
      <c r="J80" s="48">
        <f>K80+L80</f>
        <v>32512443.559999999</v>
      </c>
      <c r="K80" s="52">
        <f>K79-K81</f>
        <v>29261200</v>
      </c>
      <c r="L80" s="53">
        <f>L79-L81</f>
        <v>3251243.5599999987</v>
      </c>
      <c r="M80" s="48">
        <f>N80+O80</f>
        <v>17376578.59</v>
      </c>
      <c r="N80" s="52">
        <f>N79-N81</f>
        <v>15638921.16</v>
      </c>
      <c r="O80" s="53">
        <f>O79-O81</f>
        <v>1737657.43</v>
      </c>
      <c r="P80" s="48">
        <f>Q80+R80</f>
        <v>17376578.59</v>
      </c>
      <c r="Q80" s="52">
        <f>Q79-Q81</f>
        <v>15638921.16</v>
      </c>
      <c r="R80" s="53">
        <f>R79-R81</f>
        <v>1737657.43</v>
      </c>
      <c r="S80" s="48">
        <f>T80+U80</f>
        <v>17359202.010000002</v>
      </c>
      <c r="T80" s="52">
        <f>T79-T81</f>
        <v>15623282.23</v>
      </c>
      <c r="U80" s="53">
        <f>U79-U81</f>
        <v>1735919.78</v>
      </c>
      <c r="V80" s="68">
        <f t="shared" si="33"/>
        <v>53.392486412054851</v>
      </c>
      <c r="W80" s="69">
        <f t="shared" si="34"/>
        <v>99.899999991885636</v>
      </c>
    </row>
    <row r="81" spans="1:23">
      <c r="A81" s="108" t="s">
        <v>8</v>
      </c>
      <c r="B81" s="108"/>
      <c r="C81" s="108"/>
      <c r="D81" s="108"/>
      <c r="E81" s="108"/>
      <c r="F81" s="109"/>
      <c r="G81" s="35">
        <f>H81+I81</f>
        <v>100200000</v>
      </c>
      <c r="H81" s="26">
        <f>H83</f>
        <v>75800000</v>
      </c>
      <c r="I81" s="36">
        <f>I83</f>
        <v>24400000</v>
      </c>
      <c r="J81" s="48">
        <f>K81+L81</f>
        <v>100200000</v>
      </c>
      <c r="K81" s="52">
        <f>K83</f>
        <v>75800000</v>
      </c>
      <c r="L81" s="53">
        <f>L83</f>
        <v>24400000</v>
      </c>
      <c r="M81" s="48">
        <f>N81+O81</f>
        <v>0</v>
      </c>
      <c r="N81" s="52">
        <f>N83</f>
        <v>0</v>
      </c>
      <c r="O81" s="53">
        <f>O83</f>
        <v>0</v>
      </c>
      <c r="P81" s="48">
        <f>Q81+R81</f>
        <v>0</v>
      </c>
      <c r="Q81" s="52">
        <f>Q83</f>
        <v>0</v>
      </c>
      <c r="R81" s="53">
        <f>R83</f>
        <v>0</v>
      </c>
      <c r="S81" s="48">
        <f>T81+U81</f>
        <v>0</v>
      </c>
      <c r="T81" s="52">
        <f>T83</f>
        <v>0</v>
      </c>
      <c r="U81" s="53">
        <f>U83</f>
        <v>0</v>
      </c>
      <c r="V81" s="68">
        <f t="shared" si="33"/>
        <v>0</v>
      </c>
      <c r="W81" s="69">
        <v>0</v>
      </c>
    </row>
    <row r="82" spans="1:23" s="16" customFormat="1">
      <c r="A82" s="110" t="s">
        <v>11</v>
      </c>
      <c r="B82" s="110"/>
      <c r="C82" s="110"/>
      <c r="D82" s="110"/>
      <c r="E82" s="110"/>
      <c r="F82" s="111"/>
      <c r="G82" s="33">
        <f t="shared" ref="G82:I82" si="35">G83+G85</f>
        <v>132712435.56</v>
      </c>
      <c r="H82" s="25">
        <f t="shared" si="35"/>
        <v>105061192</v>
      </c>
      <c r="I82" s="34">
        <f t="shared" si="35"/>
        <v>27651243.559999999</v>
      </c>
      <c r="J82" s="54">
        <f t="shared" ref="J82:L82" si="36">J83+J85</f>
        <v>132712443.56</v>
      </c>
      <c r="K82" s="55">
        <f t="shared" si="36"/>
        <v>105061200</v>
      </c>
      <c r="L82" s="56">
        <f t="shared" si="36"/>
        <v>27651243.559999999</v>
      </c>
      <c r="M82" s="54">
        <f t="shared" ref="M82:U82" si="37">M83+M85</f>
        <v>17376578.59</v>
      </c>
      <c r="N82" s="55">
        <f t="shared" si="37"/>
        <v>15638921.16</v>
      </c>
      <c r="O82" s="56">
        <f t="shared" si="37"/>
        <v>1737657.43</v>
      </c>
      <c r="P82" s="54">
        <f t="shared" si="37"/>
        <v>17376578.59</v>
      </c>
      <c r="Q82" s="55">
        <f t="shared" si="37"/>
        <v>15638921.16</v>
      </c>
      <c r="R82" s="56">
        <f t="shared" si="37"/>
        <v>1737657.43</v>
      </c>
      <c r="S82" s="54">
        <f t="shared" si="37"/>
        <v>17359202.010000002</v>
      </c>
      <c r="T82" s="55">
        <f t="shared" si="37"/>
        <v>15623282.23</v>
      </c>
      <c r="U82" s="56">
        <f t="shared" si="37"/>
        <v>1735919.78</v>
      </c>
      <c r="V82" s="72">
        <f t="shared" si="33"/>
        <v>13.080312248302334</v>
      </c>
      <c r="W82" s="73">
        <f t="shared" si="34"/>
        <v>99.899999991885636</v>
      </c>
    </row>
    <row r="83" spans="1:23" ht="105" customHeight="1">
      <c r="A83" s="108" t="s">
        <v>95</v>
      </c>
      <c r="B83" s="114" t="s">
        <v>13</v>
      </c>
      <c r="C83" s="114" t="s">
        <v>13</v>
      </c>
      <c r="D83" s="115" t="s">
        <v>302</v>
      </c>
      <c r="E83" s="114" t="s">
        <v>15</v>
      </c>
      <c r="F83" s="122" t="s">
        <v>31</v>
      </c>
      <c r="G83" s="130">
        <f>H83+I83</f>
        <v>100200000</v>
      </c>
      <c r="H83" s="126">
        <v>75800000</v>
      </c>
      <c r="I83" s="128">
        <v>24400000</v>
      </c>
      <c r="J83" s="94">
        <f>K83+L83</f>
        <v>100200000</v>
      </c>
      <c r="K83" s="96">
        <v>75800000</v>
      </c>
      <c r="L83" s="98">
        <v>24400000</v>
      </c>
      <c r="M83" s="94">
        <f>N83+O83</f>
        <v>0</v>
      </c>
      <c r="N83" s="96"/>
      <c r="O83" s="98"/>
      <c r="P83" s="94">
        <f>Q83+R83</f>
        <v>0</v>
      </c>
      <c r="Q83" s="96"/>
      <c r="R83" s="98"/>
      <c r="S83" s="94">
        <f>T83+U83</f>
        <v>0</v>
      </c>
      <c r="T83" s="96"/>
      <c r="U83" s="98"/>
      <c r="V83" s="88">
        <f t="shared" si="33"/>
        <v>0</v>
      </c>
      <c r="W83" s="90">
        <v>0</v>
      </c>
    </row>
    <row r="84" spans="1:23">
      <c r="A84" s="108"/>
      <c r="B84" s="114"/>
      <c r="C84" s="114"/>
      <c r="D84" s="146"/>
      <c r="E84" s="114"/>
      <c r="F84" s="122"/>
      <c r="G84" s="132"/>
      <c r="H84" s="127"/>
      <c r="I84" s="129"/>
      <c r="J84" s="95"/>
      <c r="K84" s="97"/>
      <c r="L84" s="99"/>
      <c r="M84" s="95"/>
      <c r="N84" s="97"/>
      <c r="O84" s="99"/>
      <c r="P84" s="95"/>
      <c r="Q84" s="97"/>
      <c r="R84" s="99"/>
      <c r="S84" s="95"/>
      <c r="T84" s="97"/>
      <c r="U84" s="99"/>
      <c r="V84" s="89"/>
      <c r="W84" s="91"/>
    </row>
    <row r="85" spans="1:23" ht="59.25" customHeight="1">
      <c r="A85" s="108" t="s">
        <v>96</v>
      </c>
      <c r="B85" s="114" t="s">
        <v>13</v>
      </c>
      <c r="C85" s="114" t="s">
        <v>13</v>
      </c>
      <c r="D85" s="115" t="s">
        <v>303</v>
      </c>
      <c r="E85" s="114" t="s">
        <v>97</v>
      </c>
      <c r="F85" s="122" t="s">
        <v>72</v>
      </c>
      <c r="G85" s="130">
        <f>H85+I85</f>
        <v>32512435.559999999</v>
      </c>
      <c r="H85" s="126">
        <v>29261192</v>
      </c>
      <c r="I85" s="128">
        <v>3251243.56</v>
      </c>
      <c r="J85" s="94">
        <f>K85+L85</f>
        <v>32512443.559999999</v>
      </c>
      <c r="K85" s="96">
        <v>29261200</v>
      </c>
      <c r="L85" s="98">
        <v>3251243.56</v>
      </c>
      <c r="M85" s="94">
        <f>N85+O85</f>
        <v>17376578.59</v>
      </c>
      <c r="N85" s="96">
        <f>N88</f>
        <v>15638921.16</v>
      </c>
      <c r="O85" s="98">
        <f>O88</f>
        <v>1737657.43</v>
      </c>
      <c r="P85" s="94">
        <f>Q85+R85</f>
        <v>17376578.59</v>
      </c>
      <c r="Q85" s="96">
        <f>Q88</f>
        <v>15638921.16</v>
      </c>
      <c r="R85" s="98">
        <f>R88</f>
        <v>1737657.43</v>
      </c>
      <c r="S85" s="94">
        <f>T85+U85</f>
        <v>17359202.010000002</v>
      </c>
      <c r="T85" s="96">
        <f>T88</f>
        <v>15623282.23</v>
      </c>
      <c r="U85" s="98">
        <f>U88</f>
        <v>1735919.78</v>
      </c>
      <c r="V85" s="88">
        <f t="shared" si="33"/>
        <v>53.392486412054851</v>
      </c>
      <c r="W85" s="90">
        <f t="shared" si="34"/>
        <v>99.899999991885636</v>
      </c>
    </row>
    <row r="86" spans="1:23">
      <c r="A86" s="108"/>
      <c r="B86" s="114"/>
      <c r="C86" s="114"/>
      <c r="D86" s="116"/>
      <c r="E86" s="114"/>
      <c r="F86" s="122"/>
      <c r="G86" s="131"/>
      <c r="H86" s="133"/>
      <c r="I86" s="134"/>
      <c r="J86" s="100"/>
      <c r="K86" s="101"/>
      <c r="L86" s="102"/>
      <c r="M86" s="100"/>
      <c r="N86" s="101"/>
      <c r="O86" s="102"/>
      <c r="P86" s="100"/>
      <c r="Q86" s="101"/>
      <c r="R86" s="102"/>
      <c r="S86" s="100"/>
      <c r="T86" s="101"/>
      <c r="U86" s="102"/>
      <c r="V86" s="92"/>
      <c r="W86" s="93"/>
    </row>
    <row r="87" spans="1:23" ht="14.25" customHeight="1">
      <c r="A87" s="108"/>
      <c r="B87" s="114"/>
      <c r="C87" s="114"/>
      <c r="D87" s="146"/>
      <c r="E87" s="114"/>
      <c r="F87" s="122"/>
      <c r="G87" s="132"/>
      <c r="H87" s="127"/>
      <c r="I87" s="129"/>
      <c r="J87" s="95"/>
      <c r="K87" s="97"/>
      <c r="L87" s="99"/>
      <c r="M87" s="95"/>
      <c r="N87" s="97"/>
      <c r="O87" s="99"/>
      <c r="P87" s="95"/>
      <c r="Q87" s="97"/>
      <c r="R87" s="99"/>
      <c r="S87" s="95"/>
      <c r="T87" s="97"/>
      <c r="U87" s="99"/>
      <c r="V87" s="89"/>
      <c r="W87" s="91"/>
    </row>
    <row r="88" spans="1:23" ht="30">
      <c r="A88" s="9" t="s">
        <v>98</v>
      </c>
      <c r="B88" s="6" t="s">
        <v>99</v>
      </c>
      <c r="C88" s="9"/>
      <c r="D88" s="9"/>
      <c r="E88" s="9"/>
      <c r="F88" s="79"/>
      <c r="G88" s="35">
        <f>H88+I88</f>
        <v>32512435.559999999</v>
      </c>
      <c r="H88" s="26">
        <v>29261192</v>
      </c>
      <c r="I88" s="36">
        <v>3251243.56</v>
      </c>
      <c r="J88" s="48">
        <f>K88+L88</f>
        <v>32512435.559999999</v>
      </c>
      <c r="K88" s="52">
        <v>29261192</v>
      </c>
      <c r="L88" s="53">
        <v>3251243.56</v>
      </c>
      <c r="M88" s="48">
        <f>N88+O88</f>
        <v>17376578.59</v>
      </c>
      <c r="N88" s="52">
        <v>15638921.16</v>
      </c>
      <c r="O88" s="53">
        <v>1737657.43</v>
      </c>
      <c r="P88" s="48">
        <f>Q88+R88</f>
        <v>17376578.59</v>
      </c>
      <c r="Q88" s="52">
        <v>15638921.16</v>
      </c>
      <c r="R88" s="53">
        <v>1737657.43</v>
      </c>
      <c r="S88" s="48">
        <f>T88+U88</f>
        <v>17359202.010000002</v>
      </c>
      <c r="T88" s="52">
        <v>15623282.23</v>
      </c>
      <c r="U88" s="53">
        <v>1735919.78</v>
      </c>
      <c r="V88" s="68">
        <f t="shared" si="33"/>
        <v>53.392499549793804</v>
      </c>
      <c r="W88" s="69">
        <f t="shared" si="34"/>
        <v>99.899999991885636</v>
      </c>
    </row>
    <row r="89" spans="1:23" s="16" customFormat="1">
      <c r="A89" s="110" t="s">
        <v>100</v>
      </c>
      <c r="B89" s="110"/>
      <c r="C89" s="110"/>
      <c r="D89" s="110"/>
      <c r="E89" s="110"/>
      <c r="F89" s="111"/>
      <c r="G89" s="33">
        <v>222222222</v>
      </c>
      <c r="H89" s="25">
        <v>200000000</v>
      </c>
      <c r="I89" s="34">
        <v>22222222</v>
      </c>
      <c r="J89" s="54"/>
      <c r="K89" s="55"/>
      <c r="L89" s="56"/>
      <c r="M89" s="54"/>
      <c r="N89" s="55"/>
      <c r="O89" s="56"/>
      <c r="P89" s="54"/>
      <c r="Q89" s="55"/>
      <c r="R89" s="56"/>
      <c r="S89" s="54"/>
      <c r="T89" s="55"/>
      <c r="U89" s="56"/>
      <c r="V89" s="73"/>
      <c r="W89" s="73"/>
    </row>
    <row r="90" spans="1:23" ht="78.75" customHeight="1">
      <c r="A90" s="9" t="s">
        <v>101</v>
      </c>
      <c r="B90" s="6" t="s">
        <v>13</v>
      </c>
      <c r="C90" s="6" t="s">
        <v>102</v>
      </c>
      <c r="D90" s="6" t="s">
        <v>103</v>
      </c>
      <c r="E90" s="6" t="s">
        <v>104</v>
      </c>
      <c r="F90" s="78" t="s">
        <v>72</v>
      </c>
      <c r="G90" s="35">
        <v>222222222</v>
      </c>
      <c r="H90" s="26">
        <v>200000000</v>
      </c>
      <c r="I90" s="36">
        <v>22222222</v>
      </c>
      <c r="J90" s="48"/>
      <c r="K90" s="52"/>
      <c r="L90" s="53"/>
      <c r="M90" s="48"/>
      <c r="N90" s="52"/>
      <c r="O90" s="53"/>
      <c r="P90" s="48"/>
      <c r="Q90" s="52"/>
      <c r="R90" s="53"/>
      <c r="S90" s="48"/>
      <c r="T90" s="52"/>
      <c r="U90" s="53"/>
      <c r="V90" s="69"/>
      <c r="W90" s="69"/>
    </row>
    <row r="91" spans="1:23" ht="30">
      <c r="A91" s="9" t="s">
        <v>105</v>
      </c>
      <c r="B91" s="6" t="s">
        <v>106</v>
      </c>
      <c r="C91" s="9"/>
      <c r="D91" s="9"/>
      <c r="E91" s="9"/>
      <c r="F91" s="79"/>
      <c r="G91" s="35">
        <v>222222222</v>
      </c>
      <c r="H91" s="26">
        <v>200000000</v>
      </c>
      <c r="I91" s="36">
        <v>22222222</v>
      </c>
      <c r="J91" s="48"/>
      <c r="K91" s="52"/>
      <c r="L91" s="53"/>
      <c r="M91" s="48"/>
      <c r="N91" s="52"/>
      <c r="O91" s="53"/>
      <c r="P91" s="48"/>
      <c r="Q91" s="52"/>
      <c r="R91" s="53"/>
      <c r="S91" s="48"/>
      <c r="T91" s="52"/>
      <c r="U91" s="53"/>
      <c r="V91" s="69">
        <v>0</v>
      </c>
      <c r="W91" s="69">
        <v>0</v>
      </c>
    </row>
    <row r="92" spans="1:23" s="16" customFormat="1" ht="33.75" customHeight="1">
      <c r="A92" s="112" t="s">
        <v>107</v>
      </c>
      <c r="B92" s="112"/>
      <c r="C92" s="112"/>
      <c r="D92" s="112"/>
      <c r="E92" s="112"/>
      <c r="F92" s="113"/>
      <c r="G92" s="33">
        <f>G93+G94</f>
        <v>1109735454.28</v>
      </c>
      <c r="H92" s="25">
        <f t="shared" ref="H92:I92" si="38">H93+H94</f>
        <v>970686718.57000005</v>
      </c>
      <c r="I92" s="34">
        <f t="shared" si="38"/>
        <v>139048735.70999998</v>
      </c>
      <c r="J92" s="54">
        <f>J93+J94</f>
        <v>1109735454.28</v>
      </c>
      <c r="K92" s="55">
        <f t="shared" ref="K92:L92" si="39">K93+K94</f>
        <v>970686718.57000005</v>
      </c>
      <c r="L92" s="56">
        <f t="shared" si="39"/>
        <v>139048735.70999998</v>
      </c>
      <c r="M92" s="54">
        <f>M93+M94</f>
        <v>246338164.65000004</v>
      </c>
      <c r="N92" s="55">
        <f t="shared" ref="N92:O92" si="40">N93+N94</f>
        <v>200422017.61000001</v>
      </c>
      <c r="O92" s="56">
        <f t="shared" si="40"/>
        <v>45916147.039999999</v>
      </c>
      <c r="P92" s="54">
        <f>P93+P94</f>
        <v>185489639.66</v>
      </c>
      <c r="Q92" s="55">
        <f t="shared" ref="Q92:R92" si="41">Q93+Q94</f>
        <v>158774068.03999999</v>
      </c>
      <c r="R92" s="56">
        <f t="shared" si="41"/>
        <v>26715571.619999997</v>
      </c>
      <c r="S92" s="54">
        <f>S93+S94</f>
        <v>185489639.63999999</v>
      </c>
      <c r="T92" s="55">
        <f t="shared" ref="T92:U92" si="42">T93+T94</f>
        <v>158774068.03999999</v>
      </c>
      <c r="U92" s="56">
        <f t="shared" si="42"/>
        <v>26715571.599999998</v>
      </c>
      <c r="V92" s="72">
        <f t="shared" si="33"/>
        <v>16.714761966431567</v>
      </c>
      <c r="W92" s="73">
        <f>S92/M92*100</f>
        <v>75.298782835191489</v>
      </c>
    </row>
    <row r="93" spans="1:23">
      <c r="A93" s="108" t="s">
        <v>7</v>
      </c>
      <c r="B93" s="108"/>
      <c r="C93" s="108"/>
      <c r="D93" s="108"/>
      <c r="E93" s="108"/>
      <c r="F93" s="109"/>
      <c r="G93" s="35">
        <f>H93+I93</f>
        <v>431666080</v>
      </c>
      <c r="H93" s="26">
        <f>H106</f>
        <v>388456200</v>
      </c>
      <c r="I93" s="36">
        <f>I106</f>
        <v>43209880</v>
      </c>
      <c r="J93" s="48">
        <f>K93+L93</f>
        <v>431666080</v>
      </c>
      <c r="K93" s="52">
        <f>K106</f>
        <v>388456200</v>
      </c>
      <c r="L93" s="53">
        <f>L106</f>
        <v>43209880</v>
      </c>
      <c r="M93" s="48">
        <f>N93+O93</f>
        <v>222043965.66000003</v>
      </c>
      <c r="N93" s="52">
        <f>N106</f>
        <v>199829017.61000001</v>
      </c>
      <c r="O93" s="53">
        <f>O106</f>
        <v>22214948.050000001</v>
      </c>
      <c r="P93" s="48">
        <f>Q93+R93</f>
        <v>175776320.66999999</v>
      </c>
      <c r="Q93" s="52">
        <f>Q106</f>
        <v>158181068.03999999</v>
      </c>
      <c r="R93" s="53">
        <f>R106</f>
        <v>17595252.629999999</v>
      </c>
      <c r="S93" s="48">
        <f>T93+U93</f>
        <v>175776320.64999998</v>
      </c>
      <c r="T93" s="52">
        <f>T106</f>
        <v>158181068.03999999</v>
      </c>
      <c r="U93" s="53">
        <f>U106</f>
        <v>17595252.609999999</v>
      </c>
      <c r="V93" s="68">
        <f t="shared" si="33"/>
        <v>40.720438504225299</v>
      </c>
      <c r="W93" s="69">
        <f>S93/M93*100</f>
        <v>79.162845127326548</v>
      </c>
    </row>
    <row r="94" spans="1:23">
      <c r="A94" s="108" t="s">
        <v>8</v>
      </c>
      <c r="B94" s="108"/>
      <c r="C94" s="108"/>
      <c r="D94" s="108"/>
      <c r="E94" s="108"/>
      <c r="F94" s="109"/>
      <c r="G94" s="35">
        <f>H94+I94</f>
        <v>678069374.27999997</v>
      </c>
      <c r="H94" s="26">
        <f>H95-H93</f>
        <v>582230518.57000005</v>
      </c>
      <c r="I94" s="36">
        <f>I95-I93</f>
        <v>95838855.709999979</v>
      </c>
      <c r="J94" s="48">
        <f>K94+L94</f>
        <v>678069374.27999997</v>
      </c>
      <c r="K94" s="52">
        <f>K95-K93</f>
        <v>582230518.57000005</v>
      </c>
      <c r="L94" s="53">
        <f>L95-L93</f>
        <v>95838855.709999979</v>
      </c>
      <c r="M94" s="48">
        <f>N94+O94</f>
        <v>24294198.989999998</v>
      </c>
      <c r="N94" s="52">
        <f>N95-N93</f>
        <v>593000</v>
      </c>
      <c r="O94" s="53">
        <f>O95-O93</f>
        <v>23701198.989999998</v>
      </c>
      <c r="P94" s="48">
        <f>Q94+R94</f>
        <v>9713318.9899999984</v>
      </c>
      <c r="Q94" s="52">
        <f>Q95-Q93</f>
        <v>593000</v>
      </c>
      <c r="R94" s="53">
        <f>R95-R93</f>
        <v>9120318.9899999984</v>
      </c>
      <c r="S94" s="48">
        <f>T94+U94</f>
        <v>9713318.9899999984</v>
      </c>
      <c r="T94" s="52">
        <f>T95-T93</f>
        <v>593000</v>
      </c>
      <c r="U94" s="53">
        <f>U95-U93</f>
        <v>9120318.9899999984</v>
      </c>
      <c r="V94" s="68">
        <f t="shared" si="33"/>
        <v>1.4324963430643025</v>
      </c>
      <c r="W94" s="69">
        <v>0</v>
      </c>
    </row>
    <row r="95" spans="1:23" ht="33.75" customHeight="1">
      <c r="A95" s="108" t="s">
        <v>108</v>
      </c>
      <c r="B95" s="108"/>
      <c r="C95" s="108"/>
      <c r="D95" s="108"/>
      <c r="E95" s="108"/>
      <c r="F95" s="109"/>
      <c r="G95" s="35">
        <f>H95+I95</f>
        <v>1109735454.28</v>
      </c>
      <c r="H95" s="26">
        <f>H96+H108+H111</f>
        <v>970686718.57000005</v>
      </c>
      <c r="I95" s="36">
        <f>I96+I108+I111</f>
        <v>139048735.70999998</v>
      </c>
      <c r="J95" s="48">
        <f>K95+L95</f>
        <v>1109735454.28</v>
      </c>
      <c r="K95" s="52">
        <f>K96+K108+K111</f>
        <v>970686718.57000005</v>
      </c>
      <c r="L95" s="53">
        <f>L96+L108+L111</f>
        <v>139048735.70999998</v>
      </c>
      <c r="M95" s="48">
        <f>N95+O95</f>
        <v>246338164.65000001</v>
      </c>
      <c r="N95" s="52">
        <f>N96+N108+N111</f>
        <v>200422017.61000001</v>
      </c>
      <c r="O95" s="53">
        <f>O96+O108+O111</f>
        <v>45916147.039999999</v>
      </c>
      <c r="P95" s="48">
        <f>Q95+R95</f>
        <v>185489639.66</v>
      </c>
      <c r="Q95" s="52">
        <f>Q96+Q108+Q111</f>
        <v>158774068.03999999</v>
      </c>
      <c r="R95" s="53">
        <f>R96+R108+R111</f>
        <v>26715571.619999997</v>
      </c>
      <c r="S95" s="48">
        <f>T95+U95</f>
        <v>185489639.63999999</v>
      </c>
      <c r="T95" s="52">
        <f>T96+T108+T111</f>
        <v>158774068.03999999</v>
      </c>
      <c r="U95" s="53">
        <f>U96+U108+U111</f>
        <v>26715571.599999998</v>
      </c>
      <c r="V95" s="68">
        <f t="shared" si="33"/>
        <v>16.714761966431567</v>
      </c>
      <c r="W95" s="69">
        <f>S95/M95*100</f>
        <v>75.298782835191503</v>
      </c>
    </row>
    <row r="96" spans="1:23" s="16" customFormat="1">
      <c r="A96" s="110" t="s">
        <v>11</v>
      </c>
      <c r="B96" s="110"/>
      <c r="C96" s="110"/>
      <c r="D96" s="110"/>
      <c r="E96" s="110"/>
      <c r="F96" s="111"/>
      <c r="G96" s="33">
        <f>H96+I96</f>
        <v>1057088646.96</v>
      </c>
      <c r="H96" s="25">
        <f>H97+H98+H99+H100+H101+H102+H105</f>
        <v>970686718.57000005</v>
      </c>
      <c r="I96" s="34">
        <f>I97+I98+I99+I100+I101+I102+I105</f>
        <v>86401928.389999986</v>
      </c>
      <c r="J96" s="54">
        <f>K96+L96</f>
        <v>1057088646.96</v>
      </c>
      <c r="K96" s="55">
        <f>K97+K98+K99+K100+K101+K102+K105</f>
        <v>970686718.57000005</v>
      </c>
      <c r="L96" s="56">
        <f>L97+L98+L99+L100+L101+L102+L105</f>
        <v>86401928.389999986</v>
      </c>
      <c r="M96" s="54">
        <f>N96+O96</f>
        <v>223623429.93000001</v>
      </c>
      <c r="N96" s="55">
        <f>N97+N98+N99+N100+N101+N102+N105</f>
        <v>200422017.61000001</v>
      </c>
      <c r="O96" s="56">
        <f>O97+O98+O99+O100+O101+O102+O105</f>
        <v>23201412.32</v>
      </c>
      <c r="P96" s="54">
        <f>Q96+R96</f>
        <v>176403404.94</v>
      </c>
      <c r="Q96" s="55">
        <f>Q97+Q98+Q99+Q100+Q101+Q102+Q105</f>
        <v>158774068.03999999</v>
      </c>
      <c r="R96" s="56">
        <f>R97+R98+R99+R100+R101+R102+R105</f>
        <v>17629336.899999999</v>
      </c>
      <c r="S96" s="54">
        <f>T96+U96</f>
        <v>176403404.91999999</v>
      </c>
      <c r="T96" s="55">
        <f>T97+T98+T99+T100+T101+T102+T105</f>
        <v>158774068.03999999</v>
      </c>
      <c r="U96" s="56">
        <f>U97+U98+U99+U100+U101+U102+U105</f>
        <v>17629336.879999999</v>
      </c>
      <c r="V96" s="72">
        <f t="shared" si="33"/>
        <v>16.687664315315935</v>
      </c>
      <c r="W96" s="73">
        <f>S96/M96*100</f>
        <v>78.884133462767693</v>
      </c>
    </row>
    <row r="97" spans="1:23" ht="135.75" customHeight="1">
      <c r="A97" s="9" t="s">
        <v>109</v>
      </c>
      <c r="B97" s="6" t="s">
        <v>13</v>
      </c>
      <c r="C97" s="6" t="s">
        <v>13</v>
      </c>
      <c r="D97" s="6" t="s">
        <v>110</v>
      </c>
      <c r="E97" s="6" t="s">
        <v>15</v>
      </c>
      <c r="F97" s="78">
        <v>2022</v>
      </c>
      <c r="G97" s="35">
        <f>I97</f>
        <v>34085.379999999997</v>
      </c>
      <c r="H97" s="26"/>
      <c r="I97" s="36">
        <v>34085.379999999997</v>
      </c>
      <c r="J97" s="48">
        <f>L97</f>
        <v>34085.379999999997</v>
      </c>
      <c r="K97" s="52"/>
      <c r="L97" s="53">
        <v>34085.379999999997</v>
      </c>
      <c r="M97" s="48">
        <f>O97</f>
        <v>34084.269999999997</v>
      </c>
      <c r="N97" s="52"/>
      <c r="O97" s="53">
        <v>34084.269999999997</v>
      </c>
      <c r="P97" s="48">
        <f>R97</f>
        <v>34084.269999999997</v>
      </c>
      <c r="Q97" s="52"/>
      <c r="R97" s="53">
        <v>34084.269999999997</v>
      </c>
      <c r="S97" s="48">
        <f>U97</f>
        <v>34084.269999999997</v>
      </c>
      <c r="T97" s="52"/>
      <c r="U97" s="53">
        <v>34084.269999999997</v>
      </c>
      <c r="V97" s="68">
        <f t="shared" si="33"/>
        <v>99.996743471834549</v>
      </c>
      <c r="W97" s="69">
        <f>S97/M97*100</f>
        <v>100</v>
      </c>
    </row>
    <row r="98" spans="1:23" ht="147" customHeight="1">
      <c r="A98" s="9" t="s">
        <v>111</v>
      </c>
      <c r="B98" s="6" t="s">
        <v>13</v>
      </c>
      <c r="C98" s="6" t="s">
        <v>13</v>
      </c>
      <c r="D98" s="6" t="s">
        <v>112</v>
      </c>
      <c r="E98" s="6" t="s">
        <v>66</v>
      </c>
      <c r="F98" s="78" t="s">
        <v>72</v>
      </c>
      <c r="G98" s="35">
        <v>20000000</v>
      </c>
      <c r="H98" s="26"/>
      <c r="I98" s="36">
        <v>20000000</v>
      </c>
      <c r="J98" s="48">
        <f>L98</f>
        <v>20000000</v>
      </c>
      <c r="K98" s="52"/>
      <c r="L98" s="53">
        <v>20000000</v>
      </c>
      <c r="M98" s="48">
        <f>O98</f>
        <v>952380</v>
      </c>
      <c r="N98" s="52"/>
      <c r="O98" s="53">
        <v>952380</v>
      </c>
      <c r="P98" s="48">
        <f>R98</f>
        <v>0</v>
      </c>
      <c r="Q98" s="52"/>
      <c r="R98" s="53">
        <v>0</v>
      </c>
      <c r="S98" s="48">
        <f>U98</f>
        <v>0</v>
      </c>
      <c r="T98" s="52"/>
      <c r="U98" s="53">
        <v>0</v>
      </c>
      <c r="V98" s="68">
        <f t="shared" si="33"/>
        <v>0</v>
      </c>
      <c r="W98" s="69">
        <v>0</v>
      </c>
    </row>
    <row r="99" spans="1:23" ht="150" customHeight="1">
      <c r="A99" s="9" t="s">
        <v>113</v>
      </c>
      <c r="B99" s="6" t="s">
        <v>13</v>
      </c>
      <c r="C99" s="6" t="s">
        <v>13</v>
      </c>
      <c r="D99" s="6" t="s">
        <v>114</v>
      </c>
      <c r="E99" s="6" t="s">
        <v>15</v>
      </c>
      <c r="F99" s="78" t="s">
        <v>31</v>
      </c>
      <c r="G99" s="35">
        <v>582230518.57000005</v>
      </c>
      <c r="H99" s="26">
        <v>582230518.57000005</v>
      </c>
      <c r="I99" s="36"/>
      <c r="J99" s="48">
        <v>582230518.57000005</v>
      </c>
      <c r="K99" s="52">
        <v>582230518.57000005</v>
      </c>
      <c r="L99" s="53"/>
      <c r="M99" s="48">
        <f>N99+O99</f>
        <v>593000</v>
      </c>
      <c r="N99" s="52">
        <v>593000</v>
      </c>
      <c r="O99" s="53"/>
      <c r="P99" s="48">
        <f>Q99+R99</f>
        <v>593000</v>
      </c>
      <c r="Q99" s="52">
        <v>593000</v>
      </c>
      <c r="R99" s="53"/>
      <c r="S99" s="48">
        <f>T99+U99</f>
        <v>593000</v>
      </c>
      <c r="T99" s="52">
        <v>593000</v>
      </c>
      <c r="U99" s="53"/>
      <c r="V99" s="68">
        <f t="shared" si="33"/>
        <v>0.10184969373581629</v>
      </c>
      <c r="W99" s="69">
        <f>S99/M99*100</f>
        <v>100</v>
      </c>
    </row>
    <row r="100" spans="1:23" ht="75">
      <c r="A100" s="9" t="s">
        <v>115</v>
      </c>
      <c r="B100" s="6" t="s">
        <v>13</v>
      </c>
      <c r="C100" s="6" t="s">
        <v>13</v>
      </c>
      <c r="D100" s="6" t="s">
        <v>116</v>
      </c>
      <c r="E100" s="6" t="s">
        <v>117</v>
      </c>
      <c r="F100" s="78" t="s">
        <v>118</v>
      </c>
      <c r="G100" s="35"/>
      <c r="H100" s="26"/>
      <c r="I100" s="36"/>
      <c r="J100" s="48"/>
      <c r="K100" s="52"/>
      <c r="L100" s="53"/>
      <c r="M100" s="48"/>
      <c r="N100" s="52"/>
      <c r="O100" s="53"/>
      <c r="P100" s="48"/>
      <c r="Q100" s="52"/>
      <c r="R100" s="53"/>
      <c r="S100" s="48"/>
      <c r="T100" s="52"/>
      <c r="U100" s="53"/>
      <c r="V100" s="68"/>
      <c r="W100" s="69"/>
    </row>
    <row r="101" spans="1:23" ht="88.5" customHeight="1">
      <c r="A101" s="9" t="s">
        <v>119</v>
      </c>
      <c r="B101" s="6" t="s">
        <v>13</v>
      </c>
      <c r="C101" s="6" t="s">
        <v>13</v>
      </c>
      <c r="D101" s="6" t="s">
        <v>120</v>
      </c>
      <c r="E101" s="6" t="s">
        <v>121</v>
      </c>
      <c r="F101" s="78" t="s">
        <v>31</v>
      </c>
      <c r="G101" s="35"/>
      <c r="H101" s="26"/>
      <c r="I101" s="36"/>
      <c r="J101" s="48"/>
      <c r="K101" s="52"/>
      <c r="L101" s="53"/>
      <c r="M101" s="48"/>
      <c r="N101" s="52"/>
      <c r="O101" s="53"/>
      <c r="P101" s="48"/>
      <c r="Q101" s="52"/>
      <c r="R101" s="53"/>
      <c r="S101" s="48"/>
      <c r="T101" s="52"/>
      <c r="U101" s="53"/>
      <c r="V101" s="68"/>
      <c r="W101" s="69"/>
    </row>
    <row r="102" spans="1:23" ht="45">
      <c r="A102" s="19" t="s">
        <v>320</v>
      </c>
      <c r="B102" s="114" t="s">
        <v>13</v>
      </c>
      <c r="C102" s="114" t="s">
        <v>13</v>
      </c>
      <c r="D102" s="114" t="s">
        <v>123</v>
      </c>
      <c r="E102" s="114" t="s">
        <v>124</v>
      </c>
      <c r="F102" s="122" t="s">
        <v>72</v>
      </c>
      <c r="G102" s="130">
        <v>18050895</v>
      </c>
      <c r="H102" s="126"/>
      <c r="I102" s="128">
        <v>18050895</v>
      </c>
      <c r="J102" s="94">
        <v>18050895</v>
      </c>
      <c r="K102" s="96"/>
      <c r="L102" s="98">
        <v>18050895</v>
      </c>
      <c r="M102" s="94">
        <f>O102</f>
        <v>0</v>
      </c>
      <c r="N102" s="96"/>
      <c r="O102" s="98">
        <v>0</v>
      </c>
      <c r="P102" s="94">
        <f>R102</f>
        <v>0</v>
      </c>
      <c r="Q102" s="96"/>
      <c r="R102" s="98">
        <v>0</v>
      </c>
      <c r="S102" s="94">
        <f>U102</f>
        <v>0</v>
      </c>
      <c r="T102" s="96"/>
      <c r="U102" s="98">
        <v>0</v>
      </c>
      <c r="V102" s="88">
        <f t="shared" si="33"/>
        <v>0</v>
      </c>
      <c r="W102" s="90">
        <v>0</v>
      </c>
    </row>
    <row r="103" spans="1:23">
      <c r="A103" s="10" t="s">
        <v>122</v>
      </c>
      <c r="B103" s="114"/>
      <c r="C103" s="114"/>
      <c r="D103" s="114"/>
      <c r="E103" s="114"/>
      <c r="F103" s="122"/>
      <c r="G103" s="132"/>
      <c r="H103" s="127"/>
      <c r="I103" s="129"/>
      <c r="J103" s="95"/>
      <c r="K103" s="97"/>
      <c r="L103" s="99"/>
      <c r="M103" s="95"/>
      <c r="N103" s="97"/>
      <c r="O103" s="99"/>
      <c r="P103" s="95"/>
      <c r="Q103" s="97"/>
      <c r="R103" s="99"/>
      <c r="S103" s="95"/>
      <c r="T103" s="97"/>
      <c r="U103" s="99"/>
      <c r="V103" s="89"/>
      <c r="W103" s="91"/>
    </row>
    <row r="104" spans="1:23" ht="105.75" customHeight="1">
      <c r="A104" s="9" t="s">
        <v>125</v>
      </c>
      <c r="B104" s="6" t="s">
        <v>13</v>
      </c>
      <c r="C104" s="6" t="s">
        <v>13</v>
      </c>
      <c r="D104" s="6" t="s">
        <v>126</v>
      </c>
      <c r="E104" s="6" t="s">
        <v>15</v>
      </c>
      <c r="F104" s="78">
        <v>2023</v>
      </c>
      <c r="G104" s="35"/>
      <c r="H104" s="26"/>
      <c r="I104" s="36"/>
      <c r="J104" s="48"/>
      <c r="K104" s="52"/>
      <c r="L104" s="53"/>
      <c r="M104" s="48"/>
      <c r="N104" s="52"/>
      <c r="O104" s="53"/>
      <c r="P104" s="48"/>
      <c r="Q104" s="52"/>
      <c r="R104" s="53"/>
      <c r="S104" s="48"/>
      <c r="T104" s="52"/>
      <c r="U104" s="53"/>
      <c r="V104" s="68"/>
      <c r="W104" s="69"/>
    </row>
    <row r="105" spans="1:23" ht="63" customHeight="1">
      <c r="A105" s="10" t="s">
        <v>127</v>
      </c>
      <c r="B105" s="6" t="s">
        <v>13</v>
      </c>
      <c r="C105" s="6" t="s">
        <v>13</v>
      </c>
      <c r="D105" s="6" t="s">
        <v>86</v>
      </c>
      <c r="E105" s="6" t="s">
        <v>124</v>
      </c>
      <c r="F105" s="78" t="s">
        <v>87</v>
      </c>
      <c r="G105" s="35">
        <f>H105+I105</f>
        <v>436773148.00999999</v>
      </c>
      <c r="H105" s="26">
        <v>388456200</v>
      </c>
      <c r="I105" s="36">
        <f>I106+I107</f>
        <v>48316948.009999998</v>
      </c>
      <c r="J105" s="48">
        <f>K105+L105</f>
        <v>436773148.00999999</v>
      </c>
      <c r="K105" s="52">
        <v>388456200</v>
      </c>
      <c r="L105" s="53">
        <f>L106+L107</f>
        <v>48316948.009999998</v>
      </c>
      <c r="M105" s="48">
        <f>N105+O105</f>
        <v>222043965.66000003</v>
      </c>
      <c r="N105" s="52">
        <f>N106</f>
        <v>199829017.61000001</v>
      </c>
      <c r="O105" s="53">
        <f>O106+O107</f>
        <v>22214948.050000001</v>
      </c>
      <c r="P105" s="48">
        <f>Q105+R105</f>
        <v>175776320.66999999</v>
      </c>
      <c r="Q105" s="52">
        <f>Q106</f>
        <v>158181068.03999999</v>
      </c>
      <c r="R105" s="53">
        <f>R106+R107</f>
        <v>17595252.629999999</v>
      </c>
      <c r="S105" s="48">
        <f>T105+U105</f>
        <v>175776320.64999998</v>
      </c>
      <c r="T105" s="52">
        <f>T106</f>
        <v>158181068.03999999</v>
      </c>
      <c r="U105" s="53">
        <f>U106+U107</f>
        <v>17595252.609999999</v>
      </c>
      <c r="V105" s="68">
        <f t="shared" si="33"/>
        <v>40.244305642611423</v>
      </c>
      <c r="W105" s="69">
        <f>S105/M105*100</f>
        <v>79.162845127326548</v>
      </c>
    </row>
    <row r="106" spans="1:23">
      <c r="A106" s="9" t="s">
        <v>128</v>
      </c>
      <c r="B106" s="6" t="s">
        <v>129</v>
      </c>
      <c r="C106" s="9"/>
      <c r="D106" s="9"/>
      <c r="E106" s="9"/>
      <c r="F106" s="79"/>
      <c r="G106" s="35">
        <f>H106+I106</f>
        <v>431666080</v>
      </c>
      <c r="H106" s="26">
        <v>388456200</v>
      </c>
      <c r="I106" s="36">
        <v>43209880</v>
      </c>
      <c r="J106" s="48">
        <f>K106+L106</f>
        <v>431666080</v>
      </c>
      <c r="K106" s="52">
        <v>388456200</v>
      </c>
      <c r="L106" s="53">
        <v>43209880</v>
      </c>
      <c r="M106" s="48">
        <f>N106+O106</f>
        <v>222043965.66000003</v>
      </c>
      <c r="N106" s="46">
        <v>199829017.61000001</v>
      </c>
      <c r="O106" s="53">
        <v>22214948.050000001</v>
      </c>
      <c r="P106" s="48">
        <f>Q106+R106</f>
        <v>175776320.66999999</v>
      </c>
      <c r="Q106" s="46">
        <v>158181068.03999999</v>
      </c>
      <c r="R106" s="53">
        <v>17595252.629999999</v>
      </c>
      <c r="S106" s="48">
        <f>T106+U106</f>
        <v>175776320.64999998</v>
      </c>
      <c r="T106" s="46">
        <v>158181068.03999999</v>
      </c>
      <c r="U106" s="53">
        <v>17595252.609999999</v>
      </c>
      <c r="V106" s="68">
        <f t="shared" si="33"/>
        <v>40.720438504225299</v>
      </c>
      <c r="W106" s="69">
        <f>S106/M106*100</f>
        <v>79.162845127326548</v>
      </c>
    </row>
    <row r="107" spans="1:23">
      <c r="A107" s="9" t="s">
        <v>22</v>
      </c>
      <c r="B107" s="6" t="s">
        <v>13</v>
      </c>
      <c r="C107" s="9"/>
      <c r="D107" s="9"/>
      <c r="E107" s="9"/>
      <c r="F107" s="79"/>
      <c r="G107" s="35">
        <v>5107068.01</v>
      </c>
      <c r="H107" s="26"/>
      <c r="I107" s="36">
        <v>5107068.01</v>
      </c>
      <c r="J107" s="48">
        <v>5107068.01</v>
      </c>
      <c r="K107" s="52"/>
      <c r="L107" s="53">
        <v>5107068.01</v>
      </c>
      <c r="M107" s="48">
        <f>O107</f>
        <v>0</v>
      </c>
      <c r="N107" s="52"/>
      <c r="O107" s="53">
        <v>0</v>
      </c>
      <c r="P107" s="48">
        <f>R107</f>
        <v>0</v>
      </c>
      <c r="Q107" s="52"/>
      <c r="R107" s="53">
        <v>0</v>
      </c>
      <c r="S107" s="48">
        <f>U107</f>
        <v>0</v>
      </c>
      <c r="T107" s="52"/>
      <c r="U107" s="53">
        <v>0</v>
      </c>
      <c r="V107" s="68">
        <f t="shared" si="33"/>
        <v>0</v>
      </c>
      <c r="W107" s="69">
        <v>0</v>
      </c>
    </row>
    <row r="108" spans="1:23" s="16" customFormat="1" ht="28.5" customHeight="1">
      <c r="A108" s="110" t="s">
        <v>130</v>
      </c>
      <c r="B108" s="110"/>
      <c r="C108" s="110"/>
      <c r="D108" s="110"/>
      <c r="E108" s="110"/>
      <c r="F108" s="111"/>
      <c r="G108" s="33">
        <f>G109+G110</f>
        <v>22382307.32</v>
      </c>
      <c r="H108" s="25">
        <f t="shared" ref="H108:I108" si="43">H109+H110</f>
        <v>0</v>
      </c>
      <c r="I108" s="34">
        <f t="shared" si="43"/>
        <v>22382307.32</v>
      </c>
      <c r="J108" s="54">
        <f>J109+J110</f>
        <v>22382307.32</v>
      </c>
      <c r="K108" s="55">
        <f t="shared" ref="K108:L108" si="44">K109+K110</f>
        <v>0</v>
      </c>
      <c r="L108" s="56">
        <f t="shared" si="44"/>
        <v>22382307.32</v>
      </c>
      <c r="M108" s="54">
        <f>O108</f>
        <v>4316234.72</v>
      </c>
      <c r="N108" s="55">
        <f t="shared" ref="N108:O108" si="45">N109+N110</f>
        <v>0</v>
      </c>
      <c r="O108" s="56">
        <f t="shared" si="45"/>
        <v>4316234.72</v>
      </c>
      <c r="P108" s="54">
        <f>R108</f>
        <v>4316234.72</v>
      </c>
      <c r="Q108" s="55">
        <f t="shared" ref="Q108:R108" si="46">Q109+Q110</f>
        <v>0</v>
      </c>
      <c r="R108" s="56">
        <f t="shared" si="46"/>
        <v>4316234.72</v>
      </c>
      <c r="S108" s="54">
        <f>U108</f>
        <v>4316234.72</v>
      </c>
      <c r="T108" s="55">
        <f t="shared" ref="T108:U108" si="47">T109+T110</f>
        <v>0</v>
      </c>
      <c r="U108" s="56">
        <f t="shared" si="47"/>
        <v>4316234.72</v>
      </c>
      <c r="V108" s="72">
        <f t="shared" si="33"/>
        <v>19.284136609737157</v>
      </c>
      <c r="W108" s="73">
        <f>S108/M108*100</f>
        <v>100</v>
      </c>
    </row>
    <row r="109" spans="1:23" ht="75" customHeight="1">
      <c r="A109" s="9" t="s">
        <v>131</v>
      </c>
      <c r="B109" s="6" t="s">
        <v>13</v>
      </c>
      <c r="C109" s="6" t="s">
        <v>13</v>
      </c>
      <c r="D109" s="6" t="s">
        <v>132</v>
      </c>
      <c r="E109" s="6" t="s">
        <v>133</v>
      </c>
      <c r="F109" s="78">
        <v>2022</v>
      </c>
      <c r="G109" s="35">
        <v>13591080</v>
      </c>
      <c r="H109" s="26">
        <v>0</v>
      </c>
      <c r="I109" s="36">
        <v>13591080</v>
      </c>
      <c r="J109" s="48">
        <v>13591080</v>
      </c>
      <c r="K109" s="52">
        <v>0</v>
      </c>
      <c r="L109" s="53">
        <v>13591080</v>
      </c>
      <c r="M109" s="48">
        <f>O109</f>
        <v>0</v>
      </c>
      <c r="N109" s="52">
        <v>0</v>
      </c>
      <c r="O109" s="53">
        <v>0</v>
      </c>
      <c r="P109" s="48">
        <f>R109</f>
        <v>0</v>
      </c>
      <c r="Q109" s="52">
        <v>0</v>
      </c>
      <c r="R109" s="53">
        <v>0</v>
      </c>
      <c r="S109" s="48">
        <f>U109</f>
        <v>0</v>
      </c>
      <c r="T109" s="52">
        <v>0</v>
      </c>
      <c r="U109" s="53">
        <v>0</v>
      </c>
      <c r="V109" s="68">
        <f t="shared" si="33"/>
        <v>0</v>
      </c>
      <c r="W109" s="69">
        <v>0</v>
      </c>
    </row>
    <row r="110" spans="1:23" ht="75">
      <c r="A110" s="9" t="s">
        <v>134</v>
      </c>
      <c r="B110" s="6" t="s">
        <v>13</v>
      </c>
      <c r="C110" s="6" t="s">
        <v>13</v>
      </c>
      <c r="D110" s="6" t="s">
        <v>135</v>
      </c>
      <c r="E110" s="6" t="s">
        <v>60</v>
      </c>
      <c r="F110" s="78">
        <v>2022</v>
      </c>
      <c r="G110" s="35">
        <v>8791227.3200000003</v>
      </c>
      <c r="H110" s="26">
        <v>0</v>
      </c>
      <c r="I110" s="36">
        <v>8791227.3200000003</v>
      </c>
      <c r="J110" s="48">
        <v>8791227.3200000003</v>
      </c>
      <c r="K110" s="52">
        <v>0</v>
      </c>
      <c r="L110" s="53">
        <v>8791227.3200000003</v>
      </c>
      <c r="M110" s="48">
        <f>O110</f>
        <v>4316234.72</v>
      </c>
      <c r="N110" s="52">
        <v>0</v>
      </c>
      <c r="O110" s="53">
        <v>4316234.72</v>
      </c>
      <c r="P110" s="48">
        <f>R110</f>
        <v>4316234.72</v>
      </c>
      <c r="Q110" s="52">
        <v>0</v>
      </c>
      <c r="R110" s="53">
        <v>4316234.72</v>
      </c>
      <c r="S110" s="48">
        <f>U110</f>
        <v>4316234.72</v>
      </c>
      <c r="T110" s="52">
        <v>0</v>
      </c>
      <c r="U110" s="53">
        <v>4316234.72</v>
      </c>
      <c r="V110" s="68">
        <f t="shared" si="33"/>
        <v>49.097066460567866</v>
      </c>
      <c r="W110" s="69">
        <f>S110/M110*100</f>
        <v>100</v>
      </c>
    </row>
    <row r="111" spans="1:23" s="16" customFormat="1">
      <c r="A111" s="110" t="s">
        <v>136</v>
      </c>
      <c r="B111" s="110"/>
      <c r="C111" s="110"/>
      <c r="D111" s="110"/>
      <c r="E111" s="110"/>
      <c r="F111" s="111"/>
      <c r="G111" s="33">
        <f>SUM(G112:G132)</f>
        <v>30264500</v>
      </c>
      <c r="H111" s="25"/>
      <c r="I111" s="34">
        <f>SUM(I112:I132)</f>
        <v>30264500</v>
      </c>
      <c r="J111" s="54">
        <f>SUM(J112:J132)</f>
        <v>30264500</v>
      </c>
      <c r="K111" s="55"/>
      <c r="L111" s="56">
        <f>SUM(L112:L132)</f>
        <v>30264500</v>
      </c>
      <c r="M111" s="54">
        <f>SUM(M112:M132)</f>
        <v>18398500</v>
      </c>
      <c r="N111" s="55"/>
      <c r="O111" s="56">
        <f>SUM(O112:O132)</f>
        <v>18398500</v>
      </c>
      <c r="P111" s="54">
        <f>SUM(P112:P132)</f>
        <v>4770000</v>
      </c>
      <c r="Q111" s="55"/>
      <c r="R111" s="56">
        <f>SUM(R112:R132)</f>
        <v>4770000</v>
      </c>
      <c r="S111" s="54">
        <f>SUM(S112:S132)</f>
        <v>4770000</v>
      </c>
      <c r="T111" s="55"/>
      <c r="U111" s="56">
        <f>SUM(U112:U132)</f>
        <v>4770000</v>
      </c>
      <c r="V111" s="72">
        <f t="shared" si="33"/>
        <v>15.761040162566703</v>
      </c>
      <c r="W111" s="73">
        <v>0</v>
      </c>
    </row>
    <row r="112" spans="1:23" ht="120" customHeight="1">
      <c r="A112" s="9" t="s">
        <v>137</v>
      </c>
      <c r="B112" s="6" t="s">
        <v>13</v>
      </c>
      <c r="C112" s="6" t="s">
        <v>13</v>
      </c>
      <c r="D112" s="6" t="s">
        <v>138</v>
      </c>
      <c r="E112" s="6" t="s">
        <v>139</v>
      </c>
      <c r="F112" s="78" t="s">
        <v>31</v>
      </c>
      <c r="G112" s="35"/>
      <c r="H112" s="26"/>
      <c r="I112" s="36"/>
      <c r="J112" s="48"/>
      <c r="K112" s="52"/>
      <c r="L112" s="53"/>
      <c r="M112" s="48"/>
      <c r="N112" s="52"/>
      <c r="O112" s="53"/>
      <c r="P112" s="48"/>
      <c r="Q112" s="52"/>
      <c r="R112" s="53"/>
      <c r="S112" s="48"/>
      <c r="T112" s="52"/>
      <c r="U112" s="53"/>
      <c r="V112" s="68">
        <v>0</v>
      </c>
      <c r="W112" s="69">
        <v>0</v>
      </c>
    </row>
    <row r="113" spans="1:23" ht="120.75" customHeight="1">
      <c r="A113" s="9" t="s">
        <v>137</v>
      </c>
      <c r="B113" s="6" t="s">
        <v>13</v>
      </c>
      <c r="C113" s="6" t="s">
        <v>13</v>
      </c>
      <c r="D113" s="6" t="s">
        <v>138</v>
      </c>
      <c r="E113" s="6" t="s">
        <v>140</v>
      </c>
      <c r="F113" s="78" t="s">
        <v>31</v>
      </c>
      <c r="G113" s="35">
        <v>1517250</v>
      </c>
      <c r="H113" s="26"/>
      <c r="I113" s="36">
        <v>1517250</v>
      </c>
      <c r="J113" s="48">
        <v>1517250</v>
      </c>
      <c r="K113" s="52"/>
      <c r="L113" s="53">
        <v>1517250</v>
      </c>
      <c r="M113" s="48">
        <v>1517250</v>
      </c>
      <c r="N113" s="52"/>
      <c r="O113" s="53">
        <v>1517250</v>
      </c>
      <c r="P113" s="48">
        <f>R113</f>
        <v>0</v>
      </c>
      <c r="Q113" s="52"/>
      <c r="R113" s="53">
        <v>0</v>
      </c>
      <c r="S113" s="48">
        <f>U113</f>
        <v>0</v>
      </c>
      <c r="T113" s="52"/>
      <c r="U113" s="53">
        <v>0</v>
      </c>
      <c r="V113" s="68">
        <f t="shared" si="33"/>
        <v>0</v>
      </c>
      <c r="W113" s="69">
        <v>0</v>
      </c>
    </row>
    <row r="114" spans="1:23" ht="178.5" customHeight="1">
      <c r="A114" s="9" t="s">
        <v>137</v>
      </c>
      <c r="B114" s="6" t="s">
        <v>13</v>
      </c>
      <c r="C114" s="6" t="s">
        <v>13</v>
      </c>
      <c r="D114" s="6" t="s">
        <v>138</v>
      </c>
      <c r="E114" s="6" t="s">
        <v>141</v>
      </c>
      <c r="F114" s="78" t="s">
        <v>31</v>
      </c>
      <c r="G114" s="35"/>
      <c r="H114" s="26"/>
      <c r="I114" s="36"/>
      <c r="J114" s="48"/>
      <c r="K114" s="52"/>
      <c r="L114" s="53"/>
      <c r="M114" s="48"/>
      <c r="N114" s="52"/>
      <c r="O114" s="53"/>
      <c r="P114" s="48"/>
      <c r="Q114" s="52"/>
      <c r="R114" s="53"/>
      <c r="S114" s="48"/>
      <c r="T114" s="52"/>
      <c r="U114" s="53"/>
      <c r="V114" s="68">
        <v>0</v>
      </c>
      <c r="W114" s="69">
        <v>0</v>
      </c>
    </row>
    <row r="115" spans="1:23" ht="150" customHeight="1">
      <c r="A115" s="9" t="s">
        <v>137</v>
      </c>
      <c r="B115" s="6" t="s">
        <v>13</v>
      </c>
      <c r="C115" s="6" t="s">
        <v>13</v>
      </c>
      <c r="D115" s="6" t="s">
        <v>138</v>
      </c>
      <c r="E115" s="6" t="s">
        <v>142</v>
      </c>
      <c r="F115" s="78" t="s">
        <v>31</v>
      </c>
      <c r="G115" s="35"/>
      <c r="H115" s="26"/>
      <c r="I115" s="36"/>
      <c r="J115" s="48"/>
      <c r="K115" s="52"/>
      <c r="L115" s="53"/>
      <c r="M115" s="48"/>
      <c r="N115" s="52"/>
      <c r="O115" s="53"/>
      <c r="P115" s="48"/>
      <c r="Q115" s="52"/>
      <c r="R115" s="53"/>
      <c r="S115" s="48"/>
      <c r="T115" s="52"/>
      <c r="U115" s="53"/>
      <c r="V115" s="68">
        <v>0</v>
      </c>
      <c r="W115" s="69">
        <v>0</v>
      </c>
    </row>
    <row r="116" spans="1:23" ht="120" customHeight="1">
      <c r="A116" s="9" t="s">
        <v>137</v>
      </c>
      <c r="B116" s="6" t="s">
        <v>13</v>
      </c>
      <c r="C116" s="6" t="s">
        <v>13</v>
      </c>
      <c r="D116" s="6" t="s">
        <v>138</v>
      </c>
      <c r="E116" s="6" t="s">
        <v>143</v>
      </c>
      <c r="F116" s="78" t="s">
        <v>31</v>
      </c>
      <c r="G116" s="35"/>
      <c r="H116" s="26"/>
      <c r="I116" s="36"/>
      <c r="J116" s="48"/>
      <c r="K116" s="52"/>
      <c r="L116" s="53"/>
      <c r="M116" s="48"/>
      <c r="N116" s="52"/>
      <c r="O116" s="53"/>
      <c r="P116" s="48"/>
      <c r="Q116" s="52"/>
      <c r="R116" s="53"/>
      <c r="S116" s="48"/>
      <c r="T116" s="52"/>
      <c r="U116" s="53"/>
      <c r="V116" s="68">
        <v>0</v>
      </c>
      <c r="W116" s="69">
        <v>0</v>
      </c>
    </row>
    <row r="117" spans="1:23" ht="148.5" customHeight="1">
      <c r="A117" s="9" t="s">
        <v>137</v>
      </c>
      <c r="B117" s="6" t="s">
        <v>13</v>
      </c>
      <c r="C117" s="6" t="s">
        <v>13</v>
      </c>
      <c r="D117" s="6" t="s">
        <v>138</v>
      </c>
      <c r="E117" s="6" t="s">
        <v>144</v>
      </c>
      <c r="F117" s="78" t="s">
        <v>31</v>
      </c>
      <c r="G117" s="35">
        <v>1312000</v>
      </c>
      <c r="H117" s="26"/>
      <c r="I117" s="36">
        <v>1312000</v>
      </c>
      <c r="J117" s="48">
        <v>1312000</v>
      </c>
      <c r="K117" s="52"/>
      <c r="L117" s="53">
        <v>1312000</v>
      </c>
      <c r="M117" s="48">
        <f>O117</f>
        <v>0</v>
      </c>
      <c r="N117" s="52"/>
      <c r="O117" s="53">
        <v>0</v>
      </c>
      <c r="P117" s="48">
        <f>R117</f>
        <v>0</v>
      </c>
      <c r="Q117" s="52"/>
      <c r="R117" s="53">
        <v>0</v>
      </c>
      <c r="S117" s="48">
        <f>U117</f>
        <v>0</v>
      </c>
      <c r="T117" s="52"/>
      <c r="U117" s="53">
        <v>0</v>
      </c>
      <c r="V117" s="68">
        <f t="shared" si="33"/>
        <v>0</v>
      </c>
      <c r="W117" s="69">
        <v>0</v>
      </c>
    </row>
    <row r="118" spans="1:23" ht="138" customHeight="1">
      <c r="A118" s="9" t="s">
        <v>137</v>
      </c>
      <c r="B118" s="6" t="s">
        <v>13</v>
      </c>
      <c r="C118" s="6" t="s">
        <v>13</v>
      </c>
      <c r="D118" s="6" t="s">
        <v>138</v>
      </c>
      <c r="E118" s="6" t="s">
        <v>145</v>
      </c>
      <c r="F118" s="78" t="s">
        <v>31</v>
      </c>
      <c r="G118" s="35"/>
      <c r="H118" s="26"/>
      <c r="I118" s="36"/>
      <c r="J118" s="48"/>
      <c r="K118" s="52"/>
      <c r="L118" s="53"/>
      <c r="M118" s="48"/>
      <c r="N118" s="52"/>
      <c r="O118" s="53"/>
      <c r="P118" s="48"/>
      <c r="Q118" s="52"/>
      <c r="R118" s="53"/>
      <c r="S118" s="48"/>
      <c r="T118" s="52"/>
      <c r="U118" s="53"/>
      <c r="V118" s="68">
        <v>0</v>
      </c>
      <c r="W118" s="69">
        <v>0</v>
      </c>
    </row>
    <row r="119" spans="1:23" ht="136.5" customHeight="1">
      <c r="A119" s="9" t="s">
        <v>137</v>
      </c>
      <c r="B119" s="6" t="s">
        <v>13</v>
      </c>
      <c r="C119" s="6" t="s">
        <v>13</v>
      </c>
      <c r="D119" s="6" t="s">
        <v>146</v>
      </c>
      <c r="E119" s="6" t="s">
        <v>147</v>
      </c>
      <c r="F119" s="78" t="s">
        <v>31</v>
      </c>
      <c r="G119" s="35">
        <v>1924500</v>
      </c>
      <c r="H119" s="26"/>
      <c r="I119" s="36">
        <v>1924500</v>
      </c>
      <c r="J119" s="48">
        <v>1924500</v>
      </c>
      <c r="K119" s="52"/>
      <c r="L119" s="53">
        <v>1924500</v>
      </c>
      <c r="M119" s="48">
        <v>1924500</v>
      </c>
      <c r="N119" s="52"/>
      <c r="O119" s="53">
        <v>1924500</v>
      </c>
      <c r="P119" s="48">
        <f t="shared" ref="P119:P121" si="48">R119</f>
        <v>0</v>
      </c>
      <c r="Q119" s="52"/>
      <c r="R119" s="53">
        <v>0</v>
      </c>
      <c r="S119" s="48">
        <f t="shared" ref="S119:S121" si="49">U119</f>
        <v>0</v>
      </c>
      <c r="T119" s="52"/>
      <c r="U119" s="53">
        <v>0</v>
      </c>
      <c r="V119" s="68">
        <f t="shared" si="33"/>
        <v>0</v>
      </c>
      <c r="W119" s="69">
        <v>0</v>
      </c>
    </row>
    <row r="120" spans="1:23" ht="152.25" customHeight="1">
      <c r="A120" s="9" t="s">
        <v>137</v>
      </c>
      <c r="B120" s="6" t="s">
        <v>13</v>
      </c>
      <c r="C120" s="6" t="s">
        <v>13</v>
      </c>
      <c r="D120" s="6" t="s">
        <v>146</v>
      </c>
      <c r="E120" s="6" t="s">
        <v>148</v>
      </c>
      <c r="F120" s="78" t="s">
        <v>31</v>
      </c>
      <c r="G120" s="35">
        <v>1924500</v>
      </c>
      <c r="H120" s="26"/>
      <c r="I120" s="36">
        <v>1924500</v>
      </c>
      <c r="J120" s="48">
        <v>1924500</v>
      </c>
      <c r="K120" s="52"/>
      <c r="L120" s="53">
        <v>1924500</v>
      </c>
      <c r="M120" s="48">
        <v>1924500</v>
      </c>
      <c r="N120" s="52"/>
      <c r="O120" s="53">
        <v>1924500</v>
      </c>
      <c r="P120" s="48">
        <f t="shared" si="48"/>
        <v>0</v>
      </c>
      <c r="Q120" s="52"/>
      <c r="R120" s="53">
        <v>0</v>
      </c>
      <c r="S120" s="48">
        <f t="shared" si="49"/>
        <v>0</v>
      </c>
      <c r="T120" s="52"/>
      <c r="U120" s="53">
        <v>0</v>
      </c>
      <c r="V120" s="68">
        <f t="shared" si="33"/>
        <v>0</v>
      </c>
      <c r="W120" s="69">
        <v>0</v>
      </c>
    </row>
    <row r="121" spans="1:23" ht="153.75" customHeight="1">
      <c r="A121" s="9" t="s">
        <v>137</v>
      </c>
      <c r="B121" s="6" t="s">
        <v>13</v>
      </c>
      <c r="C121" s="6" t="s">
        <v>13</v>
      </c>
      <c r="D121" s="6" t="s">
        <v>146</v>
      </c>
      <c r="E121" s="6" t="s">
        <v>304</v>
      </c>
      <c r="F121" s="78" t="s">
        <v>31</v>
      </c>
      <c r="G121" s="35">
        <v>2045000</v>
      </c>
      <c r="H121" s="26"/>
      <c r="I121" s="36">
        <v>2045000</v>
      </c>
      <c r="J121" s="48">
        <v>2045000</v>
      </c>
      <c r="K121" s="52"/>
      <c r="L121" s="53">
        <v>2045000</v>
      </c>
      <c r="M121" s="48">
        <v>2045000</v>
      </c>
      <c r="N121" s="52"/>
      <c r="O121" s="53">
        <v>2045000</v>
      </c>
      <c r="P121" s="48">
        <f t="shared" si="48"/>
        <v>0</v>
      </c>
      <c r="Q121" s="52"/>
      <c r="R121" s="53">
        <v>0</v>
      </c>
      <c r="S121" s="48">
        <f t="shared" si="49"/>
        <v>0</v>
      </c>
      <c r="T121" s="52"/>
      <c r="U121" s="53">
        <v>0</v>
      </c>
      <c r="V121" s="68">
        <f t="shared" si="33"/>
        <v>0</v>
      </c>
      <c r="W121" s="69">
        <v>0</v>
      </c>
    </row>
    <row r="122" spans="1:23" ht="123" customHeight="1">
      <c r="A122" s="9" t="s">
        <v>137</v>
      </c>
      <c r="B122" s="6" t="s">
        <v>13</v>
      </c>
      <c r="C122" s="6" t="s">
        <v>13</v>
      </c>
      <c r="D122" s="6" t="s">
        <v>146</v>
      </c>
      <c r="E122" s="6" t="s">
        <v>149</v>
      </c>
      <c r="F122" s="78" t="s">
        <v>31</v>
      </c>
      <c r="G122" s="35"/>
      <c r="H122" s="26"/>
      <c r="I122" s="36"/>
      <c r="J122" s="48"/>
      <c r="K122" s="52"/>
      <c r="L122" s="53"/>
      <c r="M122" s="48"/>
      <c r="N122" s="52"/>
      <c r="O122" s="53"/>
      <c r="P122" s="48"/>
      <c r="Q122" s="52"/>
      <c r="R122" s="53"/>
      <c r="S122" s="48"/>
      <c r="T122" s="52"/>
      <c r="U122" s="53"/>
      <c r="V122" s="68">
        <v>0</v>
      </c>
      <c r="W122" s="69">
        <v>0</v>
      </c>
    </row>
    <row r="123" spans="1:23" ht="150.75" customHeight="1">
      <c r="A123" s="9" t="s">
        <v>137</v>
      </c>
      <c r="B123" s="6" t="s">
        <v>13</v>
      </c>
      <c r="C123" s="6" t="s">
        <v>13</v>
      </c>
      <c r="D123" s="6" t="s">
        <v>146</v>
      </c>
      <c r="E123" s="6" t="s">
        <v>150</v>
      </c>
      <c r="F123" s="78" t="s">
        <v>31</v>
      </c>
      <c r="G123" s="35">
        <v>2450000</v>
      </c>
      <c r="H123" s="26"/>
      <c r="I123" s="36">
        <v>2450000</v>
      </c>
      <c r="J123" s="48">
        <v>2450000</v>
      </c>
      <c r="K123" s="52"/>
      <c r="L123" s="53">
        <v>2450000</v>
      </c>
      <c r="M123" s="48">
        <f t="shared" ref="M123:M125" si="50">O123</f>
        <v>0</v>
      </c>
      <c r="N123" s="52"/>
      <c r="O123" s="53">
        <v>0</v>
      </c>
      <c r="P123" s="48">
        <f t="shared" ref="P123:P124" si="51">R123</f>
        <v>0</v>
      </c>
      <c r="Q123" s="52"/>
      <c r="R123" s="53">
        <v>0</v>
      </c>
      <c r="S123" s="48">
        <f t="shared" ref="S123:S124" si="52">U123</f>
        <v>0</v>
      </c>
      <c r="T123" s="52"/>
      <c r="U123" s="53">
        <v>0</v>
      </c>
      <c r="V123" s="68">
        <f t="shared" si="33"/>
        <v>0</v>
      </c>
      <c r="W123" s="69">
        <v>0</v>
      </c>
    </row>
    <row r="124" spans="1:23" ht="137.25" customHeight="1">
      <c r="A124" s="9" t="s">
        <v>137</v>
      </c>
      <c r="B124" s="6" t="s">
        <v>13</v>
      </c>
      <c r="C124" s="6" t="s">
        <v>13</v>
      </c>
      <c r="D124" s="6" t="s">
        <v>146</v>
      </c>
      <c r="E124" s="6" t="s">
        <v>151</v>
      </c>
      <c r="F124" s="78" t="s">
        <v>31</v>
      </c>
      <c r="G124" s="35">
        <v>2450000</v>
      </c>
      <c r="H124" s="26"/>
      <c r="I124" s="36">
        <v>2450000</v>
      </c>
      <c r="J124" s="48">
        <v>2450000</v>
      </c>
      <c r="K124" s="52"/>
      <c r="L124" s="53">
        <v>2450000</v>
      </c>
      <c r="M124" s="48">
        <f t="shared" si="50"/>
        <v>0</v>
      </c>
      <c r="N124" s="52"/>
      <c r="O124" s="53">
        <v>0</v>
      </c>
      <c r="P124" s="48">
        <f t="shared" si="51"/>
        <v>0</v>
      </c>
      <c r="Q124" s="52"/>
      <c r="R124" s="53">
        <v>0</v>
      </c>
      <c r="S124" s="48">
        <f t="shared" si="52"/>
        <v>0</v>
      </c>
      <c r="T124" s="52"/>
      <c r="U124" s="53">
        <v>0</v>
      </c>
      <c r="V124" s="68">
        <f t="shared" si="33"/>
        <v>0</v>
      </c>
      <c r="W124" s="69">
        <v>0</v>
      </c>
    </row>
    <row r="125" spans="1:23" ht="120.75" customHeight="1">
      <c r="A125" s="9" t="s">
        <v>137</v>
      </c>
      <c r="B125" s="6" t="s">
        <v>13</v>
      </c>
      <c r="C125" s="6" t="s">
        <v>13</v>
      </c>
      <c r="D125" s="6" t="s">
        <v>152</v>
      </c>
      <c r="E125" s="6" t="s">
        <v>153</v>
      </c>
      <c r="F125" s="78" t="s">
        <v>31</v>
      </c>
      <c r="G125" s="35">
        <v>1700000</v>
      </c>
      <c r="H125" s="26"/>
      <c r="I125" s="36">
        <v>1700000</v>
      </c>
      <c r="J125" s="48">
        <v>1700000</v>
      </c>
      <c r="K125" s="52"/>
      <c r="L125" s="53">
        <v>1700000</v>
      </c>
      <c r="M125" s="48">
        <f t="shared" si="50"/>
        <v>0</v>
      </c>
      <c r="N125" s="52"/>
      <c r="O125" s="53">
        <v>0</v>
      </c>
      <c r="P125" s="48">
        <f>R125</f>
        <v>0</v>
      </c>
      <c r="Q125" s="52"/>
      <c r="R125" s="53">
        <v>0</v>
      </c>
      <c r="S125" s="48">
        <f>U125</f>
        <v>0</v>
      </c>
      <c r="T125" s="52"/>
      <c r="U125" s="53">
        <v>0</v>
      </c>
      <c r="V125" s="68">
        <f t="shared" si="33"/>
        <v>0</v>
      </c>
      <c r="W125" s="69">
        <v>0</v>
      </c>
    </row>
    <row r="126" spans="1:23" ht="120.75" customHeight="1">
      <c r="A126" s="9" t="s">
        <v>137</v>
      </c>
      <c r="B126" s="6" t="s">
        <v>13</v>
      </c>
      <c r="C126" s="6" t="s">
        <v>13</v>
      </c>
      <c r="D126" s="6" t="s">
        <v>152</v>
      </c>
      <c r="E126" s="6" t="s">
        <v>154</v>
      </c>
      <c r="F126" s="78" t="s">
        <v>31</v>
      </c>
      <c r="G126" s="35"/>
      <c r="H126" s="26"/>
      <c r="I126" s="36"/>
      <c r="J126" s="48"/>
      <c r="K126" s="52"/>
      <c r="L126" s="53"/>
      <c r="M126" s="48"/>
      <c r="N126" s="52"/>
      <c r="O126" s="53"/>
      <c r="P126" s="48"/>
      <c r="Q126" s="52"/>
      <c r="R126" s="53"/>
      <c r="S126" s="48"/>
      <c r="T126" s="52"/>
      <c r="U126" s="53"/>
      <c r="V126" s="68">
        <v>0</v>
      </c>
      <c r="W126" s="69">
        <v>0</v>
      </c>
    </row>
    <row r="127" spans="1:23" ht="120" customHeight="1">
      <c r="A127" s="9" t="s">
        <v>137</v>
      </c>
      <c r="B127" s="6" t="s">
        <v>13</v>
      </c>
      <c r="C127" s="6" t="s">
        <v>13</v>
      </c>
      <c r="D127" s="6" t="s">
        <v>152</v>
      </c>
      <c r="E127" s="6" t="s">
        <v>155</v>
      </c>
      <c r="F127" s="78" t="s">
        <v>31</v>
      </c>
      <c r="G127" s="35">
        <v>1700000</v>
      </c>
      <c r="H127" s="26"/>
      <c r="I127" s="36">
        <v>1700000</v>
      </c>
      <c r="J127" s="48">
        <v>1700000</v>
      </c>
      <c r="K127" s="52"/>
      <c r="L127" s="53">
        <v>1700000</v>
      </c>
      <c r="M127" s="48">
        <v>1700000</v>
      </c>
      <c r="N127" s="52"/>
      <c r="O127" s="53">
        <v>1700000</v>
      </c>
      <c r="P127" s="48">
        <f t="shared" ref="P127:P131" si="53">R127</f>
        <v>0</v>
      </c>
      <c r="Q127" s="52"/>
      <c r="R127" s="53">
        <v>0</v>
      </c>
      <c r="S127" s="48">
        <f t="shared" ref="S127:S131" si="54">U127</f>
        <v>0</v>
      </c>
      <c r="T127" s="52"/>
      <c r="U127" s="53">
        <v>0</v>
      </c>
      <c r="V127" s="68">
        <f t="shared" si="33"/>
        <v>0</v>
      </c>
      <c r="W127" s="69">
        <v>0</v>
      </c>
    </row>
    <row r="128" spans="1:23" ht="139.5" customHeight="1">
      <c r="A128" s="9" t="s">
        <v>137</v>
      </c>
      <c r="B128" s="6" t="s">
        <v>13</v>
      </c>
      <c r="C128" s="6" t="s">
        <v>13</v>
      </c>
      <c r="D128" s="6" t="s">
        <v>156</v>
      </c>
      <c r="E128" s="6" t="s">
        <v>157</v>
      </c>
      <c r="F128" s="78" t="s">
        <v>31</v>
      </c>
      <c r="G128" s="35">
        <v>1517250</v>
      </c>
      <c r="H128" s="26"/>
      <c r="I128" s="36">
        <v>1517250</v>
      </c>
      <c r="J128" s="48">
        <v>1517250</v>
      </c>
      <c r="K128" s="52"/>
      <c r="L128" s="53">
        <v>1517250</v>
      </c>
      <c r="M128" s="48">
        <v>1517250</v>
      </c>
      <c r="N128" s="52"/>
      <c r="O128" s="53">
        <v>1517250</v>
      </c>
      <c r="P128" s="48">
        <f t="shared" si="53"/>
        <v>0</v>
      </c>
      <c r="Q128" s="52"/>
      <c r="R128" s="53">
        <v>0</v>
      </c>
      <c r="S128" s="48">
        <f t="shared" si="54"/>
        <v>0</v>
      </c>
      <c r="T128" s="52"/>
      <c r="U128" s="53">
        <v>0</v>
      </c>
      <c r="V128" s="68">
        <f t="shared" si="33"/>
        <v>0</v>
      </c>
      <c r="W128" s="69">
        <v>0</v>
      </c>
    </row>
    <row r="129" spans="1:23" ht="123" customHeight="1">
      <c r="A129" s="9" t="s">
        <v>137</v>
      </c>
      <c r="B129" s="6" t="s">
        <v>13</v>
      </c>
      <c r="C129" s="6" t="s">
        <v>13</v>
      </c>
      <c r="D129" s="6" t="s">
        <v>156</v>
      </c>
      <c r="E129" s="6" t="s">
        <v>158</v>
      </c>
      <c r="F129" s="78" t="s">
        <v>31</v>
      </c>
      <c r="G129" s="35">
        <v>1100000</v>
      </c>
      <c r="H129" s="26"/>
      <c r="I129" s="36">
        <v>1100000</v>
      </c>
      <c r="J129" s="48">
        <v>1100000</v>
      </c>
      <c r="K129" s="52"/>
      <c r="L129" s="53">
        <v>1100000</v>
      </c>
      <c r="M129" s="48">
        <f t="shared" ref="M129" si="55">O129</f>
        <v>0</v>
      </c>
      <c r="N129" s="52"/>
      <c r="O129" s="53">
        <v>0</v>
      </c>
      <c r="P129" s="48">
        <f t="shared" si="53"/>
        <v>0</v>
      </c>
      <c r="Q129" s="52"/>
      <c r="R129" s="53">
        <v>0</v>
      </c>
      <c r="S129" s="48">
        <f t="shared" si="54"/>
        <v>0</v>
      </c>
      <c r="T129" s="52"/>
      <c r="U129" s="53">
        <v>0</v>
      </c>
      <c r="V129" s="68">
        <f t="shared" si="33"/>
        <v>0</v>
      </c>
      <c r="W129" s="69">
        <v>0</v>
      </c>
    </row>
    <row r="130" spans="1:23" ht="137.25" customHeight="1">
      <c r="A130" s="9" t="s">
        <v>137</v>
      </c>
      <c r="B130" s="6" t="s">
        <v>13</v>
      </c>
      <c r="C130" s="6" t="s">
        <v>13</v>
      </c>
      <c r="D130" s="6" t="s">
        <v>156</v>
      </c>
      <c r="E130" s="6" t="s">
        <v>159</v>
      </c>
      <c r="F130" s="78" t="s">
        <v>31</v>
      </c>
      <c r="G130" s="35">
        <v>3000000</v>
      </c>
      <c r="H130" s="26"/>
      <c r="I130" s="36">
        <v>3000000</v>
      </c>
      <c r="J130" s="48">
        <v>3000000</v>
      </c>
      <c r="K130" s="52"/>
      <c r="L130" s="53">
        <v>3000000</v>
      </c>
      <c r="M130" s="48">
        <v>3000000</v>
      </c>
      <c r="N130" s="52"/>
      <c r="O130" s="53">
        <v>3000000</v>
      </c>
      <c r="P130" s="48">
        <f t="shared" si="53"/>
        <v>0</v>
      </c>
      <c r="Q130" s="52"/>
      <c r="R130" s="53">
        <v>0</v>
      </c>
      <c r="S130" s="48">
        <f t="shared" si="54"/>
        <v>0</v>
      </c>
      <c r="T130" s="52"/>
      <c r="U130" s="53">
        <v>0</v>
      </c>
      <c r="V130" s="68">
        <f t="shared" si="33"/>
        <v>0</v>
      </c>
      <c r="W130" s="69">
        <v>0</v>
      </c>
    </row>
    <row r="131" spans="1:23" ht="121.5" customHeight="1">
      <c r="A131" s="9" t="s">
        <v>137</v>
      </c>
      <c r="B131" s="6" t="s">
        <v>13</v>
      </c>
      <c r="C131" s="6" t="s">
        <v>13</v>
      </c>
      <c r="D131" s="6" t="s">
        <v>156</v>
      </c>
      <c r="E131" s="6" t="s">
        <v>160</v>
      </c>
      <c r="F131" s="78" t="s">
        <v>31</v>
      </c>
      <c r="G131" s="35">
        <v>2854000</v>
      </c>
      <c r="H131" s="26"/>
      <c r="I131" s="36">
        <v>2854000</v>
      </c>
      <c r="J131" s="48">
        <v>2854000</v>
      </c>
      <c r="K131" s="52"/>
      <c r="L131" s="53">
        <v>2854000</v>
      </c>
      <c r="M131" s="48">
        <f t="shared" ref="M131" si="56">O131</f>
        <v>0</v>
      </c>
      <c r="N131" s="52"/>
      <c r="O131" s="53">
        <v>0</v>
      </c>
      <c r="P131" s="48">
        <f t="shared" si="53"/>
        <v>0</v>
      </c>
      <c r="Q131" s="52"/>
      <c r="R131" s="53">
        <v>0</v>
      </c>
      <c r="S131" s="48">
        <f t="shared" si="54"/>
        <v>0</v>
      </c>
      <c r="T131" s="52"/>
      <c r="U131" s="53">
        <v>0</v>
      </c>
      <c r="V131" s="68">
        <f t="shared" si="33"/>
        <v>0</v>
      </c>
      <c r="W131" s="69">
        <v>0</v>
      </c>
    </row>
    <row r="132" spans="1:23" ht="122.25" customHeight="1">
      <c r="A132" s="9" t="s">
        <v>137</v>
      </c>
      <c r="B132" s="6" t="s">
        <v>13</v>
      </c>
      <c r="C132" s="6" t="s">
        <v>13</v>
      </c>
      <c r="D132" s="6" t="s">
        <v>161</v>
      </c>
      <c r="E132" s="6" t="s">
        <v>162</v>
      </c>
      <c r="F132" s="78" t="s">
        <v>31</v>
      </c>
      <c r="G132" s="35">
        <v>4770000</v>
      </c>
      <c r="H132" s="26"/>
      <c r="I132" s="36">
        <v>4770000</v>
      </c>
      <c r="J132" s="48">
        <v>4770000</v>
      </c>
      <c r="K132" s="52"/>
      <c r="L132" s="53">
        <v>4770000</v>
      </c>
      <c r="M132" s="48">
        <v>4770000</v>
      </c>
      <c r="N132" s="52"/>
      <c r="O132" s="53">
        <v>4770000</v>
      </c>
      <c r="P132" s="48">
        <v>4770000</v>
      </c>
      <c r="Q132" s="52"/>
      <c r="R132" s="53">
        <v>4770000</v>
      </c>
      <c r="S132" s="48">
        <v>4770000</v>
      </c>
      <c r="T132" s="52"/>
      <c r="U132" s="53">
        <v>4770000</v>
      </c>
      <c r="V132" s="68">
        <f t="shared" si="33"/>
        <v>100</v>
      </c>
      <c r="W132" s="69">
        <f>S132/M132*100</f>
        <v>100</v>
      </c>
    </row>
    <row r="133" spans="1:23" s="1" customFormat="1" ht="47.25" customHeight="1">
      <c r="A133" s="112" t="s">
        <v>163</v>
      </c>
      <c r="B133" s="112"/>
      <c r="C133" s="112"/>
      <c r="D133" s="112"/>
      <c r="E133" s="112"/>
      <c r="F133" s="113"/>
      <c r="G133" s="33">
        <v>40115000</v>
      </c>
      <c r="H133" s="25"/>
      <c r="I133" s="34">
        <v>40115000</v>
      </c>
      <c r="J133" s="48">
        <v>40115000</v>
      </c>
      <c r="K133" s="52"/>
      <c r="L133" s="53">
        <v>40115000</v>
      </c>
      <c r="M133" s="48">
        <v>40115000</v>
      </c>
      <c r="N133" s="52"/>
      <c r="O133" s="53">
        <v>40115000</v>
      </c>
      <c r="P133" s="54">
        <v>40115000</v>
      </c>
      <c r="Q133" s="55"/>
      <c r="R133" s="56">
        <v>40115000</v>
      </c>
      <c r="S133" s="54">
        <f t="shared" ref="S133:S137" si="57">U133</f>
        <v>32580414.649999999</v>
      </c>
      <c r="T133" s="55"/>
      <c r="U133" s="56">
        <f>U135</f>
        <v>32580414.649999999</v>
      </c>
      <c r="V133" s="72">
        <f t="shared" si="33"/>
        <v>81.217536208400844</v>
      </c>
      <c r="W133" s="73">
        <f>S133/M133*100</f>
        <v>81.217536208400844</v>
      </c>
    </row>
    <row r="134" spans="1:23">
      <c r="A134" s="108" t="s">
        <v>7</v>
      </c>
      <c r="B134" s="108"/>
      <c r="C134" s="108"/>
      <c r="D134" s="108"/>
      <c r="E134" s="108"/>
      <c r="F134" s="109"/>
      <c r="G134" s="35"/>
      <c r="H134" s="26"/>
      <c r="I134" s="36"/>
      <c r="J134" s="48"/>
      <c r="K134" s="52"/>
      <c r="L134" s="53"/>
      <c r="M134" s="48"/>
      <c r="N134" s="52"/>
      <c r="O134" s="53"/>
      <c r="P134" s="48"/>
      <c r="Q134" s="52"/>
      <c r="R134" s="53"/>
      <c r="S134" s="48"/>
      <c r="T134" s="52"/>
      <c r="U134" s="53"/>
      <c r="V134" s="68"/>
      <c r="W134" s="69"/>
    </row>
    <row r="135" spans="1:23">
      <c r="A135" s="108" t="s">
        <v>8</v>
      </c>
      <c r="B135" s="108"/>
      <c r="C135" s="108"/>
      <c r="D135" s="108"/>
      <c r="E135" s="108"/>
      <c r="F135" s="109"/>
      <c r="G135" s="35">
        <v>40115000</v>
      </c>
      <c r="H135" s="26"/>
      <c r="I135" s="36">
        <v>40115000</v>
      </c>
      <c r="J135" s="48">
        <v>40115000</v>
      </c>
      <c r="K135" s="52"/>
      <c r="L135" s="53">
        <v>40115000</v>
      </c>
      <c r="M135" s="48">
        <v>40115000</v>
      </c>
      <c r="N135" s="52"/>
      <c r="O135" s="53">
        <v>40115000</v>
      </c>
      <c r="P135" s="48">
        <v>40115000</v>
      </c>
      <c r="Q135" s="52"/>
      <c r="R135" s="53">
        <v>40115000</v>
      </c>
      <c r="S135" s="48">
        <f t="shared" si="57"/>
        <v>32580414.649999999</v>
      </c>
      <c r="T135" s="52"/>
      <c r="U135" s="53">
        <f>U136</f>
        <v>32580414.649999999</v>
      </c>
      <c r="V135" s="68">
        <f t="shared" si="33"/>
        <v>81.217536208400844</v>
      </c>
      <c r="W135" s="69">
        <f>S135/M135*100</f>
        <v>81.217536208400844</v>
      </c>
    </row>
    <row r="136" spans="1:23">
      <c r="A136" s="108" t="s">
        <v>164</v>
      </c>
      <c r="B136" s="108"/>
      <c r="C136" s="108"/>
      <c r="D136" s="108"/>
      <c r="E136" s="108"/>
      <c r="F136" s="109"/>
      <c r="G136" s="35">
        <v>40115000</v>
      </c>
      <c r="H136" s="26"/>
      <c r="I136" s="36">
        <v>40115000</v>
      </c>
      <c r="J136" s="48">
        <v>40115000</v>
      </c>
      <c r="K136" s="52"/>
      <c r="L136" s="53">
        <v>40115000</v>
      </c>
      <c r="M136" s="48">
        <v>40115000</v>
      </c>
      <c r="N136" s="52"/>
      <c r="O136" s="53">
        <v>40115000</v>
      </c>
      <c r="P136" s="48">
        <v>40115000</v>
      </c>
      <c r="Q136" s="52"/>
      <c r="R136" s="53">
        <v>40115000</v>
      </c>
      <c r="S136" s="48">
        <f t="shared" si="57"/>
        <v>32580414.649999999</v>
      </c>
      <c r="T136" s="52"/>
      <c r="U136" s="53">
        <f>U137</f>
        <v>32580414.649999999</v>
      </c>
      <c r="V136" s="68">
        <f t="shared" si="33"/>
        <v>81.217536208400844</v>
      </c>
      <c r="W136" s="69">
        <f>S136/M136*100</f>
        <v>81.217536208400844</v>
      </c>
    </row>
    <row r="137" spans="1:23" s="16" customFormat="1">
      <c r="A137" s="110" t="s">
        <v>11</v>
      </c>
      <c r="B137" s="110"/>
      <c r="C137" s="110"/>
      <c r="D137" s="110"/>
      <c r="E137" s="110"/>
      <c r="F137" s="111"/>
      <c r="G137" s="33">
        <v>40115000</v>
      </c>
      <c r="H137" s="25"/>
      <c r="I137" s="34">
        <v>40115000</v>
      </c>
      <c r="J137" s="48">
        <v>40115000</v>
      </c>
      <c r="K137" s="52"/>
      <c r="L137" s="53">
        <v>40115000</v>
      </c>
      <c r="M137" s="48">
        <v>40115000</v>
      </c>
      <c r="N137" s="52"/>
      <c r="O137" s="53">
        <v>40115000</v>
      </c>
      <c r="P137" s="54">
        <v>40115000</v>
      </c>
      <c r="Q137" s="55"/>
      <c r="R137" s="56">
        <v>40115000</v>
      </c>
      <c r="S137" s="54">
        <f t="shared" si="57"/>
        <v>32580414.649999999</v>
      </c>
      <c r="T137" s="55"/>
      <c r="U137" s="56">
        <f>U138</f>
        <v>32580414.649999999</v>
      </c>
      <c r="V137" s="72">
        <f t="shared" si="33"/>
        <v>81.217536208400844</v>
      </c>
      <c r="W137" s="73">
        <f>S137/M137*100</f>
        <v>81.217536208400844</v>
      </c>
    </row>
    <row r="138" spans="1:23" ht="111.75" customHeight="1">
      <c r="A138" s="9" t="s">
        <v>165</v>
      </c>
      <c r="B138" s="6" t="s">
        <v>13</v>
      </c>
      <c r="C138" s="6" t="s">
        <v>13</v>
      </c>
      <c r="D138" s="6" t="s">
        <v>166</v>
      </c>
      <c r="E138" s="6" t="s">
        <v>15</v>
      </c>
      <c r="F138" s="78" t="s">
        <v>167</v>
      </c>
      <c r="G138" s="35">
        <v>40115000</v>
      </c>
      <c r="H138" s="26"/>
      <c r="I138" s="36">
        <v>40115000</v>
      </c>
      <c r="J138" s="48">
        <v>40115000</v>
      </c>
      <c r="K138" s="52"/>
      <c r="L138" s="53">
        <v>40115000</v>
      </c>
      <c r="M138" s="48">
        <v>40115000</v>
      </c>
      <c r="N138" s="52"/>
      <c r="O138" s="53">
        <v>40115000</v>
      </c>
      <c r="P138" s="48">
        <v>40115000</v>
      </c>
      <c r="Q138" s="52"/>
      <c r="R138" s="53">
        <v>40115000</v>
      </c>
      <c r="S138" s="48">
        <f>U138</f>
        <v>32580414.649999999</v>
      </c>
      <c r="T138" s="52"/>
      <c r="U138" s="53">
        <v>32580414.649999999</v>
      </c>
      <c r="V138" s="68">
        <f t="shared" si="33"/>
        <v>81.217536208400844</v>
      </c>
      <c r="W138" s="69">
        <f>S138/M138*100</f>
        <v>81.217536208400844</v>
      </c>
    </row>
    <row r="139" spans="1:23" s="16" customFormat="1" ht="45" customHeight="1">
      <c r="A139" s="112" t="s">
        <v>168</v>
      </c>
      <c r="B139" s="112"/>
      <c r="C139" s="112"/>
      <c r="D139" s="112"/>
      <c r="E139" s="112"/>
      <c r="F139" s="113"/>
      <c r="G139" s="33">
        <f>G141</f>
        <v>12077900</v>
      </c>
      <c r="H139" s="25"/>
      <c r="I139" s="34">
        <f>I141</f>
        <v>12077900</v>
      </c>
      <c r="J139" s="54">
        <f>J141</f>
        <v>12077900</v>
      </c>
      <c r="K139" s="55"/>
      <c r="L139" s="56">
        <f>L141</f>
        <v>12077900</v>
      </c>
      <c r="M139" s="54">
        <f>M141</f>
        <v>12077900</v>
      </c>
      <c r="N139" s="55"/>
      <c r="O139" s="56">
        <f>O141</f>
        <v>12077900</v>
      </c>
      <c r="P139" s="54">
        <f>P141</f>
        <v>3100000</v>
      </c>
      <c r="Q139" s="55"/>
      <c r="R139" s="56">
        <f>R141</f>
        <v>3100000</v>
      </c>
      <c r="S139" s="54">
        <f>S141</f>
        <v>3100000</v>
      </c>
      <c r="T139" s="55"/>
      <c r="U139" s="56">
        <f>U141</f>
        <v>3100000</v>
      </c>
      <c r="V139" s="72">
        <f t="shared" si="33"/>
        <v>25.666713584315154</v>
      </c>
      <c r="W139" s="73">
        <f>S139/M139*100</f>
        <v>25.666713584315154</v>
      </c>
    </row>
    <row r="140" spans="1:23">
      <c r="A140" s="108" t="s">
        <v>7</v>
      </c>
      <c r="B140" s="108"/>
      <c r="C140" s="108"/>
      <c r="D140" s="108"/>
      <c r="E140" s="108"/>
      <c r="F140" s="109"/>
      <c r="G140" s="35"/>
      <c r="H140" s="26"/>
      <c r="I140" s="36"/>
      <c r="J140" s="48"/>
      <c r="K140" s="52"/>
      <c r="L140" s="53"/>
      <c r="M140" s="48"/>
      <c r="N140" s="52"/>
      <c r="O140" s="53"/>
      <c r="P140" s="48"/>
      <c r="Q140" s="52"/>
      <c r="R140" s="53"/>
      <c r="S140" s="48"/>
      <c r="T140" s="52"/>
      <c r="U140" s="53"/>
      <c r="V140" s="68"/>
      <c r="W140" s="69"/>
    </row>
    <row r="141" spans="1:23">
      <c r="A141" s="108" t="s">
        <v>8</v>
      </c>
      <c r="B141" s="108"/>
      <c r="C141" s="108"/>
      <c r="D141" s="108"/>
      <c r="E141" s="108"/>
      <c r="F141" s="109"/>
      <c r="G141" s="35">
        <f>3100000+G147</f>
        <v>12077900</v>
      </c>
      <c r="H141" s="26"/>
      <c r="I141" s="36">
        <f>3100000+I147</f>
        <v>12077900</v>
      </c>
      <c r="J141" s="48">
        <f>3100000+J147</f>
        <v>12077900</v>
      </c>
      <c r="K141" s="52"/>
      <c r="L141" s="53">
        <f>3100000+L147</f>
        <v>12077900</v>
      </c>
      <c r="M141" s="48">
        <f>3100000+M147</f>
        <v>12077900</v>
      </c>
      <c r="N141" s="52"/>
      <c r="O141" s="53">
        <f>3100000+O147</f>
        <v>12077900</v>
      </c>
      <c r="P141" s="48">
        <f>3100000+P147</f>
        <v>3100000</v>
      </c>
      <c r="Q141" s="52"/>
      <c r="R141" s="53">
        <f>3100000+R147</f>
        <v>3100000</v>
      </c>
      <c r="S141" s="48">
        <f>3100000+S147</f>
        <v>3100000</v>
      </c>
      <c r="T141" s="52"/>
      <c r="U141" s="53">
        <f>3100000+U147</f>
        <v>3100000</v>
      </c>
      <c r="V141" s="68">
        <f t="shared" ref="V141:V212" si="58">S141/J141*100</f>
        <v>25.666713584315154</v>
      </c>
      <c r="W141" s="69">
        <f t="shared" ref="W141:W206" si="59">S141/M141*100</f>
        <v>25.666713584315154</v>
      </c>
    </row>
    <row r="142" spans="1:23">
      <c r="A142" s="108" t="s">
        <v>169</v>
      </c>
      <c r="B142" s="108"/>
      <c r="C142" s="108"/>
      <c r="D142" s="108"/>
      <c r="E142" s="108"/>
      <c r="F142" s="109"/>
      <c r="G142" s="35">
        <v>3100000</v>
      </c>
      <c r="H142" s="26"/>
      <c r="I142" s="36">
        <v>3100000</v>
      </c>
      <c r="J142" s="48">
        <v>3100000</v>
      </c>
      <c r="K142" s="52"/>
      <c r="L142" s="53">
        <v>3100000</v>
      </c>
      <c r="M142" s="48">
        <v>3100000</v>
      </c>
      <c r="N142" s="52"/>
      <c r="O142" s="53">
        <v>3100000</v>
      </c>
      <c r="P142" s="48">
        <v>3100000</v>
      </c>
      <c r="Q142" s="52"/>
      <c r="R142" s="53">
        <v>3100000</v>
      </c>
      <c r="S142" s="48">
        <v>3100000</v>
      </c>
      <c r="T142" s="52"/>
      <c r="U142" s="53">
        <v>3100000</v>
      </c>
      <c r="V142" s="68">
        <f t="shared" si="58"/>
        <v>100</v>
      </c>
      <c r="W142" s="69">
        <f t="shared" si="59"/>
        <v>100</v>
      </c>
    </row>
    <row r="143" spans="1:23" s="16" customFormat="1">
      <c r="A143" s="110" t="s">
        <v>11</v>
      </c>
      <c r="B143" s="110"/>
      <c r="C143" s="110"/>
      <c r="D143" s="110"/>
      <c r="E143" s="110"/>
      <c r="F143" s="111"/>
      <c r="G143" s="33">
        <v>3100000</v>
      </c>
      <c r="H143" s="25"/>
      <c r="I143" s="34">
        <v>3100000</v>
      </c>
      <c r="J143" s="54">
        <v>3100000</v>
      </c>
      <c r="K143" s="55"/>
      <c r="L143" s="56">
        <v>3100000</v>
      </c>
      <c r="M143" s="54">
        <v>3100000</v>
      </c>
      <c r="N143" s="55"/>
      <c r="O143" s="56">
        <v>3100000</v>
      </c>
      <c r="P143" s="54">
        <v>3100000</v>
      </c>
      <c r="Q143" s="55"/>
      <c r="R143" s="56">
        <v>3100000</v>
      </c>
      <c r="S143" s="54">
        <v>3100000</v>
      </c>
      <c r="T143" s="55"/>
      <c r="U143" s="56">
        <v>3100000</v>
      </c>
      <c r="V143" s="72">
        <f t="shared" si="58"/>
        <v>100</v>
      </c>
      <c r="W143" s="73">
        <f t="shared" si="59"/>
        <v>100</v>
      </c>
    </row>
    <row r="144" spans="1:23" ht="111" customHeight="1">
      <c r="A144" s="9" t="s">
        <v>170</v>
      </c>
      <c r="B144" s="6" t="s">
        <v>13</v>
      </c>
      <c r="C144" s="6" t="s">
        <v>13</v>
      </c>
      <c r="D144" s="6" t="s">
        <v>171</v>
      </c>
      <c r="E144" s="6" t="s">
        <v>15</v>
      </c>
      <c r="F144" s="78" t="s">
        <v>172</v>
      </c>
      <c r="G144" s="35">
        <v>3100000</v>
      </c>
      <c r="H144" s="26"/>
      <c r="I144" s="36">
        <v>3100000</v>
      </c>
      <c r="J144" s="48">
        <v>3100000</v>
      </c>
      <c r="K144" s="52"/>
      <c r="L144" s="53">
        <v>3100000</v>
      </c>
      <c r="M144" s="48">
        <v>3100000</v>
      </c>
      <c r="N144" s="52"/>
      <c r="O144" s="53">
        <v>3100000</v>
      </c>
      <c r="P144" s="48">
        <v>3100000</v>
      </c>
      <c r="Q144" s="52"/>
      <c r="R144" s="53">
        <v>3100000</v>
      </c>
      <c r="S144" s="48">
        <v>3100000</v>
      </c>
      <c r="T144" s="52"/>
      <c r="U144" s="53">
        <v>3100000</v>
      </c>
      <c r="V144" s="68">
        <f t="shared" si="58"/>
        <v>100</v>
      </c>
      <c r="W144" s="69">
        <f t="shared" si="59"/>
        <v>100</v>
      </c>
    </row>
    <row r="145" spans="1:23" ht="45" customHeight="1">
      <c r="A145" s="155" t="s">
        <v>323</v>
      </c>
      <c r="B145" s="156"/>
      <c r="C145" s="156"/>
      <c r="D145" s="156"/>
      <c r="E145" s="156"/>
      <c r="F145" s="156"/>
      <c r="G145" s="35">
        <f>G146</f>
        <v>8977900</v>
      </c>
      <c r="H145" s="26"/>
      <c r="I145" s="36">
        <f>I146</f>
        <v>8977900</v>
      </c>
      <c r="J145" s="48">
        <f>J146</f>
        <v>8977900</v>
      </c>
      <c r="K145" s="52"/>
      <c r="L145" s="53">
        <f>L146</f>
        <v>8977900</v>
      </c>
      <c r="M145" s="48">
        <f>M146</f>
        <v>8977900</v>
      </c>
      <c r="N145" s="52"/>
      <c r="O145" s="53">
        <f>O146</f>
        <v>8977900</v>
      </c>
      <c r="P145" s="48">
        <f>P146</f>
        <v>0</v>
      </c>
      <c r="Q145" s="52"/>
      <c r="R145" s="53">
        <f>R146</f>
        <v>0</v>
      </c>
      <c r="S145" s="48">
        <f>S146</f>
        <v>0</v>
      </c>
      <c r="T145" s="52"/>
      <c r="U145" s="53">
        <f>U146</f>
        <v>0</v>
      </c>
      <c r="V145" s="68">
        <v>0</v>
      </c>
      <c r="W145" s="69">
        <v>0</v>
      </c>
    </row>
    <row r="146" spans="1:23" ht="33.75" customHeight="1">
      <c r="A146" s="157" t="s">
        <v>321</v>
      </c>
      <c r="B146" s="158"/>
      <c r="C146" s="158"/>
      <c r="D146" s="158"/>
      <c r="E146" s="158"/>
      <c r="F146" s="158"/>
      <c r="G146" s="35">
        <f>G147</f>
        <v>8977900</v>
      </c>
      <c r="H146" s="26"/>
      <c r="I146" s="36">
        <f>I147</f>
        <v>8977900</v>
      </c>
      <c r="J146" s="54">
        <f>J147</f>
        <v>8977900</v>
      </c>
      <c r="K146" s="55"/>
      <c r="L146" s="56">
        <f>L147</f>
        <v>8977900</v>
      </c>
      <c r="M146" s="54">
        <f>M147</f>
        <v>8977900</v>
      </c>
      <c r="N146" s="55"/>
      <c r="O146" s="56">
        <f>O147</f>
        <v>8977900</v>
      </c>
      <c r="P146" s="54">
        <f>P147</f>
        <v>0</v>
      </c>
      <c r="Q146" s="55"/>
      <c r="R146" s="56">
        <f>R147</f>
        <v>0</v>
      </c>
      <c r="S146" s="54">
        <f>S147</f>
        <v>0</v>
      </c>
      <c r="T146" s="55"/>
      <c r="U146" s="56">
        <f>U147</f>
        <v>0</v>
      </c>
      <c r="V146" s="72">
        <f t="shared" ref="V146:V147" si="60">S146/J146*100</f>
        <v>0</v>
      </c>
      <c r="W146" s="73">
        <f t="shared" ref="W146:W147" si="61">S146/M146*100</f>
        <v>0</v>
      </c>
    </row>
    <row r="147" spans="1:23" ht="45" customHeight="1">
      <c r="A147" s="19" t="s">
        <v>322</v>
      </c>
      <c r="B147" s="18" t="s">
        <v>13</v>
      </c>
      <c r="C147" s="18" t="s">
        <v>13</v>
      </c>
      <c r="D147" s="18" t="s">
        <v>228</v>
      </c>
      <c r="E147" s="18"/>
      <c r="F147" s="78">
        <v>2022</v>
      </c>
      <c r="G147" s="35">
        <f>I147</f>
        <v>8977900</v>
      </c>
      <c r="H147" s="26"/>
      <c r="I147" s="36">
        <v>8977900</v>
      </c>
      <c r="J147" s="48">
        <f>L147</f>
        <v>8977900</v>
      </c>
      <c r="K147" s="52"/>
      <c r="L147" s="53">
        <v>8977900</v>
      </c>
      <c r="M147" s="48">
        <f>O147</f>
        <v>8977900</v>
      </c>
      <c r="N147" s="52"/>
      <c r="O147" s="53">
        <v>8977900</v>
      </c>
      <c r="P147" s="48">
        <f>R147</f>
        <v>0</v>
      </c>
      <c r="Q147" s="52"/>
      <c r="R147" s="53">
        <v>0</v>
      </c>
      <c r="S147" s="48">
        <f>U147</f>
        <v>0</v>
      </c>
      <c r="T147" s="52"/>
      <c r="U147" s="53"/>
      <c r="V147" s="68">
        <f t="shared" si="60"/>
        <v>0</v>
      </c>
      <c r="W147" s="69">
        <f t="shared" si="61"/>
        <v>0</v>
      </c>
    </row>
    <row r="148" spans="1:23" s="16" customFormat="1" ht="29.25" customHeight="1">
      <c r="A148" s="110" t="s">
        <v>173</v>
      </c>
      <c r="B148" s="110"/>
      <c r="C148" s="110"/>
      <c r="D148" s="110"/>
      <c r="E148" s="110"/>
      <c r="F148" s="111"/>
      <c r="G148" s="33">
        <f>G150</f>
        <v>74319500</v>
      </c>
      <c r="H148" s="25">
        <v>0</v>
      </c>
      <c r="I148" s="34">
        <f>I150</f>
        <v>74319500</v>
      </c>
      <c r="J148" s="54">
        <f>J150</f>
        <v>74319500</v>
      </c>
      <c r="K148" s="55">
        <v>0</v>
      </c>
      <c r="L148" s="56">
        <f>L150</f>
        <v>74319500</v>
      </c>
      <c r="M148" s="54">
        <f>M150</f>
        <v>0</v>
      </c>
      <c r="N148" s="55">
        <v>0</v>
      </c>
      <c r="O148" s="56">
        <f>O150</f>
        <v>0</v>
      </c>
      <c r="P148" s="54">
        <f>P150</f>
        <v>0</v>
      </c>
      <c r="Q148" s="55">
        <v>0</v>
      </c>
      <c r="R148" s="56">
        <f>R150</f>
        <v>0</v>
      </c>
      <c r="S148" s="54">
        <f>S150</f>
        <v>0</v>
      </c>
      <c r="T148" s="55">
        <v>0</v>
      </c>
      <c r="U148" s="56">
        <f>U150</f>
        <v>0</v>
      </c>
      <c r="V148" s="72">
        <f t="shared" si="58"/>
        <v>0</v>
      </c>
      <c r="W148" s="73">
        <v>0</v>
      </c>
    </row>
    <row r="149" spans="1:23">
      <c r="A149" s="108" t="s">
        <v>7</v>
      </c>
      <c r="B149" s="108"/>
      <c r="C149" s="108"/>
      <c r="D149" s="108"/>
      <c r="E149" s="108"/>
      <c r="F149" s="109"/>
      <c r="G149" s="37"/>
      <c r="H149" s="27"/>
      <c r="I149" s="38"/>
      <c r="J149" s="49"/>
      <c r="K149" s="50"/>
      <c r="L149" s="51"/>
      <c r="M149" s="49"/>
      <c r="N149" s="50"/>
      <c r="O149" s="51"/>
      <c r="P149" s="49"/>
      <c r="Q149" s="50"/>
      <c r="R149" s="51"/>
      <c r="S149" s="49"/>
      <c r="T149" s="50"/>
      <c r="U149" s="51"/>
      <c r="V149" s="68">
        <v>0</v>
      </c>
      <c r="W149" s="69">
        <v>0</v>
      </c>
    </row>
    <row r="150" spans="1:23">
      <c r="A150" s="108" t="s">
        <v>8</v>
      </c>
      <c r="B150" s="108"/>
      <c r="C150" s="108"/>
      <c r="D150" s="108"/>
      <c r="E150" s="108"/>
      <c r="F150" s="109"/>
      <c r="G150" s="35">
        <f t="shared" ref="G150" si="62">H150+I150</f>
        <v>74319500</v>
      </c>
      <c r="H150" s="26">
        <v>0</v>
      </c>
      <c r="I150" s="36">
        <f>I153+I156</f>
        <v>74319500</v>
      </c>
      <c r="J150" s="48">
        <f t="shared" ref="J150" si="63">K150+L150</f>
        <v>74319500</v>
      </c>
      <c r="K150" s="52">
        <v>0</v>
      </c>
      <c r="L150" s="53">
        <f>L153+L156</f>
        <v>74319500</v>
      </c>
      <c r="M150" s="48">
        <f t="shared" ref="M150" si="64">N150+O150</f>
        <v>0</v>
      </c>
      <c r="N150" s="52">
        <v>0</v>
      </c>
      <c r="O150" s="53">
        <f>O153+O156</f>
        <v>0</v>
      </c>
      <c r="P150" s="48">
        <f t="shared" ref="P150" si="65">Q150+R150</f>
        <v>0</v>
      </c>
      <c r="Q150" s="52">
        <v>0</v>
      </c>
      <c r="R150" s="53">
        <f>R153+R156</f>
        <v>0</v>
      </c>
      <c r="S150" s="48">
        <f t="shared" ref="S150" si="66">T150+U150</f>
        <v>0</v>
      </c>
      <c r="T150" s="52">
        <v>0</v>
      </c>
      <c r="U150" s="53">
        <f>U153+U156</f>
        <v>0</v>
      </c>
      <c r="V150" s="68">
        <f t="shared" si="58"/>
        <v>0</v>
      </c>
      <c r="W150" s="69">
        <v>0</v>
      </c>
    </row>
    <row r="151" spans="1:23" ht="30" customHeight="1">
      <c r="A151" s="108" t="s">
        <v>174</v>
      </c>
      <c r="B151" s="108"/>
      <c r="C151" s="108"/>
      <c r="D151" s="108"/>
      <c r="E151" s="108"/>
      <c r="F151" s="109"/>
      <c r="G151" s="35">
        <v>73749500</v>
      </c>
      <c r="H151" s="26">
        <v>0</v>
      </c>
      <c r="I151" s="36">
        <v>73749500</v>
      </c>
      <c r="J151" s="48">
        <v>73749500</v>
      </c>
      <c r="K151" s="52">
        <v>0</v>
      </c>
      <c r="L151" s="53">
        <v>73749500</v>
      </c>
      <c r="M151" s="48">
        <f>O151</f>
        <v>0</v>
      </c>
      <c r="N151" s="52">
        <v>0</v>
      </c>
      <c r="O151" s="53">
        <f>O152</f>
        <v>0</v>
      </c>
      <c r="P151" s="48">
        <f>R151</f>
        <v>0</v>
      </c>
      <c r="Q151" s="52">
        <v>0</v>
      </c>
      <c r="R151" s="53">
        <f>R152</f>
        <v>0</v>
      </c>
      <c r="S151" s="48">
        <f>U151</f>
        <v>0</v>
      </c>
      <c r="T151" s="52">
        <v>0</v>
      </c>
      <c r="U151" s="53">
        <f>U152</f>
        <v>0</v>
      </c>
      <c r="V151" s="68">
        <f t="shared" si="58"/>
        <v>0</v>
      </c>
      <c r="W151" s="69">
        <v>0</v>
      </c>
    </row>
    <row r="152" spans="1:23" s="16" customFormat="1" ht="33" customHeight="1">
      <c r="A152" s="110" t="s">
        <v>130</v>
      </c>
      <c r="B152" s="110"/>
      <c r="C152" s="110"/>
      <c r="D152" s="110"/>
      <c r="E152" s="110"/>
      <c r="F152" s="111"/>
      <c r="G152" s="33">
        <v>73749500</v>
      </c>
      <c r="H152" s="25">
        <v>0</v>
      </c>
      <c r="I152" s="34">
        <v>73749500</v>
      </c>
      <c r="J152" s="54">
        <v>73749500</v>
      </c>
      <c r="K152" s="55">
        <v>0</v>
      </c>
      <c r="L152" s="56">
        <v>73749500</v>
      </c>
      <c r="M152" s="54">
        <f>O152</f>
        <v>0</v>
      </c>
      <c r="N152" s="55">
        <v>0</v>
      </c>
      <c r="O152" s="56">
        <f>O153</f>
        <v>0</v>
      </c>
      <c r="P152" s="54">
        <f>R152</f>
        <v>0</v>
      </c>
      <c r="Q152" s="55">
        <v>0</v>
      </c>
      <c r="R152" s="56">
        <f>R153</f>
        <v>0</v>
      </c>
      <c r="S152" s="54">
        <f>U152</f>
        <v>0</v>
      </c>
      <c r="T152" s="55">
        <v>0</v>
      </c>
      <c r="U152" s="56">
        <f>U153</f>
        <v>0</v>
      </c>
      <c r="V152" s="72">
        <f t="shared" si="58"/>
        <v>0</v>
      </c>
      <c r="W152" s="73">
        <v>0</v>
      </c>
    </row>
    <row r="153" spans="1:23" ht="45">
      <c r="A153" s="9" t="s">
        <v>175</v>
      </c>
      <c r="B153" s="6" t="s">
        <v>13</v>
      </c>
      <c r="C153" s="6" t="s">
        <v>13</v>
      </c>
      <c r="D153" s="6" t="s">
        <v>176</v>
      </c>
      <c r="E153" s="6" t="s">
        <v>81</v>
      </c>
      <c r="F153" s="78" t="s">
        <v>177</v>
      </c>
      <c r="G153" s="35">
        <v>73749500</v>
      </c>
      <c r="H153" s="26">
        <v>0</v>
      </c>
      <c r="I153" s="36">
        <v>73749500</v>
      </c>
      <c r="J153" s="48">
        <v>73749500</v>
      </c>
      <c r="K153" s="52">
        <v>0</v>
      </c>
      <c r="L153" s="53">
        <v>73749500</v>
      </c>
      <c r="M153" s="48">
        <f>O153</f>
        <v>0</v>
      </c>
      <c r="N153" s="52">
        <v>0</v>
      </c>
      <c r="O153" s="53">
        <v>0</v>
      </c>
      <c r="P153" s="48">
        <f>R153</f>
        <v>0</v>
      </c>
      <c r="Q153" s="52">
        <v>0</v>
      </c>
      <c r="R153" s="53">
        <v>0</v>
      </c>
      <c r="S153" s="48">
        <f>U153</f>
        <v>0</v>
      </c>
      <c r="T153" s="52">
        <v>0</v>
      </c>
      <c r="U153" s="53">
        <v>0</v>
      </c>
      <c r="V153" s="68">
        <f t="shared" si="58"/>
        <v>0</v>
      </c>
      <c r="W153" s="69">
        <v>0</v>
      </c>
    </row>
    <row r="154" spans="1:23">
      <c r="A154" s="155" t="s">
        <v>325</v>
      </c>
      <c r="B154" s="156"/>
      <c r="C154" s="156"/>
      <c r="D154" s="156"/>
      <c r="E154" s="156"/>
      <c r="F154" s="156"/>
      <c r="G154" s="35">
        <f>H154+I154</f>
        <v>570000</v>
      </c>
      <c r="H154" s="26"/>
      <c r="I154" s="36">
        <f>I155</f>
        <v>570000</v>
      </c>
      <c r="J154" s="48">
        <f>K154+L154</f>
        <v>570000</v>
      </c>
      <c r="K154" s="52"/>
      <c r="L154" s="53">
        <f>L155</f>
        <v>570000</v>
      </c>
      <c r="M154" s="48">
        <f>N154+O154</f>
        <v>0</v>
      </c>
      <c r="N154" s="52"/>
      <c r="O154" s="53">
        <f>O155</f>
        <v>0</v>
      </c>
      <c r="P154" s="48">
        <f>Q154+R154</f>
        <v>0</v>
      </c>
      <c r="Q154" s="52"/>
      <c r="R154" s="53">
        <f>R155</f>
        <v>0</v>
      </c>
      <c r="S154" s="48">
        <f>T154+U154</f>
        <v>0</v>
      </c>
      <c r="T154" s="52"/>
      <c r="U154" s="53">
        <f>U155</f>
        <v>0</v>
      </c>
      <c r="V154" s="68">
        <f t="shared" ref="V154:V156" si="67">S154/J154*100</f>
        <v>0</v>
      </c>
      <c r="W154" s="69">
        <v>0</v>
      </c>
    </row>
    <row r="155" spans="1:23">
      <c r="A155" s="157" t="s">
        <v>11</v>
      </c>
      <c r="B155" s="156"/>
      <c r="C155" s="156"/>
      <c r="D155" s="156"/>
      <c r="E155" s="156"/>
      <c r="F155" s="156"/>
      <c r="G155" s="33">
        <f t="shared" ref="G155:G156" si="68">H155+I155</f>
        <v>570000</v>
      </c>
      <c r="H155" s="25"/>
      <c r="I155" s="34">
        <f>I156</f>
        <v>570000</v>
      </c>
      <c r="J155" s="54">
        <f t="shared" ref="J155:J156" si="69">K155+L155</f>
        <v>570000</v>
      </c>
      <c r="K155" s="55"/>
      <c r="L155" s="56">
        <f>L156</f>
        <v>570000</v>
      </c>
      <c r="M155" s="54">
        <f t="shared" ref="M155:M156" si="70">N155+O155</f>
        <v>0</v>
      </c>
      <c r="N155" s="55"/>
      <c r="O155" s="56">
        <f>O156</f>
        <v>0</v>
      </c>
      <c r="P155" s="54">
        <f t="shared" ref="P155:P156" si="71">Q155+R155</f>
        <v>0</v>
      </c>
      <c r="Q155" s="55"/>
      <c r="R155" s="56">
        <f>R156</f>
        <v>0</v>
      </c>
      <c r="S155" s="54">
        <f t="shared" ref="S155:S156" si="72">T155+U155</f>
        <v>0</v>
      </c>
      <c r="T155" s="55"/>
      <c r="U155" s="56">
        <f>U156</f>
        <v>0</v>
      </c>
      <c r="V155" s="72">
        <f t="shared" si="67"/>
        <v>0</v>
      </c>
      <c r="W155" s="73">
        <v>0</v>
      </c>
    </row>
    <row r="156" spans="1:23" ht="112.5" customHeight="1">
      <c r="A156" s="19" t="s">
        <v>324</v>
      </c>
      <c r="B156" s="18" t="s">
        <v>13</v>
      </c>
      <c r="C156" s="18" t="s">
        <v>13</v>
      </c>
      <c r="D156" s="18">
        <v>0.85</v>
      </c>
      <c r="E156" s="18" t="s">
        <v>15</v>
      </c>
      <c r="F156" s="78">
        <v>2022</v>
      </c>
      <c r="G156" s="35">
        <f t="shared" si="68"/>
        <v>570000</v>
      </c>
      <c r="H156" s="26"/>
      <c r="I156" s="36">
        <v>570000</v>
      </c>
      <c r="J156" s="48">
        <f t="shared" si="69"/>
        <v>570000</v>
      </c>
      <c r="K156" s="52"/>
      <c r="L156" s="53">
        <v>570000</v>
      </c>
      <c r="M156" s="48">
        <f t="shared" si="70"/>
        <v>0</v>
      </c>
      <c r="N156" s="52"/>
      <c r="O156" s="53">
        <v>0</v>
      </c>
      <c r="P156" s="48">
        <f t="shared" si="71"/>
        <v>0</v>
      </c>
      <c r="Q156" s="52"/>
      <c r="R156" s="53">
        <v>0</v>
      </c>
      <c r="S156" s="48">
        <f t="shared" si="72"/>
        <v>0</v>
      </c>
      <c r="T156" s="52"/>
      <c r="U156" s="53">
        <v>0</v>
      </c>
      <c r="V156" s="68">
        <f t="shared" si="67"/>
        <v>0</v>
      </c>
      <c r="W156" s="69">
        <v>0</v>
      </c>
    </row>
    <row r="157" spans="1:23" s="16" customFormat="1" ht="43.5" customHeight="1">
      <c r="A157" s="112" t="s">
        <v>178</v>
      </c>
      <c r="B157" s="112"/>
      <c r="C157" s="112"/>
      <c r="D157" s="112"/>
      <c r="E157" s="112"/>
      <c r="F157" s="113"/>
      <c r="G157" s="33">
        <v>53943727.280000001</v>
      </c>
      <c r="H157" s="25"/>
      <c r="I157" s="34">
        <v>53943727.280000001</v>
      </c>
      <c r="J157" s="54">
        <v>53943727.280000001</v>
      </c>
      <c r="K157" s="55"/>
      <c r="L157" s="56">
        <v>53943727.280000001</v>
      </c>
      <c r="M157" s="54">
        <f>O157</f>
        <v>0</v>
      </c>
      <c r="N157" s="55"/>
      <c r="O157" s="56">
        <f>O159</f>
        <v>0</v>
      </c>
      <c r="P157" s="54">
        <f>R157</f>
        <v>0</v>
      </c>
      <c r="Q157" s="55"/>
      <c r="R157" s="56">
        <f>R159</f>
        <v>0</v>
      </c>
      <c r="S157" s="54">
        <f>U157</f>
        <v>0</v>
      </c>
      <c r="T157" s="55"/>
      <c r="U157" s="56">
        <f>U159</f>
        <v>0</v>
      </c>
      <c r="V157" s="72">
        <f t="shared" si="58"/>
        <v>0</v>
      </c>
      <c r="W157" s="73">
        <v>0</v>
      </c>
    </row>
    <row r="158" spans="1:23">
      <c r="A158" s="108" t="s">
        <v>7</v>
      </c>
      <c r="B158" s="108"/>
      <c r="C158" s="108"/>
      <c r="D158" s="108"/>
      <c r="E158" s="108"/>
      <c r="F158" s="109"/>
      <c r="G158" s="35"/>
      <c r="H158" s="26"/>
      <c r="I158" s="36"/>
      <c r="J158" s="48"/>
      <c r="K158" s="52"/>
      <c r="L158" s="53"/>
      <c r="M158" s="48"/>
      <c r="N158" s="52"/>
      <c r="O158" s="53"/>
      <c r="P158" s="48"/>
      <c r="Q158" s="52"/>
      <c r="R158" s="53"/>
      <c r="S158" s="48"/>
      <c r="T158" s="52"/>
      <c r="U158" s="53"/>
      <c r="V158" s="68">
        <v>0</v>
      </c>
      <c r="W158" s="69">
        <v>0</v>
      </c>
    </row>
    <row r="159" spans="1:23">
      <c r="A159" s="108" t="s">
        <v>8</v>
      </c>
      <c r="B159" s="108"/>
      <c r="C159" s="108"/>
      <c r="D159" s="108"/>
      <c r="E159" s="108"/>
      <c r="F159" s="109"/>
      <c r="G159" s="35">
        <v>53943727.280000001</v>
      </c>
      <c r="H159" s="26"/>
      <c r="I159" s="36">
        <v>53943727.280000001</v>
      </c>
      <c r="J159" s="48">
        <v>53943727.280000001</v>
      </c>
      <c r="K159" s="52"/>
      <c r="L159" s="53">
        <v>53943727.280000001</v>
      </c>
      <c r="M159" s="48">
        <f>O159</f>
        <v>0</v>
      </c>
      <c r="N159" s="52"/>
      <c r="O159" s="53">
        <f>O160</f>
        <v>0</v>
      </c>
      <c r="P159" s="48">
        <f>R159</f>
        <v>0</v>
      </c>
      <c r="Q159" s="52"/>
      <c r="R159" s="53">
        <f>R160</f>
        <v>0</v>
      </c>
      <c r="S159" s="48">
        <f>U159</f>
        <v>0</v>
      </c>
      <c r="T159" s="52"/>
      <c r="U159" s="53">
        <f>U160</f>
        <v>0</v>
      </c>
      <c r="V159" s="68">
        <f t="shared" si="58"/>
        <v>0</v>
      </c>
      <c r="W159" s="69">
        <v>0</v>
      </c>
    </row>
    <row r="160" spans="1:23" ht="33" customHeight="1">
      <c r="A160" s="108" t="s">
        <v>179</v>
      </c>
      <c r="B160" s="108"/>
      <c r="C160" s="108"/>
      <c r="D160" s="108"/>
      <c r="E160" s="108"/>
      <c r="F160" s="109"/>
      <c r="G160" s="35">
        <v>53943727.280000001</v>
      </c>
      <c r="H160" s="26"/>
      <c r="I160" s="36">
        <v>53943727.280000001</v>
      </c>
      <c r="J160" s="48">
        <v>53943727.280000001</v>
      </c>
      <c r="K160" s="52"/>
      <c r="L160" s="53">
        <v>53943727.280000001</v>
      </c>
      <c r="M160" s="48">
        <f>O160</f>
        <v>0</v>
      </c>
      <c r="N160" s="52"/>
      <c r="O160" s="53">
        <f>O161</f>
        <v>0</v>
      </c>
      <c r="P160" s="48">
        <f>R160</f>
        <v>0</v>
      </c>
      <c r="Q160" s="52"/>
      <c r="R160" s="53">
        <f>R161</f>
        <v>0</v>
      </c>
      <c r="S160" s="48">
        <f>U160</f>
        <v>0</v>
      </c>
      <c r="T160" s="52"/>
      <c r="U160" s="53">
        <f>U161</f>
        <v>0</v>
      </c>
      <c r="V160" s="68">
        <f t="shared" si="58"/>
        <v>0</v>
      </c>
      <c r="W160" s="69">
        <v>0</v>
      </c>
    </row>
    <row r="161" spans="1:23" s="16" customFormat="1" ht="15" customHeight="1">
      <c r="A161" s="110" t="s">
        <v>180</v>
      </c>
      <c r="B161" s="110"/>
      <c r="C161" s="110"/>
      <c r="D161" s="110"/>
      <c r="E161" s="110"/>
      <c r="F161" s="111"/>
      <c r="G161" s="33">
        <v>53943727.280000001</v>
      </c>
      <c r="H161" s="25"/>
      <c r="I161" s="34">
        <v>53943727.280000001</v>
      </c>
      <c r="J161" s="54">
        <v>53943727.280000001</v>
      </c>
      <c r="K161" s="55"/>
      <c r="L161" s="56">
        <v>53943727.280000001</v>
      </c>
      <c r="M161" s="54">
        <f>O161</f>
        <v>0</v>
      </c>
      <c r="N161" s="55"/>
      <c r="O161" s="56">
        <f>O162</f>
        <v>0</v>
      </c>
      <c r="P161" s="54">
        <f>R161</f>
        <v>0</v>
      </c>
      <c r="Q161" s="55"/>
      <c r="R161" s="56">
        <f>R162</f>
        <v>0</v>
      </c>
      <c r="S161" s="54">
        <f>U161</f>
        <v>0</v>
      </c>
      <c r="T161" s="55"/>
      <c r="U161" s="56">
        <f>U162</f>
        <v>0</v>
      </c>
      <c r="V161" s="72">
        <f t="shared" si="58"/>
        <v>0</v>
      </c>
      <c r="W161" s="73">
        <v>0</v>
      </c>
    </row>
    <row r="162" spans="1:23" ht="77.25" customHeight="1">
      <c r="A162" s="9" t="s">
        <v>181</v>
      </c>
      <c r="B162" s="6" t="s">
        <v>13</v>
      </c>
      <c r="C162" s="6" t="s">
        <v>13</v>
      </c>
      <c r="D162" s="6" t="s">
        <v>182</v>
      </c>
      <c r="E162" s="6" t="s">
        <v>183</v>
      </c>
      <c r="F162" s="78">
        <v>2022</v>
      </c>
      <c r="G162" s="35">
        <v>53943727.280000001</v>
      </c>
      <c r="H162" s="26"/>
      <c r="I162" s="36">
        <v>53943727.280000001</v>
      </c>
      <c r="J162" s="48">
        <v>53943727.280000001</v>
      </c>
      <c r="K162" s="52"/>
      <c r="L162" s="53">
        <v>53943727.280000001</v>
      </c>
      <c r="M162" s="48">
        <f>O162</f>
        <v>0</v>
      </c>
      <c r="N162" s="52"/>
      <c r="O162" s="53">
        <v>0</v>
      </c>
      <c r="P162" s="48">
        <f>R162</f>
        <v>0</v>
      </c>
      <c r="Q162" s="52"/>
      <c r="R162" s="53">
        <v>0</v>
      </c>
      <c r="S162" s="48">
        <f>U162</f>
        <v>0</v>
      </c>
      <c r="T162" s="52"/>
      <c r="U162" s="53">
        <v>0</v>
      </c>
      <c r="V162" s="68">
        <f t="shared" si="58"/>
        <v>0</v>
      </c>
      <c r="W162" s="69">
        <v>0</v>
      </c>
    </row>
    <row r="163" spans="1:23" s="16" customFormat="1" ht="29.25" customHeight="1">
      <c r="A163" s="110" t="s">
        <v>184</v>
      </c>
      <c r="B163" s="110"/>
      <c r="C163" s="110"/>
      <c r="D163" s="110"/>
      <c r="E163" s="110"/>
      <c r="F163" s="111"/>
      <c r="G163" s="33">
        <f>H163+I163</f>
        <v>781338410.04999995</v>
      </c>
      <c r="H163" s="25">
        <f t="shared" ref="H163:I163" si="73">H164+H165</f>
        <v>704777500</v>
      </c>
      <c r="I163" s="34">
        <f t="shared" si="73"/>
        <v>76560910.049999997</v>
      </c>
      <c r="J163" s="54">
        <f>K163+L163</f>
        <v>781338410.04999995</v>
      </c>
      <c r="K163" s="55">
        <f t="shared" ref="K163:L163" si="74">K164+K165</f>
        <v>704777500</v>
      </c>
      <c r="L163" s="56">
        <f t="shared" si="74"/>
        <v>76560910.049999997</v>
      </c>
      <c r="M163" s="54">
        <f>N163+O163</f>
        <v>342677451.73000002</v>
      </c>
      <c r="N163" s="55">
        <f t="shared" ref="N163:O163" si="75">N164+N165</f>
        <v>304621543.67000002</v>
      </c>
      <c r="O163" s="56">
        <f t="shared" si="75"/>
        <v>38055908.059999995</v>
      </c>
      <c r="P163" s="54">
        <f>Q163+R163</f>
        <v>342677451.73000002</v>
      </c>
      <c r="Q163" s="55">
        <f t="shared" ref="Q163:R163" si="76">Q164+Q165</f>
        <v>304621543.67000002</v>
      </c>
      <c r="R163" s="56">
        <f t="shared" si="76"/>
        <v>38055908.059999995</v>
      </c>
      <c r="S163" s="54">
        <f>T163+U163</f>
        <v>324793764.00000006</v>
      </c>
      <c r="T163" s="55">
        <f t="shared" ref="T163:U163" si="77">T164+T165</f>
        <v>292216730.39000005</v>
      </c>
      <c r="U163" s="56">
        <f t="shared" si="77"/>
        <v>32577033.609999999</v>
      </c>
      <c r="V163" s="72">
        <f t="shared" si="58"/>
        <v>41.56889765335044</v>
      </c>
      <c r="W163" s="73">
        <f t="shared" si="59"/>
        <v>94.781189237951153</v>
      </c>
    </row>
    <row r="164" spans="1:23">
      <c r="A164" s="108" t="s">
        <v>7</v>
      </c>
      <c r="B164" s="108"/>
      <c r="C164" s="108"/>
      <c r="D164" s="108"/>
      <c r="E164" s="108"/>
      <c r="F164" s="109"/>
      <c r="G164" s="35">
        <f t="shared" ref="G164:G166" si="78">H164+I164</f>
        <v>719160714.30999994</v>
      </c>
      <c r="H164" s="26">
        <f>H169+H171+H173+H175+H178+H182+H180+H184+H186+H188+H190+H192+H195</f>
        <v>704777500</v>
      </c>
      <c r="I164" s="36">
        <f>I169+I171+I173+I175+I178+I182+I180+I184+I186+I188+I190+I192+I195</f>
        <v>14383214.310000001</v>
      </c>
      <c r="J164" s="48">
        <f>K164+L164</f>
        <v>719160714.30999994</v>
      </c>
      <c r="K164" s="52">
        <f>K169+K171+K173+K175+K178+K182+K180+K184+K186+K188+K190+K192+K195</f>
        <v>704777500</v>
      </c>
      <c r="L164" s="53">
        <f>L169+L171+L173+L175+L178+L182+L180+L184+L186+L188+L190+L192+L195</f>
        <v>14383214.310000001</v>
      </c>
      <c r="M164" s="48">
        <f>N164+O164</f>
        <v>310838309.90000004</v>
      </c>
      <c r="N164" s="52">
        <f>N169+N171+N173+N175+N178+N182+N180+N184+N186+N188+N190+N192+N195</f>
        <v>304621543.67000002</v>
      </c>
      <c r="O164" s="53">
        <f>O169+O171+O173+O175+O178+O182+O180+O184+O186+O188+O190+O192+O195</f>
        <v>6216766.2299999995</v>
      </c>
      <c r="P164" s="48">
        <f>Q164+R164</f>
        <v>310838309.90000004</v>
      </c>
      <c r="Q164" s="52">
        <f>Q169+Q171+Q173+Q175+Q178+Q182+Q180+Q184+Q186+Q188+Q190+Q192+Q195</f>
        <v>304621543.67000002</v>
      </c>
      <c r="R164" s="53">
        <f>R169+R171+R173+R175+R178+R182+R180+R184+R186+R188+R190+R192+R195</f>
        <v>6216766.2299999995</v>
      </c>
      <c r="S164" s="48">
        <f>T164+U164</f>
        <v>298180337.16000003</v>
      </c>
      <c r="T164" s="52">
        <f>T169+T171+T173+T175+T178+T182+T180+T184+T186+T188+T190+T192+T195</f>
        <v>292216730.39000005</v>
      </c>
      <c r="U164" s="53">
        <f>U169+U171+U173+U175+U178+U182+U180+U184+U186+U188+U190+U192+U195</f>
        <v>5963606.7700000005</v>
      </c>
      <c r="V164" s="68">
        <f t="shared" si="58"/>
        <v>41.462267227164887</v>
      </c>
      <c r="W164" s="69">
        <f t="shared" si="59"/>
        <v>95.927795147235159</v>
      </c>
    </row>
    <row r="165" spans="1:23">
      <c r="A165" s="108" t="s">
        <v>8</v>
      </c>
      <c r="B165" s="108"/>
      <c r="C165" s="108"/>
      <c r="D165" s="108"/>
      <c r="E165" s="108"/>
      <c r="F165" s="109"/>
      <c r="G165" s="35">
        <f t="shared" si="78"/>
        <v>62177695.739999995</v>
      </c>
      <c r="H165" s="26">
        <f t="shared" ref="H165:I165" si="79">H176+H193</f>
        <v>0</v>
      </c>
      <c r="I165" s="36">
        <f t="shared" si="79"/>
        <v>62177695.739999995</v>
      </c>
      <c r="J165" s="48">
        <f t="shared" ref="J165:J166" si="80">K165+L165</f>
        <v>62177695.739999995</v>
      </c>
      <c r="K165" s="52">
        <f t="shared" ref="K165:L165" si="81">K176+K193</f>
        <v>0</v>
      </c>
      <c r="L165" s="53">
        <f t="shared" si="81"/>
        <v>62177695.739999995</v>
      </c>
      <c r="M165" s="48">
        <f t="shared" ref="M165:M166" si="82">N165+O165</f>
        <v>31839141.829999998</v>
      </c>
      <c r="N165" s="52">
        <f t="shared" ref="N165:O165" si="83">N176+N193</f>
        <v>0</v>
      </c>
      <c r="O165" s="53">
        <f t="shared" si="83"/>
        <v>31839141.829999998</v>
      </c>
      <c r="P165" s="48">
        <f t="shared" ref="P165:P166" si="84">Q165+R165</f>
        <v>31839141.829999998</v>
      </c>
      <c r="Q165" s="52">
        <f t="shared" ref="Q165:R165" si="85">Q176+Q193</f>
        <v>0</v>
      </c>
      <c r="R165" s="53">
        <f t="shared" si="85"/>
        <v>31839141.829999998</v>
      </c>
      <c r="S165" s="48">
        <f t="shared" ref="S165:S166" si="86">T165+U165</f>
        <v>26613426.84</v>
      </c>
      <c r="T165" s="52">
        <f t="shared" ref="T165:U165" si="87">T176+T193</f>
        <v>0</v>
      </c>
      <c r="U165" s="53">
        <f t="shared" si="87"/>
        <v>26613426.84</v>
      </c>
      <c r="V165" s="68">
        <f t="shared" si="58"/>
        <v>42.802208289103774</v>
      </c>
      <c r="W165" s="69">
        <f t="shared" si="59"/>
        <v>83.587136180045718</v>
      </c>
    </row>
    <row r="166" spans="1:23">
      <c r="A166" s="108" t="s">
        <v>185</v>
      </c>
      <c r="B166" s="108"/>
      <c r="C166" s="108"/>
      <c r="D166" s="108"/>
      <c r="E166" s="108"/>
      <c r="F166" s="109"/>
      <c r="G166" s="35">
        <f t="shared" si="78"/>
        <v>781338410.04999995</v>
      </c>
      <c r="H166" s="26">
        <f t="shared" ref="H166:I166" si="88">H163</f>
        <v>704777500</v>
      </c>
      <c r="I166" s="36">
        <f t="shared" si="88"/>
        <v>76560910.049999997</v>
      </c>
      <c r="J166" s="48">
        <f t="shared" si="80"/>
        <v>781338410.04999995</v>
      </c>
      <c r="K166" s="52">
        <f t="shared" ref="K166:L166" si="89">K163</f>
        <v>704777500</v>
      </c>
      <c r="L166" s="53">
        <f t="shared" si="89"/>
        <v>76560910.049999997</v>
      </c>
      <c r="M166" s="48">
        <f t="shared" si="82"/>
        <v>342677451.73000002</v>
      </c>
      <c r="N166" s="52">
        <f t="shared" ref="N166:O166" si="90">N163</f>
        <v>304621543.67000002</v>
      </c>
      <c r="O166" s="53">
        <f t="shared" si="90"/>
        <v>38055908.059999995</v>
      </c>
      <c r="P166" s="48">
        <f t="shared" si="84"/>
        <v>342677451.73000002</v>
      </c>
      <c r="Q166" s="52">
        <f t="shared" ref="Q166:R166" si="91">Q163</f>
        <v>304621543.67000002</v>
      </c>
      <c r="R166" s="53">
        <f t="shared" si="91"/>
        <v>38055908.059999995</v>
      </c>
      <c r="S166" s="48">
        <f t="shared" si="86"/>
        <v>324793764.00000006</v>
      </c>
      <c r="T166" s="52">
        <f t="shared" ref="T166:U166" si="92">T163</f>
        <v>292216730.39000005</v>
      </c>
      <c r="U166" s="53">
        <f t="shared" si="92"/>
        <v>32577033.609999999</v>
      </c>
      <c r="V166" s="68">
        <f t="shared" si="58"/>
        <v>41.56889765335044</v>
      </c>
      <c r="W166" s="69">
        <f t="shared" si="59"/>
        <v>94.781189237951153</v>
      </c>
    </row>
    <row r="167" spans="1:23" s="16" customFormat="1" ht="33" customHeight="1">
      <c r="A167" s="135" t="s">
        <v>130</v>
      </c>
      <c r="B167" s="135"/>
      <c r="C167" s="135"/>
      <c r="D167" s="135"/>
      <c r="E167" s="135"/>
      <c r="F167" s="136"/>
      <c r="G167" s="33">
        <f>H167+I167</f>
        <v>781338410.04999995</v>
      </c>
      <c r="H167" s="25">
        <f>H168+H170+H172+H174+H177+H181+H183+H185+H187+H189+H191+H194</f>
        <v>704777500</v>
      </c>
      <c r="I167" s="34">
        <f>I168+I170+I172+I174+I176+I177+I181+I183+I185+I187+I189+I191+I194+I193</f>
        <v>76560910.050000012</v>
      </c>
      <c r="J167" s="54">
        <f>K167+L167</f>
        <v>781338410.04999995</v>
      </c>
      <c r="K167" s="55">
        <f>K168+K170+K172+K174+K177+K181+K183+K185+K187+K189+K191+K194</f>
        <v>704777500</v>
      </c>
      <c r="L167" s="56">
        <f>L168+L170+L172+L174+L176+L177+L181+L183+L185+L187+L189+L191+L194+L193</f>
        <v>76560910.050000012</v>
      </c>
      <c r="M167" s="54">
        <f>N167+O167</f>
        <v>342677451.73000002</v>
      </c>
      <c r="N167" s="55">
        <f>N168+N170+N172+N174+N177+N181+N183+N185+N187+N189+N191+N194</f>
        <v>304621543.67000002</v>
      </c>
      <c r="O167" s="56">
        <f>O168+O170+O172+O174+O176+O177+O181+O183+O185+O187+O189+O191+O194+O193</f>
        <v>38055908.059999995</v>
      </c>
      <c r="P167" s="54">
        <f>Q167+R167</f>
        <v>342677451.73000002</v>
      </c>
      <c r="Q167" s="55">
        <f>Q168+Q170+Q172+Q174+Q177+Q181+Q183+Q185+Q187+Q189+Q191+Q194</f>
        <v>304621543.67000002</v>
      </c>
      <c r="R167" s="56">
        <f>R168+R170+R172+R174+R176+R177+R181+R183+R185+R187+R189+R191+R194+R193</f>
        <v>38055908.059999995</v>
      </c>
      <c r="S167" s="54">
        <f>T167+U167</f>
        <v>324793764.00000006</v>
      </c>
      <c r="T167" s="55">
        <f>T168+T170+T172+T174+T177+T181+T183+T185+T187+T189+T191+T194</f>
        <v>292216730.39000005</v>
      </c>
      <c r="U167" s="56">
        <f>U168+U170+U172+U174+U176+U177+U181+U183+U185+U187+U189+U191+U194+U193</f>
        <v>32577033.609999996</v>
      </c>
      <c r="V167" s="72">
        <f t="shared" si="58"/>
        <v>41.56889765335044</v>
      </c>
      <c r="W167" s="73">
        <f t="shared" si="59"/>
        <v>94.781189237951153</v>
      </c>
    </row>
    <row r="168" spans="1:23" ht="75.75" customHeight="1">
      <c r="A168" s="9" t="s">
        <v>186</v>
      </c>
      <c r="B168" s="6" t="s">
        <v>13</v>
      </c>
      <c r="C168" s="6" t="s">
        <v>13</v>
      </c>
      <c r="D168" s="6" t="s">
        <v>187</v>
      </c>
      <c r="E168" s="6" t="s">
        <v>97</v>
      </c>
      <c r="F168" s="78" t="s">
        <v>21</v>
      </c>
      <c r="G168" s="35">
        <v>56228061.229999997</v>
      </c>
      <c r="H168" s="26">
        <v>55103500</v>
      </c>
      <c r="I168" s="36">
        <v>1124561.23</v>
      </c>
      <c r="J168" s="48">
        <f>K168+L168</f>
        <v>56228061.229999997</v>
      </c>
      <c r="K168" s="52">
        <f>K169</f>
        <v>55103500</v>
      </c>
      <c r="L168" s="53">
        <f>L169</f>
        <v>1124561.23</v>
      </c>
      <c r="M168" s="48">
        <f t="shared" ref="M168:M184" si="93">N168+O168</f>
        <v>12742799.720000001</v>
      </c>
      <c r="N168" s="52">
        <f>N169</f>
        <v>12487943.720000001</v>
      </c>
      <c r="O168" s="53">
        <f>O169</f>
        <v>254856</v>
      </c>
      <c r="P168" s="48">
        <f>Q168+R168</f>
        <v>12742799.720000001</v>
      </c>
      <c r="Q168" s="52">
        <f>Q169</f>
        <v>12487943.720000001</v>
      </c>
      <c r="R168" s="53">
        <f>R169</f>
        <v>254856</v>
      </c>
      <c r="S168" s="48">
        <f>T168+U168</f>
        <v>12742799.720000001</v>
      </c>
      <c r="T168" s="52">
        <f>T169</f>
        <v>12487943.720000001</v>
      </c>
      <c r="U168" s="53">
        <f>U169</f>
        <v>254856</v>
      </c>
      <c r="V168" s="68">
        <f t="shared" si="58"/>
        <v>22.662705135565282</v>
      </c>
      <c r="W168" s="69">
        <f t="shared" si="59"/>
        <v>100</v>
      </c>
    </row>
    <row r="169" spans="1:23" ht="30">
      <c r="A169" s="9" t="s">
        <v>188</v>
      </c>
      <c r="B169" s="6" t="s">
        <v>189</v>
      </c>
      <c r="C169" s="9"/>
      <c r="D169" s="9"/>
      <c r="E169" s="9"/>
      <c r="F169" s="79"/>
      <c r="G169" s="35">
        <v>56228061.229999997</v>
      </c>
      <c r="H169" s="26">
        <v>55103500</v>
      </c>
      <c r="I169" s="36">
        <v>1124561.23</v>
      </c>
      <c r="J169" s="48">
        <f t="shared" ref="J169:J195" si="94">K169+L169</f>
        <v>56228061.229999997</v>
      </c>
      <c r="K169" s="52">
        <v>55103500</v>
      </c>
      <c r="L169" s="53">
        <v>1124561.23</v>
      </c>
      <c r="M169" s="48">
        <f t="shared" si="93"/>
        <v>12742799.720000001</v>
      </c>
      <c r="N169" s="52">
        <v>12487943.720000001</v>
      </c>
      <c r="O169" s="53">
        <v>254856</v>
      </c>
      <c r="P169" s="48">
        <f t="shared" ref="P169:P195" si="95">Q169+R169</f>
        <v>12742799.720000001</v>
      </c>
      <c r="Q169" s="52">
        <v>12487943.720000001</v>
      </c>
      <c r="R169" s="53">
        <v>254856</v>
      </c>
      <c r="S169" s="48">
        <f t="shared" ref="S169:S195" si="96">T169+U169</f>
        <v>12742799.720000001</v>
      </c>
      <c r="T169" s="52">
        <v>12487943.720000001</v>
      </c>
      <c r="U169" s="53">
        <v>254856</v>
      </c>
      <c r="V169" s="68">
        <f t="shared" si="58"/>
        <v>22.662705135565282</v>
      </c>
      <c r="W169" s="69">
        <f t="shared" si="59"/>
        <v>100</v>
      </c>
    </row>
    <row r="170" spans="1:23" ht="135">
      <c r="A170" s="9" t="s">
        <v>190</v>
      </c>
      <c r="B170" s="6" t="s">
        <v>13</v>
      </c>
      <c r="C170" s="6" t="s">
        <v>13</v>
      </c>
      <c r="D170" s="6" t="s">
        <v>110</v>
      </c>
      <c r="E170" s="6" t="s">
        <v>191</v>
      </c>
      <c r="F170" s="78">
        <v>2022</v>
      </c>
      <c r="G170" s="35">
        <v>22634183.68</v>
      </c>
      <c r="H170" s="26">
        <v>22181500</v>
      </c>
      <c r="I170" s="36">
        <v>452683.68</v>
      </c>
      <c r="J170" s="48">
        <f t="shared" si="94"/>
        <v>22634183.68</v>
      </c>
      <c r="K170" s="52">
        <f>K171</f>
        <v>22181500</v>
      </c>
      <c r="L170" s="53">
        <f>L171</f>
        <v>452683.68</v>
      </c>
      <c r="M170" s="48">
        <f t="shared" si="93"/>
        <v>214408.59000000003</v>
      </c>
      <c r="N170" s="52">
        <f>N171</f>
        <v>210120.42</v>
      </c>
      <c r="O170" s="53">
        <f>O171</f>
        <v>4288.17</v>
      </c>
      <c r="P170" s="48">
        <f t="shared" si="95"/>
        <v>214408.59000000003</v>
      </c>
      <c r="Q170" s="52">
        <f>Q171</f>
        <v>210120.42</v>
      </c>
      <c r="R170" s="53">
        <f>R171</f>
        <v>4288.17</v>
      </c>
      <c r="S170" s="48">
        <f t="shared" si="96"/>
        <v>214408.59000000003</v>
      </c>
      <c r="T170" s="52">
        <f>T171</f>
        <v>210120.42</v>
      </c>
      <c r="U170" s="53">
        <f>U171</f>
        <v>4288.17</v>
      </c>
      <c r="V170" s="68">
        <f t="shared" si="58"/>
        <v>0.94727776813729581</v>
      </c>
      <c r="W170" s="69">
        <f t="shared" si="59"/>
        <v>100</v>
      </c>
    </row>
    <row r="171" spans="1:23" ht="30">
      <c r="A171" s="9" t="s">
        <v>188</v>
      </c>
      <c r="B171" s="6" t="s">
        <v>189</v>
      </c>
      <c r="C171" s="9"/>
      <c r="D171" s="9"/>
      <c r="E171" s="9"/>
      <c r="F171" s="79"/>
      <c r="G171" s="35">
        <v>22634183.68</v>
      </c>
      <c r="H171" s="26">
        <v>22181500</v>
      </c>
      <c r="I171" s="36">
        <v>452683.68</v>
      </c>
      <c r="J171" s="48">
        <f t="shared" si="94"/>
        <v>22634183.68</v>
      </c>
      <c r="K171" s="52">
        <v>22181500</v>
      </c>
      <c r="L171" s="53">
        <v>452683.68</v>
      </c>
      <c r="M171" s="48">
        <f t="shared" si="93"/>
        <v>214408.59000000003</v>
      </c>
      <c r="N171" s="52">
        <v>210120.42</v>
      </c>
      <c r="O171" s="53">
        <v>4288.17</v>
      </c>
      <c r="P171" s="48">
        <f t="shared" si="95"/>
        <v>214408.59000000003</v>
      </c>
      <c r="Q171" s="52">
        <v>210120.42</v>
      </c>
      <c r="R171" s="53">
        <v>4288.17</v>
      </c>
      <c r="S171" s="48">
        <f t="shared" si="96"/>
        <v>214408.59000000003</v>
      </c>
      <c r="T171" s="52">
        <v>210120.42</v>
      </c>
      <c r="U171" s="53">
        <v>4288.17</v>
      </c>
      <c r="V171" s="68">
        <f t="shared" si="58"/>
        <v>0.94727776813729581</v>
      </c>
      <c r="W171" s="69">
        <f t="shared" si="59"/>
        <v>100</v>
      </c>
    </row>
    <row r="172" spans="1:23" ht="88.5" customHeight="1">
      <c r="A172" s="9" t="s">
        <v>192</v>
      </c>
      <c r="B172" s="6" t="s">
        <v>13</v>
      </c>
      <c r="C172" s="6" t="s">
        <v>13</v>
      </c>
      <c r="D172" s="6" t="s">
        <v>193</v>
      </c>
      <c r="E172" s="6" t="s">
        <v>191</v>
      </c>
      <c r="F172" s="78" t="s">
        <v>21</v>
      </c>
      <c r="G172" s="35">
        <v>23506020.41</v>
      </c>
      <c r="H172" s="26">
        <v>23035900</v>
      </c>
      <c r="I172" s="36">
        <v>470120.41</v>
      </c>
      <c r="J172" s="48">
        <f t="shared" si="94"/>
        <v>23506020.41</v>
      </c>
      <c r="K172" s="52">
        <f>K173</f>
        <v>23035900</v>
      </c>
      <c r="L172" s="53">
        <f>L173</f>
        <v>470120.41</v>
      </c>
      <c r="M172" s="48">
        <f t="shared" si="93"/>
        <v>21202220.710000001</v>
      </c>
      <c r="N172" s="52">
        <f>N173</f>
        <v>20778176.280000001</v>
      </c>
      <c r="O172" s="53">
        <f>O173</f>
        <v>424044.43</v>
      </c>
      <c r="P172" s="48">
        <f t="shared" si="95"/>
        <v>21202220.710000001</v>
      </c>
      <c r="Q172" s="52">
        <f>Q173</f>
        <v>20778176.280000001</v>
      </c>
      <c r="R172" s="53">
        <f>R173</f>
        <v>424044.43</v>
      </c>
      <c r="S172" s="48">
        <f t="shared" si="96"/>
        <v>21202220.710000001</v>
      </c>
      <c r="T172" s="52">
        <f>T173</f>
        <v>20778176.280000001</v>
      </c>
      <c r="U172" s="53">
        <f>U173</f>
        <v>424044.43</v>
      </c>
      <c r="V172" s="68">
        <f t="shared" si="58"/>
        <v>90.199107888888292</v>
      </c>
      <c r="W172" s="69">
        <f t="shared" si="59"/>
        <v>100</v>
      </c>
    </row>
    <row r="173" spans="1:23" ht="30">
      <c r="A173" s="9" t="s">
        <v>188</v>
      </c>
      <c r="B173" s="6" t="s">
        <v>189</v>
      </c>
      <c r="C173" s="9"/>
      <c r="D173" s="9"/>
      <c r="E173" s="9"/>
      <c r="F173" s="79"/>
      <c r="G173" s="35">
        <v>23506020.41</v>
      </c>
      <c r="H173" s="26">
        <v>23035900</v>
      </c>
      <c r="I173" s="36">
        <v>470120.41</v>
      </c>
      <c r="J173" s="48">
        <f t="shared" si="94"/>
        <v>23506020.41</v>
      </c>
      <c r="K173" s="52">
        <v>23035900</v>
      </c>
      <c r="L173" s="53">
        <v>470120.41</v>
      </c>
      <c r="M173" s="48">
        <f t="shared" si="93"/>
        <v>21202220.710000001</v>
      </c>
      <c r="N173" s="52">
        <v>20778176.280000001</v>
      </c>
      <c r="O173" s="53">
        <v>424044.43</v>
      </c>
      <c r="P173" s="48">
        <f t="shared" si="95"/>
        <v>21202220.710000001</v>
      </c>
      <c r="Q173" s="52">
        <v>20778176.280000001</v>
      </c>
      <c r="R173" s="53">
        <v>424044.43</v>
      </c>
      <c r="S173" s="48">
        <f t="shared" si="96"/>
        <v>21202220.710000001</v>
      </c>
      <c r="T173" s="52">
        <v>20778176.280000001</v>
      </c>
      <c r="U173" s="53">
        <v>424044.43</v>
      </c>
      <c r="V173" s="68">
        <f t="shared" si="58"/>
        <v>90.199107888888292</v>
      </c>
      <c r="W173" s="69">
        <f t="shared" si="59"/>
        <v>100</v>
      </c>
    </row>
    <row r="174" spans="1:23" ht="135">
      <c r="A174" s="9" t="s">
        <v>194</v>
      </c>
      <c r="B174" s="6" t="s">
        <v>13</v>
      </c>
      <c r="C174" s="6" t="s">
        <v>13</v>
      </c>
      <c r="D174" s="6" t="s">
        <v>195</v>
      </c>
      <c r="E174" s="6" t="s">
        <v>191</v>
      </c>
      <c r="F174" s="78" t="s">
        <v>21</v>
      </c>
      <c r="G174" s="35">
        <f>H174+I174</f>
        <v>29968775.510000002</v>
      </c>
      <c r="H174" s="26">
        <f>H175</f>
        <v>29369400</v>
      </c>
      <c r="I174" s="36">
        <f>I175</f>
        <v>599375.51</v>
      </c>
      <c r="J174" s="48">
        <f t="shared" si="94"/>
        <v>29968775.510000002</v>
      </c>
      <c r="K174" s="52">
        <f>K175</f>
        <v>29369400</v>
      </c>
      <c r="L174" s="53">
        <f>L175</f>
        <v>599375.51</v>
      </c>
      <c r="M174" s="48">
        <f t="shared" si="93"/>
        <v>8540624.8699999992</v>
      </c>
      <c r="N174" s="52">
        <f>N175</f>
        <v>8369812.3799999999</v>
      </c>
      <c r="O174" s="53">
        <f>O175</f>
        <v>170812.49</v>
      </c>
      <c r="P174" s="48">
        <f t="shared" si="95"/>
        <v>8540624.8699999992</v>
      </c>
      <c r="Q174" s="52">
        <f>Q175</f>
        <v>8369812.3799999999</v>
      </c>
      <c r="R174" s="53">
        <f>R175</f>
        <v>170812.49</v>
      </c>
      <c r="S174" s="48">
        <f t="shared" si="96"/>
        <v>8540624.8699999992</v>
      </c>
      <c r="T174" s="52">
        <f>T175</f>
        <v>8369812.3799999999</v>
      </c>
      <c r="U174" s="53">
        <f>U175</f>
        <v>170812.49</v>
      </c>
      <c r="V174" s="68">
        <f t="shared" si="58"/>
        <v>28.498411178495292</v>
      </c>
      <c r="W174" s="69">
        <f t="shared" si="59"/>
        <v>100</v>
      </c>
    </row>
    <row r="175" spans="1:23" ht="30">
      <c r="A175" s="9" t="s">
        <v>188</v>
      </c>
      <c r="B175" s="6" t="s">
        <v>189</v>
      </c>
      <c r="C175" s="9"/>
      <c r="D175" s="9"/>
      <c r="E175" s="9"/>
      <c r="F175" s="79"/>
      <c r="G175" s="35">
        <f>H175+I175</f>
        <v>29968775.510000002</v>
      </c>
      <c r="H175" s="26">
        <v>29369400</v>
      </c>
      <c r="I175" s="36">
        <v>599375.51</v>
      </c>
      <c r="J175" s="48">
        <f t="shared" si="94"/>
        <v>29968775.510000002</v>
      </c>
      <c r="K175" s="52">
        <v>29369400</v>
      </c>
      <c r="L175" s="53">
        <v>599375.51</v>
      </c>
      <c r="M175" s="48">
        <f t="shared" si="93"/>
        <v>8540624.8699999992</v>
      </c>
      <c r="N175" s="52">
        <v>8369812.3799999999</v>
      </c>
      <c r="O175" s="53">
        <v>170812.49</v>
      </c>
      <c r="P175" s="48">
        <f t="shared" si="95"/>
        <v>8540624.8699999992</v>
      </c>
      <c r="Q175" s="52">
        <v>8369812.3799999999</v>
      </c>
      <c r="R175" s="53">
        <v>170812.49</v>
      </c>
      <c r="S175" s="48">
        <f t="shared" si="96"/>
        <v>8540624.8699999992</v>
      </c>
      <c r="T175" s="52">
        <v>8369812.3799999999</v>
      </c>
      <c r="U175" s="53">
        <v>170812.49</v>
      </c>
      <c r="V175" s="68">
        <f t="shared" si="58"/>
        <v>28.498411178495292</v>
      </c>
      <c r="W175" s="69">
        <f t="shared" si="59"/>
        <v>100</v>
      </c>
    </row>
    <row r="176" spans="1:23" s="3" customFormat="1" ht="75.75" customHeight="1">
      <c r="A176" s="11" t="s">
        <v>196</v>
      </c>
      <c r="B176" s="12" t="s">
        <v>13</v>
      </c>
      <c r="C176" s="12" t="s">
        <v>13</v>
      </c>
      <c r="D176" s="12" t="s">
        <v>197</v>
      </c>
      <c r="E176" s="12" t="s">
        <v>198</v>
      </c>
      <c r="F176" s="80">
        <v>2022</v>
      </c>
      <c r="G176" s="35">
        <f>I176</f>
        <v>27339595.739999998</v>
      </c>
      <c r="H176" s="26"/>
      <c r="I176" s="36">
        <v>27339595.739999998</v>
      </c>
      <c r="J176" s="48">
        <f t="shared" si="94"/>
        <v>26613426.84</v>
      </c>
      <c r="K176" s="52"/>
      <c r="L176" s="74">
        <v>26613426.84</v>
      </c>
      <c r="M176" s="48">
        <f t="shared" si="93"/>
        <v>26613426.84</v>
      </c>
      <c r="N176" s="52"/>
      <c r="O176" s="74">
        <v>26613426.84</v>
      </c>
      <c r="P176" s="48">
        <f t="shared" si="95"/>
        <v>26613426.84</v>
      </c>
      <c r="Q176" s="52"/>
      <c r="R176" s="74">
        <v>26613426.84</v>
      </c>
      <c r="S176" s="48">
        <f t="shared" si="96"/>
        <v>26613426.84</v>
      </c>
      <c r="T176" s="52"/>
      <c r="U176" s="75">
        <v>26613426.84</v>
      </c>
      <c r="V176" s="68">
        <f t="shared" si="58"/>
        <v>100</v>
      </c>
      <c r="W176" s="69">
        <f t="shared" si="59"/>
        <v>100</v>
      </c>
    </row>
    <row r="177" spans="1:23" ht="75">
      <c r="A177" s="9" t="s">
        <v>199</v>
      </c>
      <c r="B177" s="6" t="s">
        <v>13</v>
      </c>
      <c r="C177" s="6" t="s">
        <v>13</v>
      </c>
      <c r="D177" s="6" t="s">
        <v>200</v>
      </c>
      <c r="E177" s="6" t="s">
        <v>201</v>
      </c>
      <c r="F177" s="78" t="s">
        <v>72</v>
      </c>
      <c r="G177" s="35">
        <f>H177+I177</f>
        <v>159704693.87</v>
      </c>
      <c r="H177" s="26">
        <f>H178</f>
        <v>156510600</v>
      </c>
      <c r="I177" s="36">
        <f>I178</f>
        <v>3194093.87</v>
      </c>
      <c r="J177" s="48">
        <f t="shared" si="94"/>
        <v>159704693.87</v>
      </c>
      <c r="K177" s="52">
        <f>K178</f>
        <v>156510600</v>
      </c>
      <c r="L177" s="53">
        <f>L178</f>
        <v>3194093.87</v>
      </c>
      <c r="M177" s="48">
        <f t="shared" si="93"/>
        <v>104132535.92999999</v>
      </c>
      <c r="N177" s="52">
        <f>N178</f>
        <v>102049885.20999999</v>
      </c>
      <c r="O177" s="53">
        <f>O178</f>
        <v>2082650.72</v>
      </c>
      <c r="P177" s="48">
        <f t="shared" si="95"/>
        <v>104132535.92999999</v>
      </c>
      <c r="Q177" s="52">
        <f>Q178</f>
        <v>102049885.20999999</v>
      </c>
      <c r="R177" s="53">
        <f>R178</f>
        <v>2082650.72</v>
      </c>
      <c r="S177" s="48">
        <f t="shared" si="96"/>
        <v>101997455.54000001</v>
      </c>
      <c r="T177" s="52">
        <f>T178</f>
        <v>99957506.430000007</v>
      </c>
      <c r="U177" s="76">
        <f>U178</f>
        <v>2039949.11</v>
      </c>
      <c r="V177" s="68">
        <f t="shared" si="58"/>
        <v>63.866285372317343</v>
      </c>
      <c r="W177" s="69">
        <f t="shared" si="59"/>
        <v>97.949651018356803</v>
      </c>
    </row>
    <row r="178" spans="1:23" ht="30">
      <c r="A178" s="9" t="s">
        <v>188</v>
      </c>
      <c r="B178" s="6" t="s">
        <v>189</v>
      </c>
      <c r="C178" s="9"/>
      <c r="D178" s="9"/>
      <c r="E178" s="9"/>
      <c r="F178" s="79"/>
      <c r="G178" s="35">
        <f>H178+I178</f>
        <v>159704693.87</v>
      </c>
      <c r="H178" s="26">
        <v>156510600</v>
      </c>
      <c r="I178" s="36">
        <v>3194093.87</v>
      </c>
      <c r="J178" s="48">
        <f t="shared" si="94"/>
        <v>159704693.87</v>
      </c>
      <c r="K178" s="52">
        <v>156510600</v>
      </c>
      <c r="L178" s="53">
        <v>3194093.87</v>
      </c>
      <c r="M178" s="48">
        <f t="shared" si="93"/>
        <v>104132535.92999999</v>
      </c>
      <c r="N178" s="52">
        <v>102049885.20999999</v>
      </c>
      <c r="O178" s="53">
        <v>2082650.72</v>
      </c>
      <c r="P178" s="48">
        <f t="shared" si="95"/>
        <v>104132535.92999999</v>
      </c>
      <c r="Q178" s="52">
        <v>102049885.20999999</v>
      </c>
      <c r="R178" s="53">
        <v>2082650.72</v>
      </c>
      <c r="S178" s="48">
        <f t="shared" si="96"/>
        <v>101997455.54000001</v>
      </c>
      <c r="T178" s="52">
        <v>99957506.430000007</v>
      </c>
      <c r="U178" s="53">
        <v>2039949.11</v>
      </c>
      <c r="V178" s="68">
        <f t="shared" si="58"/>
        <v>63.866285372317343</v>
      </c>
      <c r="W178" s="69">
        <f t="shared" si="59"/>
        <v>97.949651018356803</v>
      </c>
    </row>
    <row r="179" spans="1:23" ht="61.5" customHeight="1">
      <c r="A179" s="9" t="s">
        <v>202</v>
      </c>
      <c r="B179" s="6" t="s">
        <v>13</v>
      </c>
      <c r="C179" s="6" t="s">
        <v>13</v>
      </c>
      <c r="D179" s="6" t="s">
        <v>203</v>
      </c>
      <c r="E179" s="6" t="s">
        <v>124</v>
      </c>
      <c r="F179" s="78" t="s">
        <v>21</v>
      </c>
      <c r="G179" s="35"/>
      <c r="H179" s="26"/>
      <c r="I179" s="36"/>
      <c r="J179" s="48">
        <f t="shared" si="94"/>
        <v>0</v>
      </c>
      <c r="K179" s="52"/>
      <c r="L179" s="53"/>
      <c r="M179" s="48">
        <f t="shared" si="93"/>
        <v>0</v>
      </c>
      <c r="N179" s="52"/>
      <c r="O179" s="53"/>
      <c r="P179" s="48">
        <f t="shared" si="95"/>
        <v>0</v>
      </c>
      <c r="Q179" s="52"/>
      <c r="R179" s="53"/>
      <c r="S179" s="48">
        <f t="shared" si="96"/>
        <v>0</v>
      </c>
      <c r="T179" s="52"/>
      <c r="U179" s="53"/>
      <c r="V179" s="68">
        <v>0</v>
      </c>
      <c r="W179" s="69">
        <v>0</v>
      </c>
    </row>
    <row r="180" spans="1:23" ht="30">
      <c r="A180" s="9" t="s">
        <v>188</v>
      </c>
      <c r="B180" s="6" t="s">
        <v>189</v>
      </c>
      <c r="C180" s="9"/>
      <c r="D180" s="9"/>
      <c r="E180" s="9"/>
      <c r="F180" s="79"/>
      <c r="G180" s="35"/>
      <c r="H180" s="26"/>
      <c r="I180" s="36"/>
      <c r="J180" s="48">
        <f t="shared" si="94"/>
        <v>0</v>
      </c>
      <c r="K180" s="52"/>
      <c r="L180" s="53"/>
      <c r="M180" s="48">
        <f t="shared" si="93"/>
        <v>0</v>
      </c>
      <c r="N180" s="52"/>
      <c r="O180" s="53"/>
      <c r="P180" s="48">
        <f t="shared" si="95"/>
        <v>0</v>
      </c>
      <c r="Q180" s="52"/>
      <c r="R180" s="53"/>
      <c r="S180" s="48">
        <f t="shared" si="96"/>
        <v>0</v>
      </c>
      <c r="T180" s="52"/>
      <c r="U180" s="53"/>
      <c r="V180" s="68">
        <v>0</v>
      </c>
      <c r="W180" s="69">
        <v>0</v>
      </c>
    </row>
    <row r="181" spans="1:23" ht="90" customHeight="1">
      <c r="A181" s="9" t="s">
        <v>204</v>
      </c>
      <c r="B181" s="6" t="s">
        <v>13</v>
      </c>
      <c r="C181" s="6" t="s">
        <v>13</v>
      </c>
      <c r="D181" s="6" t="s">
        <v>205</v>
      </c>
      <c r="E181" s="6" t="s">
        <v>97</v>
      </c>
      <c r="F181" s="78" t="s">
        <v>72</v>
      </c>
      <c r="G181" s="35">
        <f>H181+I181</f>
        <v>49836530.619999997</v>
      </c>
      <c r="H181" s="26">
        <v>48839800</v>
      </c>
      <c r="I181" s="36">
        <v>996730.62</v>
      </c>
      <c r="J181" s="48">
        <f t="shared" si="94"/>
        <v>49836530.619999997</v>
      </c>
      <c r="K181" s="52">
        <f>K182</f>
        <v>48839800</v>
      </c>
      <c r="L181" s="53">
        <f>L182</f>
        <v>996730.62</v>
      </c>
      <c r="M181" s="48">
        <f t="shared" si="93"/>
        <v>47742288.520000003</v>
      </c>
      <c r="N181" s="52">
        <f>N182</f>
        <v>46787442.740000002</v>
      </c>
      <c r="O181" s="53">
        <f>O182</f>
        <v>954845.78</v>
      </c>
      <c r="P181" s="48">
        <f t="shared" si="95"/>
        <v>47742288.520000003</v>
      </c>
      <c r="Q181" s="52">
        <f>Q182</f>
        <v>46787442.740000002</v>
      </c>
      <c r="R181" s="53">
        <f>R182</f>
        <v>954845.78</v>
      </c>
      <c r="S181" s="48">
        <f t="shared" si="96"/>
        <v>47742288.520000003</v>
      </c>
      <c r="T181" s="52">
        <f>T182</f>
        <v>46787442.740000002</v>
      </c>
      <c r="U181" s="53">
        <f>U182</f>
        <v>954845.78</v>
      </c>
      <c r="V181" s="68">
        <f t="shared" si="58"/>
        <v>95.797777104573271</v>
      </c>
      <c r="W181" s="69">
        <f t="shared" si="59"/>
        <v>100</v>
      </c>
    </row>
    <row r="182" spans="1:23" ht="30">
      <c r="A182" s="9" t="s">
        <v>188</v>
      </c>
      <c r="B182" s="6" t="s">
        <v>189</v>
      </c>
      <c r="C182" s="9"/>
      <c r="D182" s="9"/>
      <c r="E182" s="9"/>
      <c r="F182" s="79"/>
      <c r="G182" s="35">
        <f>H182+I182</f>
        <v>49836530.619999997</v>
      </c>
      <c r="H182" s="26">
        <v>48839800</v>
      </c>
      <c r="I182" s="36">
        <v>996730.62</v>
      </c>
      <c r="J182" s="48">
        <f t="shared" si="94"/>
        <v>49836530.619999997</v>
      </c>
      <c r="K182" s="52">
        <v>48839800</v>
      </c>
      <c r="L182" s="53">
        <v>996730.62</v>
      </c>
      <c r="M182" s="48">
        <f t="shared" si="93"/>
        <v>47742288.520000003</v>
      </c>
      <c r="N182" s="52">
        <v>46787442.740000002</v>
      </c>
      <c r="O182" s="53">
        <v>954845.78</v>
      </c>
      <c r="P182" s="48">
        <f t="shared" si="95"/>
        <v>47742288.520000003</v>
      </c>
      <c r="Q182" s="52">
        <v>46787442.740000002</v>
      </c>
      <c r="R182" s="53">
        <v>954845.78</v>
      </c>
      <c r="S182" s="48">
        <f t="shared" si="96"/>
        <v>47742288.520000003</v>
      </c>
      <c r="T182" s="52">
        <v>46787442.740000002</v>
      </c>
      <c r="U182" s="53">
        <v>954845.78</v>
      </c>
      <c r="V182" s="68">
        <f t="shared" si="58"/>
        <v>95.797777104573271</v>
      </c>
      <c r="W182" s="69">
        <f t="shared" si="59"/>
        <v>100</v>
      </c>
    </row>
    <row r="183" spans="1:23" ht="75">
      <c r="A183" s="9" t="s">
        <v>206</v>
      </c>
      <c r="B183" s="6" t="s">
        <v>13</v>
      </c>
      <c r="C183" s="6" t="s">
        <v>13</v>
      </c>
      <c r="D183" s="6" t="s">
        <v>207</v>
      </c>
      <c r="E183" s="6" t="s">
        <v>208</v>
      </c>
      <c r="F183" s="78" t="s">
        <v>72</v>
      </c>
      <c r="G183" s="35">
        <f>H183+I183</f>
        <v>95591938.780000001</v>
      </c>
      <c r="H183" s="26">
        <f>H184</f>
        <v>93680100</v>
      </c>
      <c r="I183" s="36">
        <f>I184</f>
        <v>1911838.78</v>
      </c>
      <c r="J183" s="48">
        <f t="shared" si="94"/>
        <v>95591938.780000001</v>
      </c>
      <c r="K183" s="52">
        <f>K184</f>
        <v>93680100</v>
      </c>
      <c r="L183" s="53">
        <f>L184</f>
        <v>1911838.78</v>
      </c>
      <c r="M183" s="48">
        <f t="shared" si="93"/>
        <v>42838799.240000002</v>
      </c>
      <c r="N183" s="52">
        <f>N184</f>
        <v>41982023.25</v>
      </c>
      <c r="O183" s="53">
        <f>O184</f>
        <v>856775.99</v>
      </c>
      <c r="P183" s="48">
        <f t="shared" si="95"/>
        <v>42838799.240000002</v>
      </c>
      <c r="Q183" s="52">
        <f>Q184</f>
        <v>41982023.25</v>
      </c>
      <c r="R183" s="53">
        <f>R184</f>
        <v>856775.99</v>
      </c>
      <c r="S183" s="48">
        <f t="shared" si="96"/>
        <v>42838799.240000002</v>
      </c>
      <c r="T183" s="52">
        <f>T184</f>
        <v>41982023.25</v>
      </c>
      <c r="U183" s="53">
        <f>U184</f>
        <v>856775.99</v>
      </c>
      <c r="V183" s="68">
        <f t="shared" si="58"/>
        <v>44.814238299519509</v>
      </c>
      <c r="W183" s="69">
        <f t="shared" si="59"/>
        <v>100</v>
      </c>
    </row>
    <row r="184" spans="1:23" ht="30">
      <c r="A184" s="9" t="s">
        <v>188</v>
      </c>
      <c r="B184" s="6" t="s">
        <v>189</v>
      </c>
      <c r="C184" s="9"/>
      <c r="D184" s="9"/>
      <c r="E184" s="9"/>
      <c r="F184" s="79"/>
      <c r="G184" s="35">
        <f>H184+I184</f>
        <v>95591938.780000001</v>
      </c>
      <c r="H184" s="26">
        <v>93680100</v>
      </c>
      <c r="I184" s="36">
        <v>1911838.78</v>
      </c>
      <c r="J184" s="48">
        <f t="shared" si="94"/>
        <v>95591938.780000001</v>
      </c>
      <c r="K184" s="52">
        <v>93680100</v>
      </c>
      <c r="L184" s="53">
        <v>1911838.78</v>
      </c>
      <c r="M184" s="48">
        <f t="shared" si="93"/>
        <v>42838799.240000002</v>
      </c>
      <c r="N184" s="52">
        <v>41982023.25</v>
      </c>
      <c r="O184" s="53">
        <v>856775.99</v>
      </c>
      <c r="P184" s="48">
        <f t="shared" si="95"/>
        <v>42838799.240000002</v>
      </c>
      <c r="Q184" s="52">
        <v>41982023.25</v>
      </c>
      <c r="R184" s="53">
        <v>856775.99</v>
      </c>
      <c r="S184" s="48">
        <f t="shared" si="96"/>
        <v>42838799.240000002</v>
      </c>
      <c r="T184" s="52">
        <v>41982023.25</v>
      </c>
      <c r="U184" s="53">
        <v>856775.99</v>
      </c>
      <c r="V184" s="68">
        <f t="shared" si="58"/>
        <v>44.814238299519509</v>
      </c>
      <c r="W184" s="69">
        <f t="shared" si="59"/>
        <v>100</v>
      </c>
    </row>
    <row r="185" spans="1:23" ht="77.25" customHeight="1">
      <c r="A185" s="9" t="s">
        <v>209</v>
      </c>
      <c r="B185" s="6" t="s">
        <v>13</v>
      </c>
      <c r="C185" s="6" t="s">
        <v>13</v>
      </c>
      <c r="D185" s="6" t="s">
        <v>210</v>
      </c>
      <c r="E185" s="6" t="s">
        <v>211</v>
      </c>
      <c r="F185" s="78" t="s">
        <v>72</v>
      </c>
      <c r="G185" s="35">
        <v>75693673.469999999</v>
      </c>
      <c r="H185" s="26">
        <v>74179800</v>
      </c>
      <c r="I185" s="36">
        <v>1513873.47</v>
      </c>
      <c r="J185" s="48">
        <f t="shared" si="94"/>
        <v>75693673.469999999</v>
      </c>
      <c r="K185" s="52">
        <f>K186</f>
        <v>74179800</v>
      </c>
      <c r="L185" s="53">
        <f>L186</f>
        <v>1513873.47</v>
      </c>
      <c r="M185" s="48">
        <f>N185+O185</f>
        <v>33911221.370000005</v>
      </c>
      <c r="N185" s="52">
        <f>N186</f>
        <v>33232996.940000001</v>
      </c>
      <c r="O185" s="53">
        <f>O186</f>
        <v>678224.43</v>
      </c>
      <c r="P185" s="48">
        <f t="shared" si="95"/>
        <v>33911221.370000005</v>
      </c>
      <c r="Q185" s="52">
        <f>Q186</f>
        <v>33232996.940000001</v>
      </c>
      <c r="R185" s="53">
        <f>R186</f>
        <v>678224.43</v>
      </c>
      <c r="S185" s="48">
        <f t="shared" si="96"/>
        <v>33911221.370000005</v>
      </c>
      <c r="T185" s="52">
        <f>T186</f>
        <v>33232996.940000001</v>
      </c>
      <c r="U185" s="53">
        <f>U186</f>
        <v>678224.43</v>
      </c>
      <c r="V185" s="68">
        <f t="shared" si="58"/>
        <v>44.800601972951128</v>
      </c>
      <c r="W185" s="69">
        <f t="shared" si="59"/>
        <v>100</v>
      </c>
    </row>
    <row r="186" spans="1:23" ht="30">
      <c r="A186" s="9" t="s">
        <v>188</v>
      </c>
      <c r="B186" s="6" t="s">
        <v>189</v>
      </c>
      <c r="C186" s="9"/>
      <c r="D186" s="9"/>
      <c r="E186" s="9"/>
      <c r="F186" s="79"/>
      <c r="G186" s="35">
        <v>75693673.469999999</v>
      </c>
      <c r="H186" s="26">
        <v>74179800</v>
      </c>
      <c r="I186" s="36">
        <v>1513873.47</v>
      </c>
      <c r="J186" s="48">
        <f t="shared" si="94"/>
        <v>75693673.469999999</v>
      </c>
      <c r="K186" s="52">
        <v>74179800</v>
      </c>
      <c r="L186" s="53">
        <v>1513873.47</v>
      </c>
      <c r="M186" s="48">
        <f t="shared" ref="M186:M195" si="97">N186+O186</f>
        <v>33911221.370000005</v>
      </c>
      <c r="N186" s="52">
        <v>33232996.940000001</v>
      </c>
      <c r="O186" s="53">
        <v>678224.43</v>
      </c>
      <c r="P186" s="48">
        <f t="shared" si="95"/>
        <v>33911221.370000005</v>
      </c>
      <c r="Q186" s="52">
        <v>33232996.940000001</v>
      </c>
      <c r="R186" s="53">
        <v>678224.43</v>
      </c>
      <c r="S186" s="48">
        <f t="shared" si="96"/>
        <v>33911221.370000005</v>
      </c>
      <c r="T186" s="52">
        <v>33232996.940000001</v>
      </c>
      <c r="U186" s="53">
        <v>678224.43</v>
      </c>
      <c r="V186" s="68">
        <f t="shared" si="58"/>
        <v>44.800601972951128</v>
      </c>
      <c r="W186" s="69">
        <f t="shared" si="59"/>
        <v>100</v>
      </c>
    </row>
    <row r="187" spans="1:23" ht="90">
      <c r="A187" s="9" t="s">
        <v>212</v>
      </c>
      <c r="B187" s="6" t="s">
        <v>13</v>
      </c>
      <c r="C187" s="6" t="s">
        <v>13</v>
      </c>
      <c r="D187" s="6" t="s">
        <v>213</v>
      </c>
      <c r="E187" s="6" t="s">
        <v>214</v>
      </c>
      <c r="F187" s="78" t="s">
        <v>72</v>
      </c>
      <c r="G187" s="35">
        <v>37428571.43</v>
      </c>
      <c r="H187" s="26">
        <v>36680000</v>
      </c>
      <c r="I187" s="36">
        <v>748571.43</v>
      </c>
      <c r="J187" s="48">
        <f t="shared" si="94"/>
        <v>37428571.43</v>
      </c>
      <c r="K187" s="52">
        <f>K188</f>
        <v>36680000</v>
      </c>
      <c r="L187" s="53">
        <f>L188</f>
        <v>748571.43</v>
      </c>
      <c r="M187" s="48">
        <f t="shared" si="97"/>
        <v>28182539.640000001</v>
      </c>
      <c r="N187" s="52">
        <f>N188</f>
        <v>27618888.850000001</v>
      </c>
      <c r="O187" s="53">
        <f>O188</f>
        <v>563650.79</v>
      </c>
      <c r="P187" s="48">
        <f t="shared" si="95"/>
        <v>28182539.640000001</v>
      </c>
      <c r="Q187" s="52">
        <f>Q188</f>
        <v>27618888.850000001</v>
      </c>
      <c r="R187" s="53">
        <f>R188</f>
        <v>563650.79</v>
      </c>
      <c r="S187" s="48">
        <f t="shared" si="96"/>
        <v>28182539.640000001</v>
      </c>
      <c r="T187" s="52">
        <f>T188</f>
        <v>27618888.850000001</v>
      </c>
      <c r="U187" s="53">
        <f>U188</f>
        <v>563650.79</v>
      </c>
      <c r="V187" s="68">
        <f t="shared" si="58"/>
        <v>75.296861630713863</v>
      </c>
      <c r="W187" s="69">
        <f t="shared" si="59"/>
        <v>100</v>
      </c>
    </row>
    <row r="188" spans="1:23" ht="30">
      <c r="A188" s="9" t="s">
        <v>188</v>
      </c>
      <c r="B188" s="6" t="s">
        <v>189</v>
      </c>
      <c r="C188" s="9"/>
      <c r="D188" s="9"/>
      <c r="E188" s="9"/>
      <c r="F188" s="79"/>
      <c r="G188" s="35">
        <v>37428571.43</v>
      </c>
      <c r="H188" s="26">
        <v>36680000</v>
      </c>
      <c r="I188" s="36">
        <v>748571.43</v>
      </c>
      <c r="J188" s="48">
        <f t="shared" si="94"/>
        <v>37428571.43</v>
      </c>
      <c r="K188" s="52">
        <v>36680000</v>
      </c>
      <c r="L188" s="53">
        <v>748571.43</v>
      </c>
      <c r="M188" s="48">
        <f t="shared" si="97"/>
        <v>28182539.640000001</v>
      </c>
      <c r="N188" s="52">
        <v>27618888.850000001</v>
      </c>
      <c r="O188" s="53">
        <v>563650.79</v>
      </c>
      <c r="P188" s="48">
        <f t="shared" si="95"/>
        <v>28182539.640000001</v>
      </c>
      <c r="Q188" s="52">
        <v>27618888.850000001</v>
      </c>
      <c r="R188" s="53">
        <v>563650.79</v>
      </c>
      <c r="S188" s="48">
        <f t="shared" si="96"/>
        <v>28182539.640000001</v>
      </c>
      <c r="T188" s="52">
        <v>27618888.850000001</v>
      </c>
      <c r="U188" s="53">
        <v>563650.79</v>
      </c>
      <c r="V188" s="68">
        <f t="shared" si="58"/>
        <v>75.296861630713863</v>
      </c>
      <c r="W188" s="69">
        <f t="shared" si="59"/>
        <v>100</v>
      </c>
    </row>
    <row r="189" spans="1:23" ht="105.75" customHeight="1">
      <c r="A189" s="9" t="s">
        <v>215</v>
      </c>
      <c r="B189" s="6" t="s">
        <v>13</v>
      </c>
      <c r="C189" s="6" t="s">
        <v>13</v>
      </c>
      <c r="D189" s="6" t="s">
        <v>216</v>
      </c>
      <c r="E189" s="6" t="s">
        <v>217</v>
      </c>
      <c r="F189" s="78" t="s">
        <v>21</v>
      </c>
      <c r="G189" s="35">
        <f t="shared" ref="G189:G195" si="98">H189+I189</f>
        <v>108053265.31</v>
      </c>
      <c r="H189" s="26">
        <f>H190</f>
        <v>105892200</v>
      </c>
      <c r="I189" s="36">
        <f>I190</f>
        <v>2161065.31</v>
      </c>
      <c r="J189" s="48">
        <f t="shared" si="94"/>
        <v>108053265.31</v>
      </c>
      <c r="K189" s="52">
        <f>K190</f>
        <v>105892200</v>
      </c>
      <c r="L189" s="53">
        <f>L190</f>
        <v>2161065.31</v>
      </c>
      <c r="M189" s="48">
        <f t="shared" si="97"/>
        <v>807978.96</v>
      </c>
      <c r="N189" s="52">
        <f>N190</f>
        <v>791819.38</v>
      </c>
      <c r="O189" s="53">
        <f>O190</f>
        <v>16159.58</v>
      </c>
      <c r="P189" s="48">
        <f t="shared" si="95"/>
        <v>807978.96</v>
      </c>
      <c r="Q189" s="52">
        <f>Q190</f>
        <v>791819.38</v>
      </c>
      <c r="R189" s="53">
        <f>R190</f>
        <v>16159.58</v>
      </c>
      <c r="S189" s="48">
        <f t="shared" si="96"/>
        <v>807978.96</v>
      </c>
      <c r="T189" s="52">
        <f>T190</f>
        <v>791819.38</v>
      </c>
      <c r="U189" s="53">
        <f>U190</f>
        <v>16159.58</v>
      </c>
      <c r="V189" s="68">
        <f t="shared" si="58"/>
        <v>0.74775987350492767</v>
      </c>
      <c r="W189" s="69">
        <f t="shared" si="59"/>
        <v>100</v>
      </c>
    </row>
    <row r="190" spans="1:23" ht="30">
      <c r="A190" s="9" t="s">
        <v>188</v>
      </c>
      <c r="B190" s="6" t="s">
        <v>189</v>
      </c>
      <c r="C190" s="9"/>
      <c r="D190" s="9"/>
      <c r="E190" s="9"/>
      <c r="F190" s="79"/>
      <c r="G190" s="35">
        <f t="shared" si="98"/>
        <v>108053265.31</v>
      </c>
      <c r="H190" s="26">
        <v>105892200</v>
      </c>
      <c r="I190" s="36">
        <v>2161065.31</v>
      </c>
      <c r="J190" s="48">
        <f t="shared" si="94"/>
        <v>108053265.31</v>
      </c>
      <c r="K190" s="52">
        <v>105892200</v>
      </c>
      <c r="L190" s="53">
        <v>2161065.31</v>
      </c>
      <c r="M190" s="48">
        <f t="shared" si="97"/>
        <v>807978.96</v>
      </c>
      <c r="N190" s="52">
        <v>791819.38</v>
      </c>
      <c r="O190" s="53">
        <v>16159.58</v>
      </c>
      <c r="P190" s="48">
        <f t="shared" si="95"/>
        <v>807978.96</v>
      </c>
      <c r="Q190" s="52">
        <v>791819.38</v>
      </c>
      <c r="R190" s="53">
        <v>16159.58</v>
      </c>
      <c r="S190" s="48">
        <f t="shared" si="96"/>
        <v>807978.96</v>
      </c>
      <c r="T190" s="52">
        <v>791819.38</v>
      </c>
      <c r="U190" s="53">
        <v>16159.58</v>
      </c>
      <c r="V190" s="68">
        <f t="shared" si="58"/>
        <v>0.74775987350492767</v>
      </c>
      <c r="W190" s="69">
        <f t="shared" si="59"/>
        <v>100</v>
      </c>
    </row>
    <row r="191" spans="1:23" ht="82.5" customHeight="1">
      <c r="A191" s="9" t="s">
        <v>218</v>
      </c>
      <c r="B191" s="6" t="s">
        <v>13</v>
      </c>
      <c r="C191" s="6" t="s">
        <v>13</v>
      </c>
      <c r="D191" s="6" t="s">
        <v>219</v>
      </c>
      <c r="E191" s="6" t="s">
        <v>220</v>
      </c>
      <c r="F191" s="78" t="s">
        <v>72</v>
      </c>
      <c r="G191" s="35">
        <f t="shared" si="98"/>
        <v>28173877.550000001</v>
      </c>
      <c r="H191" s="26">
        <f>H192</f>
        <v>27610400</v>
      </c>
      <c r="I191" s="36">
        <f>I192</f>
        <v>563477.55000000005</v>
      </c>
      <c r="J191" s="48">
        <f t="shared" si="94"/>
        <v>28173877.550000001</v>
      </c>
      <c r="K191" s="52">
        <f>K192</f>
        <v>27610400</v>
      </c>
      <c r="L191" s="53">
        <f>L192</f>
        <v>563477.55000000005</v>
      </c>
      <c r="M191" s="48">
        <f t="shared" si="97"/>
        <v>10522892.35</v>
      </c>
      <c r="N191" s="52">
        <f>N192</f>
        <v>10312434.5</v>
      </c>
      <c r="O191" s="53">
        <f>O192</f>
        <v>210457.85</v>
      </c>
      <c r="P191" s="48">
        <f t="shared" si="95"/>
        <v>10522892.35</v>
      </c>
      <c r="Q191" s="52">
        <f>Q192</f>
        <v>10312434.5</v>
      </c>
      <c r="R191" s="53">
        <f>R192</f>
        <v>210457.85</v>
      </c>
      <c r="S191" s="48">
        <f t="shared" si="96"/>
        <v>0</v>
      </c>
      <c r="T191" s="52">
        <f>T192</f>
        <v>0</v>
      </c>
      <c r="U191" s="53">
        <f>U192</f>
        <v>0</v>
      </c>
      <c r="V191" s="68">
        <f t="shared" si="58"/>
        <v>0</v>
      </c>
      <c r="W191" s="69">
        <v>0</v>
      </c>
    </row>
    <row r="192" spans="1:23">
      <c r="C192" s="9"/>
      <c r="D192" s="9"/>
      <c r="E192" s="9"/>
      <c r="F192" s="79"/>
      <c r="G192" s="35">
        <f t="shared" si="98"/>
        <v>28173877.550000001</v>
      </c>
      <c r="H192" s="26">
        <v>27610400</v>
      </c>
      <c r="I192" s="36">
        <v>563477.55000000005</v>
      </c>
      <c r="J192" s="48">
        <f t="shared" si="94"/>
        <v>28173877.550000001</v>
      </c>
      <c r="K192" s="52">
        <v>27610400</v>
      </c>
      <c r="L192" s="53">
        <v>563477.55000000005</v>
      </c>
      <c r="M192" s="48">
        <f t="shared" si="97"/>
        <v>10522892.35</v>
      </c>
      <c r="N192" s="52">
        <v>10312434.5</v>
      </c>
      <c r="O192" s="53">
        <v>210457.85</v>
      </c>
      <c r="P192" s="48">
        <f t="shared" si="95"/>
        <v>10522892.35</v>
      </c>
      <c r="Q192" s="52">
        <v>10312434.5</v>
      </c>
      <c r="R192" s="53">
        <v>210457.85</v>
      </c>
      <c r="S192" s="48">
        <f t="shared" si="96"/>
        <v>0</v>
      </c>
      <c r="T192" s="52">
        <v>0</v>
      </c>
      <c r="U192" s="53">
        <v>0</v>
      </c>
      <c r="V192" s="68">
        <f t="shared" si="58"/>
        <v>0</v>
      </c>
      <c r="W192" s="69">
        <v>0</v>
      </c>
    </row>
    <row r="193" spans="1:23" s="3" customFormat="1" ht="78" customHeight="1">
      <c r="A193" s="11" t="s">
        <v>221</v>
      </c>
      <c r="B193" s="12" t="s">
        <v>13</v>
      </c>
      <c r="C193" s="12" t="s">
        <v>13</v>
      </c>
      <c r="D193" s="12" t="s">
        <v>222</v>
      </c>
      <c r="E193" s="12" t="s">
        <v>133</v>
      </c>
      <c r="F193" s="80">
        <v>2022</v>
      </c>
      <c r="G193" s="35">
        <f t="shared" si="98"/>
        <v>34838100</v>
      </c>
      <c r="H193" s="26"/>
      <c r="I193" s="36">
        <v>34838100</v>
      </c>
      <c r="J193" s="48">
        <f t="shared" si="94"/>
        <v>35564268.899999999</v>
      </c>
      <c r="K193" s="60"/>
      <c r="L193" s="53">
        <v>35564268.899999999</v>
      </c>
      <c r="M193" s="48">
        <f t="shared" si="97"/>
        <v>5225714.99</v>
      </c>
      <c r="N193" s="60"/>
      <c r="O193" s="53">
        <v>5225714.99</v>
      </c>
      <c r="P193" s="48">
        <f t="shared" si="95"/>
        <v>5225714.99</v>
      </c>
      <c r="Q193" s="60"/>
      <c r="R193" s="53">
        <v>5225714.99</v>
      </c>
      <c r="S193" s="48">
        <f t="shared" si="96"/>
        <v>0</v>
      </c>
      <c r="T193" s="60"/>
      <c r="U193" s="53">
        <v>0</v>
      </c>
      <c r="V193" s="68">
        <f t="shared" si="58"/>
        <v>0</v>
      </c>
      <c r="W193" s="69">
        <v>0</v>
      </c>
    </row>
    <row r="194" spans="1:23" s="3" customFormat="1" ht="78" customHeight="1">
      <c r="A194" s="11" t="s">
        <v>326</v>
      </c>
      <c r="B194" s="12" t="s">
        <v>13</v>
      </c>
      <c r="C194" s="12" t="s">
        <v>13</v>
      </c>
      <c r="D194" s="12" t="s">
        <v>327</v>
      </c>
      <c r="E194" s="12" t="s">
        <v>133</v>
      </c>
      <c r="F194" s="78" t="s">
        <v>47</v>
      </c>
      <c r="G194" s="35">
        <f t="shared" si="98"/>
        <v>32341122.449999999</v>
      </c>
      <c r="H194" s="26">
        <f>H195</f>
        <v>31694300</v>
      </c>
      <c r="I194" s="36">
        <f>I195</f>
        <v>646822.44999999995</v>
      </c>
      <c r="J194" s="48">
        <f t="shared" si="94"/>
        <v>32341122.449999999</v>
      </c>
      <c r="K194" s="52">
        <f>K195</f>
        <v>31694300</v>
      </c>
      <c r="L194" s="53">
        <f>L195</f>
        <v>646822.44999999995</v>
      </c>
      <c r="M194" s="48">
        <f t="shared" si="97"/>
        <v>0</v>
      </c>
      <c r="N194" s="52">
        <f>N195</f>
        <v>0</v>
      </c>
      <c r="O194" s="53">
        <f>O195</f>
        <v>0</v>
      </c>
      <c r="P194" s="48">
        <f t="shared" si="95"/>
        <v>0</v>
      </c>
      <c r="Q194" s="52">
        <f>Q195</f>
        <v>0</v>
      </c>
      <c r="R194" s="53">
        <f>R195</f>
        <v>0</v>
      </c>
      <c r="S194" s="48">
        <f t="shared" si="96"/>
        <v>0</v>
      </c>
      <c r="T194" s="52">
        <f>T195</f>
        <v>0</v>
      </c>
      <c r="U194" s="53">
        <f>U195</f>
        <v>0</v>
      </c>
      <c r="V194" s="68">
        <v>0</v>
      </c>
      <c r="W194" s="69">
        <v>0</v>
      </c>
    </row>
    <row r="195" spans="1:23" s="3" customFormat="1" ht="36.75" customHeight="1">
      <c r="A195" s="9" t="s">
        <v>188</v>
      </c>
      <c r="B195" s="6" t="s">
        <v>189</v>
      </c>
      <c r="C195" s="12"/>
      <c r="D195" s="12"/>
      <c r="E195" s="12"/>
      <c r="F195" s="80"/>
      <c r="G195" s="35">
        <f t="shared" si="98"/>
        <v>32341122.449999999</v>
      </c>
      <c r="H195" s="26">
        <v>31694300</v>
      </c>
      <c r="I195" s="36">
        <v>646822.44999999995</v>
      </c>
      <c r="J195" s="48">
        <f t="shared" si="94"/>
        <v>32341122.449999999</v>
      </c>
      <c r="K195" s="60">
        <v>31694300</v>
      </c>
      <c r="L195" s="53">
        <v>646822.44999999995</v>
      </c>
      <c r="M195" s="48">
        <f t="shared" si="97"/>
        <v>0</v>
      </c>
      <c r="N195" s="60">
        <v>0</v>
      </c>
      <c r="O195" s="53">
        <v>0</v>
      </c>
      <c r="P195" s="48">
        <f t="shared" si="95"/>
        <v>0</v>
      </c>
      <c r="Q195" s="60">
        <v>0</v>
      </c>
      <c r="R195" s="53">
        <v>0</v>
      </c>
      <c r="S195" s="48">
        <f t="shared" si="96"/>
        <v>0</v>
      </c>
      <c r="T195" s="60">
        <v>0</v>
      </c>
      <c r="U195" s="53">
        <v>0</v>
      </c>
      <c r="V195" s="68">
        <v>0</v>
      </c>
      <c r="W195" s="69">
        <v>0</v>
      </c>
    </row>
    <row r="196" spans="1:23" s="16" customFormat="1" ht="30" customHeight="1">
      <c r="A196" s="110" t="s">
        <v>223</v>
      </c>
      <c r="B196" s="110"/>
      <c r="C196" s="110"/>
      <c r="D196" s="110"/>
      <c r="E196" s="110"/>
      <c r="F196" s="111"/>
      <c r="G196" s="33">
        <f t="shared" ref="G196:I196" si="99">G199+G218</f>
        <v>1928666816</v>
      </c>
      <c r="H196" s="25">
        <f t="shared" si="99"/>
        <v>1322696600</v>
      </c>
      <c r="I196" s="34">
        <f t="shared" si="99"/>
        <v>605970216</v>
      </c>
      <c r="J196" s="54">
        <f t="shared" ref="J196:L196" si="100">J199+J218</f>
        <v>1939909586.27</v>
      </c>
      <c r="K196" s="55">
        <f t="shared" si="100"/>
        <v>1322696600</v>
      </c>
      <c r="L196" s="56">
        <f t="shared" si="100"/>
        <v>617212986.26999998</v>
      </c>
      <c r="M196" s="54">
        <f t="shared" ref="M196:U196" si="101">M199+M218</f>
        <v>713609621.97000003</v>
      </c>
      <c r="N196" s="55">
        <f t="shared" si="101"/>
        <v>530852988.90000004</v>
      </c>
      <c r="O196" s="56">
        <f t="shared" si="101"/>
        <v>182756633.06999999</v>
      </c>
      <c r="P196" s="54">
        <f t="shared" si="101"/>
        <v>713609621.97000003</v>
      </c>
      <c r="Q196" s="55">
        <f t="shared" si="101"/>
        <v>530852988.90000004</v>
      </c>
      <c r="R196" s="56">
        <f t="shared" si="101"/>
        <v>182756633.06999999</v>
      </c>
      <c r="S196" s="54">
        <f t="shared" si="101"/>
        <v>689588467.66000009</v>
      </c>
      <c r="T196" s="55">
        <f t="shared" si="101"/>
        <v>509236397.14000005</v>
      </c>
      <c r="U196" s="56">
        <f t="shared" si="101"/>
        <v>180352070.52000001</v>
      </c>
      <c r="V196" s="72">
        <f t="shared" si="58"/>
        <v>35.547453991704849</v>
      </c>
      <c r="W196" s="73">
        <f t="shared" si="59"/>
        <v>96.633852239311622</v>
      </c>
    </row>
    <row r="197" spans="1:23">
      <c r="A197" s="108" t="s">
        <v>7</v>
      </c>
      <c r="B197" s="108"/>
      <c r="C197" s="108"/>
      <c r="D197" s="108"/>
      <c r="E197" s="108"/>
      <c r="F197" s="109"/>
      <c r="G197" s="35">
        <f t="shared" ref="G197:I197" si="102">G205+G210+G212+G214+G217</f>
        <v>1152717760</v>
      </c>
      <c r="H197" s="26">
        <f t="shared" si="102"/>
        <v>1126898600</v>
      </c>
      <c r="I197" s="36">
        <f t="shared" si="102"/>
        <v>25819160</v>
      </c>
      <c r="J197" s="48">
        <f t="shared" ref="J197:L197" si="103">J205+J210+J212+J214+J217</f>
        <v>1152717660</v>
      </c>
      <c r="K197" s="52">
        <f t="shared" si="103"/>
        <v>1126898600</v>
      </c>
      <c r="L197" s="53">
        <f t="shared" si="103"/>
        <v>25819060</v>
      </c>
      <c r="M197" s="48">
        <f t="shared" ref="M197:U197" si="104">M205+M210+M212+M214+M217</f>
        <v>473455907.98999995</v>
      </c>
      <c r="N197" s="52">
        <f>N205+N210+N212+N214+N217</f>
        <v>470852988.90000004</v>
      </c>
      <c r="O197" s="53">
        <f t="shared" si="104"/>
        <v>2602919.0900000003</v>
      </c>
      <c r="P197" s="48">
        <f t="shared" si="104"/>
        <v>473455907.98999995</v>
      </c>
      <c r="Q197" s="52">
        <f t="shared" si="104"/>
        <v>470852988.90000004</v>
      </c>
      <c r="R197" s="53">
        <f t="shared" si="104"/>
        <v>2602919.0900000003</v>
      </c>
      <c r="S197" s="48">
        <f t="shared" si="104"/>
        <v>449434754.68000001</v>
      </c>
      <c r="T197" s="52">
        <f t="shared" si="104"/>
        <v>449236397.14000005</v>
      </c>
      <c r="U197" s="53">
        <f t="shared" si="104"/>
        <v>198357.53999999998</v>
      </c>
      <c r="V197" s="68">
        <f t="shared" si="58"/>
        <v>38.98914454733</v>
      </c>
      <c r="W197" s="69">
        <f t="shared" si="59"/>
        <v>94.926422312063053</v>
      </c>
    </row>
    <row r="198" spans="1:23">
      <c r="A198" s="108" t="s">
        <v>8</v>
      </c>
      <c r="B198" s="108"/>
      <c r="C198" s="108"/>
      <c r="D198" s="108"/>
      <c r="E198" s="108"/>
      <c r="F198" s="109"/>
      <c r="G198" s="35">
        <f t="shared" ref="G198:I198" si="105">G196-G197</f>
        <v>775949056</v>
      </c>
      <c r="H198" s="26">
        <f t="shared" si="105"/>
        <v>195798000</v>
      </c>
      <c r="I198" s="36">
        <f t="shared" si="105"/>
        <v>580151056</v>
      </c>
      <c r="J198" s="48">
        <f t="shared" ref="J198:K198" si="106">J196-J197</f>
        <v>787191926.26999998</v>
      </c>
      <c r="K198" s="52">
        <f t="shared" si="106"/>
        <v>195798000</v>
      </c>
      <c r="L198" s="53">
        <f>L196-L197</f>
        <v>591393926.26999998</v>
      </c>
      <c r="M198" s="48">
        <f t="shared" ref="M198:U198" si="107">M196-M197</f>
        <v>240153713.98000008</v>
      </c>
      <c r="N198" s="52">
        <f t="shared" si="107"/>
        <v>60000000</v>
      </c>
      <c r="O198" s="53">
        <f t="shared" si="107"/>
        <v>180153713.97999999</v>
      </c>
      <c r="P198" s="48">
        <f t="shared" si="107"/>
        <v>240153713.98000008</v>
      </c>
      <c r="Q198" s="52">
        <f t="shared" si="107"/>
        <v>60000000</v>
      </c>
      <c r="R198" s="53">
        <f t="shared" si="107"/>
        <v>180153713.97999999</v>
      </c>
      <c r="S198" s="48">
        <f t="shared" si="107"/>
        <v>240153712.98000008</v>
      </c>
      <c r="T198" s="52">
        <f t="shared" si="107"/>
        <v>60000000</v>
      </c>
      <c r="U198" s="53">
        <f t="shared" si="107"/>
        <v>180153712.98000002</v>
      </c>
      <c r="V198" s="68">
        <f t="shared" si="58"/>
        <v>30.507644319719489</v>
      </c>
      <c r="W198" s="69">
        <f t="shared" si="59"/>
        <v>99.999999583600029</v>
      </c>
    </row>
    <row r="199" spans="1:23" ht="30.75" customHeight="1">
      <c r="A199" s="108" t="s">
        <v>224</v>
      </c>
      <c r="B199" s="108"/>
      <c r="C199" s="108"/>
      <c r="D199" s="108"/>
      <c r="E199" s="108"/>
      <c r="F199" s="109"/>
      <c r="G199" s="35">
        <f t="shared" ref="G199:I199" si="108">G201+G202+G203+G204+G207+G208+G209+G211+G213+G216</f>
        <v>1661401760</v>
      </c>
      <c r="H199" s="26">
        <f t="shared" si="108"/>
        <v>1322696600</v>
      </c>
      <c r="I199" s="36">
        <f t="shared" si="108"/>
        <v>338705160</v>
      </c>
      <c r="J199" s="48">
        <f t="shared" ref="J199:L199" si="109">J201+J202+J203+J204+J207+J208+J209+J211+J213+J216</f>
        <v>1672644530.27</v>
      </c>
      <c r="K199" s="52">
        <f t="shared" si="109"/>
        <v>1322696600</v>
      </c>
      <c r="L199" s="53">
        <f t="shared" si="109"/>
        <v>349947930.26999998</v>
      </c>
      <c r="M199" s="48">
        <f t="shared" ref="M199:U199" si="110">M201+M202+M203+M204+M207+M208+M209+M211+M213+M216</f>
        <v>559953056.97000003</v>
      </c>
      <c r="N199" s="52">
        <f t="shared" si="110"/>
        <v>530852988.90000004</v>
      </c>
      <c r="O199" s="53">
        <f t="shared" si="110"/>
        <v>29100068.07</v>
      </c>
      <c r="P199" s="48">
        <f t="shared" si="110"/>
        <v>559953056.97000003</v>
      </c>
      <c r="Q199" s="52">
        <f t="shared" si="110"/>
        <v>530852988.90000004</v>
      </c>
      <c r="R199" s="53">
        <f t="shared" si="110"/>
        <v>29100068.07</v>
      </c>
      <c r="S199" s="48">
        <f t="shared" si="110"/>
        <v>535931902.66000003</v>
      </c>
      <c r="T199" s="52">
        <f t="shared" si="110"/>
        <v>509236397.14000005</v>
      </c>
      <c r="U199" s="53">
        <f t="shared" si="110"/>
        <v>26695505.52</v>
      </c>
      <c r="V199" s="68">
        <f t="shared" si="58"/>
        <v>32.040992151123071</v>
      </c>
      <c r="W199" s="69">
        <f t="shared" si="59"/>
        <v>95.710148554240874</v>
      </c>
    </row>
    <row r="200" spans="1:23" s="16" customFormat="1">
      <c r="A200" s="110" t="s">
        <v>100</v>
      </c>
      <c r="B200" s="110"/>
      <c r="C200" s="110"/>
      <c r="D200" s="110"/>
      <c r="E200" s="110"/>
      <c r="F200" s="111"/>
      <c r="G200" s="33">
        <f t="shared" ref="G200:I200" si="111">G201+G202+G203+G204+G207+G208+G209+G211+G213+G216</f>
        <v>1661401760</v>
      </c>
      <c r="H200" s="25">
        <f t="shared" si="111"/>
        <v>1322696600</v>
      </c>
      <c r="I200" s="34">
        <f t="shared" si="111"/>
        <v>338705160</v>
      </c>
      <c r="J200" s="54">
        <f>J201+J202+J203+J204+J207+J208+J209+J211+J213+J216</f>
        <v>1672644530.27</v>
      </c>
      <c r="K200" s="55">
        <f t="shared" ref="K200" si="112">K201+K202+K203+K204+K207+K208+K209+K211+K213+K216</f>
        <v>1322696600</v>
      </c>
      <c r="L200" s="56">
        <f>L201+L202+L203+L204+L207+L208+L209+L211+L213+L216</f>
        <v>349947930.26999998</v>
      </c>
      <c r="M200" s="54">
        <f t="shared" ref="M200:S200" si="113">M201+M202+M203+M204+M207+M208+M209+M211+M213+M216</f>
        <v>559953056.97000003</v>
      </c>
      <c r="N200" s="55">
        <f>N201+N202+N203+N204+N207+N208+N209+N211+N213+N216</f>
        <v>530852988.90000004</v>
      </c>
      <c r="O200" s="56">
        <f t="shared" si="113"/>
        <v>29100068.07</v>
      </c>
      <c r="P200" s="54">
        <f t="shared" si="113"/>
        <v>559953056.97000003</v>
      </c>
      <c r="Q200" s="55">
        <f t="shared" si="113"/>
        <v>530852988.90000004</v>
      </c>
      <c r="R200" s="56">
        <f t="shared" si="113"/>
        <v>29100068.07</v>
      </c>
      <c r="S200" s="54">
        <f t="shared" si="113"/>
        <v>535931902.66000003</v>
      </c>
      <c r="T200" s="55">
        <f>T201+T202+T203+T204+T207+T208+T209+T211+T213+T216</f>
        <v>509236397.14000005</v>
      </c>
      <c r="U200" s="56">
        <f>U201+U202+U203+U204+U207+U208+U209+U211+U213+U216</f>
        <v>26695505.52</v>
      </c>
      <c r="V200" s="72">
        <f t="shared" si="58"/>
        <v>32.040992151123071</v>
      </c>
      <c r="W200" s="73">
        <f t="shared" si="59"/>
        <v>95.710148554240874</v>
      </c>
    </row>
    <row r="201" spans="1:23" ht="45">
      <c r="A201" s="9" t="s">
        <v>225</v>
      </c>
      <c r="B201" s="6" t="s">
        <v>13</v>
      </c>
      <c r="C201" s="6" t="s">
        <v>13</v>
      </c>
      <c r="D201" s="6" t="s">
        <v>226</v>
      </c>
      <c r="E201" s="6" t="s">
        <v>81</v>
      </c>
      <c r="F201" s="78">
        <v>2022</v>
      </c>
      <c r="G201" s="35">
        <v>74050000</v>
      </c>
      <c r="H201" s="26"/>
      <c r="I201" s="36">
        <v>74050000</v>
      </c>
      <c r="J201" s="48">
        <v>74050000</v>
      </c>
      <c r="K201" s="60"/>
      <c r="L201" s="53">
        <v>74050000</v>
      </c>
      <c r="M201" s="48">
        <f>N201+O201</f>
        <v>0</v>
      </c>
      <c r="N201" s="60"/>
      <c r="O201" s="53">
        <v>0</v>
      </c>
      <c r="P201" s="48">
        <f>Q201+R201</f>
        <v>0</v>
      </c>
      <c r="Q201" s="60"/>
      <c r="R201" s="53">
        <v>0</v>
      </c>
      <c r="S201" s="48">
        <f>T201+U201</f>
        <v>0</v>
      </c>
      <c r="T201" s="60"/>
      <c r="U201" s="53">
        <v>0</v>
      </c>
      <c r="V201" s="68">
        <f t="shared" si="58"/>
        <v>0</v>
      </c>
      <c r="W201" s="69">
        <v>0</v>
      </c>
    </row>
    <row r="202" spans="1:23" ht="93.75" customHeight="1">
      <c r="A202" s="9" t="s">
        <v>227</v>
      </c>
      <c r="B202" s="6" t="s">
        <v>13</v>
      </c>
      <c r="C202" s="6" t="s">
        <v>13</v>
      </c>
      <c r="D202" s="6" t="s">
        <v>228</v>
      </c>
      <c r="E202" s="6" t="s">
        <v>229</v>
      </c>
      <c r="F202" s="78">
        <v>2022</v>
      </c>
      <c r="G202" s="35">
        <v>26000000</v>
      </c>
      <c r="H202" s="26"/>
      <c r="I202" s="36">
        <v>26000000</v>
      </c>
      <c r="J202" s="48">
        <v>26000000</v>
      </c>
      <c r="K202" s="60"/>
      <c r="L202" s="53">
        <v>26000000</v>
      </c>
      <c r="M202" s="48">
        <f t="shared" ref="M202:M218" si="114">N202+O202</f>
        <v>26000000</v>
      </c>
      <c r="N202" s="60"/>
      <c r="O202" s="53">
        <v>26000000</v>
      </c>
      <c r="P202" s="48">
        <f t="shared" ref="P202:P218" si="115">Q202+R202</f>
        <v>26000000</v>
      </c>
      <c r="Q202" s="60"/>
      <c r="R202" s="53">
        <v>26000000</v>
      </c>
      <c r="S202" s="48">
        <f t="shared" ref="S202:S218" si="116">T202+U202</f>
        <v>26000000</v>
      </c>
      <c r="T202" s="60"/>
      <c r="U202" s="53">
        <v>26000000</v>
      </c>
      <c r="V202" s="68">
        <f>S202/J202*100</f>
        <v>100</v>
      </c>
      <c r="W202" s="69">
        <f>S202/M202*100</f>
        <v>100</v>
      </c>
    </row>
    <row r="203" spans="1:23" ht="76.5" customHeight="1">
      <c r="A203" s="9" t="s">
        <v>230</v>
      </c>
      <c r="B203" s="6" t="s">
        <v>13</v>
      </c>
      <c r="C203" s="6" t="s">
        <v>13</v>
      </c>
      <c r="D203" s="6" t="s">
        <v>231</v>
      </c>
      <c r="E203" s="6" t="s">
        <v>191</v>
      </c>
      <c r="F203" s="78">
        <v>2022</v>
      </c>
      <c r="G203" s="35">
        <v>10836000</v>
      </c>
      <c r="H203" s="26"/>
      <c r="I203" s="36">
        <v>10836000</v>
      </c>
      <c r="J203" s="48">
        <f t="shared" ref="J203:J212" si="117">K203+L203</f>
        <v>10836000</v>
      </c>
      <c r="K203" s="60"/>
      <c r="L203" s="53">
        <v>10836000</v>
      </c>
      <c r="M203" s="48">
        <f t="shared" si="114"/>
        <v>497148.98</v>
      </c>
      <c r="N203" s="60"/>
      <c r="O203" s="53">
        <v>497148.98</v>
      </c>
      <c r="P203" s="48">
        <f t="shared" si="115"/>
        <v>497148.98</v>
      </c>
      <c r="Q203" s="60"/>
      <c r="R203" s="53">
        <v>497148.98</v>
      </c>
      <c r="S203" s="48">
        <f t="shared" si="116"/>
        <v>497147.98</v>
      </c>
      <c r="T203" s="60"/>
      <c r="U203" s="53">
        <v>497147.98</v>
      </c>
      <c r="V203" s="68">
        <f t="shared" si="58"/>
        <v>4.5879289405684753</v>
      </c>
      <c r="W203" s="69">
        <f>S203/M203*100</f>
        <v>99.999798853052056</v>
      </c>
    </row>
    <row r="204" spans="1:23" ht="92.25" customHeight="1">
      <c r="A204" s="9" t="s">
        <v>232</v>
      </c>
      <c r="B204" s="6" t="s">
        <v>13</v>
      </c>
      <c r="C204" s="6" t="s">
        <v>102</v>
      </c>
      <c r="D204" s="6" t="s">
        <v>233</v>
      </c>
      <c r="E204" s="6" t="s">
        <v>234</v>
      </c>
      <c r="F204" s="78" t="s">
        <v>235</v>
      </c>
      <c r="G204" s="35">
        <v>799999500</v>
      </c>
      <c r="H204" s="26">
        <v>799999500</v>
      </c>
      <c r="I204" s="36"/>
      <c r="J204" s="48">
        <f t="shared" si="117"/>
        <v>799999500</v>
      </c>
      <c r="K204" s="52">
        <f>K205+K206</f>
        <v>799999500</v>
      </c>
      <c r="L204" s="53"/>
      <c r="M204" s="48">
        <f t="shared" si="114"/>
        <v>501226714.80000001</v>
      </c>
      <c r="N204" s="52">
        <f>N205+N206</f>
        <v>501226714.80000001</v>
      </c>
      <c r="O204" s="53"/>
      <c r="P204" s="48">
        <f t="shared" si="115"/>
        <v>501226714.80000001</v>
      </c>
      <c r="Q204" s="52">
        <f>Q205+Q206</f>
        <v>501226714.80000001</v>
      </c>
      <c r="R204" s="53"/>
      <c r="S204" s="48">
        <f t="shared" si="116"/>
        <v>501226714.80000001</v>
      </c>
      <c r="T204" s="52">
        <f>T205+T206</f>
        <v>501226714.80000001</v>
      </c>
      <c r="U204" s="53"/>
      <c r="V204" s="68">
        <f t="shared" si="58"/>
        <v>62.65337850836157</v>
      </c>
      <c r="W204" s="69">
        <f t="shared" si="59"/>
        <v>100</v>
      </c>
    </row>
    <row r="205" spans="1:23" ht="45">
      <c r="A205" s="9" t="s">
        <v>236</v>
      </c>
      <c r="B205" s="6" t="s">
        <v>237</v>
      </c>
      <c r="C205" s="9"/>
      <c r="D205" s="9"/>
      <c r="E205" s="9"/>
      <c r="F205" s="79"/>
      <c r="G205" s="35">
        <v>604201500</v>
      </c>
      <c r="H205" s="26">
        <v>604201500</v>
      </c>
      <c r="I205" s="36"/>
      <c r="J205" s="48">
        <f t="shared" si="117"/>
        <v>604201500</v>
      </c>
      <c r="K205" s="52">
        <v>604201500</v>
      </c>
      <c r="L205" s="53"/>
      <c r="M205" s="48">
        <f t="shared" si="114"/>
        <v>441226714.80000001</v>
      </c>
      <c r="N205" s="52">
        <v>441226714.80000001</v>
      </c>
      <c r="O205" s="53"/>
      <c r="P205" s="48">
        <f t="shared" si="115"/>
        <v>441226714.80000001</v>
      </c>
      <c r="Q205" s="52">
        <v>441226714.80000001</v>
      </c>
      <c r="R205" s="53"/>
      <c r="S205" s="48">
        <f t="shared" si="116"/>
        <v>441226714.80000001</v>
      </c>
      <c r="T205" s="52">
        <v>441226714.80000001</v>
      </c>
      <c r="U205" s="53"/>
      <c r="V205" s="68">
        <f t="shared" si="58"/>
        <v>73.02641830581355</v>
      </c>
      <c r="W205" s="69">
        <f t="shared" si="59"/>
        <v>100</v>
      </c>
    </row>
    <row r="206" spans="1:23">
      <c r="A206" s="9" t="s">
        <v>22</v>
      </c>
      <c r="B206" s="6" t="s">
        <v>13</v>
      </c>
      <c r="C206" s="9"/>
      <c r="D206" s="9"/>
      <c r="E206" s="9"/>
      <c r="F206" s="79"/>
      <c r="G206" s="35">
        <v>195798000</v>
      </c>
      <c r="H206" s="26">
        <v>195798000</v>
      </c>
      <c r="I206" s="36"/>
      <c r="J206" s="48">
        <f t="shared" si="117"/>
        <v>195798000</v>
      </c>
      <c r="K206" s="52">
        <v>195798000</v>
      </c>
      <c r="L206" s="53"/>
      <c r="M206" s="48">
        <f t="shared" si="114"/>
        <v>60000000</v>
      </c>
      <c r="N206" s="52">
        <v>60000000</v>
      </c>
      <c r="O206" s="53"/>
      <c r="P206" s="48">
        <f t="shared" si="115"/>
        <v>60000000</v>
      </c>
      <c r="Q206" s="52">
        <v>60000000</v>
      </c>
      <c r="R206" s="53"/>
      <c r="S206" s="48">
        <f t="shared" si="116"/>
        <v>60000000</v>
      </c>
      <c r="T206" s="52">
        <v>60000000</v>
      </c>
      <c r="U206" s="53"/>
      <c r="V206" s="68">
        <f t="shared" si="58"/>
        <v>30.643826801090917</v>
      </c>
      <c r="W206" s="69">
        <f t="shared" si="59"/>
        <v>100</v>
      </c>
    </row>
    <row r="207" spans="1:23" ht="45">
      <c r="A207" s="9" t="s">
        <v>238</v>
      </c>
      <c r="B207" s="6" t="s">
        <v>13</v>
      </c>
      <c r="C207" s="6" t="s">
        <v>13</v>
      </c>
      <c r="D207" s="6" t="s">
        <v>239</v>
      </c>
      <c r="E207" s="6" t="s">
        <v>81</v>
      </c>
      <c r="F207" s="78" t="s">
        <v>72</v>
      </c>
      <c r="G207" s="35">
        <v>175000000</v>
      </c>
      <c r="H207" s="26"/>
      <c r="I207" s="36">
        <v>175000000</v>
      </c>
      <c r="J207" s="48">
        <f t="shared" si="117"/>
        <v>175000000</v>
      </c>
      <c r="K207" s="60"/>
      <c r="L207" s="53">
        <v>175000000</v>
      </c>
      <c r="M207" s="48">
        <f t="shared" si="114"/>
        <v>0</v>
      </c>
      <c r="N207" s="60"/>
      <c r="O207" s="53">
        <v>0</v>
      </c>
      <c r="P207" s="48">
        <f t="shared" si="115"/>
        <v>0</v>
      </c>
      <c r="Q207" s="60"/>
      <c r="R207" s="53">
        <v>0</v>
      </c>
      <c r="S207" s="48">
        <f t="shared" si="116"/>
        <v>0</v>
      </c>
      <c r="T207" s="60"/>
      <c r="U207" s="53">
        <v>0</v>
      </c>
      <c r="V207" s="68">
        <f t="shared" si="58"/>
        <v>0</v>
      </c>
      <c r="W207" s="69">
        <v>0</v>
      </c>
    </row>
    <row r="208" spans="1:23" ht="78" customHeight="1">
      <c r="A208" s="9" t="s">
        <v>240</v>
      </c>
      <c r="B208" s="6" t="s">
        <v>13</v>
      </c>
      <c r="C208" s="6" t="s">
        <v>13</v>
      </c>
      <c r="D208" s="6" t="s">
        <v>241</v>
      </c>
      <c r="E208" s="6" t="s">
        <v>234</v>
      </c>
      <c r="F208" s="78" t="s">
        <v>72</v>
      </c>
      <c r="G208" s="35">
        <v>27000000</v>
      </c>
      <c r="H208" s="26"/>
      <c r="I208" s="36">
        <v>27000000</v>
      </c>
      <c r="J208" s="48">
        <f t="shared" si="117"/>
        <v>27000000</v>
      </c>
      <c r="K208" s="60"/>
      <c r="L208" s="53">
        <v>27000000</v>
      </c>
      <c r="M208" s="48">
        <f t="shared" si="114"/>
        <v>0</v>
      </c>
      <c r="N208" s="60"/>
      <c r="O208" s="53">
        <v>0</v>
      </c>
      <c r="P208" s="48">
        <f t="shared" si="115"/>
        <v>0</v>
      </c>
      <c r="Q208" s="60"/>
      <c r="R208" s="53">
        <v>0</v>
      </c>
      <c r="S208" s="48">
        <f t="shared" si="116"/>
        <v>0</v>
      </c>
      <c r="T208" s="60"/>
      <c r="U208" s="53">
        <v>0</v>
      </c>
      <c r="V208" s="68">
        <f t="shared" si="58"/>
        <v>0</v>
      </c>
      <c r="W208" s="69">
        <v>0</v>
      </c>
    </row>
    <row r="209" spans="1:23" ht="78.75" customHeight="1">
      <c r="A209" s="9" t="s">
        <v>242</v>
      </c>
      <c r="B209" s="6" t="s">
        <v>13</v>
      </c>
      <c r="C209" s="6" t="s">
        <v>13</v>
      </c>
      <c r="D209" s="6" t="s">
        <v>243</v>
      </c>
      <c r="E209" s="6" t="s">
        <v>124</v>
      </c>
      <c r="F209" s="78" t="s">
        <v>21</v>
      </c>
      <c r="G209" s="35">
        <v>110773320</v>
      </c>
      <c r="H209" s="26">
        <v>99684900</v>
      </c>
      <c r="I209" s="36">
        <v>11088420</v>
      </c>
      <c r="J209" s="48">
        <f t="shared" si="117"/>
        <v>110773320</v>
      </c>
      <c r="K209" s="52">
        <v>99684900</v>
      </c>
      <c r="L209" s="53">
        <v>11088420</v>
      </c>
      <c r="M209" s="48">
        <f t="shared" si="114"/>
        <v>1512824.78</v>
      </c>
      <c r="N209" s="52">
        <f>N210</f>
        <v>1361390.87</v>
      </c>
      <c r="O209" s="53">
        <f>O210</f>
        <v>151433.91</v>
      </c>
      <c r="P209" s="48">
        <f t="shared" si="115"/>
        <v>1512824.78</v>
      </c>
      <c r="Q209" s="52">
        <f>Q210</f>
        <v>1361390.87</v>
      </c>
      <c r="R209" s="53">
        <f>R210</f>
        <v>151433.91</v>
      </c>
      <c r="S209" s="48">
        <f t="shared" si="116"/>
        <v>0</v>
      </c>
      <c r="T209" s="52">
        <f>T210</f>
        <v>0</v>
      </c>
      <c r="U209" s="53">
        <f>U210</f>
        <v>0</v>
      </c>
      <c r="V209" s="68">
        <f t="shared" si="58"/>
        <v>0</v>
      </c>
      <c r="W209" s="69">
        <v>0</v>
      </c>
    </row>
    <row r="210" spans="1:23">
      <c r="A210" s="9" t="s">
        <v>128</v>
      </c>
      <c r="B210" s="6" t="s">
        <v>129</v>
      </c>
      <c r="C210" s="9"/>
      <c r="D210" s="9"/>
      <c r="E210" s="9"/>
      <c r="F210" s="79"/>
      <c r="G210" s="35">
        <v>110773320</v>
      </c>
      <c r="H210" s="26">
        <v>99684900</v>
      </c>
      <c r="I210" s="36">
        <v>11088420</v>
      </c>
      <c r="J210" s="48">
        <f t="shared" si="117"/>
        <v>110773320</v>
      </c>
      <c r="K210" s="52">
        <v>99684900</v>
      </c>
      <c r="L210" s="53">
        <v>11088420</v>
      </c>
      <c r="M210" s="48">
        <f t="shared" si="114"/>
        <v>1512824.78</v>
      </c>
      <c r="N210" s="52">
        <v>1361390.87</v>
      </c>
      <c r="O210" s="53">
        <v>151433.91</v>
      </c>
      <c r="P210" s="48">
        <f t="shared" si="115"/>
        <v>1512824.78</v>
      </c>
      <c r="Q210" s="52">
        <v>1361390.87</v>
      </c>
      <c r="R210" s="53">
        <v>151433.91</v>
      </c>
      <c r="S210" s="48">
        <f t="shared" si="116"/>
        <v>0</v>
      </c>
      <c r="T210" s="52">
        <v>0</v>
      </c>
      <c r="U210" s="53">
        <v>0</v>
      </c>
      <c r="V210" s="68">
        <f t="shared" si="58"/>
        <v>0</v>
      </c>
      <c r="W210" s="69">
        <v>0</v>
      </c>
    </row>
    <row r="211" spans="1:23" ht="80.25" customHeight="1">
      <c r="A211" s="9" t="s">
        <v>244</v>
      </c>
      <c r="B211" s="6" t="s">
        <v>13</v>
      </c>
      <c r="C211" s="6" t="s">
        <v>13</v>
      </c>
      <c r="D211" s="6" t="s">
        <v>245</v>
      </c>
      <c r="E211" s="6" t="s">
        <v>124</v>
      </c>
      <c r="F211" s="78" t="s">
        <v>87</v>
      </c>
      <c r="G211" s="35">
        <v>74514840</v>
      </c>
      <c r="H211" s="26">
        <v>67055900</v>
      </c>
      <c r="I211" s="36">
        <v>7458940</v>
      </c>
      <c r="J211" s="48">
        <f t="shared" si="117"/>
        <v>74514840</v>
      </c>
      <c r="K211" s="52">
        <v>67055900</v>
      </c>
      <c r="L211" s="53">
        <v>7458940</v>
      </c>
      <c r="M211" s="52">
        <f>M212</f>
        <v>22933875.520000003</v>
      </c>
      <c r="N211" s="52">
        <f>N212</f>
        <v>20638193.190000001</v>
      </c>
      <c r="O211" s="75">
        <f>O212</f>
        <v>2295682.33</v>
      </c>
      <c r="P211" s="48">
        <f t="shared" si="115"/>
        <v>22933875.520000003</v>
      </c>
      <c r="Q211" s="52">
        <f>Q212</f>
        <v>20638193.190000001</v>
      </c>
      <c r="R211" s="53">
        <f>R212</f>
        <v>2295682.33</v>
      </c>
      <c r="S211" s="48">
        <f t="shared" si="116"/>
        <v>425547</v>
      </c>
      <c r="T211" s="52">
        <f>T212</f>
        <v>382992.3</v>
      </c>
      <c r="U211" s="53">
        <f>U212</f>
        <v>42554.7</v>
      </c>
      <c r="V211" s="68">
        <f t="shared" si="58"/>
        <v>0.57109026873036306</v>
      </c>
      <c r="W211" s="69">
        <f t="shared" ref="W211:W214" si="118">S211/M211*100</f>
        <v>1.8555389804435458</v>
      </c>
    </row>
    <row r="212" spans="1:23">
      <c r="A212" s="9" t="s">
        <v>128</v>
      </c>
      <c r="B212" s="6" t="s">
        <v>129</v>
      </c>
      <c r="C212" s="9"/>
      <c r="D212" s="9"/>
      <c r="E212" s="9"/>
      <c r="F212" s="79"/>
      <c r="G212" s="35">
        <v>74514840</v>
      </c>
      <c r="H212" s="26">
        <v>67055900</v>
      </c>
      <c r="I212" s="36">
        <v>7458940</v>
      </c>
      <c r="J212" s="48">
        <f t="shared" si="117"/>
        <v>74514840</v>
      </c>
      <c r="K212" s="52">
        <v>67055900</v>
      </c>
      <c r="L212" s="53">
        <v>7458940</v>
      </c>
      <c r="M212" s="48">
        <f t="shared" si="114"/>
        <v>22933875.520000003</v>
      </c>
      <c r="N212" s="52">
        <v>20638193.190000001</v>
      </c>
      <c r="O212" s="53">
        <v>2295682.33</v>
      </c>
      <c r="P212" s="48">
        <f t="shared" si="115"/>
        <v>22933875.520000003</v>
      </c>
      <c r="Q212" s="52">
        <v>20638193.190000001</v>
      </c>
      <c r="R212" s="53">
        <v>2295682.33</v>
      </c>
      <c r="S212" s="48">
        <f t="shared" si="116"/>
        <v>425547</v>
      </c>
      <c r="T212" s="52">
        <v>382992.3</v>
      </c>
      <c r="U212" s="53">
        <v>42554.7</v>
      </c>
      <c r="V212" s="68">
        <f t="shared" si="58"/>
        <v>0.57109026873036306</v>
      </c>
      <c r="W212" s="69">
        <f t="shared" si="118"/>
        <v>1.8555389804435458</v>
      </c>
    </row>
    <row r="213" spans="1:23" ht="78" customHeight="1">
      <c r="A213" s="9" t="s">
        <v>246</v>
      </c>
      <c r="B213" s="6" t="s">
        <v>13</v>
      </c>
      <c r="C213" s="6" t="s">
        <v>13</v>
      </c>
      <c r="D213" s="6" t="s">
        <v>247</v>
      </c>
      <c r="E213" s="6" t="s">
        <v>234</v>
      </c>
      <c r="F213" s="78" t="s">
        <v>25</v>
      </c>
      <c r="G213" s="35">
        <v>234404700</v>
      </c>
      <c r="H213" s="26">
        <v>229711900</v>
      </c>
      <c r="I213" s="36">
        <v>4692800</v>
      </c>
      <c r="J213" s="48">
        <f>K213+L213</f>
        <v>245647470.27000001</v>
      </c>
      <c r="K213" s="52">
        <v>229711900</v>
      </c>
      <c r="L213" s="53">
        <f>L214+L215</f>
        <v>15935570.27</v>
      </c>
      <c r="M213" s="48">
        <f t="shared" si="114"/>
        <v>7782492.8899999997</v>
      </c>
      <c r="N213" s="52">
        <f>N214</f>
        <v>7626690.04</v>
      </c>
      <c r="O213" s="53">
        <f>O214</f>
        <v>155802.85</v>
      </c>
      <c r="P213" s="48">
        <f t="shared" si="115"/>
        <v>7782492.8899999997</v>
      </c>
      <c r="Q213" s="52">
        <f>Q214</f>
        <v>7626690.04</v>
      </c>
      <c r="R213" s="53">
        <f>R214</f>
        <v>155802.85</v>
      </c>
      <c r="S213" s="48">
        <f t="shared" si="116"/>
        <v>7782492.8799999999</v>
      </c>
      <c r="T213" s="52">
        <f>T214</f>
        <v>7626690.04</v>
      </c>
      <c r="U213" s="53">
        <f>U214</f>
        <v>155802.84</v>
      </c>
      <c r="V213" s="68">
        <f t="shared" ref="V213:V260" si="119">S213/J213*100</f>
        <v>3.1681551092083224</v>
      </c>
      <c r="W213" s="69">
        <f t="shared" si="118"/>
        <v>99.999999871506475</v>
      </c>
    </row>
    <row r="214" spans="1:23">
      <c r="A214" s="9" t="s">
        <v>128</v>
      </c>
      <c r="B214" s="6" t="s">
        <v>129</v>
      </c>
      <c r="C214" s="9"/>
      <c r="D214" s="9"/>
      <c r="E214" s="9"/>
      <c r="F214" s="79"/>
      <c r="G214" s="35">
        <v>234404700</v>
      </c>
      <c r="H214" s="26">
        <v>229711900</v>
      </c>
      <c r="I214" s="36">
        <v>4692800</v>
      </c>
      <c r="J214" s="48">
        <f t="shared" ref="J214:J218" si="120">K214+L214</f>
        <v>234404600</v>
      </c>
      <c r="K214" s="52">
        <v>229711900</v>
      </c>
      <c r="L214" s="53">
        <v>4692700</v>
      </c>
      <c r="M214" s="48">
        <f t="shared" si="114"/>
        <v>7782492.8899999997</v>
      </c>
      <c r="N214" s="52">
        <v>7626690.04</v>
      </c>
      <c r="O214" s="53">
        <v>155802.85</v>
      </c>
      <c r="P214" s="48">
        <f t="shared" si="115"/>
        <v>7782492.8899999997</v>
      </c>
      <c r="Q214" s="52">
        <v>7626690.04</v>
      </c>
      <c r="R214" s="53">
        <v>155802.85</v>
      </c>
      <c r="S214" s="48">
        <f t="shared" si="116"/>
        <v>7782492.8799999999</v>
      </c>
      <c r="T214" s="52">
        <v>7626690.04</v>
      </c>
      <c r="U214" s="53">
        <v>155802.84</v>
      </c>
      <c r="V214" s="68">
        <f t="shared" si="119"/>
        <v>3.3201109875830079</v>
      </c>
      <c r="W214" s="69">
        <f t="shared" si="118"/>
        <v>99.999999871506475</v>
      </c>
    </row>
    <row r="215" spans="1:23">
      <c r="A215" s="20" t="s">
        <v>22</v>
      </c>
      <c r="B215" s="21"/>
      <c r="C215" s="20"/>
      <c r="D215" s="20"/>
      <c r="E215" s="20"/>
      <c r="F215" s="79"/>
      <c r="G215" s="35"/>
      <c r="H215" s="26"/>
      <c r="I215" s="36"/>
      <c r="J215" s="48">
        <f t="shared" si="120"/>
        <v>11242870.27</v>
      </c>
      <c r="K215" s="52"/>
      <c r="L215" s="53">
        <v>11242870.27</v>
      </c>
      <c r="M215" s="48">
        <f>O215</f>
        <v>0</v>
      </c>
      <c r="N215" s="52"/>
      <c r="O215" s="53"/>
      <c r="P215" s="48">
        <f>R215</f>
        <v>0</v>
      </c>
      <c r="Q215" s="52"/>
      <c r="R215" s="53"/>
      <c r="S215" s="48">
        <f>U215</f>
        <v>0</v>
      </c>
      <c r="T215" s="52"/>
      <c r="U215" s="53"/>
      <c r="V215" s="68">
        <v>0</v>
      </c>
      <c r="W215" s="69">
        <v>0</v>
      </c>
    </row>
    <row r="216" spans="1:23" ht="75.75" customHeight="1">
      <c r="A216" s="9" t="s">
        <v>248</v>
      </c>
      <c r="B216" s="6" t="s">
        <v>13</v>
      </c>
      <c r="C216" s="6" t="s">
        <v>13</v>
      </c>
      <c r="D216" s="6" t="s">
        <v>249</v>
      </c>
      <c r="E216" s="6" t="s">
        <v>234</v>
      </c>
      <c r="F216" s="78">
        <v>2022</v>
      </c>
      <c r="G216" s="35">
        <v>128823400</v>
      </c>
      <c r="H216" s="26">
        <v>126244400</v>
      </c>
      <c r="I216" s="36">
        <v>2579000</v>
      </c>
      <c r="J216" s="48">
        <f t="shared" si="120"/>
        <v>128823400</v>
      </c>
      <c r="K216" s="52">
        <v>126244400</v>
      </c>
      <c r="L216" s="53">
        <v>2579000</v>
      </c>
      <c r="M216" s="48">
        <f t="shared" si="114"/>
        <v>0</v>
      </c>
      <c r="N216" s="52">
        <f>N217</f>
        <v>0</v>
      </c>
      <c r="O216" s="53">
        <f>O217</f>
        <v>0</v>
      </c>
      <c r="P216" s="48">
        <f t="shared" si="115"/>
        <v>0</v>
      </c>
      <c r="Q216" s="52">
        <f>Q217</f>
        <v>0</v>
      </c>
      <c r="R216" s="53">
        <f>R217</f>
        <v>0</v>
      </c>
      <c r="S216" s="48">
        <f t="shared" si="116"/>
        <v>0</v>
      </c>
      <c r="T216" s="52">
        <f>T217</f>
        <v>0</v>
      </c>
      <c r="U216" s="53">
        <f>U217</f>
        <v>0</v>
      </c>
      <c r="V216" s="68">
        <f t="shared" si="119"/>
        <v>0</v>
      </c>
      <c r="W216" s="69">
        <v>0</v>
      </c>
    </row>
    <row r="217" spans="1:23">
      <c r="A217" s="9" t="s">
        <v>128</v>
      </c>
      <c r="B217" s="6" t="s">
        <v>129</v>
      </c>
      <c r="C217" s="9"/>
      <c r="D217" s="9"/>
      <c r="E217" s="9"/>
      <c r="F217" s="79"/>
      <c r="G217" s="35">
        <v>128823400</v>
      </c>
      <c r="H217" s="26">
        <v>126244400</v>
      </c>
      <c r="I217" s="36">
        <v>2579000</v>
      </c>
      <c r="J217" s="48">
        <f t="shared" si="120"/>
        <v>128823400</v>
      </c>
      <c r="K217" s="52">
        <v>126244400</v>
      </c>
      <c r="L217" s="53">
        <v>2579000</v>
      </c>
      <c r="M217" s="48">
        <f t="shared" si="114"/>
        <v>0</v>
      </c>
      <c r="N217" s="52">
        <v>0</v>
      </c>
      <c r="O217" s="53">
        <v>0</v>
      </c>
      <c r="P217" s="48">
        <f t="shared" si="115"/>
        <v>0</v>
      </c>
      <c r="Q217" s="52">
        <v>0</v>
      </c>
      <c r="R217" s="53">
        <v>0</v>
      </c>
      <c r="S217" s="48">
        <f t="shared" si="116"/>
        <v>0</v>
      </c>
      <c r="T217" s="52">
        <v>0</v>
      </c>
      <c r="U217" s="53">
        <v>0</v>
      </c>
      <c r="V217" s="68">
        <f t="shared" si="119"/>
        <v>0</v>
      </c>
      <c r="W217" s="69">
        <v>0</v>
      </c>
    </row>
    <row r="218" spans="1:23" ht="30" customHeight="1">
      <c r="A218" s="108" t="s">
        <v>250</v>
      </c>
      <c r="B218" s="108"/>
      <c r="C218" s="108"/>
      <c r="D218" s="108"/>
      <c r="E218" s="108"/>
      <c r="F218" s="109"/>
      <c r="G218" s="35">
        <v>267265056</v>
      </c>
      <c r="H218" s="26"/>
      <c r="I218" s="36">
        <v>267265056</v>
      </c>
      <c r="J218" s="48">
        <f t="shared" si="120"/>
        <v>267265056</v>
      </c>
      <c r="K218" s="52"/>
      <c r="L218" s="53">
        <v>267265056</v>
      </c>
      <c r="M218" s="48">
        <f t="shared" si="114"/>
        <v>153656565</v>
      </c>
      <c r="N218" s="52"/>
      <c r="O218" s="53">
        <f>O220</f>
        <v>153656565</v>
      </c>
      <c r="P218" s="48">
        <f t="shared" si="115"/>
        <v>153656565</v>
      </c>
      <c r="Q218" s="52"/>
      <c r="R218" s="53">
        <f>R219</f>
        <v>153656565</v>
      </c>
      <c r="S218" s="48">
        <f t="shared" si="116"/>
        <v>153656565</v>
      </c>
      <c r="T218" s="52"/>
      <c r="U218" s="53">
        <f>U219</f>
        <v>153656565</v>
      </c>
      <c r="V218" s="68"/>
      <c r="W218" s="69"/>
    </row>
    <row r="219" spans="1:23" s="16" customFormat="1">
      <c r="A219" s="110" t="s">
        <v>100</v>
      </c>
      <c r="B219" s="110"/>
      <c r="C219" s="110"/>
      <c r="D219" s="110"/>
      <c r="E219" s="110"/>
      <c r="F219" s="111"/>
      <c r="G219" s="33">
        <v>267265056</v>
      </c>
      <c r="H219" s="25"/>
      <c r="I219" s="34">
        <v>267265056</v>
      </c>
      <c r="J219" s="54">
        <v>267265056</v>
      </c>
      <c r="K219" s="55"/>
      <c r="L219" s="56">
        <v>267265056</v>
      </c>
      <c r="M219" s="54">
        <f>N219+O219</f>
        <v>153656565</v>
      </c>
      <c r="N219" s="55"/>
      <c r="O219" s="56">
        <f>O220</f>
        <v>153656565</v>
      </c>
      <c r="P219" s="54">
        <f>Q219+R219</f>
        <v>153656565</v>
      </c>
      <c r="Q219" s="55"/>
      <c r="R219" s="56">
        <f>R220</f>
        <v>153656565</v>
      </c>
      <c r="S219" s="54">
        <f>T219+U219</f>
        <v>153656565</v>
      </c>
      <c r="T219" s="55"/>
      <c r="U219" s="56">
        <f>U220</f>
        <v>153656565</v>
      </c>
      <c r="V219" s="72">
        <f>S219/J219*100</f>
        <v>57.492201674131316</v>
      </c>
      <c r="W219" s="73">
        <f t="shared" ref="W219:W258" si="121">S219/M219*100</f>
        <v>100</v>
      </c>
    </row>
    <row r="220" spans="1:23" ht="90">
      <c r="A220" s="9" t="s">
        <v>251</v>
      </c>
      <c r="B220" s="6" t="s">
        <v>13</v>
      </c>
      <c r="C220" s="6" t="s">
        <v>102</v>
      </c>
      <c r="D220" s="6" t="s">
        <v>252</v>
      </c>
      <c r="E220" s="6" t="s">
        <v>253</v>
      </c>
      <c r="F220" s="78" t="s">
        <v>25</v>
      </c>
      <c r="G220" s="35">
        <v>267265056</v>
      </c>
      <c r="H220" s="26"/>
      <c r="I220" s="36">
        <v>267265056</v>
      </c>
      <c r="J220" s="48">
        <v>267265056</v>
      </c>
      <c r="K220" s="52"/>
      <c r="L220" s="53">
        <v>267265056</v>
      </c>
      <c r="M220" s="48">
        <f>N220+O220</f>
        <v>153656565</v>
      </c>
      <c r="N220" s="52"/>
      <c r="O220" s="53">
        <v>153656565</v>
      </c>
      <c r="P220" s="48">
        <f>Q220+R220</f>
        <v>153656565</v>
      </c>
      <c r="Q220" s="52"/>
      <c r="R220" s="53">
        <v>153656565</v>
      </c>
      <c r="S220" s="48">
        <f>T220+U220</f>
        <v>153656565</v>
      </c>
      <c r="T220" s="52"/>
      <c r="U220" s="53">
        <v>153656565</v>
      </c>
      <c r="V220" s="68">
        <f t="shared" si="119"/>
        <v>57.492201674131316</v>
      </c>
      <c r="W220" s="69">
        <f t="shared" si="121"/>
        <v>100</v>
      </c>
    </row>
    <row r="221" spans="1:23" s="16" customFormat="1" ht="32.25" customHeight="1">
      <c r="A221" s="112" t="s">
        <v>254</v>
      </c>
      <c r="B221" s="112"/>
      <c r="C221" s="112"/>
      <c r="D221" s="112"/>
      <c r="E221" s="112"/>
      <c r="F221" s="113"/>
      <c r="G221" s="33">
        <f>G222+G223</f>
        <v>394399689.64999998</v>
      </c>
      <c r="H221" s="25">
        <v>299079700</v>
      </c>
      <c r="I221" s="34">
        <f>I222+I223</f>
        <v>95319989.650000006</v>
      </c>
      <c r="J221" s="54">
        <f>J222+J223</f>
        <v>380255995.61000001</v>
      </c>
      <c r="K221" s="55">
        <v>299079700</v>
      </c>
      <c r="L221" s="56">
        <f>L222+L223</f>
        <v>81176295.610000014</v>
      </c>
      <c r="M221" s="54">
        <f>M222+M223</f>
        <v>35129649.310000002</v>
      </c>
      <c r="N221" s="55">
        <f>N222</f>
        <v>0</v>
      </c>
      <c r="O221" s="56">
        <f>O222+O223</f>
        <v>35129649.310000002</v>
      </c>
      <c r="P221" s="54">
        <f>P222+P223</f>
        <v>25092670.510000002</v>
      </c>
      <c r="Q221" s="55">
        <f>Q222</f>
        <v>0</v>
      </c>
      <c r="R221" s="56">
        <f>R222+R223</f>
        <v>25092670.510000002</v>
      </c>
      <c r="S221" s="54">
        <f>S222+S223</f>
        <v>25092670.510000002</v>
      </c>
      <c r="T221" s="55">
        <f>T222</f>
        <v>0</v>
      </c>
      <c r="U221" s="56">
        <f>U222+U223</f>
        <v>25092670.510000002</v>
      </c>
      <c r="V221" s="72">
        <f t="shared" si="119"/>
        <v>6.5988888537435884</v>
      </c>
      <c r="W221" s="73">
        <f t="shared" si="121"/>
        <v>71.428753212338862</v>
      </c>
    </row>
    <row r="222" spans="1:23">
      <c r="A222" s="108" t="s">
        <v>7</v>
      </c>
      <c r="B222" s="108"/>
      <c r="C222" s="108"/>
      <c r="D222" s="108"/>
      <c r="E222" s="108"/>
      <c r="F222" s="109"/>
      <c r="G222" s="35">
        <f>H222+I222</f>
        <v>332310777.77999997</v>
      </c>
      <c r="H222" s="26">
        <v>299079700</v>
      </c>
      <c r="I222" s="36">
        <f>I226</f>
        <v>33231077.780000001</v>
      </c>
      <c r="J222" s="48">
        <f>K222+L222</f>
        <v>332310777.77999997</v>
      </c>
      <c r="K222" s="52">
        <v>299079700</v>
      </c>
      <c r="L222" s="53">
        <f>L226</f>
        <v>33231077.780000001</v>
      </c>
      <c r="M222" s="48">
        <f>N222+O222</f>
        <v>0</v>
      </c>
      <c r="N222" s="52">
        <f>N226</f>
        <v>0</v>
      </c>
      <c r="O222" s="53">
        <f>O226</f>
        <v>0</v>
      </c>
      <c r="P222" s="48">
        <f>Q222+R222</f>
        <v>0</v>
      </c>
      <c r="Q222" s="52">
        <f>Q226</f>
        <v>0</v>
      </c>
      <c r="R222" s="53">
        <f>R226</f>
        <v>0</v>
      </c>
      <c r="S222" s="48">
        <f>T222+U222</f>
        <v>0</v>
      </c>
      <c r="T222" s="52">
        <f>T226</f>
        <v>0</v>
      </c>
      <c r="U222" s="53">
        <f>U226</f>
        <v>0</v>
      </c>
      <c r="V222" s="68">
        <f t="shared" si="119"/>
        <v>0</v>
      </c>
      <c r="W222" s="69">
        <v>0</v>
      </c>
    </row>
    <row r="223" spans="1:23">
      <c r="A223" s="108" t="s">
        <v>8</v>
      </c>
      <c r="B223" s="108"/>
      <c r="C223" s="108"/>
      <c r="D223" s="108"/>
      <c r="E223" s="108"/>
      <c r="F223" s="109"/>
      <c r="G223" s="35">
        <f>G224-G222</f>
        <v>62088911.870000005</v>
      </c>
      <c r="H223" s="26"/>
      <c r="I223" s="36">
        <f>I227+I228+I229</f>
        <v>62088911.870000005</v>
      </c>
      <c r="J223" s="48">
        <f>J224-J222</f>
        <v>47945217.830000043</v>
      </c>
      <c r="K223" s="52"/>
      <c r="L223" s="53">
        <f>L227+L228+L229</f>
        <v>47945217.830000006</v>
      </c>
      <c r="M223" s="48">
        <f>M224-M222</f>
        <v>35129649.310000002</v>
      </c>
      <c r="N223" s="52"/>
      <c r="O223" s="53">
        <f>O227+O228+O229</f>
        <v>35129649.310000002</v>
      </c>
      <c r="P223" s="48">
        <f>P224-P222</f>
        <v>25092670.510000002</v>
      </c>
      <c r="Q223" s="52"/>
      <c r="R223" s="53">
        <f>R227+R228+R229</f>
        <v>25092670.510000002</v>
      </c>
      <c r="S223" s="48">
        <f>S224-S222</f>
        <v>25092670.510000002</v>
      </c>
      <c r="T223" s="52"/>
      <c r="U223" s="53">
        <f>U227+U228+U229</f>
        <v>25092670.510000002</v>
      </c>
      <c r="V223" s="68">
        <f t="shared" si="119"/>
        <v>52.336127867791525</v>
      </c>
      <c r="W223" s="69">
        <f t="shared" si="121"/>
        <v>71.428753212338862</v>
      </c>
    </row>
    <row r="224" spans="1:23" s="16" customFormat="1">
      <c r="A224" s="110" t="s">
        <v>11</v>
      </c>
      <c r="B224" s="110"/>
      <c r="C224" s="110"/>
      <c r="D224" s="110"/>
      <c r="E224" s="110"/>
      <c r="F224" s="111"/>
      <c r="G224" s="33">
        <f>H224+I224</f>
        <v>394399689.64999998</v>
      </c>
      <c r="H224" s="25">
        <f>H225</f>
        <v>299079700</v>
      </c>
      <c r="I224" s="34">
        <f>I225+I228+I229</f>
        <v>95319989.650000006</v>
      </c>
      <c r="J224" s="54">
        <f>K224+L224</f>
        <v>380255995.61000001</v>
      </c>
      <c r="K224" s="55">
        <f>K225</f>
        <v>299079700</v>
      </c>
      <c r="L224" s="56">
        <f>L225+L228+L229</f>
        <v>81176295.610000014</v>
      </c>
      <c r="M224" s="54">
        <f>N224+O224</f>
        <v>35129649.310000002</v>
      </c>
      <c r="N224" s="55">
        <f>N225</f>
        <v>0</v>
      </c>
      <c r="O224" s="56">
        <f>O225+O228+O229</f>
        <v>35129649.310000002</v>
      </c>
      <c r="P224" s="54">
        <f>Q224+R224</f>
        <v>25092670.510000002</v>
      </c>
      <c r="Q224" s="55">
        <f>Q225</f>
        <v>0</v>
      </c>
      <c r="R224" s="56">
        <f>R225+R228+R229</f>
        <v>25092670.510000002</v>
      </c>
      <c r="S224" s="54">
        <f>T224+U224</f>
        <v>25092670.510000002</v>
      </c>
      <c r="T224" s="55">
        <f>T225</f>
        <v>0</v>
      </c>
      <c r="U224" s="56">
        <f>U225+U228+U229</f>
        <v>25092670.510000002</v>
      </c>
      <c r="V224" s="72">
        <f t="shared" si="119"/>
        <v>6.5988888537435884</v>
      </c>
      <c r="W224" s="73">
        <f t="shared" si="121"/>
        <v>71.428753212338862</v>
      </c>
    </row>
    <row r="225" spans="1:23" ht="109.5" customHeight="1">
      <c r="A225" s="9" t="s">
        <v>255</v>
      </c>
      <c r="B225" s="6" t="s">
        <v>13</v>
      </c>
      <c r="C225" s="6" t="s">
        <v>13</v>
      </c>
      <c r="D225" s="6" t="s">
        <v>256</v>
      </c>
      <c r="E225" s="6" t="s">
        <v>15</v>
      </c>
      <c r="F225" s="78" t="s">
        <v>257</v>
      </c>
      <c r="G225" s="35">
        <f>H225+I225</f>
        <v>332975521.80000001</v>
      </c>
      <c r="H225" s="26">
        <v>299079700</v>
      </c>
      <c r="I225" s="36">
        <f>I226+I227</f>
        <v>33895821.800000004</v>
      </c>
      <c r="J225" s="48">
        <f>K225+L225</f>
        <v>332975521.80000001</v>
      </c>
      <c r="K225" s="52">
        <v>299079700</v>
      </c>
      <c r="L225" s="53">
        <f>L226+L227</f>
        <v>33895821.800000004</v>
      </c>
      <c r="M225" s="48">
        <f>N225+O225</f>
        <v>0</v>
      </c>
      <c r="N225" s="52">
        <f>N226</f>
        <v>0</v>
      </c>
      <c r="O225" s="53">
        <f>O226+O227</f>
        <v>0</v>
      </c>
      <c r="P225" s="48">
        <f>Q225+R225</f>
        <v>0</v>
      </c>
      <c r="Q225" s="52">
        <f>Q226</f>
        <v>0</v>
      </c>
      <c r="R225" s="53">
        <f>R226+R227</f>
        <v>0</v>
      </c>
      <c r="S225" s="48">
        <f>T225+U225</f>
        <v>0</v>
      </c>
      <c r="T225" s="52">
        <f>T226</f>
        <v>0</v>
      </c>
      <c r="U225" s="53">
        <f>U226+U227</f>
        <v>0</v>
      </c>
      <c r="V225" s="68">
        <f t="shared" si="119"/>
        <v>0</v>
      </c>
      <c r="W225" s="69">
        <v>0</v>
      </c>
    </row>
    <row r="226" spans="1:23" ht="45">
      <c r="A226" s="9" t="s">
        <v>258</v>
      </c>
      <c r="B226" s="6" t="s">
        <v>259</v>
      </c>
      <c r="C226" s="9"/>
      <c r="D226" s="9"/>
      <c r="E226" s="9"/>
      <c r="F226" s="79"/>
      <c r="G226" s="35">
        <f>H226+I226</f>
        <v>332310777.77999997</v>
      </c>
      <c r="H226" s="26">
        <v>299079700</v>
      </c>
      <c r="I226" s="36">
        <v>33231077.780000001</v>
      </c>
      <c r="J226" s="48">
        <f>K226+L226</f>
        <v>332310777.77999997</v>
      </c>
      <c r="K226" s="52">
        <v>299079700</v>
      </c>
      <c r="L226" s="53">
        <v>33231077.780000001</v>
      </c>
      <c r="M226" s="48">
        <f t="shared" ref="M226:M229" si="122">N226+O226</f>
        <v>0</v>
      </c>
      <c r="N226" s="52"/>
      <c r="O226" s="53">
        <v>0</v>
      </c>
      <c r="P226" s="48">
        <f>Q226+R226</f>
        <v>0</v>
      </c>
      <c r="Q226" s="52"/>
      <c r="R226" s="53">
        <v>0</v>
      </c>
      <c r="S226" s="48">
        <f>T226+U226</f>
        <v>0</v>
      </c>
      <c r="T226" s="52"/>
      <c r="U226" s="53">
        <v>0</v>
      </c>
      <c r="V226" s="68">
        <f t="shared" si="119"/>
        <v>0</v>
      </c>
      <c r="W226" s="69">
        <v>0</v>
      </c>
    </row>
    <row r="227" spans="1:23">
      <c r="A227" s="9" t="s">
        <v>22</v>
      </c>
      <c r="B227" s="6" t="s">
        <v>13</v>
      </c>
      <c r="C227" s="9"/>
      <c r="D227" s="9"/>
      <c r="E227" s="9"/>
      <c r="F227" s="79"/>
      <c r="G227" s="35">
        <v>664744.02</v>
      </c>
      <c r="H227" s="26"/>
      <c r="I227" s="36">
        <v>664744.02</v>
      </c>
      <c r="J227" s="48">
        <v>664744.02</v>
      </c>
      <c r="K227" s="52"/>
      <c r="L227" s="53">
        <v>664744.02</v>
      </c>
      <c r="M227" s="48">
        <f t="shared" si="122"/>
        <v>0</v>
      </c>
      <c r="N227" s="52"/>
      <c r="O227" s="53"/>
      <c r="P227" s="48">
        <v>0</v>
      </c>
      <c r="Q227" s="52"/>
      <c r="R227" s="53">
        <v>0</v>
      </c>
      <c r="S227" s="48">
        <v>0</v>
      </c>
      <c r="T227" s="52"/>
      <c r="U227" s="53">
        <v>0</v>
      </c>
      <c r="V227" s="68">
        <f t="shared" si="119"/>
        <v>0</v>
      </c>
      <c r="W227" s="69">
        <v>0</v>
      </c>
    </row>
    <row r="228" spans="1:23" ht="123.75" customHeight="1">
      <c r="A228" s="9" t="s">
        <v>260</v>
      </c>
      <c r="B228" s="6" t="s">
        <v>13</v>
      </c>
      <c r="C228" s="6" t="s">
        <v>13</v>
      </c>
      <c r="D228" s="6" t="s">
        <v>261</v>
      </c>
      <c r="E228" s="6" t="s">
        <v>15</v>
      </c>
      <c r="F228" s="78" t="s">
        <v>61</v>
      </c>
      <c r="G228" s="41">
        <f>I228</f>
        <v>60424167.850000001</v>
      </c>
      <c r="H228" s="27"/>
      <c r="I228" s="42">
        <v>60424167.850000001</v>
      </c>
      <c r="J228" s="62">
        <f>L228</f>
        <v>42780473.810000002</v>
      </c>
      <c r="K228" s="50"/>
      <c r="L228" s="61">
        <v>42780473.810000002</v>
      </c>
      <c r="M228" s="48">
        <f t="shared" si="122"/>
        <v>34129649.310000002</v>
      </c>
      <c r="N228" s="50"/>
      <c r="O228" s="61">
        <v>34129649.310000002</v>
      </c>
      <c r="P228" s="62">
        <f>R228</f>
        <v>25092670.510000002</v>
      </c>
      <c r="Q228" s="50"/>
      <c r="R228" s="61">
        <v>25092670.510000002</v>
      </c>
      <c r="S228" s="62">
        <f>U228</f>
        <v>25092670.510000002</v>
      </c>
      <c r="T228" s="50"/>
      <c r="U228" s="61">
        <v>25092670.510000002</v>
      </c>
      <c r="V228" s="68">
        <f t="shared" si="119"/>
        <v>58.654494154140366</v>
      </c>
      <c r="W228" s="69">
        <f t="shared" si="121"/>
        <v>73.521618350317581</v>
      </c>
    </row>
    <row r="229" spans="1:23" ht="106.5" customHeight="1">
      <c r="A229" s="9" t="s">
        <v>262</v>
      </c>
      <c r="B229" s="6" t="s">
        <v>13</v>
      </c>
      <c r="C229" s="6" t="s">
        <v>13</v>
      </c>
      <c r="D229" s="6" t="s">
        <v>263</v>
      </c>
      <c r="E229" s="6" t="s">
        <v>15</v>
      </c>
      <c r="F229" s="78" t="s">
        <v>43</v>
      </c>
      <c r="G229" s="35">
        <v>1000000</v>
      </c>
      <c r="H229" s="26"/>
      <c r="I229" s="36">
        <v>1000000</v>
      </c>
      <c r="J229" s="48">
        <f>L229</f>
        <v>4500000</v>
      </c>
      <c r="K229" s="52"/>
      <c r="L229" s="53">
        <v>4500000</v>
      </c>
      <c r="M229" s="48">
        <f t="shared" si="122"/>
        <v>1000000</v>
      </c>
      <c r="N229" s="52"/>
      <c r="O229" s="53">
        <v>1000000</v>
      </c>
      <c r="P229" s="48">
        <f>R229</f>
        <v>0</v>
      </c>
      <c r="Q229" s="52"/>
      <c r="R229" s="53">
        <v>0</v>
      </c>
      <c r="S229" s="48">
        <f>U229</f>
        <v>0</v>
      </c>
      <c r="T229" s="52"/>
      <c r="U229" s="53">
        <v>0</v>
      </c>
      <c r="V229" s="68">
        <f t="shared" si="119"/>
        <v>0</v>
      </c>
      <c r="W229" s="69">
        <v>0</v>
      </c>
    </row>
    <row r="230" spans="1:23" s="16" customFormat="1" ht="33" customHeight="1">
      <c r="A230" s="112" t="s">
        <v>264</v>
      </c>
      <c r="B230" s="112"/>
      <c r="C230" s="112"/>
      <c r="D230" s="112"/>
      <c r="E230" s="112"/>
      <c r="F230" s="113"/>
      <c r="G230" s="33">
        <f>H230+I230</f>
        <v>403313072.69</v>
      </c>
      <c r="H230" s="25">
        <f>H234+H238</f>
        <v>234718000</v>
      </c>
      <c r="I230" s="34">
        <f>I234+I238</f>
        <v>168595072.69</v>
      </c>
      <c r="J230" s="54">
        <f>K230+L230</f>
        <v>403312377.84000003</v>
      </c>
      <c r="K230" s="55">
        <f>K234+K238</f>
        <v>234718000</v>
      </c>
      <c r="L230" s="56">
        <f>L234+L238</f>
        <v>168594377.84</v>
      </c>
      <c r="M230" s="54">
        <f>N230+O230</f>
        <v>227009371.03999996</v>
      </c>
      <c r="N230" s="55">
        <f>N234+N238</f>
        <v>139553903.01999998</v>
      </c>
      <c r="O230" s="56">
        <f>O234+O238</f>
        <v>87455468.019999996</v>
      </c>
      <c r="P230" s="54">
        <f>Q230+R230</f>
        <v>208773477.62</v>
      </c>
      <c r="Q230" s="55">
        <f>Q234+Q238</f>
        <v>127898091.34999999</v>
      </c>
      <c r="R230" s="56">
        <f>R234+R238</f>
        <v>80875386.269999996</v>
      </c>
      <c r="S230" s="54">
        <f>T230+U230</f>
        <v>208769329.96999997</v>
      </c>
      <c r="T230" s="55">
        <f>T234+T238</f>
        <v>127894026.70999999</v>
      </c>
      <c r="U230" s="56">
        <f>U234+U238</f>
        <v>80875303.25999999</v>
      </c>
      <c r="V230" s="72">
        <f t="shared" si="119"/>
        <v>51.763680323449393</v>
      </c>
      <c r="W230" s="73">
        <f t="shared" si="121"/>
        <v>91.965071315586343</v>
      </c>
    </row>
    <row r="231" spans="1:23">
      <c r="A231" s="108" t="s">
        <v>7</v>
      </c>
      <c r="B231" s="108"/>
      <c r="C231" s="108"/>
      <c r="D231" s="108"/>
      <c r="E231" s="108"/>
      <c r="F231" s="109"/>
      <c r="G231" s="35"/>
      <c r="H231" s="26"/>
      <c r="I231" s="36"/>
      <c r="J231" s="48"/>
      <c r="K231" s="52"/>
      <c r="L231" s="53"/>
      <c r="M231" s="48"/>
      <c r="N231" s="52"/>
      <c r="O231" s="53"/>
      <c r="P231" s="48"/>
      <c r="Q231" s="52"/>
      <c r="R231" s="53"/>
      <c r="S231" s="48"/>
      <c r="T231" s="52"/>
      <c r="U231" s="53"/>
      <c r="V231" s="68">
        <v>0</v>
      </c>
      <c r="W231" s="69">
        <v>0</v>
      </c>
    </row>
    <row r="232" spans="1:23">
      <c r="A232" s="108" t="s">
        <v>8</v>
      </c>
      <c r="B232" s="108"/>
      <c r="C232" s="108"/>
      <c r="D232" s="108"/>
      <c r="E232" s="108"/>
      <c r="F232" s="109"/>
      <c r="G232" s="35">
        <f>H232+I232</f>
        <v>403313072.69</v>
      </c>
      <c r="H232" s="26">
        <f>H235+H236+H239+H240+H243</f>
        <v>234718000</v>
      </c>
      <c r="I232" s="36">
        <f>I235+I236+I239+I240+I241+I243</f>
        <v>168595072.69</v>
      </c>
      <c r="J232" s="48">
        <f>K232+L232</f>
        <v>403312377.84000003</v>
      </c>
      <c r="K232" s="52">
        <f>K235+K236+K239+K240+K243</f>
        <v>234718000</v>
      </c>
      <c r="L232" s="53">
        <f>L235+L236+L239+L240+L241+L243</f>
        <v>168594377.84</v>
      </c>
      <c r="M232" s="48">
        <f>N232+O232</f>
        <v>227009371.04000002</v>
      </c>
      <c r="N232" s="52">
        <f>N235+N236+N239+N240+N243</f>
        <v>139553903.02000001</v>
      </c>
      <c r="O232" s="53">
        <f>O235+O236+O239+O240+O241+O243</f>
        <v>87455468.019999996</v>
      </c>
      <c r="P232" s="48">
        <f>Q232+R232</f>
        <v>208773477.62</v>
      </c>
      <c r="Q232" s="52">
        <f>Q235+Q236+Q239+Q240+Q243</f>
        <v>127898091.34999999</v>
      </c>
      <c r="R232" s="53">
        <f>R235+R236+R239+R240+R241+R243</f>
        <v>80875386.269999996</v>
      </c>
      <c r="S232" s="48">
        <f>T232+U232</f>
        <v>208769329.96999997</v>
      </c>
      <c r="T232" s="52">
        <f>T235+T236+T239+T240+T243</f>
        <v>127894026.70999999</v>
      </c>
      <c r="U232" s="53">
        <f>U235+U236+U239+U240+U241+U243</f>
        <v>80875303.25999999</v>
      </c>
      <c r="V232" s="68">
        <f t="shared" si="119"/>
        <v>51.763680323449393</v>
      </c>
      <c r="W232" s="69">
        <f t="shared" si="121"/>
        <v>91.965071315586314</v>
      </c>
    </row>
    <row r="233" spans="1:23">
      <c r="A233" s="108" t="s">
        <v>265</v>
      </c>
      <c r="B233" s="108"/>
      <c r="C233" s="108"/>
      <c r="D233" s="108"/>
      <c r="E233" s="108"/>
      <c r="F233" s="109"/>
      <c r="G233" s="35">
        <v>64310011.109999999</v>
      </c>
      <c r="H233" s="26">
        <v>23450000</v>
      </c>
      <c r="I233" s="36">
        <v>40860011.109999999</v>
      </c>
      <c r="J233" s="48">
        <f>K233+L233</f>
        <v>64310011.109999999</v>
      </c>
      <c r="K233" s="52">
        <v>23450000</v>
      </c>
      <c r="L233" s="53">
        <v>40860011.109999999</v>
      </c>
      <c r="M233" s="48">
        <f>N233+O233</f>
        <v>64310011.109999999</v>
      </c>
      <c r="N233" s="52">
        <v>23450000</v>
      </c>
      <c r="O233" s="53">
        <v>40860011.109999999</v>
      </c>
      <c r="P233" s="48">
        <f>Q233+R233</f>
        <v>64310011.109999999</v>
      </c>
      <c r="Q233" s="52">
        <v>23450000</v>
      </c>
      <c r="R233" s="53">
        <v>40860011.109999999</v>
      </c>
      <c r="S233" s="48">
        <f>T233+U233</f>
        <v>64310011.109999999</v>
      </c>
      <c r="T233" s="52">
        <v>23450000</v>
      </c>
      <c r="U233" s="53">
        <v>40860011.109999999</v>
      </c>
      <c r="V233" s="68">
        <f t="shared" si="119"/>
        <v>100</v>
      </c>
      <c r="W233" s="69">
        <f t="shared" si="121"/>
        <v>100</v>
      </c>
    </row>
    <row r="234" spans="1:23" s="16" customFormat="1">
      <c r="A234" s="110" t="s">
        <v>11</v>
      </c>
      <c r="B234" s="110"/>
      <c r="C234" s="110"/>
      <c r="D234" s="110"/>
      <c r="E234" s="110"/>
      <c r="F234" s="111"/>
      <c r="G234" s="33">
        <f>H234+I234</f>
        <v>64310011.109999999</v>
      </c>
      <c r="H234" s="25">
        <f>H235+H236</f>
        <v>23450000</v>
      </c>
      <c r="I234" s="34">
        <f>I235+I236</f>
        <v>40860011.109999999</v>
      </c>
      <c r="J234" s="54">
        <f>K234+L234</f>
        <v>64310011.109999999</v>
      </c>
      <c r="K234" s="55">
        <f>K235+K236</f>
        <v>23450000</v>
      </c>
      <c r="L234" s="56">
        <f>L235+L236</f>
        <v>40860011.109999999</v>
      </c>
      <c r="M234" s="54">
        <f>N234+O234</f>
        <v>20994163.75</v>
      </c>
      <c r="N234" s="55">
        <f>N235+N236</f>
        <v>17191454</v>
      </c>
      <c r="O234" s="56">
        <f>O235+O236</f>
        <v>3802709.75</v>
      </c>
      <c r="P234" s="54">
        <f>Q234+R234</f>
        <v>20993372.739999998</v>
      </c>
      <c r="Q234" s="55">
        <f>Q235+Q236</f>
        <v>17190889.359999999</v>
      </c>
      <c r="R234" s="56">
        <f>R235+R236</f>
        <v>3802483.38</v>
      </c>
      <c r="S234" s="54">
        <f>T234+U234</f>
        <v>20990375.739999998</v>
      </c>
      <c r="T234" s="55">
        <f>T235+T236</f>
        <v>17187952.359999999</v>
      </c>
      <c r="U234" s="56">
        <f>U235+U236</f>
        <v>3802423.38</v>
      </c>
      <c r="V234" s="72">
        <f t="shared" si="119"/>
        <v>32.639359530037559</v>
      </c>
      <c r="W234" s="73">
        <f t="shared" si="121"/>
        <v>99.9819568426487</v>
      </c>
    </row>
    <row r="235" spans="1:23" ht="135">
      <c r="A235" s="9" t="s">
        <v>266</v>
      </c>
      <c r="B235" s="6" t="s">
        <v>13</v>
      </c>
      <c r="C235" s="6" t="s">
        <v>13</v>
      </c>
      <c r="D235" s="6" t="s">
        <v>267</v>
      </c>
      <c r="E235" s="6" t="s">
        <v>268</v>
      </c>
      <c r="F235" s="78" t="s">
        <v>21</v>
      </c>
      <c r="G235" s="35">
        <f>H235+I235</f>
        <v>16614100</v>
      </c>
      <c r="H235" s="26">
        <v>11725000</v>
      </c>
      <c r="I235" s="36">
        <v>4889100</v>
      </c>
      <c r="J235" s="48">
        <f t="shared" ref="J235:J237" si="123">K235+L235</f>
        <v>16614100</v>
      </c>
      <c r="K235" s="52">
        <v>11725000</v>
      </c>
      <c r="L235" s="53">
        <v>4889100</v>
      </c>
      <c r="M235" s="48">
        <f t="shared" ref="M235:M237" si="124">N235+O235</f>
        <v>5578343.0800000001</v>
      </c>
      <c r="N235" s="52">
        <v>5466454</v>
      </c>
      <c r="O235" s="53">
        <v>111889.08</v>
      </c>
      <c r="P235" s="48">
        <f t="shared" ref="P235:P237" si="125">Q235+R235</f>
        <v>5577552.0700000003</v>
      </c>
      <c r="Q235" s="52">
        <v>5465889.3600000003</v>
      </c>
      <c r="R235" s="53">
        <v>111662.71</v>
      </c>
      <c r="S235" s="48">
        <f t="shared" ref="S235:S237" si="126">T235+U235</f>
        <v>5577552.0700000003</v>
      </c>
      <c r="T235" s="52">
        <v>5465889.3600000003</v>
      </c>
      <c r="U235" s="53">
        <v>111662.71</v>
      </c>
      <c r="V235" s="68">
        <f t="shared" si="119"/>
        <v>33.571195972095992</v>
      </c>
      <c r="W235" s="69">
        <f t="shared" si="121"/>
        <v>99.985819982947348</v>
      </c>
    </row>
    <row r="236" spans="1:23" ht="120">
      <c r="A236" s="9" t="s">
        <v>269</v>
      </c>
      <c r="B236" s="6" t="s">
        <v>13</v>
      </c>
      <c r="C236" s="6" t="s">
        <v>13</v>
      </c>
      <c r="D236" s="6" t="s">
        <v>270</v>
      </c>
      <c r="E236" s="6" t="s">
        <v>271</v>
      </c>
      <c r="F236" s="78" t="s">
        <v>21</v>
      </c>
      <c r="G236" s="35">
        <f>H236+I236</f>
        <v>47695911.109999999</v>
      </c>
      <c r="H236" s="26">
        <v>11725000</v>
      </c>
      <c r="I236" s="36">
        <v>35970911.109999999</v>
      </c>
      <c r="J236" s="48">
        <f t="shared" si="123"/>
        <v>47695911.109999999</v>
      </c>
      <c r="K236" s="52">
        <v>11725000</v>
      </c>
      <c r="L236" s="53">
        <v>35970911.109999999</v>
      </c>
      <c r="M236" s="48">
        <f t="shared" si="124"/>
        <v>15415820.67</v>
      </c>
      <c r="N236" s="52">
        <v>11725000</v>
      </c>
      <c r="O236" s="53">
        <f>239530.14+3451290.53</f>
        <v>3690820.67</v>
      </c>
      <c r="P236" s="48">
        <f t="shared" si="125"/>
        <v>15415820.67</v>
      </c>
      <c r="Q236" s="52">
        <v>11725000</v>
      </c>
      <c r="R236" s="53">
        <f>239530.14+3451290.53</f>
        <v>3690820.67</v>
      </c>
      <c r="S236" s="48">
        <f t="shared" si="126"/>
        <v>15412823.67</v>
      </c>
      <c r="T236" s="52">
        <v>11722063</v>
      </c>
      <c r="U236" s="53">
        <f>239470.14+3451290.53</f>
        <v>3690760.67</v>
      </c>
      <c r="V236" s="68">
        <f t="shared" si="119"/>
        <v>32.314769361368846</v>
      </c>
      <c r="W236" s="69">
        <f t="shared" si="121"/>
        <v>99.980558933162527</v>
      </c>
    </row>
    <row r="237" spans="1:23">
      <c r="A237" s="108" t="s">
        <v>272</v>
      </c>
      <c r="B237" s="108"/>
      <c r="C237" s="108"/>
      <c r="D237" s="108"/>
      <c r="E237" s="108"/>
      <c r="F237" s="109"/>
      <c r="G237" s="35">
        <v>314441484.97000003</v>
      </c>
      <c r="H237" s="26">
        <v>187197600</v>
      </c>
      <c r="I237" s="36">
        <v>127243884.97</v>
      </c>
      <c r="J237" s="48">
        <f t="shared" si="123"/>
        <v>314441484.97000003</v>
      </c>
      <c r="K237" s="52">
        <v>187197600</v>
      </c>
      <c r="L237" s="53">
        <v>127243884.97</v>
      </c>
      <c r="M237" s="48">
        <f t="shared" si="124"/>
        <v>314441484.97000003</v>
      </c>
      <c r="N237" s="52">
        <v>187197600</v>
      </c>
      <c r="O237" s="53">
        <v>127243884.97</v>
      </c>
      <c r="P237" s="48">
        <f t="shared" si="125"/>
        <v>314441484.97000003</v>
      </c>
      <c r="Q237" s="52">
        <v>187197600</v>
      </c>
      <c r="R237" s="53">
        <v>127243884.97</v>
      </c>
      <c r="S237" s="48">
        <f t="shared" si="126"/>
        <v>314441484.97000003</v>
      </c>
      <c r="T237" s="52">
        <v>187197600</v>
      </c>
      <c r="U237" s="53">
        <v>127243884.97</v>
      </c>
      <c r="V237" s="68">
        <f t="shared" si="119"/>
        <v>100</v>
      </c>
      <c r="W237" s="69">
        <f t="shared" si="121"/>
        <v>100</v>
      </c>
    </row>
    <row r="238" spans="1:23" s="16" customFormat="1">
      <c r="A238" s="110" t="s">
        <v>11</v>
      </c>
      <c r="B238" s="110"/>
      <c r="C238" s="110"/>
      <c r="D238" s="110"/>
      <c r="E238" s="110"/>
      <c r="F238" s="111"/>
      <c r="G238" s="33">
        <f>H238+I238</f>
        <v>339003061.57999998</v>
      </c>
      <c r="H238" s="25">
        <f>H239+H240+H243</f>
        <v>211268000</v>
      </c>
      <c r="I238" s="34">
        <f>I239+I240+I241+I243</f>
        <v>127735061.58</v>
      </c>
      <c r="J238" s="54">
        <f>K238+L238</f>
        <v>339002366.73000002</v>
      </c>
      <c r="K238" s="55">
        <f>K239+K240+K243</f>
        <v>211268000</v>
      </c>
      <c r="L238" s="56">
        <f>L239+L240+L241+L243</f>
        <v>127734366.73</v>
      </c>
      <c r="M238" s="54">
        <f>N238+O238</f>
        <v>206015207.28999999</v>
      </c>
      <c r="N238" s="55">
        <f>N239+N240+N243</f>
        <v>122362449.02</v>
      </c>
      <c r="O238" s="56">
        <f>O239+O240+O241+O243</f>
        <v>83652758.269999996</v>
      </c>
      <c r="P238" s="54">
        <f>Q238+R238</f>
        <v>187780104.88</v>
      </c>
      <c r="Q238" s="55">
        <f>Q239+Q240+Q243</f>
        <v>110707201.98999999</v>
      </c>
      <c r="R238" s="56">
        <f>R239+R240+R241+R243</f>
        <v>77072902.890000001</v>
      </c>
      <c r="S238" s="54">
        <f>T238+U238</f>
        <v>187778954.22999999</v>
      </c>
      <c r="T238" s="55">
        <f>T239+T240+T243</f>
        <v>110706074.34999999</v>
      </c>
      <c r="U238" s="56">
        <f>U239+U240+U241+U243</f>
        <v>77072879.879999995</v>
      </c>
      <c r="V238" s="72">
        <f t="shared" si="119"/>
        <v>55.39163517980905</v>
      </c>
      <c r="W238" s="73">
        <f t="shared" si="121"/>
        <v>91.148103433777337</v>
      </c>
    </row>
    <row r="239" spans="1:23" ht="75" customHeight="1">
      <c r="A239" s="9" t="s">
        <v>273</v>
      </c>
      <c r="B239" s="6" t="s">
        <v>13</v>
      </c>
      <c r="C239" s="6" t="s">
        <v>13</v>
      </c>
      <c r="D239" s="6" t="s">
        <v>89</v>
      </c>
      <c r="E239" s="6" t="s">
        <v>274</v>
      </c>
      <c r="F239" s="78" t="s">
        <v>21</v>
      </c>
      <c r="G239" s="35">
        <f>H239+I239</f>
        <v>128410748.59999999</v>
      </c>
      <c r="H239" s="26">
        <v>125845700</v>
      </c>
      <c r="I239" s="36">
        <v>2565048.6</v>
      </c>
      <c r="J239" s="48">
        <f t="shared" ref="J239:J243" si="127">K239+L239</f>
        <v>128410053.75</v>
      </c>
      <c r="K239" s="52">
        <f>101775300+24070400</f>
        <v>125845700</v>
      </c>
      <c r="L239" s="53">
        <f>2073871.99+490481.76</f>
        <v>2564353.75</v>
      </c>
      <c r="M239" s="48">
        <f t="shared" ref="M239:M243" si="128">N239+O239</f>
        <v>88502881.760000005</v>
      </c>
      <c r="N239" s="52">
        <f>62664000+24070400</f>
        <v>86734400</v>
      </c>
      <c r="O239" s="53">
        <f>1278000+490481.76</f>
        <v>1768481.76</v>
      </c>
      <c r="P239" s="48">
        <f t="shared" ref="P239:P243" si="129">Q239+R239</f>
        <v>78496735.829999998</v>
      </c>
      <c r="Q239" s="52">
        <f>52858752.97+24070400</f>
        <v>76929152.969999999</v>
      </c>
      <c r="R239" s="53">
        <f>1077101.1+490481.76</f>
        <v>1567582.86</v>
      </c>
      <c r="S239" s="48">
        <f t="shared" ref="S239:S243" si="130">T239+U239</f>
        <v>78496733.219999999</v>
      </c>
      <c r="T239" s="52">
        <f>52858750.41+24070400</f>
        <v>76929150.409999996</v>
      </c>
      <c r="U239" s="53">
        <f>1077101.05+490481.76</f>
        <v>1567582.81</v>
      </c>
      <c r="V239" s="68">
        <f t="shared" si="119"/>
        <v>61.129740956906964</v>
      </c>
      <c r="W239" s="69">
        <f t="shared" si="121"/>
        <v>88.693985618305121</v>
      </c>
    </row>
    <row r="240" spans="1:23" ht="80.25" customHeight="1">
      <c r="A240" s="9" t="s">
        <v>275</v>
      </c>
      <c r="B240" s="6" t="s">
        <v>13</v>
      </c>
      <c r="C240" s="6" t="s">
        <v>13</v>
      </c>
      <c r="D240" s="6" t="s">
        <v>276</v>
      </c>
      <c r="E240" s="6" t="s">
        <v>191</v>
      </c>
      <c r="F240" s="78" t="s">
        <v>21</v>
      </c>
      <c r="G240" s="35">
        <f>H240+I240</f>
        <v>52592560</v>
      </c>
      <c r="H240" s="26">
        <v>51540660</v>
      </c>
      <c r="I240" s="36">
        <v>1051900</v>
      </c>
      <c r="J240" s="48">
        <f t="shared" si="127"/>
        <v>52592560</v>
      </c>
      <c r="K240" s="52">
        <v>51540660</v>
      </c>
      <c r="L240" s="53">
        <v>1051900</v>
      </c>
      <c r="M240" s="48">
        <f t="shared" si="128"/>
        <v>20780070.809999999</v>
      </c>
      <c r="N240" s="52">
        <v>20365093.859999999</v>
      </c>
      <c r="O240" s="53">
        <v>414976.95</v>
      </c>
      <c r="P240" s="48">
        <f t="shared" si="129"/>
        <v>18892970.809999999</v>
      </c>
      <c r="Q240" s="52">
        <v>18515093.859999999</v>
      </c>
      <c r="R240" s="53">
        <v>377876.95</v>
      </c>
      <c r="S240" s="48">
        <f t="shared" si="130"/>
        <v>18891822.77</v>
      </c>
      <c r="T240" s="52">
        <v>18513968.780000001</v>
      </c>
      <c r="U240" s="53">
        <v>377853.99</v>
      </c>
      <c r="V240" s="68">
        <f t="shared" si="119"/>
        <v>35.921093725043995</v>
      </c>
      <c r="W240" s="69">
        <f t="shared" si="121"/>
        <v>90.913178028771128</v>
      </c>
    </row>
    <row r="241" spans="1:23" ht="63" customHeight="1">
      <c r="A241" s="159" t="s">
        <v>307</v>
      </c>
      <c r="B241" s="114" t="s">
        <v>13</v>
      </c>
      <c r="C241" s="114" t="s">
        <v>13</v>
      </c>
      <c r="D241" s="114" t="s">
        <v>277</v>
      </c>
      <c r="E241" s="114" t="s">
        <v>268</v>
      </c>
      <c r="F241" s="122" t="s">
        <v>25</v>
      </c>
      <c r="G241" s="130">
        <v>123426692.98</v>
      </c>
      <c r="H241" s="126"/>
      <c r="I241" s="128">
        <v>123426692.98</v>
      </c>
      <c r="J241" s="94">
        <f t="shared" si="127"/>
        <v>123426692.98</v>
      </c>
      <c r="K241" s="96"/>
      <c r="L241" s="98">
        <v>123426692.98</v>
      </c>
      <c r="M241" s="94">
        <f t="shared" si="128"/>
        <v>81157829.620000005</v>
      </c>
      <c r="N241" s="96"/>
      <c r="O241" s="98">
        <v>81157829.620000005</v>
      </c>
      <c r="P241" s="94">
        <f t="shared" si="129"/>
        <v>74815973.140000001</v>
      </c>
      <c r="Q241" s="96"/>
      <c r="R241" s="98">
        <v>74815973.140000001</v>
      </c>
      <c r="S241" s="94">
        <f t="shared" si="130"/>
        <v>74815973.140000001</v>
      </c>
      <c r="T241" s="96"/>
      <c r="U241" s="98">
        <v>74815973.140000001</v>
      </c>
      <c r="V241" s="88">
        <f t="shared" si="119"/>
        <v>60.615715558483885</v>
      </c>
      <c r="W241" s="90">
        <f t="shared" si="121"/>
        <v>92.185773683581658</v>
      </c>
    </row>
    <row r="242" spans="1:23">
      <c r="A242" s="160"/>
      <c r="B242" s="114"/>
      <c r="C242" s="114"/>
      <c r="D242" s="114"/>
      <c r="E242" s="114"/>
      <c r="F242" s="122"/>
      <c r="G242" s="132"/>
      <c r="H242" s="127"/>
      <c r="I242" s="129"/>
      <c r="J242" s="95"/>
      <c r="K242" s="97"/>
      <c r="L242" s="99"/>
      <c r="M242" s="95"/>
      <c r="N242" s="97"/>
      <c r="O242" s="99"/>
      <c r="P242" s="95"/>
      <c r="Q242" s="97"/>
      <c r="R242" s="99"/>
      <c r="S242" s="95"/>
      <c r="T242" s="97"/>
      <c r="U242" s="99"/>
      <c r="V242" s="89"/>
      <c r="W242" s="91"/>
    </row>
    <row r="243" spans="1:23" ht="90">
      <c r="A243" s="9" t="s">
        <v>306</v>
      </c>
      <c r="B243" s="18" t="s">
        <v>13</v>
      </c>
      <c r="C243" s="18" t="s">
        <v>13</v>
      </c>
      <c r="D243" s="18" t="s">
        <v>278</v>
      </c>
      <c r="E243" s="18" t="s">
        <v>191</v>
      </c>
      <c r="F243" s="78" t="s">
        <v>21</v>
      </c>
      <c r="G243" s="35">
        <f>H243+I243</f>
        <v>34573060</v>
      </c>
      <c r="H243" s="26">
        <v>33881640</v>
      </c>
      <c r="I243" s="36">
        <v>691420</v>
      </c>
      <c r="J243" s="48">
        <f t="shared" si="127"/>
        <v>34573060</v>
      </c>
      <c r="K243" s="52">
        <v>33881640</v>
      </c>
      <c r="L243" s="53">
        <v>691420</v>
      </c>
      <c r="M243" s="48">
        <f t="shared" si="128"/>
        <v>15574425.1</v>
      </c>
      <c r="N243" s="52">
        <v>15262955.16</v>
      </c>
      <c r="O243" s="53">
        <v>311469.94</v>
      </c>
      <c r="P243" s="48">
        <f t="shared" si="129"/>
        <v>15574425.1</v>
      </c>
      <c r="Q243" s="52">
        <v>15262955.16</v>
      </c>
      <c r="R243" s="53">
        <v>311469.94</v>
      </c>
      <c r="S243" s="48">
        <f t="shared" si="130"/>
        <v>15574425.1</v>
      </c>
      <c r="T243" s="52">
        <v>15262955.16</v>
      </c>
      <c r="U243" s="53">
        <v>311469.94</v>
      </c>
      <c r="V243" s="68">
        <f t="shared" si="119"/>
        <v>45.047864146245658</v>
      </c>
      <c r="W243" s="69">
        <f t="shared" si="121"/>
        <v>100</v>
      </c>
    </row>
    <row r="244" spans="1:23" s="16" customFormat="1" ht="29.25" customHeight="1">
      <c r="A244" s="112" t="s">
        <v>279</v>
      </c>
      <c r="B244" s="112"/>
      <c r="C244" s="112"/>
      <c r="D244" s="112"/>
      <c r="E244" s="112"/>
      <c r="F244" s="113"/>
      <c r="G244" s="33">
        <f>G248+G249+G252++G255+G258+G260</f>
        <v>408729207.44</v>
      </c>
      <c r="H244" s="25">
        <f t="shared" ref="H244:I244" si="131">H248+H249+H252++H255+H258+H260</f>
        <v>319500300</v>
      </c>
      <c r="I244" s="34">
        <f t="shared" si="131"/>
        <v>89228907.439999998</v>
      </c>
      <c r="J244" s="54">
        <f>J248+J249+J252++J255+J258+J260</f>
        <v>408729207.44</v>
      </c>
      <c r="K244" s="55">
        <f t="shared" ref="K244:L244" si="132">K248+K249+K252++K255+K258+K260</f>
        <v>319500300</v>
      </c>
      <c r="L244" s="56">
        <f t="shared" si="132"/>
        <v>89228907.439999998</v>
      </c>
      <c r="M244" s="54">
        <f>M248+M249+M252++M255+M258+M260</f>
        <v>209712295.57000002</v>
      </c>
      <c r="N244" s="55">
        <f t="shared" ref="N244:O244" si="133">N248+N249+N252++N255+N258+N260</f>
        <v>198380875.08000001</v>
      </c>
      <c r="O244" s="56">
        <f t="shared" si="133"/>
        <v>11331420.49</v>
      </c>
      <c r="P244" s="54">
        <f>P248+P249+P252++P255+P258+P260</f>
        <v>172730897.45000002</v>
      </c>
      <c r="Q244" s="55">
        <f t="shared" ref="Q244:R244" si="134">Q248+Q249+Q252++Q255+Q258+Q260</f>
        <v>165923371.09</v>
      </c>
      <c r="R244" s="56">
        <f t="shared" si="134"/>
        <v>6807526.3600000003</v>
      </c>
      <c r="S244" s="54">
        <f>S248+S249+S252++S255+S258+S260</f>
        <v>172730897.45000002</v>
      </c>
      <c r="T244" s="55">
        <f t="shared" ref="T244:U244" si="135">T248+T249+T252++T255+T258+T260</f>
        <v>165923371.09</v>
      </c>
      <c r="U244" s="56">
        <f t="shared" si="135"/>
        <v>6807526.3600000003</v>
      </c>
      <c r="V244" s="72">
        <f t="shared" si="119"/>
        <v>42.260473268320645</v>
      </c>
      <c r="W244" s="73">
        <f t="shared" si="121"/>
        <v>82.365650988901621</v>
      </c>
    </row>
    <row r="245" spans="1:23">
      <c r="A245" s="108" t="s">
        <v>7</v>
      </c>
      <c r="B245" s="108"/>
      <c r="C245" s="108"/>
      <c r="D245" s="108"/>
      <c r="E245" s="108"/>
      <c r="F245" s="109"/>
      <c r="G245" s="35">
        <f t="shared" ref="G245:I245" si="136">G244-G246</f>
        <v>326020714.30000001</v>
      </c>
      <c r="H245" s="26">
        <f t="shared" si="136"/>
        <v>319500300</v>
      </c>
      <c r="I245" s="36">
        <f t="shared" si="136"/>
        <v>6520414.299999997</v>
      </c>
      <c r="J245" s="48">
        <f t="shared" ref="J245:L245" si="137">J244-J246</f>
        <v>326020714.30000001</v>
      </c>
      <c r="K245" s="52">
        <f t="shared" si="137"/>
        <v>319500300</v>
      </c>
      <c r="L245" s="53">
        <f t="shared" si="137"/>
        <v>6520414.299999997</v>
      </c>
      <c r="M245" s="48">
        <f t="shared" ref="M245:U245" si="138">M244-M246</f>
        <v>202429464.37000003</v>
      </c>
      <c r="N245" s="52">
        <f t="shared" si="138"/>
        <v>198380875.08000001</v>
      </c>
      <c r="O245" s="53">
        <f t="shared" si="138"/>
        <v>4048589.29</v>
      </c>
      <c r="P245" s="48">
        <f t="shared" si="138"/>
        <v>169309562.33000001</v>
      </c>
      <c r="Q245" s="52">
        <f t="shared" si="138"/>
        <v>165923371.09</v>
      </c>
      <c r="R245" s="53">
        <f t="shared" si="138"/>
        <v>3386191.24</v>
      </c>
      <c r="S245" s="48">
        <f t="shared" si="138"/>
        <v>169309562.33000001</v>
      </c>
      <c r="T245" s="52">
        <f t="shared" si="138"/>
        <v>165923371.09</v>
      </c>
      <c r="U245" s="53">
        <f t="shared" si="138"/>
        <v>3386191.24</v>
      </c>
      <c r="V245" s="68">
        <f t="shared" si="119"/>
        <v>51.932148757334353</v>
      </c>
      <c r="W245" s="69">
        <f t="shared" si="121"/>
        <v>83.638793817354795</v>
      </c>
    </row>
    <row r="246" spans="1:23">
      <c r="A246" s="108" t="s">
        <v>8</v>
      </c>
      <c r="B246" s="108"/>
      <c r="C246" s="108"/>
      <c r="D246" s="108"/>
      <c r="E246" s="108"/>
      <c r="F246" s="109"/>
      <c r="G246" s="35">
        <f t="shared" ref="G246:I246" si="139">G251+G248+G254+G257+G260+G258</f>
        <v>82708493.140000001</v>
      </c>
      <c r="H246" s="26">
        <f t="shared" si="139"/>
        <v>0</v>
      </c>
      <c r="I246" s="36">
        <f t="shared" si="139"/>
        <v>82708493.140000001</v>
      </c>
      <c r="J246" s="48">
        <f t="shared" ref="J246:L246" si="140">J251+J248+J254+J257+J260+J258</f>
        <v>82708493.140000001</v>
      </c>
      <c r="K246" s="52">
        <f t="shared" si="140"/>
        <v>0</v>
      </c>
      <c r="L246" s="53">
        <f t="shared" si="140"/>
        <v>82708493.140000001</v>
      </c>
      <c r="M246" s="48">
        <f t="shared" ref="M246:U246" si="141">M251+M248+M254+M257+M260+M258</f>
        <v>7282831.2000000002</v>
      </c>
      <c r="N246" s="52">
        <f t="shared" si="141"/>
        <v>0</v>
      </c>
      <c r="O246" s="53">
        <f t="shared" si="141"/>
        <v>7282831.2000000002</v>
      </c>
      <c r="P246" s="48">
        <f t="shared" si="141"/>
        <v>3421335.12</v>
      </c>
      <c r="Q246" s="52">
        <f t="shared" si="141"/>
        <v>0</v>
      </c>
      <c r="R246" s="53">
        <f t="shared" si="141"/>
        <v>3421335.12</v>
      </c>
      <c r="S246" s="48">
        <f t="shared" si="141"/>
        <v>3421335.12</v>
      </c>
      <c r="T246" s="52">
        <f t="shared" si="141"/>
        <v>0</v>
      </c>
      <c r="U246" s="53">
        <f t="shared" si="141"/>
        <v>3421335.12</v>
      </c>
      <c r="V246" s="68">
        <f t="shared" si="119"/>
        <v>4.1366188526838874</v>
      </c>
      <c r="W246" s="69">
        <f t="shared" si="121"/>
        <v>46.978091706972421</v>
      </c>
    </row>
    <row r="247" spans="1:23" s="16" customFormat="1">
      <c r="A247" s="110" t="s">
        <v>11</v>
      </c>
      <c r="B247" s="110"/>
      <c r="C247" s="110"/>
      <c r="D247" s="110"/>
      <c r="E247" s="110"/>
      <c r="F247" s="111"/>
      <c r="G247" s="33">
        <f t="shared" ref="G247:I247" si="142">G248+G249+G252+G255+G258</f>
        <v>401729207.44</v>
      </c>
      <c r="H247" s="25">
        <f>H248+H249+H252+H255+H258</f>
        <v>319500300</v>
      </c>
      <c r="I247" s="34">
        <f t="shared" si="142"/>
        <v>82228907.439999998</v>
      </c>
      <c r="J247" s="54">
        <f t="shared" ref="J247" si="143">J248+J249+J252+J255+J258</f>
        <v>401729207.44</v>
      </c>
      <c r="K247" s="55">
        <f>K248+K249+K252+K255+K258</f>
        <v>319500300</v>
      </c>
      <c r="L247" s="56">
        <f t="shared" ref="L247:M247" si="144">L248+L249+L252+L255+L258</f>
        <v>82228907.439999998</v>
      </c>
      <c r="M247" s="54">
        <f t="shared" si="144"/>
        <v>206212295.57000002</v>
      </c>
      <c r="N247" s="55">
        <f>N248+N249+N252+N255+N258</f>
        <v>198380875.08000001</v>
      </c>
      <c r="O247" s="56">
        <f t="shared" ref="O247:P247" si="145">O248+O249+O252+O255+O258</f>
        <v>7831420.4900000002</v>
      </c>
      <c r="P247" s="54">
        <f t="shared" si="145"/>
        <v>172730897.45000002</v>
      </c>
      <c r="Q247" s="55">
        <f>Q248+Q249+Q252+Q255+Q258</f>
        <v>165923371.09</v>
      </c>
      <c r="R247" s="56">
        <f t="shared" ref="R247:S247" si="146">R248+R249+R252+R255+R258</f>
        <v>6807526.3600000003</v>
      </c>
      <c r="S247" s="54">
        <f t="shared" si="146"/>
        <v>172730897.45000002</v>
      </c>
      <c r="T247" s="55">
        <f>T248+T249+T252+T255+T258</f>
        <v>165923371.09</v>
      </c>
      <c r="U247" s="56">
        <f t="shared" ref="U247" si="147">U248+U249+U252+U255+U258</f>
        <v>6807526.3600000003</v>
      </c>
      <c r="V247" s="72">
        <f t="shared" si="119"/>
        <v>42.996848188041724</v>
      </c>
      <c r="W247" s="73">
        <f t="shared" si="121"/>
        <v>83.763626689934924</v>
      </c>
    </row>
    <row r="248" spans="1:23" ht="75.75" customHeight="1">
      <c r="A248" s="9" t="s">
        <v>280</v>
      </c>
      <c r="B248" s="6" t="s">
        <v>13</v>
      </c>
      <c r="C248" s="6" t="s">
        <v>13</v>
      </c>
      <c r="D248" s="6" t="s">
        <v>281</v>
      </c>
      <c r="E248" s="6" t="s">
        <v>234</v>
      </c>
      <c r="F248" s="78" t="s">
        <v>72</v>
      </c>
      <c r="G248" s="35">
        <f>H248+I248</f>
        <v>44450000</v>
      </c>
      <c r="H248" s="26">
        <v>0</v>
      </c>
      <c r="I248" s="36">
        <v>44450000</v>
      </c>
      <c r="J248" s="48">
        <f>K248+L248</f>
        <v>44450000</v>
      </c>
      <c r="K248" s="52">
        <v>0</v>
      </c>
      <c r="L248" s="53">
        <v>44450000</v>
      </c>
      <c r="M248" s="48">
        <f>N248+O248</f>
        <v>0</v>
      </c>
      <c r="N248" s="52">
        <v>0</v>
      </c>
      <c r="O248" s="53">
        <v>0</v>
      </c>
      <c r="P248" s="48">
        <f>Q248+R248</f>
        <v>0</v>
      </c>
      <c r="Q248" s="52">
        <v>0</v>
      </c>
      <c r="R248" s="53">
        <v>0</v>
      </c>
      <c r="S248" s="48">
        <f>T248+U248</f>
        <v>0</v>
      </c>
      <c r="T248" s="52">
        <v>0</v>
      </c>
      <c r="U248" s="53">
        <v>0</v>
      </c>
      <c r="V248" s="68">
        <f t="shared" si="119"/>
        <v>0</v>
      </c>
      <c r="W248" s="69">
        <v>0</v>
      </c>
    </row>
    <row r="249" spans="1:23" ht="150">
      <c r="A249" s="9" t="s">
        <v>282</v>
      </c>
      <c r="B249" s="6" t="s">
        <v>13</v>
      </c>
      <c r="C249" s="6" t="s">
        <v>13</v>
      </c>
      <c r="D249" s="6" t="s">
        <v>283</v>
      </c>
      <c r="E249" s="6" t="s">
        <v>15</v>
      </c>
      <c r="F249" s="78" t="s">
        <v>61</v>
      </c>
      <c r="G249" s="35">
        <f t="shared" ref="G249:G260" si="148">H249+I249</f>
        <v>304646589.40000004</v>
      </c>
      <c r="H249" s="26">
        <f>H250+H251</f>
        <v>275839609.60000002</v>
      </c>
      <c r="I249" s="36">
        <f>I250+I251</f>
        <v>28806979.800000001</v>
      </c>
      <c r="J249" s="48">
        <f t="shared" ref="J249:J252" si="149">K249+L249</f>
        <v>304646589.40000004</v>
      </c>
      <c r="K249" s="52">
        <f>K250+K251</f>
        <v>275839609.60000002</v>
      </c>
      <c r="L249" s="53">
        <f>L250+L251</f>
        <v>28806979.800000001</v>
      </c>
      <c r="M249" s="48">
        <f t="shared" ref="M249:M251" si="150">N249+O249</f>
        <v>182112356.51000002</v>
      </c>
      <c r="N249" s="52">
        <f>N250+N251</f>
        <v>177822199.24000001</v>
      </c>
      <c r="O249" s="53">
        <f>O250+O251</f>
        <v>4290157.2700000005</v>
      </c>
      <c r="P249" s="48">
        <f t="shared" ref="P249:P252" si="151">Q249+R249</f>
        <v>148992454.47</v>
      </c>
      <c r="Q249" s="52">
        <f>Q250+Q251</f>
        <v>145364695.25</v>
      </c>
      <c r="R249" s="53">
        <f>R250+R251</f>
        <v>3627759.22</v>
      </c>
      <c r="S249" s="48">
        <f t="shared" ref="S249:S252" si="152">T249+U249</f>
        <v>148992454.47</v>
      </c>
      <c r="T249" s="52">
        <f>T250+T251</f>
        <v>145364695.25</v>
      </c>
      <c r="U249" s="53">
        <f>U250+U251</f>
        <v>3627759.22</v>
      </c>
      <c r="V249" s="68">
        <f t="shared" si="119"/>
        <v>48.906654351010431</v>
      </c>
      <c r="W249" s="69">
        <f t="shared" si="121"/>
        <v>81.813478956228124</v>
      </c>
    </row>
    <row r="250" spans="1:23" ht="30">
      <c r="A250" s="9" t="s">
        <v>284</v>
      </c>
      <c r="B250" s="6" t="s">
        <v>285</v>
      </c>
      <c r="C250" s="9"/>
      <c r="D250" s="9"/>
      <c r="E250" s="9"/>
      <c r="F250" s="79"/>
      <c r="G250" s="35">
        <f t="shared" si="148"/>
        <v>281468989.40000004</v>
      </c>
      <c r="H250" s="26">
        <v>275839609.60000002</v>
      </c>
      <c r="I250" s="36">
        <v>5629379.7999999998</v>
      </c>
      <c r="J250" s="48">
        <f t="shared" si="149"/>
        <v>281468989.40000004</v>
      </c>
      <c r="K250" s="52">
        <v>275839609.60000002</v>
      </c>
      <c r="L250" s="53">
        <v>5629379.7999999998</v>
      </c>
      <c r="M250" s="48">
        <f t="shared" si="150"/>
        <v>181451223.72</v>
      </c>
      <c r="N250" s="52">
        <f>138134599.24+39687600</f>
        <v>177822199.24000001</v>
      </c>
      <c r="O250" s="53">
        <f>2819073.45+809951.03</f>
        <v>3629024.4800000004</v>
      </c>
      <c r="P250" s="48">
        <f t="shared" si="151"/>
        <v>148331321.68000001</v>
      </c>
      <c r="Q250" s="52">
        <f>138134599.24+7230096.01</f>
        <v>145364695.25</v>
      </c>
      <c r="R250" s="53">
        <f>2819073.45+147552.98</f>
        <v>2966626.43</v>
      </c>
      <c r="S250" s="48">
        <f t="shared" si="152"/>
        <v>148331321.68000001</v>
      </c>
      <c r="T250" s="52">
        <f>138134599.24+7230096.01</f>
        <v>145364695.25</v>
      </c>
      <c r="U250" s="53">
        <f>2819073.45+147552.98</f>
        <v>2966626.43</v>
      </c>
      <c r="V250" s="68">
        <f t="shared" si="119"/>
        <v>52.698992523543694</v>
      </c>
      <c r="W250" s="69">
        <f t="shared" si="121"/>
        <v>81.747214837686741</v>
      </c>
    </row>
    <row r="251" spans="1:23">
      <c r="A251" s="9" t="s">
        <v>22</v>
      </c>
      <c r="B251" s="6" t="s">
        <v>13</v>
      </c>
      <c r="C251" s="9"/>
      <c r="D251" s="9"/>
      <c r="E251" s="9"/>
      <c r="F251" s="79"/>
      <c r="G251" s="35">
        <f t="shared" si="148"/>
        <v>23177600</v>
      </c>
      <c r="H251" s="26"/>
      <c r="I251" s="36">
        <v>23177600</v>
      </c>
      <c r="J251" s="48">
        <f t="shared" si="149"/>
        <v>23177600</v>
      </c>
      <c r="K251" s="52"/>
      <c r="L251" s="53">
        <v>23177600</v>
      </c>
      <c r="M251" s="48">
        <f t="shared" si="150"/>
        <v>661132.79</v>
      </c>
      <c r="N251" s="52"/>
      <c r="O251" s="53">
        <v>661132.79</v>
      </c>
      <c r="P251" s="48">
        <f t="shared" si="151"/>
        <v>661132.79</v>
      </c>
      <c r="Q251" s="52"/>
      <c r="R251" s="53">
        <v>661132.79</v>
      </c>
      <c r="S251" s="48">
        <f t="shared" si="152"/>
        <v>661132.79</v>
      </c>
      <c r="T251" s="52"/>
      <c r="U251" s="53">
        <v>661132.79</v>
      </c>
      <c r="V251" s="68">
        <f t="shared" si="119"/>
        <v>2.8524644052878645</v>
      </c>
      <c r="W251" s="69">
        <f t="shared" si="121"/>
        <v>100</v>
      </c>
    </row>
    <row r="252" spans="1:23" ht="123" customHeight="1">
      <c r="A252" s="9" t="s">
        <v>286</v>
      </c>
      <c r="B252" s="6" t="s">
        <v>13</v>
      </c>
      <c r="C252" s="6" t="s">
        <v>13</v>
      </c>
      <c r="D252" s="6" t="s">
        <v>76</v>
      </c>
      <c r="E252" s="6" t="s">
        <v>15</v>
      </c>
      <c r="F252" s="78" t="s">
        <v>39</v>
      </c>
      <c r="G252" s="35">
        <f t="shared" si="148"/>
        <v>1000000</v>
      </c>
      <c r="H252" s="26"/>
      <c r="I252" s="36">
        <v>1000000</v>
      </c>
      <c r="J252" s="48">
        <f t="shared" si="149"/>
        <v>1000000</v>
      </c>
      <c r="K252" s="52"/>
      <c r="L252" s="53">
        <v>1000000</v>
      </c>
      <c r="M252" s="48">
        <f>N252+O252</f>
        <v>0</v>
      </c>
      <c r="N252" s="52"/>
      <c r="O252" s="53">
        <f>O254+O253</f>
        <v>0</v>
      </c>
      <c r="P252" s="48">
        <f t="shared" si="151"/>
        <v>0</v>
      </c>
      <c r="Q252" s="52"/>
      <c r="R252" s="53">
        <f>R254+R253</f>
        <v>0</v>
      </c>
      <c r="S252" s="48">
        <f t="shared" si="152"/>
        <v>0</v>
      </c>
      <c r="T252" s="52"/>
      <c r="U252" s="53">
        <f>U254+U253</f>
        <v>0</v>
      </c>
      <c r="V252" s="68">
        <f t="shared" si="119"/>
        <v>0</v>
      </c>
      <c r="W252" s="69">
        <v>0</v>
      </c>
    </row>
    <row r="253" spans="1:23" ht="30">
      <c r="A253" s="9" t="s">
        <v>284</v>
      </c>
      <c r="B253" s="6" t="s">
        <v>285</v>
      </c>
      <c r="C253" s="9"/>
      <c r="D253" s="9"/>
      <c r="E253" s="9"/>
      <c r="F253" s="79"/>
      <c r="G253" s="35"/>
      <c r="H253" s="27"/>
      <c r="I253" s="38"/>
      <c r="J253" s="48"/>
      <c r="K253" s="50"/>
      <c r="L253" s="51"/>
      <c r="M253" s="48"/>
      <c r="N253" s="50"/>
      <c r="O253" s="51"/>
      <c r="P253" s="48"/>
      <c r="Q253" s="50"/>
      <c r="R253" s="51"/>
      <c r="S253" s="48"/>
      <c r="T253" s="50"/>
      <c r="U253" s="51"/>
      <c r="V253" s="68"/>
      <c r="W253" s="69"/>
    </row>
    <row r="254" spans="1:23">
      <c r="A254" s="9" t="s">
        <v>22</v>
      </c>
      <c r="B254" s="6" t="s">
        <v>13</v>
      </c>
      <c r="C254" s="9"/>
      <c r="D254" s="9"/>
      <c r="E254" s="9"/>
      <c r="F254" s="79"/>
      <c r="G254" s="35">
        <f t="shared" si="148"/>
        <v>1000000</v>
      </c>
      <c r="H254" s="26"/>
      <c r="I254" s="36">
        <v>1000000</v>
      </c>
      <c r="J254" s="48">
        <f t="shared" ref="J254:J265" si="153">K254+L254</f>
        <v>1000000</v>
      </c>
      <c r="K254" s="52"/>
      <c r="L254" s="53">
        <v>1000000</v>
      </c>
      <c r="M254" s="48">
        <f t="shared" ref="M254:M265" si="154">N254+O254</f>
        <v>0</v>
      </c>
      <c r="N254" s="52"/>
      <c r="O254" s="53">
        <v>0</v>
      </c>
      <c r="P254" s="48">
        <f t="shared" ref="P254:P265" si="155">Q254+R254</f>
        <v>0</v>
      </c>
      <c r="Q254" s="52"/>
      <c r="R254" s="53">
        <v>0</v>
      </c>
      <c r="S254" s="48">
        <f t="shared" ref="S254:S265" si="156">T254+U254</f>
        <v>0</v>
      </c>
      <c r="T254" s="52"/>
      <c r="U254" s="53">
        <v>0</v>
      </c>
      <c r="V254" s="68">
        <f t="shared" si="119"/>
        <v>0</v>
      </c>
      <c r="W254" s="69">
        <v>0</v>
      </c>
    </row>
    <row r="255" spans="1:23" ht="108.75" customHeight="1">
      <c r="A255" s="9" t="s">
        <v>287</v>
      </c>
      <c r="B255" s="6" t="s">
        <v>13</v>
      </c>
      <c r="C255" s="6" t="s">
        <v>13</v>
      </c>
      <c r="D255" s="6" t="s">
        <v>288</v>
      </c>
      <c r="E255" s="6" t="s">
        <v>15</v>
      </c>
      <c r="F255" s="78" t="s">
        <v>289</v>
      </c>
      <c r="G255" s="35">
        <f t="shared" si="148"/>
        <v>44645823.339999996</v>
      </c>
      <c r="H255" s="26">
        <f>H256+H257</f>
        <v>43660690.399999999</v>
      </c>
      <c r="I255" s="36">
        <f>I256+I257</f>
        <v>985132.94</v>
      </c>
      <c r="J255" s="48">
        <f t="shared" si="153"/>
        <v>44645823.339999996</v>
      </c>
      <c r="K255" s="52">
        <f>K256+K257</f>
        <v>43660690.399999999</v>
      </c>
      <c r="L255" s="53">
        <f>L256+L257</f>
        <v>985132.94</v>
      </c>
      <c r="M255" s="48">
        <f t="shared" si="154"/>
        <v>21053240.650000002</v>
      </c>
      <c r="N255" s="52">
        <f>N256+N257</f>
        <v>20558675.840000004</v>
      </c>
      <c r="O255" s="53">
        <f>O256+O257</f>
        <v>494564.81</v>
      </c>
      <c r="P255" s="48">
        <f t="shared" si="155"/>
        <v>20978240.650000002</v>
      </c>
      <c r="Q255" s="52">
        <f>Q256+Q257</f>
        <v>20558675.840000004</v>
      </c>
      <c r="R255" s="53">
        <f>R256+R257</f>
        <v>419564.81</v>
      </c>
      <c r="S255" s="48">
        <f t="shared" si="156"/>
        <v>20978240.650000002</v>
      </c>
      <c r="T255" s="52">
        <f>T256+T257</f>
        <v>20558675.840000004</v>
      </c>
      <c r="U255" s="53">
        <f>U256+U257</f>
        <v>419564.81</v>
      </c>
      <c r="V255" s="68">
        <f t="shared" si="119"/>
        <v>46.988137031857022</v>
      </c>
      <c r="W255" s="69">
        <f t="shared" si="121"/>
        <v>99.643760306326044</v>
      </c>
    </row>
    <row r="256" spans="1:23" ht="30">
      <c r="A256" s="9" t="s">
        <v>284</v>
      </c>
      <c r="B256" s="6" t="s">
        <v>285</v>
      </c>
      <c r="C256" s="9"/>
      <c r="D256" s="9"/>
      <c r="E256" s="9"/>
      <c r="F256" s="79"/>
      <c r="G256" s="35">
        <f t="shared" si="148"/>
        <v>44551724.899999999</v>
      </c>
      <c r="H256" s="26">
        <v>43660690.399999999</v>
      </c>
      <c r="I256" s="36">
        <v>891034.5</v>
      </c>
      <c r="J256" s="48">
        <f t="shared" si="153"/>
        <v>44551724.899999999</v>
      </c>
      <c r="K256" s="52">
        <v>43660690.399999999</v>
      </c>
      <c r="L256" s="53">
        <v>891034.5</v>
      </c>
      <c r="M256" s="48">
        <f t="shared" si="154"/>
        <v>20978240.650000002</v>
      </c>
      <c r="N256" s="52">
        <f>16898438.01+3660237.83</f>
        <v>20558675.840000004</v>
      </c>
      <c r="O256" s="53">
        <f>344866.08+74698.73</f>
        <v>419564.81</v>
      </c>
      <c r="P256" s="48">
        <f t="shared" si="155"/>
        <v>20978240.650000002</v>
      </c>
      <c r="Q256" s="52">
        <f>16898438.01+3660237.83</f>
        <v>20558675.840000004</v>
      </c>
      <c r="R256" s="53">
        <f>344866.08+74698.73</f>
        <v>419564.81</v>
      </c>
      <c r="S256" s="48">
        <f t="shared" si="156"/>
        <v>20978240.650000002</v>
      </c>
      <c r="T256" s="52">
        <f>16898438.01+3660237.83</f>
        <v>20558675.840000004</v>
      </c>
      <c r="U256" s="53">
        <f>344866.08+74698.73</f>
        <v>419564.81</v>
      </c>
      <c r="V256" s="68">
        <f t="shared" si="119"/>
        <v>47.087381458489844</v>
      </c>
      <c r="W256" s="69">
        <f t="shared" si="121"/>
        <v>100</v>
      </c>
    </row>
    <row r="257" spans="1:23">
      <c r="A257" s="9" t="s">
        <v>22</v>
      </c>
      <c r="B257" s="6" t="s">
        <v>13</v>
      </c>
      <c r="C257" s="9"/>
      <c r="D257" s="9"/>
      <c r="E257" s="9"/>
      <c r="F257" s="79"/>
      <c r="G257" s="35">
        <f t="shared" si="148"/>
        <v>94098.44</v>
      </c>
      <c r="H257" s="26"/>
      <c r="I257" s="36">
        <v>94098.44</v>
      </c>
      <c r="J257" s="48">
        <f t="shared" si="153"/>
        <v>94098.44</v>
      </c>
      <c r="K257" s="60"/>
      <c r="L257" s="53">
        <v>94098.44</v>
      </c>
      <c r="M257" s="48">
        <f t="shared" si="154"/>
        <v>75000</v>
      </c>
      <c r="N257" s="60"/>
      <c r="O257" s="53">
        <v>75000</v>
      </c>
      <c r="P257" s="48">
        <f t="shared" si="155"/>
        <v>0</v>
      </c>
      <c r="Q257" s="60"/>
      <c r="R257" s="53">
        <v>0</v>
      </c>
      <c r="S257" s="48">
        <f t="shared" si="156"/>
        <v>0</v>
      </c>
      <c r="T257" s="60"/>
      <c r="U257" s="53">
        <v>0</v>
      </c>
      <c r="V257" s="68">
        <f t="shared" si="119"/>
        <v>0</v>
      </c>
      <c r="W257" s="69">
        <v>0</v>
      </c>
    </row>
    <row r="258" spans="1:23" ht="107.25" customHeight="1">
      <c r="A258" s="9" t="s">
        <v>290</v>
      </c>
      <c r="B258" s="6" t="s">
        <v>13</v>
      </c>
      <c r="C258" s="6" t="s">
        <v>13</v>
      </c>
      <c r="D258" s="6" t="s">
        <v>291</v>
      </c>
      <c r="E258" s="6" t="s">
        <v>15</v>
      </c>
      <c r="F258" s="78" t="s">
        <v>87</v>
      </c>
      <c r="G258" s="35">
        <f t="shared" si="148"/>
        <v>6986794.7000000002</v>
      </c>
      <c r="H258" s="26"/>
      <c r="I258" s="36">
        <v>6986794.7000000002</v>
      </c>
      <c r="J258" s="48">
        <f t="shared" si="153"/>
        <v>6986794.7000000002</v>
      </c>
      <c r="K258" s="52"/>
      <c r="L258" s="53">
        <v>6986794.7000000002</v>
      </c>
      <c r="M258" s="48">
        <f t="shared" si="154"/>
        <v>3046698.41</v>
      </c>
      <c r="N258" s="52"/>
      <c r="O258" s="53">
        <v>3046698.41</v>
      </c>
      <c r="P258" s="48">
        <f t="shared" si="155"/>
        <v>2760202.33</v>
      </c>
      <c r="Q258" s="52"/>
      <c r="R258" s="53">
        <v>2760202.33</v>
      </c>
      <c r="S258" s="48">
        <f t="shared" si="156"/>
        <v>2760202.33</v>
      </c>
      <c r="T258" s="52"/>
      <c r="U258" s="53">
        <v>2760202.33</v>
      </c>
      <c r="V258" s="68">
        <f t="shared" si="119"/>
        <v>39.505988776226673</v>
      </c>
      <c r="W258" s="69">
        <f t="shared" si="121"/>
        <v>90.596506728081422</v>
      </c>
    </row>
    <row r="259" spans="1:23" s="16" customFormat="1">
      <c r="A259" s="110" t="s">
        <v>292</v>
      </c>
      <c r="B259" s="110"/>
      <c r="C259" s="110"/>
      <c r="D259" s="110"/>
      <c r="E259" s="110"/>
      <c r="F259" s="111"/>
      <c r="G259" s="33">
        <f t="shared" si="148"/>
        <v>7000000</v>
      </c>
      <c r="H259" s="25"/>
      <c r="I259" s="34">
        <v>7000000</v>
      </c>
      <c r="J259" s="54">
        <f t="shared" si="153"/>
        <v>7000000</v>
      </c>
      <c r="K259" s="55"/>
      <c r="L259" s="56">
        <v>7000000</v>
      </c>
      <c r="M259" s="54">
        <f t="shared" si="154"/>
        <v>3500000</v>
      </c>
      <c r="N259" s="55"/>
      <c r="O259" s="56">
        <f>O260</f>
        <v>3500000</v>
      </c>
      <c r="P259" s="54">
        <f t="shared" si="155"/>
        <v>0</v>
      </c>
      <c r="Q259" s="55"/>
      <c r="R259" s="56">
        <f>R260</f>
        <v>0</v>
      </c>
      <c r="S259" s="54">
        <f t="shared" si="156"/>
        <v>0</v>
      </c>
      <c r="T259" s="55"/>
      <c r="U259" s="56">
        <f>U260</f>
        <v>0</v>
      </c>
      <c r="V259" s="72">
        <f t="shared" si="119"/>
        <v>0</v>
      </c>
      <c r="W259" s="73">
        <v>0</v>
      </c>
    </row>
    <row r="260" spans="1:23" ht="136.5" customHeight="1">
      <c r="A260" s="9" t="s">
        <v>293</v>
      </c>
      <c r="B260" s="6" t="s">
        <v>13</v>
      </c>
      <c r="C260" s="6" t="s">
        <v>13</v>
      </c>
      <c r="D260" s="6" t="s">
        <v>294</v>
      </c>
      <c r="E260" s="6" t="s">
        <v>305</v>
      </c>
      <c r="F260" s="78">
        <v>2022</v>
      </c>
      <c r="G260" s="35">
        <f t="shared" si="148"/>
        <v>7000000</v>
      </c>
      <c r="H260" s="26"/>
      <c r="I260" s="36">
        <v>7000000</v>
      </c>
      <c r="J260" s="48">
        <f t="shared" si="153"/>
        <v>7000000</v>
      </c>
      <c r="K260" s="52"/>
      <c r="L260" s="53">
        <v>7000000</v>
      </c>
      <c r="M260" s="48">
        <f t="shared" si="154"/>
        <v>3500000</v>
      </c>
      <c r="N260" s="52"/>
      <c r="O260" s="53">
        <v>3500000</v>
      </c>
      <c r="P260" s="48">
        <f t="shared" si="155"/>
        <v>0</v>
      </c>
      <c r="Q260" s="52"/>
      <c r="R260" s="53">
        <v>0</v>
      </c>
      <c r="S260" s="48">
        <f t="shared" si="156"/>
        <v>0</v>
      </c>
      <c r="T260" s="52"/>
      <c r="U260" s="53">
        <v>0</v>
      </c>
      <c r="V260" s="68">
        <f t="shared" si="119"/>
        <v>0</v>
      </c>
      <c r="W260" s="69">
        <v>0</v>
      </c>
    </row>
    <row r="261" spans="1:23">
      <c r="A261" s="112" t="s">
        <v>328</v>
      </c>
      <c r="B261" s="112"/>
      <c r="C261" s="112"/>
      <c r="D261" s="112"/>
      <c r="E261" s="112"/>
      <c r="F261" s="113"/>
      <c r="G261" s="84"/>
      <c r="H261" s="77"/>
      <c r="I261" s="83"/>
      <c r="J261" s="54">
        <f t="shared" si="153"/>
        <v>9000000</v>
      </c>
      <c r="K261" s="63"/>
      <c r="L261" s="56">
        <f>L262</f>
        <v>9000000</v>
      </c>
      <c r="M261" s="54">
        <f t="shared" si="154"/>
        <v>0</v>
      </c>
      <c r="N261" s="63"/>
      <c r="O261" s="56">
        <f>O262</f>
        <v>0</v>
      </c>
      <c r="P261" s="54">
        <f t="shared" si="155"/>
        <v>0</v>
      </c>
      <c r="Q261" s="63"/>
      <c r="R261" s="56">
        <f>R262</f>
        <v>0</v>
      </c>
      <c r="S261" s="54">
        <f t="shared" si="156"/>
        <v>0</v>
      </c>
      <c r="T261" s="63"/>
      <c r="U261" s="56">
        <f>U262</f>
        <v>0</v>
      </c>
      <c r="V261" s="73">
        <v>0</v>
      </c>
      <c r="W261" s="73">
        <v>0</v>
      </c>
    </row>
    <row r="262" spans="1:23">
      <c r="A262" s="108" t="s">
        <v>7</v>
      </c>
      <c r="B262" s="108"/>
      <c r="C262" s="108"/>
      <c r="D262" s="108"/>
      <c r="E262" s="108"/>
      <c r="F262" s="109"/>
      <c r="G262" s="84"/>
      <c r="H262" s="77"/>
      <c r="I262" s="83"/>
      <c r="J262" s="48">
        <f t="shared" si="153"/>
        <v>9000000</v>
      </c>
      <c r="K262" s="64"/>
      <c r="L262" s="53">
        <f>L263</f>
        <v>9000000</v>
      </c>
      <c r="M262" s="48">
        <f t="shared" si="154"/>
        <v>0</v>
      </c>
      <c r="N262" s="64"/>
      <c r="O262" s="53">
        <f>O263</f>
        <v>0</v>
      </c>
      <c r="P262" s="48">
        <f t="shared" si="155"/>
        <v>0</v>
      </c>
      <c r="Q262" s="64"/>
      <c r="R262" s="53">
        <f>R263</f>
        <v>0</v>
      </c>
      <c r="S262" s="48">
        <f t="shared" si="156"/>
        <v>0</v>
      </c>
      <c r="T262" s="64"/>
      <c r="U262" s="53">
        <f>U263</f>
        <v>0</v>
      </c>
      <c r="V262" s="69">
        <v>0</v>
      </c>
      <c r="W262" s="69">
        <v>0</v>
      </c>
    </row>
    <row r="263" spans="1:23">
      <c r="A263" s="108" t="s">
        <v>8</v>
      </c>
      <c r="B263" s="108"/>
      <c r="C263" s="108"/>
      <c r="D263" s="108"/>
      <c r="E263" s="108"/>
      <c r="F263" s="109"/>
      <c r="G263" s="84"/>
      <c r="H263" s="77"/>
      <c r="I263" s="83"/>
      <c r="J263" s="48">
        <f t="shared" si="153"/>
        <v>9000000</v>
      </c>
      <c r="K263" s="64"/>
      <c r="L263" s="53">
        <f>L264</f>
        <v>9000000</v>
      </c>
      <c r="M263" s="48">
        <f t="shared" si="154"/>
        <v>0</v>
      </c>
      <c r="N263" s="64"/>
      <c r="O263" s="53">
        <f>O264</f>
        <v>0</v>
      </c>
      <c r="P263" s="48">
        <f t="shared" si="155"/>
        <v>0</v>
      </c>
      <c r="Q263" s="64"/>
      <c r="R263" s="53">
        <f>R264</f>
        <v>0</v>
      </c>
      <c r="S263" s="48">
        <f t="shared" si="156"/>
        <v>0</v>
      </c>
      <c r="T263" s="64"/>
      <c r="U263" s="53">
        <f>U264</f>
        <v>0</v>
      </c>
      <c r="V263" s="69">
        <v>0</v>
      </c>
      <c r="W263" s="69">
        <v>0</v>
      </c>
    </row>
    <row r="264" spans="1:23">
      <c r="A264" s="110" t="s">
        <v>292</v>
      </c>
      <c r="B264" s="110"/>
      <c r="C264" s="110"/>
      <c r="D264" s="110"/>
      <c r="E264" s="110"/>
      <c r="F264" s="111"/>
      <c r="G264" s="84"/>
      <c r="H264" s="77"/>
      <c r="I264" s="83"/>
      <c r="J264" s="54">
        <f t="shared" si="153"/>
        <v>9000000</v>
      </c>
      <c r="K264" s="63"/>
      <c r="L264" s="56">
        <f>L265</f>
        <v>9000000</v>
      </c>
      <c r="M264" s="54">
        <f t="shared" si="154"/>
        <v>0</v>
      </c>
      <c r="N264" s="63"/>
      <c r="O264" s="56">
        <f>O265</f>
        <v>0</v>
      </c>
      <c r="P264" s="54">
        <f t="shared" si="155"/>
        <v>0</v>
      </c>
      <c r="Q264" s="63"/>
      <c r="R264" s="56">
        <f>R265</f>
        <v>0</v>
      </c>
      <c r="S264" s="54">
        <f t="shared" si="156"/>
        <v>0</v>
      </c>
      <c r="T264" s="63"/>
      <c r="U264" s="56">
        <f>U265</f>
        <v>0</v>
      </c>
      <c r="V264" s="73">
        <v>0</v>
      </c>
      <c r="W264" s="73">
        <v>0</v>
      </c>
    </row>
    <row r="265" spans="1:23" ht="87" customHeight="1" thickBot="1">
      <c r="A265" s="22" t="s">
        <v>329</v>
      </c>
      <c r="F265" s="14"/>
      <c r="G265" s="85"/>
      <c r="H265" s="86"/>
      <c r="I265" s="87"/>
      <c r="J265" s="65">
        <f t="shared" si="153"/>
        <v>9000000</v>
      </c>
      <c r="K265" s="66"/>
      <c r="L265" s="67">
        <v>9000000</v>
      </c>
      <c r="M265" s="65">
        <f t="shared" si="154"/>
        <v>0</v>
      </c>
      <c r="N265" s="66"/>
      <c r="O265" s="67">
        <v>0</v>
      </c>
      <c r="P265" s="65">
        <f t="shared" si="155"/>
        <v>0</v>
      </c>
      <c r="Q265" s="66"/>
      <c r="R265" s="67">
        <v>0</v>
      </c>
      <c r="S265" s="65">
        <f t="shared" si="156"/>
        <v>0</v>
      </c>
      <c r="T265" s="66"/>
      <c r="U265" s="67">
        <v>0</v>
      </c>
      <c r="V265" s="69">
        <v>0</v>
      </c>
      <c r="W265" s="69">
        <v>0</v>
      </c>
    </row>
    <row r="266" spans="1:23" ht="41.25" customHeight="1">
      <c r="G266" s="81"/>
      <c r="H266" s="81"/>
      <c r="I266" s="82"/>
    </row>
  </sheetData>
  <customSheetViews>
    <customSheetView guid="{40F15A73-9550-4519-BD07-5B1306791A2B}" showPageBreaks="1" hiddenRows="1" view="pageBreakPreview">
      <pane xSplit="6" ySplit="6" topLeftCell="G248" activePane="bottomRight" state="frozen"/>
      <selection pane="bottomRight" activeCell="A229" sqref="A229:IV229"/>
      <colBreaks count="2" manualBreakCount="2">
        <brk id="9" max="1048575" man="1"/>
        <brk id="15" max="1048575" man="1"/>
      </colBreaks>
      <pageMargins left="0.70866141732283472" right="0.70866141732283472" top="0.74803149606299213" bottom="0.74803149606299213" header="0.31496062992125984" footer="0.31496062992125984"/>
      <pageSetup paperSize="9" scale="56" orientation="landscape" r:id="rId1"/>
    </customSheetView>
    <customSheetView guid="{1B5FFDB8-A1F9-475C-854F-961801845FF2}" scale="64" showPageBreaks="1" hiddenRows="1" view="pageBreakPreview">
      <pane xSplit="6" ySplit="6" topLeftCell="G183" activePane="bottomRight" state="frozen"/>
      <selection pane="bottomRight" activeCell="V188" sqref="V188"/>
      <colBreaks count="2" manualBreakCount="2">
        <brk id="9" max="1048575" man="1"/>
        <brk id="15" max="1048575" man="1"/>
      </colBreaks>
      <pageMargins left="0.70866141732283472" right="0.70866141732283472" top="0.74803149606299213" bottom="0.74803149606299213" header="0.31496062992125984" footer="0.31496062992125984"/>
      <pageSetup paperSize="9" scale="57" orientation="landscape" r:id="rId2"/>
    </customSheetView>
    <customSheetView guid="{F6681789-96F0-4D5A-90BA-C1A8630D3E2C}" showPageBreaks="1" hiddenRows="1" view="pageBreakPreview">
      <pane xSplit="6" ySplit="6" topLeftCell="G222" activePane="bottomRight" state="frozen"/>
      <selection pane="bottomRight" activeCell="J226" sqref="J226"/>
      <colBreaks count="3" manualBreakCount="3">
        <brk id="9" max="1048575" man="1"/>
        <brk id="15" max="1048575" man="1"/>
        <brk id="22" max="248" man="1"/>
      </colBreaks>
      <pageMargins left="0.70866141732283472" right="0.70866141732283472" top="0.74803149606299213" bottom="0.74803149606299213" header="0.31496062992125984" footer="0.31496062992125984"/>
      <pageSetup paperSize="9" scale="57" orientation="landscape" r:id="rId3"/>
    </customSheetView>
  </customSheetViews>
  <mergeCells count="209">
    <mergeCell ref="A261:F261"/>
    <mergeCell ref="A262:F262"/>
    <mergeCell ref="A263:F263"/>
    <mergeCell ref="A264:F264"/>
    <mergeCell ref="G102:G103"/>
    <mergeCell ref="H102:H103"/>
    <mergeCell ref="I102:I103"/>
    <mergeCell ref="A145:F145"/>
    <mergeCell ref="A146:F146"/>
    <mergeCell ref="A154:F154"/>
    <mergeCell ref="A155:F155"/>
    <mergeCell ref="G241:G242"/>
    <mergeCell ref="A241:A242"/>
    <mergeCell ref="H241:H242"/>
    <mergeCell ref="I241:I242"/>
    <mergeCell ref="A247:F247"/>
    <mergeCell ref="A259:F259"/>
    <mergeCell ref="A200:F200"/>
    <mergeCell ref="A218:F218"/>
    <mergeCell ref="A219:F219"/>
    <mergeCell ref="A221:F221"/>
    <mergeCell ref="A164:F164"/>
    <mergeCell ref="A165:F165"/>
    <mergeCell ref="A166:F166"/>
    <mergeCell ref="B1:L1"/>
    <mergeCell ref="V3:W3"/>
    <mergeCell ref="V4:V5"/>
    <mergeCell ref="W4:W5"/>
    <mergeCell ref="D85:D87"/>
    <mergeCell ref="P3:R3"/>
    <mergeCell ref="P4:P5"/>
    <mergeCell ref="Q4:R4"/>
    <mergeCell ref="S3:U3"/>
    <mergeCell ref="S4:S5"/>
    <mergeCell ref="T4:U4"/>
    <mergeCell ref="J3:L3"/>
    <mergeCell ref="J4:J5"/>
    <mergeCell ref="K4:L4"/>
    <mergeCell ref="M3:O3"/>
    <mergeCell ref="M4:M5"/>
    <mergeCell ref="N4:O4"/>
    <mergeCell ref="B83:B84"/>
    <mergeCell ref="C83:C84"/>
    <mergeCell ref="E83:E84"/>
    <mergeCell ref="F83:F84"/>
    <mergeCell ref="A56:F56"/>
    <mergeCell ref="D83:D84"/>
    <mergeCell ref="G83:G84"/>
    <mergeCell ref="A222:F222"/>
    <mergeCell ref="A223:F223"/>
    <mergeCell ref="A224:F224"/>
    <mergeCell ref="A230:F230"/>
    <mergeCell ref="A231:F231"/>
    <mergeCell ref="A232:F232"/>
    <mergeCell ref="A198:F198"/>
    <mergeCell ref="A199:F199"/>
    <mergeCell ref="A2:L2"/>
    <mergeCell ref="A83:A84"/>
    <mergeCell ref="H83:H84"/>
    <mergeCell ref="I83:I84"/>
    <mergeCell ref="J83:J84"/>
    <mergeCell ref="L83:L84"/>
    <mergeCell ref="G85:G87"/>
    <mergeCell ref="H85:H87"/>
    <mergeCell ref="I85:I87"/>
    <mergeCell ref="K83:K84"/>
    <mergeCell ref="J85:J87"/>
    <mergeCell ref="K85:K87"/>
    <mergeCell ref="L85:L87"/>
    <mergeCell ref="A167:F167"/>
    <mergeCell ref="A196:F196"/>
    <mergeCell ref="A197:F197"/>
    <mergeCell ref="A244:F244"/>
    <mergeCell ref="A245:F245"/>
    <mergeCell ref="A246:F246"/>
    <mergeCell ref="A233:F233"/>
    <mergeCell ref="A234:F234"/>
    <mergeCell ref="A237:F237"/>
    <mergeCell ref="A238:F238"/>
    <mergeCell ref="B241:B242"/>
    <mergeCell ref="C241:C242"/>
    <mergeCell ref="D241:D242"/>
    <mergeCell ref="E241:E242"/>
    <mergeCell ref="F241:F242"/>
    <mergeCell ref="A157:F157"/>
    <mergeCell ref="A158:F158"/>
    <mergeCell ref="A159:F159"/>
    <mergeCell ref="A160:F160"/>
    <mergeCell ref="A161:F161"/>
    <mergeCell ref="A163:F163"/>
    <mergeCell ref="A143:F143"/>
    <mergeCell ref="A148:F148"/>
    <mergeCell ref="A149:F149"/>
    <mergeCell ref="A150:F150"/>
    <mergeCell ref="A151:F151"/>
    <mergeCell ref="A152:F152"/>
    <mergeCell ref="A136:F136"/>
    <mergeCell ref="A137:F137"/>
    <mergeCell ref="A139:F139"/>
    <mergeCell ref="A140:F140"/>
    <mergeCell ref="A141:F141"/>
    <mergeCell ref="A142:F142"/>
    <mergeCell ref="A133:F133"/>
    <mergeCell ref="A134:F134"/>
    <mergeCell ref="A135:F135"/>
    <mergeCell ref="A108:F108"/>
    <mergeCell ref="A111:F111"/>
    <mergeCell ref="A95:F95"/>
    <mergeCell ref="A96:F96"/>
    <mergeCell ref="B102:B103"/>
    <mergeCell ref="C102:C103"/>
    <mergeCell ref="D102:D103"/>
    <mergeCell ref="E102:E103"/>
    <mergeCell ref="F102:F103"/>
    <mergeCell ref="A89:F89"/>
    <mergeCell ref="A92:F92"/>
    <mergeCell ref="A93:F93"/>
    <mergeCell ref="A94:F94"/>
    <mergeCell ref="A85:A87"/>
    <mergeCell ref="B85:B87"/>
    <mergeCell ref="C85:C87"/>
    <mergeCell ref="E85:E87"/>
    <mergeCell ref="F85:F87"/>
    <mergeCell ref="A76:F76"/>
    <mergeCell ref="A79:F79"/>
    <mergeCell ref="A80:F80"/>
    <mergeCell ref="A81:F81"/>
    <mergeCell ref="A82:F82"/>
    <mergeCell ref="A52:F52"/>
    <mergeCell ref="A53:F53"/>
    <mergeCell ref="A54:F54"/>
    <mergeCell ref="A55:F55"/>
    <mergeCell ref="B33:B34"/>
    <mergeCell ref="C33:C34"/>
    <mergeCell ref="D33:D34"/>
    <mergeCell ref="E33:E34"/>
    <mergeCell ref="F33:F34"/>
    <mergeCell ref="B28:B29"/>
    <mergeCell ref="C28:C29"/>
    <mergeCell ref="D28:D29"/>
    <mergeCell ref="E28:E29"/>
    <mergeCell ref="F28:F29"/>
    <mergeCell ref="G3:I3"/>
    <mergeCell ref="H4:I4"/>
    <mergeCell ref="A13:F13"/>
    <mergeCell ref="A14:F14"/>
    <mergeCell ref="A7:F7"/>
    <mergeCell ref="A8:F8"/>
    <mergeCell ref="A9:F9"/>
    <mergeCell ref="A10:F10"/>
    <mergeCell ref="A11:F11"/>
    <mergeCell ref="A12:F12"/>
    <mergeCell ref="A3:A5"/>
    <mergeCell ref="B3:B5"/>
    <mergeCell ref="D3:D5"/>
    <mergeCell ref="G4:G5"/>
    <mergeCell ref="C3:C5"/>
    <mergeCell ref="E3:E5"/>
    <mergeCell ref="F3:F5"/>
    <mergeCell ref="J241:J242"/>
    <mergeCell ref="K241:K242"/>
    <mergeCell ref="L241:L242"/>
    <mergeCell ref="M83:M84"/>
    <mergeCell ref="N83:N84"/>
    <mergeCell ref="O83:O84"/>
    <mergeCell ref="M85:M87"/>
    <mergeCell ref="N85:N87"/>
    <mergeCell ref="O85:O87"/>
    <mergeCell ref="M102:M103"/>
    <mergeCell ref="N102:N103"/>
    <mergeCell ref="O102:O103"/>
    <mergeCell ref="M241:M242"/>
    <mergeCell ref="N241:N242"/>
    <mergeCell ref="O241:O242"/>
    <mergeCell ref="Q83:Q84"/>
    <mergeCell ref="R83:R84"/>
    <mergeCell ref="P85:P87"/>
    <mergeCell ref="Q85:Q87"/>
    <mergeCell ref="R85:R87"/>
    <mergeCell ref="P102:P103"/>
    <mergeCell ref="Q102:Q103"/>
    <mergeCell ref="R102:R103"/>
    <mergeCell ref="J102:J103"/>
    <mergeCell ref="K102:K103"/>
    <mergeCell ref="L102:L103"/>
    <mergeCell ref="V83:V84"/>
    <mergeCell ref="W83:W84"/>
    <mergeCell ref="V85:V87"/>
    <mergeCell ref="W85:W87"/>
    <mergeCell ref="V102:V103"/>
    <mergeCell ref="W102:W103"/>
    <mergeCell ref="V241:V242"/>
    <mergeCell ref="W241:W242"/>
    <mergeCell ref="P241:P242"/>
    <mergeCell ref="Q241:Q242"/>
    <mergeCell ref="R241:R242"/>
    <mergeCell ref="S83:S84"/>
    <mergeCell ref="T83:T84"/>
    <mergeCell ref="U83:U84"/>
    <mergeCell ref="S85:S87"/>
    <mergeCell ref="T85:T87"/>
    <mergeCell ref="U85:U87"/>
    <mergeCell ref="S102:S103"/>
    <mergeCell ref="T102:T103"/>
    <mergeCell ref="U102:U103"/>
    <mergeCell ref="S241:S242"/>
    <mergeCell ref="T241:T242"/>
    <mergeCell ref="U241:U242"/>
    <mergeCell ref="P83:P84"/>
  </mergeCells>
  <hyperlinks>
    <hyperlink ref="A42" location="P3215" display="P3215"/>
    <hyperlink ref="A57" location="P3215" display="P3215"/>
    <hyperlink ref="A61" location="P3215" display="P3215"/>
    <hyperlink ref="A63" location="P3215" display="P3215"/>
    <hyperlink ref="A66" location="P3215" display="P3215"/>
    <hyperlink ref="A72" location="P3215" display="P3215"/>
    <hyperlink ref="A73" location="P3215" display="P3215"/>
    <hyperlink ref="A103" location="P3215" display="P3215"/>
    <hyperlink ref="A105" location="P3215" display="P3215"/>
    <hyperlink ref="A59" location="P3215" display="P3215"/>
  </hyperlinks>
  <pageMargins left="0.70866141732283472" right="0.70866141732283472" top="0.74803149606299213" bottom="0.74803149606299213" header="0.31496062992125984" footer="0.31496062992125984"/>
  <pageSetup paperSize="8" scale="67" orientation="landscape" r:id="rId4"/>
  <colBreaks count="1" manualBreakCount="1">
    <brk id="15" max="2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40F15A73-9550-4519-BD07-5B1306791A2B}">
      <pageMargins left="0.7" right="0.7" top="0.75" bottom="0.75" header="0.3" footer="0.3"/>
    </customSheetView>
    <customSheetView guid="{1B5FFDB8-A1F9-475C-854F-961801845FF2}">
      <pageMargins left="0.7" right="0.7" top="0.75" bottom="0.75" header="0.3" footer="0.3"/>
    </customSheetView>
    <customSheetView guid="{F6681789-96F0-4D5A-90BA-C1A8630D3E2C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40F15A73-9550-4519-BD07-5B1306791A2B}">
      <pageMargins left="0.7" right="0.7" top="0.75" bottom="0.75" header="0.3" footer="0.3"/>
    </customSheetView>
    <customSheetView guid="{1B5FFDB8-A1F9-475C-854F-961801845FF2}">
      <pageMargins left="0.7" right="0.7" top="0.75" bottom="0.75" header="0.3" footer="0.3"/>
    </customSheetView>
    <customSheetView guid="{F6681789-96F0-4D5A-90BA-C1A8630D3E2C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2022-07-18T10:24:15Z</cp:lastPrinted>
  <dcterms:created xsi:type="dcterms:W3CDTF">2022-04-11T12:43:08Z</dcterms:created>
  <dcterms:modified xsi:type="dcterms:W3CDTF">2022-07-18T13:31:11Z</dcterms:modified>
</cp:coreProperties>
</file>