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7795" windowHeight="11325"/>
  </bookViews>
  <sheets>
    <sheet name="2022 97 процентов" sheetId="1" r:id="rId1"/>
  </sheets>
  <definedNames>
    <definedName name="_xlnm.Print_Titles" localSheetId="0">'2022 97 процентов'!$A:$A,'2022 97 процентов'!$4:$5</definedName>
    <definedName name="_xlnm.Print_Area" localSheetId="0">'2022 97 процентов'!$A$1:$Q$59</definedName>
  </definedNames>
  <calcPr calcId="125725"/>
</workbook>
</file>

<file path=xl/calcChain.xml><?xml version="1.0" encoding="utf-8"?>
<calcChain xmlns="http://schemas.openxmlformats.org/spreadsheetml/2006/main">
  <c r="M22" i="1"/>
  <c r="F22"/>
  <c r="M42" l="1"/>
  <c r="K42"/>
  <c r="F42"/>
  <c r="M59" l="1"/>
  <c r="F59"/>
  <c r="L58"/>
  <c r="J58"/>
  <c r="N58" s="1"/>
  <c r="H58"/>
  <c r="C58"/>
  <c r="L57"/>
  <c r="I57"/>
  <c r="H57"/>
  <c r="J57" s="1"/>
  <c r="N57" s="1"/>
  <c r="C57"/>
  <c r="L56"/>
  <c r="H56"/>
  <c r="J56" s="1"/>
  <c r="N56" s="1"/>
  <c r="O56" s="1"/>
  <c r="C56"/>
  <c r="L55"/>
  <c r="I55"/>
  <c r="H55"/>
  <c r="C55"/>
  <c r="L54"/>
  <c r="I54"/>
  <c r="H54"/>
  <c r="J54" s="1"/>
  <c r="N54" s="1"/>
  <c r="C54"/>
  <c r="L53"/>
  <c r="I53"/>
  <c r="H53"/>
  <c r="J53" s="1"/>
  <c r="N53" s="1"/>
  <c r="C53"/>
  <c r="L52"/>
  <c r="I52"/>
  <c r="H52"/>
  <c r="C52"/>
  <c r="L51"/>
  <c r="H51"/>
  <c r="J51" s="1"/>
  <c r="N51" s="1"/>
  <c r="O51" s="1"/>
  <c r="C51"/>
  <c r="L50"/>
  <c r="H50"/>
  <c r="J50" s="1"/>
  <c r="N50" s="1"/>
  <c r="C50"/>
  <c r="L49"/>
  <c r="H49"/>
  <c r="J49" s="1"/>
  <c r="N49" s="1"/>
  <c r="C49"/>
  <c r="L48"/>
  <c r="H48"/>
  <c r="J48" s="1"/>
  <c r="N48" s="1"/>
  <c r="O48" s="1"/>
  <c r="C48"/>
  <c r="K47"/>
  <c r="L47" s="1"/>
  <c r="H47"/>
  <c r="J47" s="1"/>
  <c r="N47" s="1"/>
  <c r="C47"/>
  <c r="L46"/>
  <c r="I46"/>
  <c r="H46"/>
  <c r="C46"/>
  <c r="L45"/>
  <c r="I45"/>
  <c r="H45"/>
  <c r="J45" s="1"/>
  <c r="N45" s="1"/>
  <c r="O45" s="1"/>
  <c r="C45"/>
  <c r="L44"/>
  <c r="H44"/>
  <c r="J44" s="1"/>
  <c r="N44" s="1"/>
  <c r="C44"/>
  <c r="L43"/>
  <c r="H43"/>
  <c r="J43" s="1"/>
  <c r="N43" s="1"/>
  <c r="C43"/>
  <c r="L42"/>
  <c r="I42"/>
  <c r="H42"/>
  <c r="C42"/>
  <c r="L41"/>
  <c r="H41"/>
  <c r="J41" s="1"/>
  <c r="N41" s="1"/>
  <c r="O41" s="1"/>
  <c r="C41"/>
  <c r="L40"/>
  <c r="H40"/>
  <c r="J40" s="1"/>
  <c r="N40" s="1"/>
  <c r="C40"/>
  <c r="L39"/>
  <c r="H39"/>
  <c r="J39" s="1"/>
  <c r="N39" s="1"/>
  <c r="C39"/>
  <c r="L38"/>
  <c r="H38"/>
  <c r="J38" s="1"/>
  <c r="N38" s="1"/>
  <c r="C38"/>
  <c r="L37"/>
  <c r="I37"/>
  <c r="H37"/>
  <c r="C37"/>
  <c r="L36"/>
  <c r="H36"/>
  <c r="J36" s="1"/>
  <c r="N36" s="1"/>
  <c r="O36" s="1"/>
  <c r="C36"/>
  <c r="L35"/>
  <c r="H35"/>
  <c r="J35" s="1"/>
  <c r="N35" s="1"/>
  <c r="C35"/>
  <c r="L34"/>
  <c r="H34"/>
  <c r="J34" s="1"/>
  <c r="N34" s="1"/>
  <c r="C34"/>
  <c r="L33"/>
  <c r="H33"/>
  <c r="J33" s="1"/>
  <c r="N33" s="1"/>
  <c r="C33"/>
  <c r="L32"/>
  <c r="I32"/>
  <c r="H32"/>
  <c r="J32" s="1"/>
  <c r="N32" s="1"/>
  <c r="C32"/>
  <c r="L31"/>
  <c r="H31"/>
  <c r="J31" s="1"/>
  <c r="N31" s="1"/>
  <c r="O31" s="1"/>
  <c r="C31"/>
  <c r="L30"/>
  <c r="I30"/>
  <c r="H30"/>
  <c r="C30"/>
  <c r="L29"/>
  <c r="I29"/>
  <c r="H29"/>
  <c r="J29" s="1"/>
  <c r="N29" s="1"/>
  <c r="C29"/>
  <c r="L28"/>
  <c r="I28"/>
  <c r="H28"/>
  <c r="J28" s="1"/>
  <c r="N28" s="1"/>
  <c r="O28" s="1"/>
  <c r="C28"/>
  <c r="L27"/>
  <c r="H27"/>
  <c r="J27" s="1"/>
  <c r="N27" s="1"/>
  <c r="C27"/>
  <c r="K26"/>
  <c r="L26" s="1"/>
  <c r="I26"/>
  <c r="H26"/>
  <c r="J26" s="1"/>
  <c r="N26" s="1"/>
  <c r="C26"/>
  <c r="L25"/>
  <c r="H25"/>
  <c r="J25" s="1"/>
  <c r="N25" s="1"/>
  <c r="O25" s="1"/>
  <c r="Q25" s="1"/>
  <c r="C25"/>
  <c r="L24"/>
  <c r="H24"/>
  <c r="J24" s="1"/>
  <c r="N24" s="1"/>
  <c r="C24"/>
  <c r="L23"/>
  <c r="H23"/>
  <c r="J23" s="1"/>
  <c r="N23" s="1"/>
  <c r="C23"/>
  <c r="L22"/>
  <c r="H22"/>
  <c r="J22" s="1"/>
  <c r="N22" s="1"/>
  <c r="C22"/>
  <c r="L21"/>
  <c r="H21"/>
  <c r="J21" s="1"/>
  <c r="N21" s="1"/>
  <c r="C21"/>
  <c r="L20"/>
  <c r="H20"/>
  <c r="J20" s="1"/>
  <c r="N20" s="1"/>
  <c r="C20"/>
  <c r="L19"/>
  <c r="H19"/>
  <c r="J19" s="1"/>
  <c r="N19" s="1"/>
  <c r="O19" s="1"/>
  <c r="C19"/>
  <c r="L18"/>
  <c r="H18"/>
  <c r="J18" s="1"/>
  <c r="N18" s="1"/>
  <c r="C18"/>
  <c r="L17"/>
  <c r="J17"/>
  <c r="N17" s="1"/>
  <c r="C17"/>
  <c r="L16"/>
  <c r="I16"/>
  <c r="H16"/>
  <c r="C16"/>
  <c r="L15"/>
  <c r="H15"/>
  <c r="J15" s="1"/>
  <c r="N15" s="1"/>
  <c r="C15"/>
  <c r="L14"/>
  <c r="I14"/>
  <c r="H14"/>
  <c r="J14" s="1"/>
  <c r="N14" s="1"/>
  <c r="O14" s="1"/>
  <c r="Q14" s="1"/>
  <c r="C14"/>
  <c r="L13"/>
  <c r="I13"/>
  <c r="H13"/>
  <c r="C13"/>
  <c r="L12"/>
  <c r="I12"/>
  <c r="H12"/>
  <c r="J12" s="1"/>
  <c r="N12" s="1"/>
  <c r="C12"/>
  <c r="O11"/>
  <c r="Q11" s="1"/>
  <c r="L11"/>
  <c r="H11"/>
  <c r="J11" s="1"/>
  <c r="N11" s="1"/>
  <c r="C11"/>
  <c r="L10"/>
  <c r="H10"/>
  <c r="J10" s="1"/>
  <c r="N10" s="1"/>
  <c r="O10" s="1"/>
  <c r="C10"/>
  <c r="L9"/>
  <c r="H9"/>
  <c r="J9" s="1"/>
  <c r="N9" s="1"/>
  <c r="C9"/>
  <c r="L8"/>
  <c r="H8"/>
  <c r="J8" s="1"/>
  <c r="N8" s="1"/>
  <c r="C8"/>
  <c r="L7"/>
  <c r="I7"/>
  <c r="H7"/>
  <c r="J7" s="1"/>
  <c r="N7" s="1"/>
  <c r="C7"/>
  <c r="Q31" l="1"/>
  <c r="J16"/>
  <c r="N16" s="1"/>
  <c r="O16" s="1"/>
  <c r="Q16" s="1"/>
  <c r="J52"/>
  <c r="N52" s="1"/>
  <c r="O52" s="1"/>
  <c r="Q52" s="1"/>
  <c r="J55"/>
  <c r="N55" s="1"/>
  <c r="O55" s="1"/>
  <c r="Q55" s="1"/>
  <c r="J42"/>
  <c r="N42" s="1"/>
  <c r="O42" s="1"/>
  <c r="Q42" s="1"/>
  <c r="J30"/>
  <c r="N30" s="1"/>
  <c r="Q28"/>
  <c r="Q48"/>
  <c r="O20"/>
  <c r="Q20" s="1"/>
  <c r="J37"/>
  <c r="N37" s="1"/>
  <c r="J46"/>
  <c r="N46" s="1"/>
  <c r="O46" s="1"/>
  <c r="Q46" s="1"/>
  <c r="I59"/>
  <c r="O37"/>
  <c r="Q37" s="1"/>
  <c r="O27"/>
  <c r="Q27" s="1"/>
  <c r="O7"/>
  <c r="Q7" s="1"/>
  <c r="O12"/>
  <c r="Q12" s="1"/>
  <c r="O24"/>
  <c r="Q24" s="1"/>
  <c r="O30"/>
  <c r="Q30" s="1"/>
  <c r="O32"/>
  <c r="Q32" s="1"/>
  <c r="O44"/>
  <c r="Q44" s="1"/>
  <c r="O8"/>
  <c r="Q8" s="1"/>
  <c r="O50"/>
  <c r="Q50" s="1"/>
  <c r="O26"/>
  <c r="Q26"/>
  <c r="O43"/>
  <c r="Q43" s="1"/>
  <c r="H59"/>
  <c r="D59" s="1"/>
  <c r="C59" s="1"/>
  <c r="Q10"/>
  <c r="Q19"/>
  <c r="O23"/>
  <c r="Q23" s="1"/>
  <c r="K59"/>
  <c r="O33"/>
  <c r="Q33" s="1"/>
  <c r="Q36"/>
  <c r="O40"/>
  <c r="Q40" s="1"/>
  <c r="Q45"/>
  <c r="O34"/>
  <c r="Q34" s="1"/>
  <c r="O9"/>
  <c r="Q9" s="1"/>
  <c r="O18"/>
  <c r="Q18" s="1"/>
  <c r="O35"/>
  <c r="Q35" s="1"/>
  <c r="O54"/>
  <c r="Q54" s="1"/>
  <c r="J13"/>
  <c r="N13" s="1"/>
  <c r="O15"/>
  <c r="Q15" s="1"/>
  <c r="O39"/>
  <c r="Q39" s="1"/>
  <c r="O47"/>
  <c r="Q47" s="1"/>
  <c r="O17"/>
  <c r="Q17" s="1"/>
  <c r="O22"/>
  <c r="Q22" s="1"/>
  <c r="O21"/>
  <c r="Q21" s="1"/>
  <c r="O29"/>
  <c r="Q29" s="1"/>
  <c r="O57"/>
  <c r="Q57" s="1"/>
  <c r="L59"/>
  <c r="O38"/>
  <c r="Q38" s="1"/>
  <c r="Q41"/>
  <c r="O49"/>
  <c r="Q49" s="1"/>
  <c r="O53"/>
  <c r="Q53" s="1"/>
  <c r="Q56"/>
  <c r="O58"/>
  <c r="Q58" s="1"/>
  <c r="Q51"/>
  <c r="J59" l="1"/>
  <c r="O13"/>
  <c r="Q13" s="1"/>
  <c r="Q59" s="1"/>
  <c r="N59"/>
  <c r="O59"/>
</calcChain>
</file>

<file path=xl/sharedStrings.xml><?xml version="1.0" encoding="utf-8"?>
<sst xmlns="http://schemas.openxmlformats.org/spreadsheetml/2006/main" count="84" uniqueCount="83">
  <si>
    <t>Приложение 2</t>
  </si>
  <si>
    <t>Наименование муниципального образования</t>
  </si>
  <si>
    <t>Средняя заработная плата в Архангельской области на 2022 год (уточненный прогноз минэкономпромнауки Архангельской области), рублей</t>
  </si>
  <si>
    <t>Коэффициент соотношения средней ЗП работников муниципальных учреждений культуры и средней ЗП в Архангельской области</t>
  </si>
  <si>
    <t>Планируемая в муниципальном образовании средняя заработная  плата работников муниципальных учреждений культуры,  рублей</t>
  </si>
  <si>
    <t>Коэффициент начислений на выплаты по оплате труда</t>
  </si>
  <si>
    <t>Численность работников муниципальных учреждений культуры, работающих на территории муниципального образования (за 7 мес. 2022 год), человек</t>
  </si>
  <si>
    <t>Количество месяцев  
в году</t>
  </si>
  <si>
    <t>Планируемый фонд оплаты труда с начислениями по муниципальным работникам  культуры  на 2022 год, формируемый за счет всех источников финансирования, руб.</t>
  </si>
  <si>
    <t>Внебюджет 2019 года</t>
  </si>
  <si>
    <t>Планируемый фонд оплаты труда с начислениями по муниципальным работникам  культуры  на 2022 год, формируемый за счет бюджета, руб.</t>
  </si>
  <si>
    <t>Меры социальной поддержки (МСП), рублей</t>
  </si>
  <si>
    <t xml:space="preserve"> Фонд оплаты труда с начислениями на 2022 год,  предусмотреннвй в бюджете БЕЗ МСП, рублей </t>
  </si>
  <si>
    <t xml:space="preserve"> Фонд оплаты труда с начислениями на 2022 год,  предусмотреннвй в бюджете с МСП, рублей</t>
  </si>
  <si>
    <t>Процент софинансирования муниципальных образований согласн постановлению Правительства от 30.09.2021 № 535-пп</t>
  </si>
  <si>
    <t>Объем софинансирования из местного бюджета субсидии на повышение средней ЗП работников МУ культуры, рублей</t>
  </si>
  <si>
    <t>4=2*3</t>
  </si>
  <si>
    <t>8=гр.4*гр.5*гр.6*гр.7</t>
  </si>
  <si>
    <t>10=гр.8-гр.9</t>
  </si>
  <si>
    <t>12а=11+12</t>
  </si>
  <si>
    <t>13=гр.10-гр.12а</t>
  </si>
  <si>
    <t>14=13* % софин. (535-пп)</t>
  </si>
  <si>
    <t>14а</t>
  </si>
  <si>
    <t>15=13-14</t>
  </si>
  <si>
    <t>Вельский муниципальный район АО</t>
  </si>
  <si>
    <t>городское поселение "Вельское"</t>
  </si>
  <si>
    <t>Верхнетоемский муниципальный округ АО</t>
  </si>
  <si>
    <t>Вилегодский муниципальный округ АО</t>
  </si>
  <si>
    <t>Виноградовский муниципальный округ АО</t>
  </si>
  <si>
    <t>Каргопольский муниципальный округ АО</t>
  </si>
  <si>
    <t>Коношский муниципальный район АО</t>
  </si>
  <si>
    <t>МО "Коношское"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</si>
  <si>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</si>
  <si>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</si>
  <si>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</si>
  <si>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</si>
  <si>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</si>
  <si>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</si>
  <si>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</si>
  <si>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</si>
  <si>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Сольвычегодское"</t>
  </si>
  <si>
    <t>МО "Черемушское"</t>
  </si>
  <si>
    <t>МО "Приводинское"</t>
  </si>
  <si>
    <t>МО "Красноборский муниципальный район"</t>
  </si>
  <si>
    <t>МО "Черевковское"</t>
  </si>
  <si>
    <t xml:space="preserve">МО "Ленский муниципальный район" </t>
  </si>
  <si>
    <t>МО "Урдомское"</t>
  </si>
  <si>
    <t xml:space="preserve">МО "Лешуконский муниципальный район" </t>
  </si>
  <si>
    <t xml:space="preserve">МО "Мезенский муниципальный район" </t>
  </si>
  <si>
    <t>МО "Няндомский муниципальный район"</t>
  </si>
  <si>
    <t>МО "Онежский муниципальный район"</t>
  </si>
  <si>
    <t>сельское поселение "Кодинское"</t>
  </si>
  <si>
    <t>городское поселение "Малошуйское"</t>
  </si>
  <si>
    <t>сельское поселение "Нименьгское"</t>
  </si>
  <si>
    <t>городское поселение "Онежское"</t>
  </si>
  <si>
    <t>сельское поселение "Покровское"</t>
  </si>
  <si>
    <t>сельское поселение "Порожское"</t>
  </si>
  <si>
    <t>сельское поселение "Чекуевское"</t>
  </si>
  <si>
    <t>сельское поселение "Золотухское"</t>
  </si>
  <si>
    <t>МО "Пинежский муниципальный район"</t>
  </si>
  <si>
    <t>МО "Карпогорское"</t>
  </si>
  <si>
    <t>МО Шилегское"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</si>
  <si>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</si>
  <si>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</si>
  <si>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</si>
  <si>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"Березницкое"</t>
  </si>
  <si>
    <t>МО "Октябрьское"</t>
  </si>
  <si>
    <t>МО "Холмогорский муниципальный район"</t>
  </si>
  <si>
    <t>МО "Шенкурский муниципальный район"</t>
  </si>
  <si>
    <t>Городское поселение "Шенкурское"</t>
  </si>
  <si>
    <t>МО "Город Архангельск"</t>
  </si>
  <si>
    <t>МО "Город Северодвинск"</t>
  </si>
  <si>
    <t>МО "Котлас"</t>
  </si>
  <si>
    <t>МО "Город Новодвинск"</t>
  </si>
  <si>
    <t>МО "Город Коряжма"</t>
  </si>
  <si>
    <t>Итого</t>
  </si>
  <si>
    <t>Кузнецова Вероника Владимировна</t>
  </si>
  <si>
    <t>+7 (8182) 288-136</t>
  </si>
  <si>
    <t xml:space="preserve">Численность </t>
  </si>
  <si>
    <t>з. плата</t>
  </si>
  <si>
    <t>Дополнительная потребность на повышение средней ЗП работников МУ культуры до уровня 96,5 процентов к средней заработной плате в Архангельской области, рублей</t>
  </si>
  <si>
    <t>Объем субсидии на повышение средней ЗП работников МУ культуры до уровня 96,5 процентов к средней заработной плате в Архангельской области, рублей за счет средств субсидии субъекта</t>
  </si>
  <si>
    <t>Расчет субсидий бюджетам муниципальных образований на повышение средней заработной платы работников муниципальных учреждений культуры на 2022 год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</si>
</sst>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  <numFmt numFmtId="167" formatCode="_-* #,##0.00000\ _₽_-;\-* #,##0.00000\ _₽_-;_-* &quot;-&quot;??\ _₽_-;_-@_-"/>
    <numFmt numFmtId="168" formatCode="&quot;Да&quot;;&quot;Да&quot;;&quot;Нет&quot;"/>
  </numFmts>
  <fonts count="1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theme="0"/>
      <name val="Calibri"/>
      <family val="2"/>
      <charset val="204"/>
    </font>
    <font>
      <sz val="14"/>
      <name val="Calibri"/>
      <family val="2"/>
      <charset val="204"/>
    </font>
    <font>
      <sz val="14"/>
      <color theme="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8" fontId="16" fillId="0" borderId="0" applyBorder="0" applyProtection="0"/>
    <xf numFmtId="0" fontId="17" fillId="0" borderId="0"/>
  </cellStyleXfs>
  <cellXfs count="54">
    <xf numFmtId="0" fontId="0" fillId="0" borderId="0" xfId="0"/>
    <xf numFmtId="0" fontId="1" fillId="0" borderId="0" xfId="2" applyFill="1"/>
    <xf numFmtId="0" fontId="2" fillId="0" borderId="0" xfId="2" applyFont="1" applyFill="1"/>
    <xf numFmtId="0" fontId="3" fillId="0" borderId="0" xfId="2" applyFont="1" applyFill="1" applyAlignment="1">
      <alignment horizontal="right" vertical="center"/>
    </xf>
    <xf numFmtId="0" fontId="4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/>
    <xf numFmtId="165" fontId="8" fillId="0" borderId="2" xfId="1" applyNumberFormat="1" applyFont="1" applyFill="1" applyBorder="1" applyAlignment="1"/>
    <xf numFmtId="165" fontId="3" fillId="0" borderId="2" xfId="2" applyNumberFormat="1" applyFont="1" applyFill="1" applyBorder="1" applyAlignment="1"/>
    <xf numFmtId="166" fontId="7" fillId="0" borderId="2" xfId="1" applyNumberFormat="1" applyFont="1" applyFill="1" applyBorder="1" applyAlignment="1"/>
    <xf numFmtId="3" fontId="8" fillId="0" borderId="2" xfId="1" applyNumberFormat="1" applyFont="1" applyFill="1" applyBorder="1" applyAlignment="1"/>
    <xf numFmtId="4" fontId="8" fillId="0" borderId="2" xfId="0" applyNumberFormat="1" applyFont="1" applyFill="1" applyBorder="1" applyAlignment="1"/>
    <xf numFmtId="4" fontId="3" fillId="0" borderId="2" xfId="2" applyNumberFormat="1" applyFont="1" applyFill="1" applyBorder="1" applyAlignment="1"/>
    <xf numFmtId="3" fontId="3" fillId="0" borderId="2" xfId="2" applyNumberFormat="1" applyFont="1" applyFill="1" applyBorder="1" applyAlignment="1"/>
    <xf numFmtId="0" fontId="3" fillId="0" borderId="2" xfId="2" applyFont="1" applyFill="1" applyBorder="1" applyAlignment="1">
      <alignment horizontal="left" vertical="center" wrapText="1"/>
    </xf>
    <xf numFmtId="164" fontId="3" fillId="0" borderId="2" xfId="1" applyFont="1" applyFill="1" applyBorder="1" applyAlignment="1"/>
    <xf numFmtId="0" fontId="8" fillId="0" borderId="2" xfId="2" applyFont="1" applyFill="1" applyBorder="1" applyAlignment="1">
      <alignment horizontal="left" vertical="center" wrapText="1"/>
    </xf>
    <xf numFmtId="165" fontId="8" fillId="0" borderId="2" xfId="2" applyNumberFormat="1" applyFont="1" applyFill="1" applyBorder="1" applyAlignment="1"/>
    <xf numFmtId="4" fontId="8" fillId="0" borderId="2" xfId="2" applyNumberFormat="1" applyFont="1" applyFill="1" applyBorder="1" applyAlignment="1"/>
    <xf numFmtId="3" fontId="8" fillId="0" borderId="2" xfId="2" applyNumberFormat="1" applyFont="1" applyFill="1" applyBorder="1" applyAlignment="1"/>
    <xf numFmtId="3" fontId="11" fillId="0" borderId="2" xfId="2" applyNumberFormat="1" applyFont="1" applyFill="1" applyBorder="1" applyAlignment="1"/>
    <xf numFmtId="4" fontId="11" fillId="0" borderId="2" xfId="2" applyNumberFormat="1" applyFont="1" applyFill="1" applyBorder="1" applyAlignment="1"/>
    <xf numFmtId="165" fontId="11" fillId="0" borderId="2" xfId="2" applyNumberFormat="1" applyFont="1" applyFill="1" applyBorder="1" applyAlignment="1"/>
    <xf numFmtId="166" fontId="11" fillId="0" borderId="2" xfId="2" applyNumberFormat="1" applyFont="1" applyFill="1" applyBorder="1" applyAlignment="1"/>
    <xf numFmtId="4" fontId="4" fillId="0" borderId="2" xfId="2" applyNumberFormat="1" applyFont="1" applyFill="1" applyBorder="1" applyAlignment="1"/>
    <xf numFmtId="0" fontId="12" fillId="0" borderId="0" xfId="2" applyFont="1" applyFill="1"/>
    <xf numFmtId="4" fontId="2" fillId="0" borderId="0" xfId="2" applyNumberFormat="1" applyFont="1" applyFill="1"/>
    <xf numFmtId="0" fontId="13" fillId="0" borderId="0" xfId="2" applyFont="1" applyFill="1"/>
    <xf numFmtId="0" fontId="8" fillId="0" borderId="0" xfId="2" applyFont="1" applyFill="1"/>
    <xf numFmtId="0" fontId="2" fillId="0" borderId="0" xfId="2" applyFont="1" applyFill="1" applyBorder="1"/>
    <xf numFmtId="0" fontId="14" fillId="0" borderId="0" xfId="2" applyFont="1" applyFill="1" applyBorder="1"/>
    <xf numFmtId="0" fontId="15" fillId="0" borderId="0" xfId="2" applyFont="1" applyFill="1" applyBorder="1"/>
    <xf numFmtId="166" fontId="15" fillId="0" borderId="0" xfId="2" applyNumberFormat="1" applyFont="1" applyFill="1" applyBorder="1"/>
    <xf numFmtId="166" fontId="13" fillId="0" borderId="0" xfId="2" applyNumberFormat="1" applyFont="1" applyFill="1" applyBorder="1"/>
    <xf numFmtId="0" fontId="13" fillId="0" borderId="0" xfId="2" applyFont="1" applyFill="1" applyBorder="1"/>
    <xf numFmtId="49" fontId="8" fillId="0" borderId="0" xfId="2" applyNumberFormat="1" applyFont="1" applyFill="1"/>
    <xf numFmtId="167" fontId="15" fillId="0" borderId="0" xfId="2" applyNumberFormat="1" applyFont="1" applyFill="1" applyBorder="1" applyAlignment="1">
      <alignment horizontal="center"/>
    </xf>
    <xf numFmtId="43" fontId="15" fillId="0" borderId="0" xfId="2" applyNumberFormat="1" applyFont="1" applyFill="1" applyBorder="1"/>
    <xf numFmtId="0" fontId="15" fillId="0" borderId="0" xfId="2" applyFont="1" applyFill="1" applyBorder="1" applyAlignment="1">
      <alignment horizontal="right"/>
    </xf>
    <xf numFmtId="164" fontId="15" fillId="0" borderId="0" xfId="1" applyFont="1" applyFill="1" applyBorder="1"/>
  </cellXfs>
  <cellStyles count="5">
    <cellStyle name="Excel Built-in Normal" xfId="3"/>
    <cellStyle name="Обычный" xfId="0" builtinId="0"/>
    <cellStyle name="Обычный 2" xfId="4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0" sqref="A60:A67"/>
    </sheetView>
  </sheetViews>
  <sheetFormatPr defaultRowHeight="15"/>
  <cols>
    <col min="1" max="1" width="44.85546875" style="1" customWidth="1"/>
    <col min="2" max="2" width="13.42578125" style="1" customWidth="1"/>
    <col min="3" max="3" width="10.85546875" style="1" customWidth="1"/>
    <col min="4" max="4" width="14.140625" style="1" customWidth="1"/>
    <col min="5" max="5" width="10.140625" style="1" customWidth="1"/>
    <col min="6" max="6" width="13.28515625" style="1" customWidth="1"/>
    <col min="7" max="7" width="9.28515625" style="1" customWidth="1"/>
    <col min="8" max="8" width="21.140625" style="1" customWidth="1"/>
    <col min="9" max="9" width="20" style="1" customWidth="1"/>
    <col min="10" max="10" width="21.42578125" style="1" customWidth="1"/>
    <col min="11" max="11" width="18.28515625" style="1" customWidth="1"/>
    <col min="12" max="12" width="22.140625" style="2" customWidth="1"/>
    <col min="13" max="13" width="22.140625" style="1" customWidth="1"/>
    <col min="14" max="14" width="19.7109375" style="1" customWidth="1"/>
    <col min="15" max="15" width="20.5703125" style="1" customWidth="1"/>
    <col min="16" max="16" width="11.28515625" style="1" customWidth="1"/>
    <col min="17" max="17" width="17.85546875" style="1" customWidth="1"/>
    <col min="18" max="16384" width="9.140625" style="1"/>
  </cols>
  <sheetData>
    <row r="1" spans="1:17" ht="33.75" hidden="1" customHeight="1">
      <c r="P1" s="3" t="s">
        <v>0</v>
      </c>
      <c r="Q1" s="3"/>
    </row>
    <row r="2" spans="1:17" hidden="1"/>
    <row r="3" spans="1:17" ht="51.75" customHeight="1">
      <c r="A3" s="4"/>
      <c r="B3" s="5" t="s">
        <v>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  <c r="Q3" s="4"/>
    </row>
    <row r="4" spans="1:17" ht="37.5" customHeight="1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9" t="s">
        <v>12</v>
      </c>
      <c r="M4" s="10" t="s">
        <v>13</v>
      </c>
      <c r="N4" s="11" t="s">
        <v>80</v>
      </c>
      <c r="O4" s="11" t="s">
        <v>81</v>
      </c>
      <c r="P4" s="8" t="s">
        <v>14</v>
      </c>
      <c r="Q4" s="11" t="s">
        <v>15</v>
      </c>
    </row>
    <row r="5" spans="1:17" ht="201" customHeight="1">
      <c r="A5" s="6"/>
      <c r="B5" s="12"/>
      <c r="C5" s="12"/>
      <c r="D5" s="12"/>
      <c r="E5" s="13"/>
      <c r="F5" s="12"/>
      <c r="G5" s="12"/>
      <c r="H5" s="12"/>
      <c r="I5" s="12"/>
      <c r="J5" s="12"/>
      <c r="K5" s="12"/>
      <c r="L5" s="14"/>
      <c r="M5" s="15"/>
      <c r="N5" s="11"/>
      <c r="O5" s="11"/>
      <c r="P5" s="13"/>
      <c r="Q5" s="11"/>
    </row>
    <row r="6" spans="1:17" s="18" customFormat="1" ht="39" customHeight="1">
      <c r="A6" s="16">
        <v>1</v>
      </c>
      <c r="B6" s="16">
        <v>2</v>
      </c>
      <c r="C6" s="16">
        <v>3</v>
      </c>
      <c r="D6" s="16" t="s">
        <v>16</v>
      </c>
      <c r="E6" s="16">
        <v>5</v>
      </c>
      <c r="F6" s="16">
        <v>6</v>
      </c>
      <c r="G6" s="16">
        <v>7</v>
      </c>
      <c r="H6" s="16" t="s">
        <v>17</v>
      </c>
      <c r="I6" s="16">
        <v>9</v>
      </c>
      <c r="J6" s="16" t="s">
        <v>18</v>
      </c>
      <c r="K6" s="16">
        <v>11</v>
      </c>
      <c r="L6" s="17">
        <v>12</v>
      </c>
      <c r="M6" s="16" t="s">
        <v>19</v>
      </c>
      <c r="N6" s="16" t="s">
        <v>20</v>
      </c>
      <c r="O6" s="16" t="s">
        <v>21</v>
      </c>
      <c r="P6" s="16" t="s">
        <v>22</v>
      </c>
      <c r="Q6" s="16" t="s">
        <v>23</v>
      </c>
    </row>
    <row r="7" spans="1:17" ht="37.5">
      <c r="A7" s="19" t="s">
        <v>24</v>
      </c>
      <c r="B7" s="20">
        <v>53726.400000000001</v>
      </c>
      <c r="C7" s="21">
        <f>D7/B7</f>
        <v>0.94565421089198676</v>
      </c>
      <c r="D7" s="20">
        <v>50806.596396067238</v>
      </c>
      <c r="E7" s="22">
        <v>1.302</v>
      </c>
      <c r="F7" s="23">
        <v>160.6</v>
      </c>
      <c r="G7" s="24">
        <v>12</v>
      </c>
      <c r="H7" s="25">
        <f t="shared" ref="H7:H58" si="0">ROUND(D7*E7*F7*G7,3)</f>
        <v>127484643.292</v>
      </c>
      <c r="I7" s="25">
        <f>60.15*1000</f>
        <v>60150</v>
      </c>
      <c r="J7" s="25">
        <f>H7-I7</f>
        <v>127424493.292</v>
      </c>
      <c r="K7" s="25">
        <v>23180</v>
      </c>
      <c r="L7" s="20">
        <f t="shared" ref="L7:L58" si="1">M7-K7</f>
        <v>124544434.052</v>
      </c>
      <c r="M7" s="20">
        <v>124567614.052</v>
      </c>
      <c r="N7" s="26">
        <f t="shared" ref="N7:N58" si="2">J7-M7</f>
        <v>2856879.2399999946</v>
      </c>
      <c r="O7" s="26">
        <f>N7*0.93</f>
        <v>2656897.693199995</v>
      </c>
      <c r="P7" s="27">
        <v>93</v>
      </c>
      <c r="Q7" s="26">
        <f t="shared" ref="Q7:Q58" si="3">N7-O7</f>
        <v>199981.54679999966</v>
      </c>
    </row>
    <row r="8" spans="1:17" ht="18.75">
      <c r="A8" s="28" t="s">
        <v>25</v>
      </c>
      <c r="B8" s="20">
        <v>53726.400000000001</v>
      </c>
      <c r="C8" s="21">
        <f t="shared" ref="C8:C58" si="4">D8/B8</f>
        <v>1.3582843386894965</v>
      </c>
      <c r="D8" s="20">
        <v>72975.727694167363</v>
      </c>
      <c r="E8" s="22">
        <v>1.302</v>
      </c>
      <c r="F8" s="23">
        <v>7.9</v>
      </c>
      <c r="G8" s="24">
        <v>12</v>
      </c>
      <c r="H8" s="25">
        <f t="shared" si="0"/>
        <v>9007364.8790000007</v>
      </c>
      <c r="I8" s="25">
        <v>0</v>
      </c>
      <c r="J8" s="25">
        <f t="shared" ref="J8:J58" si="5">H8-I8</f>
        <v>9007364.8790000007</v>
      </c>
      <c r="K8" s="25">
        <v>0</v>
      </c>
      <c r="L8" s="20">
        <f t="shared" si="1"/>
        <v>9007364.8790000007</v>
      </c>
      <c r="M8" s="20">
        <v>9007364.8790000007</v>
      </c>
      <c r="N8" s="29">
        <f t="shared" si="2"/>
        <v>0</v>
      </c>
      <c r="O8" s="29">
        <f>N8*0.93</f>
        <v>0</v>
      </c>
      <c r="P8" s="27">
        <v>93</v>
      </c>
      <c r="Q8" s="26">
        <f t="shared" si="3"/>
        <v>0</v>
      </c>
    </row>
    <row r="9" spans="1:17" ht="37.5">
      <c r="A9" s="28" t="s">
        <v>26</v>
      </c>
      <c r="B9" s="20">
        <v>53726.400000000001</v>
      </c>
      <c r="C9" s="21">
        <f t="shared" si="4"/>
        <v>0.96500007445129399</v>
      </c>
      <c r="D9" s="20">
        <v>51845.98</v>
      </c>
      <c r="E9" s="22">
        <v>1.302</v>
      </c>
      <c r="F9" s="23">
        <v>64</v>
      </c>
      <c r="G9" s="24">
        <v>12</v>
      </c>
      <c r="H9" s="25">
        <f t="shared" si="0"/>
        <v>51842661.857000001</v>
      </c>
      <c r="I9" s="25">
        <v>0</v>
      </c>
      <c r="J9" s="25">
        <f t="shared" si="5"/>
        <v>51842661.857000001</v>
      </c>
      <c r="K9" s="25">
        <v>1019080</v>
      </c>
      <c r="L9" s="20">
        <f t="shared" si="1"/>
        <v>49453223.199000001</v>
      </c>
      <c r="M9" s="20">
        <v>50472303.199000001</v>
      </c>
      <c r="N9" s="26">
        <f t="shared" si="2"/>
        <v>1370358.6579999998</v>
      </c>
      <c r="O9" s="26">
        <f t="shared" ref="O9:O27" si="6">N9*0.95</f>
        <v>1301840.7250999997</v>
      </c>
      <c r="P9" s="27">
        <v>95</v>
      </c>
      <c r="Q9" s="26">
        <f t="shared" si="3"/>
        <v>68517.932900000131</v>
      </c>
    </row>
    <row r="10" spans="1:17" s="2" customFormat="1" ht="37.5">
      <c r="A10" s="30" t="s">
        <v>27</v>
      </c>
      <c r="B10" s="20">
        <v>53726.400000000001</v>
      </c>
      <c r="C10" s="21">
        <f t="shared" si="4"/>
        <v>0.96500007445129399</v>
      </c>
      <c r="D10" s="20">
        <v>51845.98</v>
      </c>
      <c r="E10" s="31">
        <v>1.302</v>
      </c>
      <c r="F10" s="23">
        <v>101.4</v>
      </c>
      <c r="G10" s="24">
        <v>12</v>
      </c>
      <c r="H10" s="25">
        <f t="shared" si="0"/>
        <v>82138217.379999995</v>
      </c>
      <c r="I10" s="25">
        <v>0</v>
      </c>
      <c r="J10" s="25">
        <f t="shared" si="5"/>
        <v>82138217.379999995</v>
      </c>
      <c r="K10" s="25">
        <v>1157870</v>
      </c>
      <c r="L10" s="20">
        <f t="shared" si="1"/>
        <v>77501273.292999998</v>
      </c>
      <c r="M10" s="20">
        <v>78659143.292999998</v>
      </c>
      <c r="N10" s="26">
        <f t="shared" si="2"/>
        <v>3479074.0869999975</v>
      </c>
      <c r="O10" s="32">
        <f t="shared" si="6"/>
        <v>3305120.3826499972</v>
      </c>
      <c r="P10" s="33">
        <v>95</v>
      </c>
      <c r="Q10" s="32">
        <f t="shared" si="3"/>
        <v>173953.70435000025</v>
      </c>
    </row>
    <row r="11" spans="1:17" s="2" customFormat="1" ht="37.5">
      <c r="A11" s="30" t="s">
        <v>28</v>
      </c>
      <c r="B11" s="20">
        <v>53726.400000000001</v>
      </c>
      <c r="C11" s="21">
        <f t="shared" si="4"/>
        <v>0.96500007445129399</v>
      </c>
      <c r="D11" s="20">
        <v>51845.98</v>
      </c>
      <c r="E11" s="31">
        <v>1.302</v>
      </c>
      <c r="F11" s="23">
        <v>89.4</v>
      </c>
      <c r="G11" s="24">
        <v>12</v>
      </c>
      <c r="H11" s="25">
        <f t="shared" si="0"/>
        <v>72417718.282000005</v>
      </c>
      <c r="I11" s="25">
        <v>0</v>
      </c>
      <c r="J11" s="25">
        <f t="shared" si="5"/>
        <v>72417718.282000005</v>
      </c>
      <c r="K11" s="25">
        <v>390600</v>
      </c>
      <c r="L11" s="20">
        <f t="shared" si="1"/>
        <v>69338828.112000003</v>
      </c>
      <c r="M11" s="20">
        <v>69729428.112000003</v>
      </c>
      <c r="N11" s="26">
        <f t="shared" si="2"/>
        <v>2688290.1700000018</v>
      </c>
      <c r="O11" s="32">
        <f>N11*0.91</f>
        <v>2446344.0547000016</v>
      </c>
      <c r="P11" s="33">
        <v>91</v>
      </c>
      <c r="Q11" s="32">
        <f t="shared" si="3"/>
        <v>241946.11530000018</v>
      </c>
    </row>
    <row r="12" spans="1:17" ht="37.5">
      <c r="A12" s="28" t="s">
        <v>29</v>
      </c>
      <c r="B12" s="20">
        <v>53726.400000000001</v>
      </c>
      <c r="C12" s="21">
        <f t="shared" si="4"/>
        <v>0.96500007445129399</v>
      </c>
      <c r="D12" s="20">
        <v>51845.98</v>
      </c>
      <c r="E12" s="22">
        <v>1.302</v>
      </c>
      <c r="F12" s="23">
        <v>114</v>
      </c>
      <c r="G12" s="24">
        <v>12</v>
      </c>
      <c r="H12" s="25">
        <f t="shared" si="0"/>
        <v>92344741.432999998</v>
      </c>
      <c r="I12" s="25">
        <f>1339.37*1000</f>
        <v>1339370</v>
      </c>
      <c r="J12" s="25">
        <f t="shared" si="5"/>
        <v>91005371.432999998</v>
      </c>
      <c r="K12" s="25">
        <v>0</v>
      </c>
      <c r="L12" s="20">
        <f t="shared" si="1"/>
        <v>87181284.841000006</v>
      </c>
      <c r="M12" s="20">
        <v>87181284.841000006</v>
      </c>
      <c r="N12" s="26">
        <f t="shared" si="2"/>
        <v>3824086.5919999927</v>
      </c>
      <c r="O12" s="26">
        <f>N12*0.95</f>
        <v>3632882.2623999929</v>
      </c>
      <c r="P12" s="27">
        <v>95</v>
      </c>
      <c r="Q12" s="26">
        <f t="shared" si="3"/>
        <v>191204.32959999982</v>
      </c>
    </row>
    <row r="13" spans="1:17" ht="37.5">
      <c r="A13" s="19" t="s">
        <v>30</v>
      </c>
      <c r="B13" s="20">
        <v>53726.400000000001</v>
      </c>
      <c r="C13" s="21">
        <f t="shared" si="4"/>
        <v>0.96424850166190723</v>
      </c>
      <c r="D13" s="20">
        <v>51805.600699688293</v>
      </c>
      <c r="E13" s="22">
        <v>1.302</v>
      </c>
      <c r="F13" s="23">
        <v>71.599999999999994</v>
      </c>
      <c r="G13" s="24">
        <v>12</v>
      </c>
      <c r="H13" s="25">
        <f t="shared" si="0"/>
        <v>57953806.501999997</v>
      </c>
      <c r="I13" s="25">
        <f>147.6*1000</f>
        <v>147600</v>
      </c>
      <c r="J13" s="25">
        <f t="shared" si="5"/>
        <v>57806206.501999997</v>
      </c>
      <c r="K13" s="25">
        <v>1390670</v>
      </c>
      <c r="L13" s="20">
        <f t="shared" si="1"/>
        <v>53903613.821000002</v>
      </c>
      <c r="M13" s="20">
        <v>55294283.821000002</v>
      </c>
      <c r="N13" s="26">
        <f t="shared" si="2"/>
        <v>2511922.6809999943</v>
      </c>
      <c r="O13" s="26">
        <f>N13*0.93</f>
        <v>2336088.0933299949</v>
      </c>
      <c r="P13" s="34">
        <v>93</v>
      </c>
      <c r="Q13" s="35">
        <f t="shared" si="3"/>
        <v>175834.58766999934</v>
      </c>
    </row>
    <row r="14" spans="1:17" ht="18.75">
      <c r="A14" s="28" t="s">
        <v>31</v>
      </c>
      <c r="B14" s="20">
        <v>53726.400000000001</v>
      </c>
      <c r="C14" s="21">
        <f t="shared" si="4"/>
        <v>0.96424850166190723</v>
      </c>
      <c r="D14" s="20">
        <v>51805.600699688293</v>
      </c>
      <c r="E14" s="22">
        <v>1.302</v>
      </c>
      <c r="F14" s="23">
        <v>14.3</v>
      </c>
      <c r="G14" s="24">
        <v>12</v>
      </c>
      <c r="H14" s="25">
        <f t="shared" si="0"/>
        <v>11574573.085999999</v>
      </c>
      <c r="I14" s="25">
        <f>265.36*1000</f>
        <v>265360</v>
      </c>
      <c r="J14" s="25">
        <f t="shared" si="5"/>
        <v>11309213.085999999</v>
      </c>
      <c r="K14" s="25">
        <v>79290</v>
      </c>
      <c r="L14" s="20">
        <f t="shared" si="1"/>
        <v>10759256.704</v>
      </c>
      <c r="M14" s="20">
        <v>10838546.704</v>
      </c>
      <c r="N14" s="26">
        <f t="shared" si="2"/>
        <v>470666.38199999928</v>
      </c>
      <c r="O14" s="26">
        <f t="shared" ref="O14:O21" si="7">N14*0.93</f>
        <v>437719.73525999935</v>
      </c>
      <c r="P14" s="27">
        <v>93</v>
      </c>
      <c r="Q14" s="26">
        <f t="shared" si="3"/>
        <v>32946.646739999938</v>
      </c>
    </row>
    <row r="15" spans="1:17" ht="18.75">
      <c r="A15" s="28" t="s">
        <v>32</v>
      </c>
      <c r="B15" s="20">
        <v>53726.400000000001</v>
      </c>
      <c r="C15" s="21">
        <f t="shared" si="4"/>
        <v>0.96424850166190723</v>
      </c>
      <c r="D15" s="20">
        <v>51805.600699688293</v>
      </c>
      <c r="E15" s="22">
        <v>1.302</v>
      </c>
      <c r="F15" s="23">
        <v>2.5</v>
      </c>
      <c r="G15" s="24">
        <v>12</v>
      </c>
      <c r="H15" s="25">
        <f t="shared" si="0"/>
        <v>2023526.763</v>
      </c>
      <c r="I15" s="25">
        <v>0</v>
      </c>
      <c r="J15" s="25">
        <f t="shared" si="5"/>
        <v>2023526.763</v>
      </c>
      <c r="K15" s="25">
        <v>0</v>
      </c>
      <c r="L15" s="20">
        <f t="shared" si="1"/>
        <v>1708293.3389999999</v>
      </c>
      <c r="M15" s="20">
        <v>1708293.3389999999</v>
      </c>
      <c r="N15" s="26">
        <f t="shared" si="2"/>
        <v>315233.42400000012</v>
      </c>
      <c r="O15" s="26">
        <f t="shared" si="7"/>
        <v>293167.08432000014</v>
      </c>
      <c r="P15" s="27">
        <v>93</v>
      </c>
      <c r="Q15" s="26">
        <f t="shared" si="3"/>
        <v>22066.339679999975</v>
      </c>
    </row>
    <row r="16" spans="1:17" ht="18.75">
      <c r="A16" s="28" t="s">
        <v>33</v>
      </c>
      <c r="B16" s="20">
        <v>53726.400000000001</v>
      </c>
      <c r="C16" s="21">
        <f t="shared" si="4"/>
        <v>0.96424850166190723</v>
      </c>
      <c r="D16" s="20">
        <v>51805.600699688293</v>
      </c>
      <c r="E16" s="22">
        <v>1.302</v>
      </c>
      <c r="F16" s="23">
        <v>3.1</v>
      </c>
      <c r="G16" s="24">
        <v>12</v>
      </c>
      <c r="H16" s="25">
        <f t="shared" si="0"/>
        <v>2509173.1869999999</v>
      </c>
      <c r="I16" s="25">
        <f>15.4*1000</f>
        <v>15400</v>
      </c>
      <c r="J16" s="25">
        <f t="shared" si="5"/>
        <v>2493773.1869999999</v>
      </c>
      <c r="K16" s="25">
        <v>0</v>
      </c>
      <c r="L16" s="20">
        <f t="shared" si="1"/>
        <v>2314090.9169999999</v>
      </c>
      <c r="M16" s="20">
        <v>2314090.9169999999</v>
      </c>
      <c r="N16" s="26">
        <f t="shared" si="2"/>
        <v>179682.27000000002</v>
      </c>
      <c r="O16" s="26">
        <f t="shared" si="7"/>
        <v>167104.51110000003</v>
      </c>
      <c r="P16" s="27">
        <v>93</v>
      </c>
      <c r="Q16" s="26">
        <f t="shared" si="3"/>
        <v>12577.758899999986</v>
      </c>
    </row>
    <row r="17" spans="1:17" ht="18.75">
      <c r="A17" s="28" t="s">
        <v>34</v>
      </c>
      <c r="B17" s="20">
        <v>53726.400000000001</v>
      </c>
      <c r="C17" s="21">
        <f t="shared" si="4"/>
        <v>0.99355984044799239</v>
      </c>
      <c r="D17" s="20">
        <v>53380.39341184502</v>
      </c>
      <c r="E17" s="22">
        <v>1.302</v>
      </c>
      <c r="F17" s="23">
        <v>2.7</v>
      </c>
      <c r="G17" s="24">
        <v>12</v>
      </c>
      <c r="H17" s="25">
        <v>2251841.2200000002</v>
      </c>
      <c r="I17" s="25">
        <v>0</v>
      </c>
      <c r="J17" s="25">
        <f t="shared" si="5"/>
        <v>2251841.2200000002</v>
      </c>
      <c r="K17" s="25">
        <v>0</v>
      </c>
      <c r="L17" s="20">
        <f t="shared" si="1"/>
        <v>2251841.2200000002</v>
      </c>
      <c r="M17" s="20">
        <v>2251841.2200000002</v>
      </c>
      <c r="N17" s="29">
        <f t="shared" si="2"/>
        <v>0</v>
      </c>
      <c r="O17" s="29">
        <f t="shared" si="7"/>
        <v>0</v>
      </c>
      <c r="P17" s="27">
        <v>93</v>
      </c>
      <c r="Q17" s="26">
        <f t="shared" si="3"/>
        <v>0</v>
      </c>
    </row>
    <row r="18" spans="1:17" ht="18.75">
      <c r="A18" s="28" t="s">
        <v>35</v>
      </c>
      <c r="B18" s="20">
        <v>53726.400000000001</v>
      </c>
      <c r="C18" s="21">
        <f t="shared" si="4"/>
        <v>0.96424850166190723</v>
      </c>
      <c r="D18" s="20">
        <v>51805.600699688293</v>
      </c>
      <c r="E18" s="22">
        <v>1.302</v>
      </c>
      <c r="F18" s="23">
        <v>1</v>
      </c>
      <c r="G18" s="24">
        <v>12</v>
      </c>
      <c r="H18" s="25">
        <f t="shared" si="0"/>
        <v>809410.70499999996</v>
      </c>
      <c r="I18" s="25">
        <v>0</v>
      </c>
      <c r="J18" s="25">
        <f t="shared" si="5"/>
        <v>809410.70499999996</v>
      </c>
      <c r="K18" s="25">
        <v>0</v>
      </c>
      <c r="L18" s="20">
        <f t="shared" si="1"/>
        <v>776496.97199999995</v>
      </c>
      <c r="M18" s="20">
        <v>776496.97199999995</v>
      </c>
      <c r="N18" s="26">
        <f t="shared" si="2"/>
        <v>32913.733000000007</v>
      </c>
      <c r="O18" s="26">
        <f t="shared" si="7"/>
        <v>30609.771690000009</v>
      </c>
      <c r="P18" s="27">
        <v>93</v>
      </c>
      <c r="Q18" s="26">
        <f t="shared" si="3"/>
        <v>2303.9613099999988</v>
      </c>
    </row>
    <row r="19" spans="1:17" ht="18.75">
      <c r="A19" s="28" t="s">
        <v>36</v>
      </c>
      <c r="B19" s="20">
        <v>53726.400000000001</v>
      </c>
      <c r="C19" s="21">
        <f t="shared" si="4"/>
        <v>0.96424850166190723</v>
      </c>
      <c r="D19" s="20">
        <v>51805.600699688293</v>
      </c>
      <c r="E19" s="22">
        <v>1.302</v>
      </c>
      <c r="F19" s="23">
        <v>2.5</v>
      </c>
      <c r="G19" s="24">
        <v>12</v>
      </c>
      <c r="H19" s="25">
        <f t="shared" si="0"/>
        <v>2023526.763</v>
      </c>
      <c r="I19" s="25">
        <v>0</v>
      </c>
      <c r="J19" s="25">
        <f t="shared" si="5"/>
        <v>2023526.763</v>
      </c>
      <c r="K19" s="25">
        <v>60410</v>
      </c>
      <c r="L19" s="20">
        <f t="shared" si="1"/>
        <v>1880832.4310000001</v>
      </c>
      <c r="M19" s="20">
        <v>1941242.4310000001</v>
      </c>
      <c r="N19" s="26">
        <f t="shared" si="2"/>
        <v>82284.331999999937</v>
      </c>
      <c r="O19" s="26">
        <f t="shared" si="7"/>
        <v>76524.428759999952</v>
      </c>
      <c r="P19" s="27">
        <v>93</v>
      </c>
      <c r="Q19" s="26">
        <f t="shared" si="3"/>
        <v>5759.9032399999851</v>
      </c>
    </row>
    <row r="20" spans="1:17" ht="18.75">
      <c r="A20" s="28" t="s">
        <v>37</v>
      </c>
      <c r="B20" s="20">
        <v>53726.400000000001</v>
      </c>
      <c r="C20" s="21">
        <f t="shared" si="4"/>
        <v>0.96424850166190723</v>
      </c>
      <c r="D20" s="20">
        <v>51805.600699688293</v>
      </c>
      <c r="E20" s="22">
        <v>1.302</v>
      </c>
      <c r="F20" s="23">
        <v>5.3</v>
      </c>
      <c r="G20" s="24">
        <v>12</v>
      </c>
      <c r="H20" s="25">
        <f t="shared" si="0"/>
        <v>4289876.7379999999</v>
      </c>
      <c r="I20" s="25">
        <v>0</v>
      </c>
      <c r="J20" s="25">
        <f t="shared" si="5"/>
        <v>4289876.7379999999</v>
      </c>
      <c r="K20" s="25">
        <v>0</v>
      </c>
      <c r="L20" s="20">
        <f t="shared" si="1"/>
        <v>4115433.9530000002</v>
      </c>
      <c r="M20" s="20">
        <v>4115433.9530000002</v>
      </c>
      <c r="N20" s="26">
        <f t="shared" si="2"/>
        <v>174442.78499999968</v>
      </c>
      <c r="O20" s="26">
        <f t="shared" si="7"/>
        <v>162231.79004999972</v>
      </c>
      <c r="P20" s="27">
        <v>93</v>
      </c>
      <c r="Q20" s="26">
        <f t="shared" si="3"/>
        <v>12210.994949999964</v>
      </c>
    </row>
    <row r="21" spans="1:17" ht="18.75">
      <c r="A21" s="28" t="s">
        <v>38</v>
      </c>
      <c r="B21" s="20">
        <v>53726.400000000001</v>
      </c>
      <c r="C21" s="21">
        <f t="shared" si="4"/>
        <v>0.96424850166190723</v>
      </c>
      <c r="D21" s="20">
        <v>51805.600699688293</v>
      </c>
      <c r="E21" s="22">
        <v>1.302</v>
      </c>
      <c r="F21" s="23">
        <v>2.2999999999999998</v>
      </c>
      <c r="G21" s="24">
        <v>12</v>
      </c>
      <c r="H21" s="25">
        <f t="shared" si="0"/>
        <v>1861644.622</v>
      </c>
      <c r="I21" s="25">
        <v>0</v>
      </c>
      <c r="J21" s="25">
        <f t="shared" si="5"/>
        <v>1861644.622</v>
      </c>
      <c r="K21" s="25">
        <v>0</v>
      </c>
      <c r="L21" s="20">
        <f t="shared" si="1"/>
        <v>1785943.0360000001</v>
      </c>
      <c r="M21" s="20">
        <v>1785943.0360000001</v>
      </c>
      <c r="N21" s="26">
        <f t="shared" si="2"/>
        <v>75701.585999999894</v>
      </c>
      <c r="O21" s="26">
        <f t="shared" si="7"/>
        <v>70402.474979999912</v>
      </c>
      <c r="P21" s="27">
        <v>93</v>
      </c>
      <c r="Q21" s="26">
        <f t="shared" si="3"/>
        <v>5299.1110199999821</v>
      </c>
    </row>
    <row r="22" spans="1:17" ht="37.5">
      <c r="A22" s="19" t="s">
        <v>39</v>
      </c>
      <c r="B22" s="20">
        <v>53726.400000000001</v>
      </c>
      <c r="C22" s="21">
        <f t="shared" si="4"/>
        <v>0.96500007445129399</v>
      </c>
      <c r="D22" s="20">
        <v>51845.98</v>
      </c>
      <c r="E22" s="22">
        <v>1.302</v>
      </c>
      <c r="F22" s="23">
        <f>35.2+11.4</f>
        <v>46.6</v>
      </c>
      <c r="G22" s="24">
        <v>12</v>
      </c>
      <c r="H22" s="25">
        <f t="shared" si="0"/>
        <v>37747938.164999999</v>
      </c>
      <c r="I22" s="25">
        <v>138403</v>
      </c>
      <c r="J22" s="25">
        <f t="shared" si="5"/>
        <v>37609535.164999999</v>
      </c>
      <c r="K22" s="25">
        <v>405050</v>
      </c>
      <c r="L22" s="20">
        <f t="shared" si="1"/>
        <v>34476560.449999996</v>
      </c>
      <c r="M22" s="20">
        <f>26029544.966+8852065.484</f>
        <v>34881610.449999996</v>
      </c>
      <c r="N22" s="26">
        <f t="shared" si="2"/>
        <v>2727924.7150000036</v>
      </c>
      <c r="O22" s="26">
        <f>N22*0.94</f>
        <v>2564249.2321000034</v>
      </c>
      <c r="P22" s="27">
        <v>94</v>
      </c>
      <c r="Q22" s="26">
        <f t="shared" si="3"/>
        <v>163675.48290000018</v>
      </c>
    </row>
    <row r="23" spans="1:17" ht="18.75">
      <c r="A23" s="28" t="s">
        <v>40</v>
      </c>
      <c r="B23" s="20">
        <v>53726.400000000001</v>
      </c>
      <c r="C23" s="21">
        <f t="shared" si="4"/>
        <v>0.96500007445129399</v>
      </c>
      <c r="D23" s="20">
        <v>51845.98</v>
      </c>
      <c r="E23" s="22">
        <v>1.302</v>
      </c>
      <c r="F23" s="23">
        <v>16</v>
      </c>
      <c r="G23" s="24">
        <v>12</v>
      </c>
      <c r="H23" s="25">
        <f t="shared" si="0"/>
        <v>12960665.464</v>
      </c>
      <c r="I23" s="25">
        <v>0</v>
      </c>
      <c r="J23" s="25">
        <f t="shared" si="5"/>
        <v>12960665.464</v>
      </c>
      <c r="K23" s="25">
        <v>0</v>
      </c>
      <c r="L23" s="20">
        <f t="shared" si="1"/>
        <v>12423951.557</v>
      </c>
      <c r="M23" s="20">
        <v>12423951.557</v>
      </c>
      <c r="N23" s="26">
        <f t="shared" si="2"/>
        <v>536713.90699999966</v>
      </c>
      <c r="O23" s="26">
        <f t="shared" ref="O23:O25" si="8">N23*0.94</f>
        <v>504511.07257999963</v>
      </c>
      <c r="P23" s="27">
        <v>94</v>
      </c>
      <c r="Q23" s="26">
        <f t="shared" si="3"/>
        <v>32202.834420000028</v>
      </c>
    </row>
    <row r="24" spans="1:17" ht="18.75">
      <c r="A24" s="28" t="s">
        <v>41</v>
      </c>
      <c r="B24" s="20">
        <v>53726.400000000001</v>
      </c>
      <c r="C24" s="21">
        <f t="shared" si="4"/>
        <v>0.96500007445129399</v>
      </c>
      <c r="D24" s="20">
        <v>51845.98</v>
      </c>
      <c r="E24" s="22">
        <v>1.302</v>
      </c>
      <c r="F24" s="23">
        <v>5.5</v>
      </c>
      <c r="G24" s="24">
        <v>12</v>
      </c>
      <c r="H24" s="25">
        <f t="shared" si="0"/>
        <v>4455228.7529999996</v>
      </c>
      <c r="I24" s="25">
        <v>0</v>
      </c>
      <c r="J24" s="25">
        <f t="shared" si="5"/>
        <v>4455228.7529999996</v>
      </c>
      <c r="K24" s="25">
        <v>0</v>
      </c>
      <c r="L24" s="20">
        <f t="shared" si="1"/>
        <v>4270733.3480000002</v>
      </c>
      <c r="M24" s="20">
        <v>4270733.3480000002</v>
      </c>
      <c r="N24" s="26">
        <f t="shared" si="2"/>
        <v>184495.40499999933</v>
      </c>
      <c r="O24" s="26">
        <f t="shared" si="8"/>
        <v>173425.68069999936</v>
      </c>
      <c r="P24" s="27">
        <v>94</v>
      </c>
      <c r="Q24" s="26">
        <f t="shared" si="3"/>
        <v>11069.724299999973</v>
      </c>
    </row>
    <row r="25" spans="1:17" ht="18.75">
      <c r="A25" s="28" t="s">
        <v>42</v>
      </c>
      <c r="B25" s="20">
        <v>53726.400000000001</v>
      </c>
      <c r="C25" s="21">
        <f t="shared" si="4"/>
        <v>0.96500007445129399</v>
      </c>
      <c r="D25" s="20">
        <v>51845.98</v>
      </c>
      <c r="E25" s="22">
        <v>1.302</v>
      </c>
      <c r="F25" s="23">
        <v>19.5</v>
      </c>
      <c r="G25" s="24">
        <v>12</v>
      </c>
      <c r="H25" s="25">
        <f t="shared" si="0"/>
        <v>15795811.035</v>
      </c>
      <c r="I25" s="25">
        <v>198557</v>
      </c>
      <c r="J25" s="25">
        <f t="shared" si="5"/>
        <v>15597254.035</v>
      </c>
      <c r="K25" s="25">
        <v>0</v>
      </c>
      <c r="L25" s="20">
        <f t="shared" si="1"/>
        <v>14943133.960000001</v>
      </c>
      <c r="M25" s="20">
        <v>14943133.960000001</v>
      </c>
      <c r="N25" s="26">
        <f t="shared" si="2"/>
        <v>654120.07499999925</v>
      </c>
      <c r="O25" s="26">
        <f t="shared" si="8"/>
        <v>614872.87049999926</v>
      </c>
      <c r="P25" s="27">
        <v>94</v>
      </c>
      <c r="Q25" s="26">
        <f t="shared" si="3"/>
        <v>39247.204499999993</v>
      </c>
    </row>
    <row r="26" spans="1:17" ht="37.5">
      <c r="A26" s="19" t="s">
        <v>43</v>
      </c>
      <c r="B26" s="20">
        <v>53726.400000000001</v>
      </c>
      <c r="C26" s="21">
        <f t="shared" si="4"/>
        <v>0.96500007445129399</v>
      </c>
      <c r="D26" s="20">
        <v>51845.98</v>
      </c>
      <c r="E26" s="22">
        <v>1.302</v>
      </c>
      <c r="F26" s="23">
        <v>108</v>
      </c>
      <c r="G26" s="24">
        <v>12</v>
      </c>
      <c r="H26" s="25">
        <f t="shared" si="0"/>
        <v>87484491.884000003</v>
      </c>
      <c r="I26" s="25">
        <f>43.49*1000</f>
        <v>43490</v>
      </c>
      <c r="J26" s="25">
        <f t="shared" si="5"/>
        <v>87441001.884000003</v>
      </c>
      <c r="K26" s="25">
        <f>1638050-161448</f>
        <v>1476602</v>
      </c>
      <c r="L26" s="20">
        <f t="shared" si="1"/>
        <v>82108631.915000007</v>
      </c>
      <c r="M26" s="20">
        <v>83585233.915000007</v>
      </c>
      <c r="N26" s="26">
        <f t="shared" si="2"/>
        <v>3855767.9689999968</v>
      </c>
      <c r="O26" s="35">
        <f>N26*0.95</f>
        <v>3662979.5705499966</v>
      </c>
      <c r="P26" s="34">
        <v>95</v>
      </c>
      <c r="Q26" s="35">
        <f t="shared" si="3"/>
        <v>192788.39845000021</v>
      </c>
    </row>
    <row r="27" spans="1:17" ht="18.75">
      <c r="A27" s="28" t="s">
        <v>44</v>
      </c>
      <c r="B27" s="20">
        <v>53726.400000000001</v>
      </c>
      <c r="C27" s="21">
        <f t="shared" si="4"/>
        <v>0.96500007445129399</v>
      </c>
      <c r="D27" s="20">
        <v>51845.98</v>
      </c>
      <c r="E27" s="22">
        <v>1.302</v>
      </c>
      <c r="F27" s="23">
        <v>20.100000000000001</v>
      </c>
      <c r="G27" s="24">
        <v>12</v>
      </c>
      <c r="H27" s="25">
        <f t="shared" si="0"/>
        <v>16281835.99</v>
      </c>
      <c r="I27" s="25">
        <v>0</v>
      </c>
      <c r="J27" s="25">
        <f t="shared" si="5"/>
        <v>16281835.99</v>
      </c>
      <c r="K27" s="25">
        <v>161448</v>
      </c>
      <c r="L27" s="20">
        <f t="shared" si="1"/>
        <v>15290841.749</v>
      </c>
      <c r="M27" s="20">
        <v>15452289.749</v>
      </c>
      <c r="N27" s="26">
        <f t="shared" si="2"/>
        <v>829546.24100000039</v>
      </c>
      <c r="O27" s="26">
        <f t="shared" si="6"/>
        <v>788068.92895000032</v>
      </c>
      <c r="P27" s="27">
        <v>95</v>
      </c>
      <c r="Q27" s="26">
        <f t="shared" si="3"/>
        <v>41477.312050000066</v>
      </c>
    </row>
    <row r="28" spans="1:17" ht="37.5">
      <c r="A28" s="19" t="s">
        <v>45</v>
      </c>
      <c r="B28" s="20">
        <v>53726.400000000001</v>
      </c>
      <c r="C28" s="21">
        <f>D28/B28</f>
        <v>0.95021923467939695</v>
      </c>
      <c r="D28" s="20">
        <v>51051.858690079156</v>
      </c>
      <c r="E28" s="22">
        <v>1.302</v>
      </c>
      <c r="F28" s="23">
        <v>74.8</v>
      </c>
      <c r="G28" s="24">
        <v>12</v>
      </c>
      <c r="H28" s="25">
        <f t="shared" si="0"/>
        <v>59663041.164999999</v>
      </c>
      <c r="I28" s="25">
        <f>330.17*1000</f>
        <v>330170</v>
      </c>
      <c r="J28" s="25">
        <f t="shared" si="5"/>
        <v>59332871.164999999</v>
      </c>
      <c r="K28" s="25">
        <v>0</v>
      </c>
      <c r="L28" s="20">
        <f t="shared" si="1"/>
        <v>56897656.858000003</v>
      </c>
      <c r="M28" s="20">
        <v>56897656.858000003</v>
      </c>
      <c r="N28" s="26">
        <f t="shared" si="2"/>
        <v>2435214.3069999963</v>
      </c>
      <c r="O28" s="35">
        <f>N28*0.91</f>
        <v>2216045.0193699966</v>
      </c>
      <c r="P28" s="34">
        <v>91</v>
      </c>
      <c r="Q28" s="35">
        <f t="shared" si="3"/>
        <v>219169.28762999969</v>
      </c>
    </row>
    <row r="29" spans="1:17" ht="18.75">
      <c r="A29" s="28" t="s">
        <v>46</v>
      </c>
      <c r="B29" s="20">
        <v>53726.400000000001</v>
      </c>
      <c r="C29" s="21">
        <f>D29/B29</f>
        <v>1.0439719898060422</v>
      </c>
      <c r="D29" s="20">
        <v>56088.856713115354</v>
      </c>
      <c r="E29" s="22">
        <v>1.302</v>
      </c>
      <c r="F29" s="23">
        <v>14</v>
      </c>
      <c r="G29" s="24">
        <v>12</v>
      </c>
      <c r="H29" s="25">
        <f t="shared" si="0"/>
        <v>12268652.162</v>
      </c>
      <c r="I29" s="25">
        <f>225*1000</f>
        <v>225000</v>
      </c>
      <c r="J29" s="25">
        <f t="shared" si="5"/>
        <v>12043652.162</v>
      </c>
      <c r="K29" s="25">
        <v>227850</v>
      </c>
      <c r="L29" s="20">
        <f t="shared" si="1"/>
        <v>11815802.162</v>
      </c>
      <c r="M29" s="20">
        <v>12043652.162</v>
      </c>
      <c r="N29" s="29">
        <f t="shared" si="2"/>
        <v>0</v>
      </c>
      <c r="O29" s="29">
        <f>N29*0.91</f>
        <v>0</v>
      </c>
      <c r="P29" s="27">
        <v>91</v>
      </c>
      <c r="Q29" s="26">
        <f t="shared" si="3"/>
        <v>0</v>
      </c>
    </row>
    <row r="30" spans="1:17" ht="37.5">
      <c r="A30" s="28" t="s">
        <v>47</v>
      </c>
      <c r="B30" s="20">
        <v>53726.400000000001</v>
      </c>
      <c r="C30" s="21">
        <f t="shared" si="4"/>
        <v>0.96500007445129399</v>
      </c>
      <c r="D30" s="20">
        <v>51845.98</v>
      </c>
      <c r="E30" s="22">
        <v>1.302</v>
      </c>
      <c r="F30" s="23">
        <v>60</v>
      </c>
      <c r="G30" s="24">
        <v>12</v>
      </c>
      <c r="H30" s="25">
        <f t="shared" si="0"/>
        <v>48602495.490999997</v>
      </c>
      <c r="I30" s="25">
        <f>29.16*1000</f>
        <v>29160</v>
      </c>
      <c r="J30" s="25">
        <f t="shared" si="5"/>
        <v>48573335.490999997</v>
      </c>
      <c r="K30" s="25">
        <v>0</v>
      </c>
      <c r="L30" s="20">
        <f t="shared" si="1"/>
        <v>44930014.696000002</v>
      </c>
      <c r="M30" s="20">
        <v>44930014.696000002</v>
      </c>
      <c r="N30" s="26">
        <f t="shared" si="2"/>
        <v>3643320.7949999943</v>
      </c>
      <c r="O30" s="26">
        <f>N30*0.9</f>
        <v>3278988.7154999948</v>
      </c>
      <c r="P30" s="27">
        <v>90</v>
      </c>
      <c r="Q30" s="26">
        <f t="shared" si="3"/>
        <v>364332.07949999953</v>
      </c>
    </row>
    <row r="31" spans="1:17" s="2" customFormat="1" ht="37.5">
      <c r="A31" s="30" t="s">
        <v>48</v>
      </c>
      <c r="B31" s="20">
        <v>53726.400000000001</v>
      </c>
      <c r="C31" s="21">
        <f t="shared" si="4"/>
        <v>0.96500007445129399</v>
      </c>
      <c r="D31" s="20">
        <v>51845.98</v>
      </c>
      <c r="E31" s="31">
        <v>1.302</v>
      </c>
      <c r="F31" s="23">
        <v>68.599999999999994</v>
      </c>
      <c r="G31" s="24">
        <v>12</v>
      </c>
      <c r="H31" s="25">
        <f t="shared" si="0"/>
        <v>55568853.178000003</v>
      </c>
      <c r="I31" s="25">
        <v>0</v>
      </c>
      <c r="J31" s="25">
        <f t="shared" si="5"/>
        <v>55568853.178000003</v>
      </c>
      <c r="K31" s="25">
        <v>1551070</v>
      </c>
      <c r="L31" s="20">
        <f t="shared" si="1"/>
        <v>52706503.973999999</v>
      </c>
      <c r="M31" s="20">
        <v>54257573.973999999</v>
      </c>
      <c r="N31" s="26">
        <f t="shared" si="2"/>
        <v>1311279.2040000036</v>
      </c>
      <c r="O31" s="32">
        <f>N31*0.81</f>
        <v>1062136.155240003</v>
      </c>
      <c r="P31" s="33">
        <v>81</v>
      </c>
      <c r="Q31" s="32">
        <f t="shared" si="3"/>
        <v>249143.04876000062</v>
      </c>
    </row>
    <row r="32" spans="1:17" ht="37.5">
      <c r="A32" s="28" t="s">
        <v>49</v>
      </c>
      <c r="B32" s="20">
        <v>53726.400000000001</v>
      </c>
      <c r="C32" s="21">
        <f t="shared" si="4"/>
        <v>0.96500007445129399</v>
      </c>
      <c r="D32" s="20">
        <v>51845.98</v>
      </c>
      <c r="E32" s="22">
        <v>1.302</v>
      </c>
      <c r="F32" s="23">
        <v>108.6</v>
      </c>
      <c r="G32" s="24">
        <v>12</v>
      </c>
      <c r="H32" s="25">
        <f t="shared" si="0"/>
        <v>87970516.839000002</v>
      </c>
      <c r="I32" s="25">
        <f>965.95*1000</f>
        <v>965950</v>
      </c>
      <c r="J32" s="25">
        <f t="shared" si="5"/>
        <v>87004566.839000002</v>
      </c>
      <c r="K32" s="25">
        <v>131110</v>
      </c>
      <c r="L32" s="20">
        <f t="shared" si="1"/>
        <v>81832816.640000001</v>
      </c>
      <c r="M32" s="20">
        <v>81963926.640000001</v>
      </c>
      <c r="N32" s="26">
        <f t="shared" si="2"/>
        <v>5040640.199000001</v>
      </c>
      <c r="O32" s="26">
        <f>N32*0.93</f>
        <v>4687795.3850700008</v>
      </c>
      <c r="P32" s="27">
        <v>93</v>
      </c>
      <c r="Q32" s="26">
        <f t="shared" si="3"/>
        <v>352844.81393000018</v>
      </c>
    </row>
    <row r="33" spans="1:17" ht="37.5">
      <c r="A33" s="19" t="s">
        <v>50</v>
      </c>
      <c r="B33" s="20">
        <v>53726.400000000001</v>
      </c>
      <c r="C33" s="21">
        <f t="shared" si="4"/>
        <v>0.96500007445129399</v>
      </c>
      <c r="D33" s="20">
        <v>51845.98</v>
      </c>
      <c r="E33" s="22">
        <v>1.302</v>
      </c>
      <c r="F33" s="23">
        <v>46.6</v>
      </c>
      <c r="G33" s="24">
        <v>12</v>
      </c>
      <c r="H33" s="25">
        <f t="shared" si="0"/>
        <v>37747938.164999999</v>
      </c>
      <c r="I33" s="25">
        <v>0</v>
      </c>
      <c r="J33" s="25">
        <f t="shared" si="5"/>
        <v>37747938.164999999</v>
      </c>
      <c r="K33" s="25">
        <v>453230</v>
      </c>
      <c r="L33" s="20">
        <f t="shared" si="1"/>
        <v>35731528.909000002</v>
      </c>
      <c r="M33" s="20">
        <v>36184758.909000002</v>
      </c>
      <c r="N33" s="26">
        <f t="shared" si="2"/>
        <v>1563179.2559999973</v>
      </c>
      <c r="O33" s="26">
        <f>N33*0.92</f>
        <v>1438124.9155199975</v>
      </c>
      <c r="P33" s="27">
        <v>92</v>
      </c>
      <c r="Q33" s="26">
        <f t="shared" si="3"/>
        <v>125054.34047999978</v>
      </c>
    </row>
    <row r="34" spans="1:17" ht="18.75">
      <c r="A34" s="28" t="s">
        <v>51</v>
      </c>
      <c r="B34" s="20">
        <v>53726.400000000001</v>
      </c>
      <c r="C34" s="21">
        <f t="shared" si="4"/>
        <v>0.96500007445129399</v>
      </c>
      <c r="D34" s="20">
        <v>51845.98</v>
      </c>
      <c r="E34" s="22">
        <v>1.302</v>
      </c>
      <c r="F34" s="23">
        <v>6.2</v>
      </c>
      <c r="G34" s="24">
        <v>12</v>
      </c>
      <c r="H34" s="25">
        <f t="shared" si="0"/>
        <v>5022257.8669999996</v>
      </c>
      <c r="I34" s="25">
        <v>0</v>
      </c>
      <c r="J34" s="25">
        <f t="shared" si="5"/>
        <v>5022257.8669999996</v>
      </c>
      <c r="K34" s="25">
        <v>253890</v>
      </c>
      <c r="L34" s="20">
        <f t="shared" si="1"/>
        <v>4560391.2280000001</v>
      </c>
      <c r="M34" s="20">
        <v>4814281.2280000001</v>
      </c>
      <c r="N34" s="26">
        <f t="shared" si="2"/>
        <v>207976.6389999995</v>
      </c>
      <c r="O34" s="26">
        <f t="shared" ref="O34:O41" si="9">N34*0.92</f>
        <v>191338.50787999955</v>
      </c>
      <c r="P34" s="27">
        <v>92</v>
      </c>
      <c r="Q34" s="26">
        <f t="shared" si="3"/>
        <v>16638.131119999947</v>
      </c>
    </row>
    <row r="35" spans="1:17" ht="37.5">
      <c r="A35" s="28" t="s">
        <v>52</v>
      </c>
      <c r="B35" s="20">
        <v>53726.400000000001</v>
      </c>
      <c r="C35" s="21">
        <f t="shared" si="4"/>
        <v>0.96500007445129399</v>
      </c>
      <c r="D35" s="20">
        <v>51845.98</v>
      </c>
      <c r="E35" s="22">
        <v>1.302</v>
      </c>
      <c r="F35" s="23">
        <v>3.6</v>
      </c>
      <c r="G35" s="24">
        <v>12</v>
      </c>
      <c r="H35" s="25">
        <f t="shared" si="0"/>
        <v>2916149.7289999998</v>
      </c>
      <c r="I35" s="25">
        <v>0</v>
      </c>
      <c r="J35" s="25">
        <f t="shared" si="5"/>
        <v>2916149.7289999998</v>
      </c>
      <c r="K35" s="25">
        <v>125120</v>
      </c>
      <c r="L35" s="20">
        <f t="shared" si="1"/>
        <v>2670269.1</v>
      </c>
      <c r="M35" s="20">
        <v>2795389.1</v>
      </c>
      <c r="N35" s="26">
        <f t="shared" si="2"/>
        <v>120760.62899999972</v>
      </c>
      <c r="O35" s="26">
        <f t="shared" si="9"/>
        <v>111099.77867999976</v>
      </c>
      <c r="P35" s="27">
        <v>92</v>
      </c>
      <c r="Q35" s="26">
        <f t="shared" si="3"/>
        <v>9660.8503199999686</v>
      </c>
    </row>
    <row r="36" spans="1:17" ht="18.75">
      <c r="A36" s="28" t="s">
        <v>53</v>
      </c>
      <c r="B36" s="20">
        <v>53726.400000000001</v>
      </c>
      <c r="C36" s="21">
        <f t="shared" si="4"/>
        <v>0.96500007445129399</v>
      </c>
      <c r="D36" s="20">
        <v>51845.98</v>
      </c>
      <c r="E36" s="22">
        <v>1.302</v>
      </c>
      <c r="F36" s="23">
        <v>5.0999999999999996</v>
      </c>
      <c r="G36" s="24">
        <v>12</v>
      </c>
      <c r="H36" s="25">
        <f t="shared" si="0"/>
        <v>4131212.1170000001</v>
      </c>
      <c r="I36" s="25">
        <v>0</v>
      </c>
      <c r="J36" s="25">
        <f t="shared" si="5"/>
        <v>4131212.1170000001</v>
      </c>
      <c r="K36" s="25">
        <v>186970</v>
      </c>
      <c r="L36" s="20">
        <f t="shared" si="1"/>
        <v>3773164.5589999999</v>
      </c>
      <c r="M36" s="20">
        <v>3960134.5589999999</v>
      </c>
      <c r="N36" s="26">
        <f t="shared" si="2"/>
        <v>171077.55800000019</v>
      </c>
      <c r="O36" s="26">
        <f t="shared" si="9"/>
        <v>157391.35336000018</v>
      </c>
      <c r="P36" s="27">
        <v>92</v>
      </c>
      <c r="Q36" s="26">
        <f t="shared" si="3"/>
        <v>13686.204640000011</v>
      </c>
    </row>
    <row r="37" spans="1:17" ht="18.75">
      <c r="A37" s="28" t="s">
        <v>54</v>
      </c>
      <c r="B37" s="20">
        <v>53726.400000000001</v>
      </c>
      <c r="C37" s="21">
        <f t="shared" si="4"/>
        <v>0.96500007445129399</v>
      </c>
      <c r="D37" s="20">
        <v>51845.98</v>
      </c>
      <c r="E37" s="22">
        <v>1.302</v>
      </c>
      <c r="F37" s="23">
        <v>37.5</v>
      </c>
      <c r="G37" s="24">
        <v>12</v>
      </c>
      <c r="H37" s="25">
        <f t="shared" si="0"/>
        <v>30376559.682</v>
      </c>
      <c r="I37" s="25">
        <f>755.94*1000</f>
        <v>755940</v>
      </c>
      <c r="J37" s="25">
        <f t="shared" si="5"/>
        <v>29620619.682</v>
      </c>
      <c r="K37" s="25">
        <v>0</v>
      </c>
      <c r="L37" s="20">
        <f t="shared" si="1"/>
        <v>28362696.460999999</v>
      </c>
      <c r="M37" s="20">
        <v>28362696.460999999</v>
      </c>
      <c r="N37" s="26">
        <f t="shared" si="2"/>
        <v>1257923.2210000008</v>
      </c>
      <c r="O37" s="26">
        <f t="shared" si="9"/>
        <v>1157289.3633200007</v>
      </c>
      <c r="P37" s="27">
        <v>92</v>
      </c>
      <c r="Q37" s="26">
        <f t="shared" si="3"/>
        <v>100633.85768000013</v>
      </c>
    </row>
    <row r="38" spans="1:17" ht="18.75">
      <c r="A38" s="28" t="s">
        <v>55</v>
      </c>
      <c r="B38" s="20">
        <v>53726.400000000001</v>
      </c>
      <c r="C38" s="21">
        <f t="shared" si="4"/>
        <v>0.96500007445129399</v>
      </c>
      <c r="D38" s="20">
        <v>51845.98</v>
      </c>
      <c r="E38" s="22">
        <v>1.302</v>
      </c>
      <c r="F38" s="23">
        <v>14.4</v>
      </c>
      <c r="G38" s="24">
        <v>12</v>
      </c>
      <c r="H38" s="25">
        <f t="shared" si="0"/>
        <v>11664598.918</v>
      </c>
      <c r="I38" s="25">
        <v>0</v>
      </c>
      <c r="J38" s="25">
        <f t="shared" si="5"/>
        <v>11664598.918</v>
      </c>
      <c r="K38" s="25">
        <v>156500</v>
      </c>
      <c r="L38" s="20">
        <f t="shared" si="1"/>
        <v>10248559.429</v>
      </c>
      <c r="M38" s="20">
        <v>10405059.429</v>
      </c>
      <c r="N38" s="26">
        <f t="shared" si="2"/>
        <v>1259539.4890000001</v>
      </c>
      <c r="O38" s="26">
        <f t="shared" si="9"/>
        <v>1158776.3298800001</v>
      </c>
      <c r="P38" s="27">
        <v>92</v>
      </c>
      <c r="Q38" s="26">
        <f t="shared" si="3"/>
        <v>100763.15911999997</v>
      </c>
    </row>
    <row r="39" spans="1:17" ht="18.75">
      <c r="A39" s="28" t="s">
        <v>56</v>
      </c>
      <c r="B39" s="20">
        <v>53726.400000000001</v>
      </c>
      <c r="C39" s="21">
        <f t="shared" si="4"/>
        <v>0.96500007445129399</v>
      </c>
      <c r="D39" s="20">
        <v>51845.98</v>
      </c>
      <c r="E39" s="22">
        <v>1.302</v>
      </c>
      <c r="F39" s="23">
        <v>8.3000000000000007</v>
      </c>
      <c r="G39" s="24">
        <v>12</v>
      </c>
      <c r="H39" s="25">
        <f t="shared" si="0"/>
        <v>6723345.21</v>
      </c>
      <c r="I39" s="25">
        <v>0</v>
      </c>
      <c r="J39" s="25">
        <f t="shared" si="5"/>
        <v>6723345.21</v>
      </c>
      <c r="K39" s="25">
        <v>38150</v>
      </c>
      <c r="L39" s="20">
        <f t="shared" si="1"/>
        <v>6484424.5669999998</v>
      </c>
      <c r="M39" s="20">
        <v>6522574.5669999998</v>
      </c>
      <c r="N39" s="26">
        <f t="shared" si="2"/>
        <v>200770.64300000016</v>
      </c>
      <c r="O39" s="26">
        <f t="shared" si="9"/>
        <v>184708.99156000014</v>
      </c>
      <c r="P39" s="27">
        <v>92</v>
      </c>
      <c r="Q39" s="26">
        <f t="shared" si="3"/>
        <v>16061.651440000016</v>
      </c>
    </row>
    <row r="40" spans="1:17" ht="18.75">
      <c r="A40" s="28" t="s">
        <v>57</v>
      </c>
      <c r="B40" s="20">
        <v>53726.400000000001</v>
      </c>
      <c r="C40" s="21">
        <f t="shared" si="4"/>
        <v>0.96500007445129399</v>
      </c>
      <c r="D40" s="20">
        <v>51845.98</v>
      </c>
      <c r="E40" s="22">
        <v>1.302</v>
      </c>
      <c r="F40" s="23">
        <v>8</v>
      </c>
      <c r="G40" s="24">
        <v>12</v>
      </c>
      <c r="H40" s="25">
        <f t="shared" si="0"/>
        <v>6480332.7319999998</v>
      </c>
      <c r="I40" s="25">
        <v>0</v>
      </c>
      <c r="J40" s="25">
        <f t="shared" si="5"/>
        <v>6480332.7319999998</v>
      </c>
      <c r="K40" s="25">
        <v>68220</v>
      </c>
      <c r="L40" s="20">
        <f t="shared" si="1"/>
        <v>6143755.7779999999</v>
      </c>
      <c r="M40" s="20">
        <v>6211975.7779999999</v>
      </c>
      <c r="N40" s="26">
        <f t="shared" si="2"/>
        <v>268356.95399999991</v>
      </c>
      <c r="O40" s="26">
        <f t="shared" si="9"/>
        <v>246888.39767999994</v>
      </c>
      <c r="P40" s="27">
        <v>92</v>
      </c>
      <c r="Q40" s="26">
        <f t="shared" si="3"/>
        <v>21468.556319999974</v>
      </c>
    </row>
    <row r="41" spans="1:17" ht="18.75">
      <c r="A41" s="28" t="s">
        <v>58</v>
      </c>
      <c r="B41" s="20">
        <v>53726.400000000001</v>
      </c>
      <c r="C41" s="21">
        <f t="shared" si="4"/>
        <v>0.96500007445129399</v>
      </c>
      <c r="D41" s="20">
        <v>51845.98</v>
      </c>
      <c r="E41" s="22">
        <v>1.302</v>
      </c>
      <c r="F41" s="23">
        <v>4.8</v>
      </c>
      <c r="G41" s="24">
        <v>12</v>
      </c>
      <c r="H41" s="25">
        <f t="shared" si="0"/>
        <v>3888199.639</v>
      </c>
      <c r="I41" s="25">
        <v>0</v>
      </c>
      <c r="J41" s="25">
        <f t="shared" si="5"/>
        <v>3888199.639</v>
      </c>
      <c r="K41" s="25">
        <v>57810</v>
      </c>
      <c r="L41" s="20">
        <f t="shared" si="1"/>
        <v>3669375.4670000002</v>
      </c>
      <c r="M41" s="20">
        <v>3727185.4670000002</v>
      </c>
      <c r="N41" s="26">
        <f t="shared" si="2"/>
        <v>161014.17199999979</v>
      </c>
      <c r="O41" s="26">
        <f t="shared" si="9"/>
        <v>148133.03823999982</v>
      </c>
      <c r="P41" s="27">
        <v>92</v>
      </c>
      <c r="Q41" s="26">
        <f t="shared" si="3"/>
        <v>12881.133759999968</v>
      </c>
    </row>
    <row r="42" spans="1:17" ht="37.5">
      <c r="A42" s="19" t="s">
        <v>59</v>
      </c>
      <c r="B42" s="20">
        <v>53726.400000000001</v>
      </c>
      <c r="C42" s="21">
        <f t="shared" si="4"/>
        <v>0.96500007445129399</v>
      </c>
      <c r="D42" s="20">
        <v>51845.98</v>
      </c>
      <c r="E42" s="22">
        <v>1.302</v>
      </c>
      <c r="F42" s="23">
        <f>115.1+26.6</f>
        <v>141.69999999999999</v>
      </c>
      <c r="G42" s="24">
        <v>12</v>
      </c>
      <c r="H42" s="25">
        <f t="shared" si="0"/>
        <v>114782893.51800001</v>
      </c>
      <c r="I42" s="25">
        <f>32.94*1000</f>
        <v>32940</v>
      </c>
      <c r="J42" s="25">
        <f>H42-I42</f>
        <v>114749953.51800001</v>
      </c>
      <c r="K42" s="25">
        <f>894470+173950</f>
        <v>1068420</v>
      </c>
      <c r="L42" s="20">
        <f t="shared" si="1"/>
        <v>104890476.715</v>
      </c>
      <c r="M42" s="20">
        <f>85304077.255+20654819.46</f>
        <v>105958896.715</v>
      </c>
      <c r="N42" s="26">
        <f t="shared" si="2"/>
        <v>8791056.8030000031</v>
      </c>
      <c r="O42" s="35">
        <f>N42*0.94</f>
        <v>8263593.3948200028</v>
      </c>
      <c r="P42" s="34">
        <v>94</v>
      </c>
      <c r="Q42" s="35">
        <f t="shared" si="3"/>
        <v>527463.40818000026</v>
      </c>
    </row>
    <row r="43" spans="1:17" ht="18.75">
      <c r="A43" s="28" t="s">
        <v>60</v>
      </c>
      <c r="B43" s="20">
        <v>53726.400000000001</v>
      </c>
      <c r="C43" s="21">
        <f t="shared" si="4"/>
        <v>0.96500007445129399</v>
      </c>
      <c r="D43" s="20">
        <v>51845.98</v>
      </c>
      <c r="E43" s="22">
        <v>1.302</v>
      </c>
      <c r="F43" s="23">
        <v>11.5</v>
      </c>
      <c r="G43" s="24">
        <v>12</v>
      </c>
      <c r="H43" s="25">
        <f t="shared" si="0"/>
        <v>9315478.3019999992</v>
      </c>
      <c r="I43" s="25">
        <v>0</v>
      </c>
      <c r="J43" s="25">
        <f t="shared" si="5"/>
        <v>9315478.3019999992</v>
      </c>
      <c r="K43" s="25">
        <v>0</v>
      </c>
      <c r="L43" s="20">
        <f t="shared" si="1"/>
        <v>8774415.7870000005</v>
      </c>
      <c r="M43" s="20">
        <v>8774415.7870000005</v>
      </c>
      <c r="N43" s="26">
        <f t="shared" si="2"/>
        <v>541062.51499999873</v>
      </c>
      <c r="O43" s="26">
        <f t="shared" ref="O43:O44" si="10">N43*0.94</f>
        <v>508598.76409999881</v>
      </c>
      <c r="P43" s="27">
        <v>94</v>
      </c>
      <c r="Q43" s="26">
        <f t="shared" si="3"/>
        <v>32463.750899999926</v>
      </c>
    </row>
    <row r="44" spans="1:17" ht="18.75">
      <c r="A44" s="28" t="s">
        <v>61</v>
      </c>
      <c r="B44" s="20">
        <v>53726.400000000001</v>
      </c>
      <c r="C44" s="21">
        <f t="shared" si="4"/>
        <v>0.96500007445129399</v>
      </c>
      <c r="D44" s="20">
        <v>51845.98</v>
      </c>
      <c r="E44" s="22">
        <v>1.302</v>
      </c>
      <c r="F44" s="23">
        <v>5.8</v>
      </c>
      <c r="G44" s="24">
        <v>12</v>
      </c>
      <c r="H44" s="25">
        <f t="shared" si="0"/>
        <v>4698241.2309999997</v>
      </c>
      <c r="I44" s="25">
        <v>0</v>
      </c>
      <c r="J44" s="25">
        <f t="shared" si="5"/>
        <v>4698241.2309999997</v>
      </c>
      <c r="K44" s="25">
        <v>910</v>
      </c>
      <c r="L44" s="20">
        <f t="shared" si="1"/>
        <v>4502772.4390000002</v>
      </c>
      <c r="M44" s="20">
        <v>4503682.4390000002</v>
      </c>
      <c r="N44" s="26">
        <f t="shared" si="2"/>
        <v>194558.79199999943</v>
      </c>
      <c r="O44" s="26">
        <f t="shared" si="10"/>
        <v>182885.26447999946</v>
      </c>
      <c r="P44" s="27">
        <v>94</v>
      </c>
      <c r="Q44" s="26">
        <f t="shared" si="3"/>
        <v>11673.527519999974</v>
      </c>
    </row>
    <row r="45" spans="1:17" s="2" customFormat="1" ht="37.5">
      <c r="A45" s="30" t="s">
        <v>62</v>
      </c>
      <c r="B45" s="20">
        <v>53726.400000000001</v>
      </c>
      <c r="C45" s="21">
        <f t="shared" si="4"/>
        <v>0.96500007445129399</v>
      </c>
      <c r="D45" s="20">
        <v>51845.98</v>
      </c>
      <c r="E45" s="31">
        <v>1.302</v>
      </c>
      <c r="F45" s="23">
        <v>62.4</v>
      </c>
      <c r="G45" s="24">
        <v>12</v>
      </c>
      <c r="H45" s="25">
        <f t="shared" si="0"/>
        <v>50546595.310999997</v>
      </c>
      <c r="I45" s="25">
        <f>25.52*1000</f>
        <v>25520</v>
      </c>
      <c r="J45" s="25">
        <f t="shared" si="5"/>
        <v>50521075.310999997</v>
      </c>
      <c r="K45" s="25">
        <v>1568780</v>
      </c>
      <c r="L45" s="20">
        <f t="shared" si="1"/>
        <v>45927314.704000004</v>
      </c>
      <c r="M45" s="20">
        <v>47496094.704000004</v>
      </c>
      <c r="N45" s="26">
        <f t="shared" si="2"/>
        <v>3024980.6069999933</v>
      </c>
      <c r="O45" s="32">
        <f>N45*0.89</f>
        <v>2692232.7402299941</v>
      </c>
      <c r="P45" s="33">
        <v>89</v>
      </c>
      <c r="Q45" s="32">
        <f t="shared" si="3"/>
        <v>332747.86676999927</v>
      </c>
    </row>
    <row r="46" spans="1:17" s="2" customFormat="1" ht="37.5">
      <c r="A46" s="30" t="s">
        <v>63</v>
      </c>
      <c r="B46" s="20">
        <v>53726.400000000001</v>
      </c>
      <c r="C46" s="21">
        <f t="shared" si="4"/>
        <v>0.96500007445129399</v>
      </c>
      <c r="D46" s="20">
        <v>51845.98</v>
      </c>
      <c r="E46" s="31">
        <v>1.302</v>
      </c>
      <c r="F46" s="23">
        <v>160.5</v>
      </c>
      <c r="G46" s="24">
        <v>12</v>
      </c>
      <c r="H46" s="25">
        <f t="shared" si="0"/>
        <v>130011675.439</v>
      </c>
      <c r="I46" s="25">
        <f>553.35*1000</f>
        <v>553350</v>
      </c>
      <c r="J46" s="25">
        <f t="shared" si="5"/>
        <v>129458325.439</v>
      </c>
      <c r="K46" s="25">
        <v>2093750</v>
      </c>
      <c r="L46" s="20">
        <f t="shared" si="1"/>
        <v>121980664.052</v>
      </c>
      <c r="M46" s="20">
        <v>124074414.052</v>
      </c>
      <c r="N46" s="26">
        <f t="shared" si="2"/>
        <v>5383911.3869999945</v>
      </c>
      <c r="O46" s="32">
        <f>N46*0.83</f>
        <v>4468646.451209995</v>
      </c>
      <c r="P46" s="33">
        <v>83</v>
      </c>
      <c r="Q46" s="32">
        <f t="shared" si="3"/>
        <v>915264.93578999955</v>
      </c>
    </row>
    <row r="47" spans="1:17" ht="37.5">
      <c r="A47" s="19" t="s">
        <v>64</v>
      </c>
      <c r="B47" s="20">
        <v>53726.400000000001</v>
      </c>
      <c r="C47" s="21">
        <f t="shared" si="4"/>
        <v>0.96223003348490055</v>
      </c>
      <c r="D47" s="20">
        <v>51697.15567102316</v>
      </c>
      <c r="E47" s="22">
        <v>1.302</v>
      </c>
      <c r="F47" s="23">
        <v>134.6</v>
      </c>
      <c r="G47" s="24">
        <v>12</v>
      </c>
      <c r="H47" s="25">
        <f>ROUND(D47*E47*F47*G47,3)</f>
        <v>108718622.083</v>
      </c>
      <c r="I47" s="25">
        <v>376600</v>
      </c>
      <c r="J47" s="25">
        <f t="shared" si="5"/>
        <v>108342022.083</v>
      </c>
      <c r="K47" s="25">
        <f>1378560-116529</f>
        <v>1262031</v>
      </c>
      <c r="L47" s="20">
        <f t="shared" si="1"/>
        <v>102877686.31900001</v>
      </c>
      <c r="M47" s="20">
        <v>104139717.31900001</v>
      </c>
      <c r="N47" s="26">
        <f t="shared" si="2"/>
        <v>4202304.7639999986</v>
      </c>
      <c r="O47" s="26">
        <f>N47*0.85</f>
        <v>3571959.0493999985</v>
      </c>
      <c r="P47" s="27">
        <v>85</v>
      </c>
      <c r="Q47" s="26">
        <f t="shared" si="3"/>
        <v>630345.71460000006</v>
      </c>
    </row>
    <row r="48" spans="1:17" ht="18.75">
      <c r="A48" s="28" t="s">
        <v>65</v>
      </c>
      <c r="B48" s="20">
        <v>53726.400000000001</v>
      </c>
      <c r="C48" s="21">
        <f t="shared" si="4"/>
        <v>0.96223003348490055</v>
      </c>
      <c r="D48" s="20">
        <v>51697.15567102316</v>
      </c>
      <c r="E48" s="22">
        <v>1.302</v>
      </c>
      <c r="F48" s="23">
        <v>11</v>
      </c>
      <c r="G48" s="24">
        <v>12</v>
      </c>
      <c r="H48" s="25">
        <f t="shared" si="0"/>
        <v>8884879.9619999994</v>
      </c>
      <c r="I48" s="25">
        <v>70000</v>
      </c>
      <c r="J48" s="25">
        <f t="shared" si="5"/>
        <v>8814879.9619999994</v>
      </c>
      <c r="K48" s="25">
        <v>0</v>
      </c>
      <c r="L48" s="20">
        <f t="shared" si="1"/>
        <v>8549291.5439999998</v>
      </c>
      <c r="M48" s="20">
        <v>8549291.5439999998</v>
      </c>
      <c r="N48" s="26">
        <f t="shared" si="2"/>
        <v>265588.4179999996</v>
      </c>
      <c r="O48" s="26">
        <f>N48*0.85</f>
        <v>225750.15529999966</v>
      </c>
      <c r="P48" s="27">
        <v>85</v>
      </c>
      <c r="Q48" s="26">
        <f t="shared" si="3"/>
        <v>39838.262699999934</v>
      </c>
    </row>
    <row r="49" spans="1:22" ht="18.75">
      <c r="A49" s="28" t="s">
        <v>66</v>
      </c>
      <c r="B49" s="20">
        <v>53726.400000000001</v>
      </c>
      <c r="C49" s="21">
        <f t="shared" si="4"/>
        <v>0.9851659726866373</v>
      </c>
      <c r="D49" s="20">
        <v>52929.42111495135</v>
      </c>
      <c r="E49" s="22">
        <v>1.302</v>
      </c>
      <c r="F49" s="23">
        <v>20</v>
      </c>
      <c r="G49" s="24">
        <v>12</v>
      </c>
      <c r="H49" s="25">
        <f t="shared" si="0"/>
        <v>16539385.51</v>
      </c>
      <c r="I49" s="25">
        <v>288400</v>
      </c>
      <c r="J49" s="25">
        <f t="shared" si="5"/>
        <v>16250985.51</v>
      </c>
      <c r="K49" s="25">
        <v>116529</v>
      </c>
      <c r="L49" s="20">
        <f t="shared" si="1"/>
        <v>16134456.51</v>
      </c>
      <c r="M49" s="20">
        <v>16250985.51</v>
      </c>
      <c r="N49" s="29">
        <f t="shared" si="2"/>
        <v>0</v>
      </c>
      <c r="O49" s="29">
        <f t="shared" ref="O49" si="11">N49*0.85</f>
        <v>0</v>
      </c>
      <c r="P49" s="27">
        <v>85</v>
      </c>
      <c r="Q49" s="26">
        <f t="shared" si="3"/>
        <v>0</v>
      </c>
    </row>
    <row r="50" spans="1:22" ht="37.5">
      <c r="A50" s="28" t="s">
        <v>67</v>
      </c>
      <c r="B50" s="20">
        <v>53726.400000000001</v>
      </c>
      <c r="C50" s="21">
        <f t="shared" si="4"/>
        <v>0.96500007445129399</v>
      </c>
      <c r="D50" s="20">
        <v>51845.98</v>
      </c>
      <c r="E50" s="22">
        <v>1.302</v>
      </c>
      <c r="F50" s="23">
        <v>107</v>
      </c>
      <c r="G50" s="24">
        <v>12</v>
      </c>
      <c r="H50" s="25">
        <f t="shared" si="0"/>
        <v>86674450.292999998</v>
      </c>
      <c r="I50" s="25">
        <v>0</v>
      </c>
      <c r="J50" s="25">
        <f t="shared" si="5"/>
        <v>86674450.292999998</v>
      </c>
      <c r="K50" s="25">
        <v>1542480</v>
      </c>
      <c r="L50" s="20">
        <f t="shared" si="1"/>
        <v>80921498.457000002</v>
      </c>
      <c r="M50" s="20">
        <v>82463978.457000002</v>
      </c>
      <c r="N50" s="26">
        <f t="shared" si="2"/>
        <v>4210471.8359999955</v>
      </c>
      <c r="O50" s="26">
        <f>N50*0.89</f>
        <v>3747319.934039996</v>
      </c>
      <c r="P50" s="27">
        <v>89</v>
      </c>
      <c r="Q50" s="26">
        <f t="shared" si="3"/>
        <v>463151.90195999946</v>
      </c>
    </row>
    <row r="51" spans="1:22" ht="37.5">
      <c r="A51" s="19" t="s">
        <v>68</v>
      </c>
      <c r="B51" s="20">
        <v>53726.400000000001</v>
      </c>
      <c r="C51" s="21">
        <f t="shared" si="4"/>
        <v>0.96500007445129399</v>
      </c>
      <c r="D51" s="20">
        <v>51845.98</v>
      </c>
      <c r="E51" s="22">
        <v>1.302</v>
      </c>
      <c r="F51" s="23">
        <v>46.599999999999994</v>
      </c>
      <c r="G51" s="24">
        <v>12</v>
      </c>
      <c r="H51" s="25">
        <f t="shared" si="0"/>
        <v>37747938.164999999</v>
      </c>
      <c r="I51" s="25">
        <v>0</v>
      </c>
      <c r="J51" s="25">
        <f t="shared" si="5"/>
        <v>37747938.164999999</v>
      </c>
      <c r="K51" s="25">
        <v>0</v>
      </c>
      <c r="L51" s="20">
        <f t="shared" si="1"/>
        <v>36184758.909000002</v>
      </c>
      <c r="M51" s="20">
        <v>36184758.909000002</v>
      </c>
      <c r="N51" s="26">
        <f t="shared" si="2"/>
        <v>1563179.2559999973</v>
      </c>
      <c r="O51" s="26">
        <f>N51*0.94</f>
        <v>1469388.5006399974</v>
      </c>
      <c r="P51" s="27">
        <v>94</v>
      </c>
      <c r="Q51" s="26">
        <f t="shared" si="3"/>
        <v>93790.755359999835</v>
      </c>
    </row>
    <row r="52" spans="1:22" ht="18.75">
      <c r="A52" s="28" t="s">
        <v>69</v>
      </c>
      <c r="B52" s="20">
        <v>53726.400000000001</v>
      </c>
      <c r="C52" s="21">
        <f t="shared" si="4"/>
        <v>0.96500007445129399</v>
      </c>
      <c r="D52" s="20">
        <v>51845.98</v>
      </c>
      <c r="E52" s="22">
        <v>1.302</v>
      </c>
      <c r="F52" s="23">
        <v>20.8</v>
      </c>
      <c r="G52" s="24">
        <v>12</v>
      </c>
      <c r="H52" s="25">
        <f t="shared" si="0"/>
        <v>16848865.103999998</v>
      </c>
      <c r="I52" s="25">
        <f>153.38*1000</f>
        <v>153380</v>
      </c>
      <c r="J52" s="25">
        <f t="shared" si="5"/>
        <v>16695485.103999998</v>
      </c>
      <c r="K52" s="25">
        <v>0</v>
      </c>
      <c r="L52" s="20">
        <f t="shared" si="1"/>
        <v>16541304.903999999</v>
      </c>
      <c r="M52" s="20">
        <v>16541304.903999999</v>
      </c>
      <c r="N52" s="29">
        <f t="shared" si="2"/>
        <v>154180.19999999925</v>
      </c>
      <c r="O52" s="29">
        <f>N52*0.94</f>
        <v>144929.38799999928</v>
      </c>
      <c r="P52" s="27">
        <v>94</v>
      </c>
      <c r="Q52" s="26">
        <f t="shared" si="3"/>
        <v>9250.8119999999763</v>
      </c>
    </row>
    <row r="53" spans="1:22" ht="18.75">
      <c r="A53" s="28" t="s">
        <v>70</v>
      </c>
      <c r="B53" s="20">
        <v>53726.400000000001</v>
      </c>
      <c r="C53" s="21">
        <f t="shared" si="4"/>
        <v>0.96500007445129399</v>
      </c>
      <c r="D53" s="20">
        <v>51845.98</v>
      </c>
      <c r="E53" s="22">
        <v>1.302</v>
      </c>
      <c r="F53" s="23">
        <v>572.4</v>
      </c>
      <c r="G53" s="24">
        <v>12</v>
      </c>
      <c r="H53" s="25">
        <f t="shared" si="0"/>
        <v>463667806.986</v>
      </c>
      <c r="I53" s="25">
        <f>67720.28*1000</f>
        <v>67720280</v>
      </c>
      <c r="J53" s="25">
        <f t="shared" si="5"/>
        <v>395947526.986</v>
      </c>
      <c r="K53" s="25">
        <v>0</v>
      </c>
      <c r="L53" s="20">
        <f t="shared" si="1"/>
        <v>379309026.94700003</v>
      </c>
      <c r="M53" s="20">
        <v>379309026.94700003</v>
      </c>
      <c r="N53" s="26">
        <f t="shared" si="2"/>
        <v>16638500.038999975</v>
      </c>
      <c r="O53" s="26">
        <f>N53*0.85</f>
        <v>14142725.033149978</v>
      </c>
      <c r="P53" s="27">
        <v>85</v>
      </c>
      <c r="Q53" s="26">
        <f t="shared" si="3"/>
        <v>2495775.0058499966</v>
      </c>
    </row>
    <row r="54" spans="1:22" ht="18.75">
      <c r="A54" s="28" t="s">
        <v>71</v>
      </c>
      <c r="B54" s="20">
        <v>53726.400000000001</v>
      </c>
      <c r="C54" s="21">
        <f t="shared" si="4"/>
        <v>0.96500007445129399</v>
      </c>
      <c r="D54" s="20">
        <v>51845.98</v>
      </c>
      <c r="E54" s="22">
        <v>1.302</v>
      </c>
      <c r="F54" s="23">
        <v>364.7</v>
      </c>
      <c r="G54" s="24">
        <v>12</v>
      </c>
      <c r="H54" s="25">
        <f t="shared" si="0"/>
        <v>295422168.42699999</v>
      </c>
      <c r="I54" s="25">
        <f>40179.46*1000</f>
        <v>40179460</v>
      </c>
      <c r="J54" s="25">
        <f t="shared" si="5"/>
        <v>255242708.42699999</v>
      </c>
      <c r="K54" s="25">
        <v>0</v>
      </c>
      <c r="L54" s="20">
        <f t="shared" si="1"/>
        <v>235011066.97899997</v>
      </c>
      <c r="M54" s="20">
        <v>235011066.97899997</v>
      </c>
      <c r="N54" s="26">
        <f t="shared" si="2"/>
        <v>20231641.448000014</v>
      </c>
      <c r="O54" s="26">
        <f>N54*0.75</f>
        <v>15173731.08600001</v>
      </c>
      <c r="P54" s="27">
        <v>75</v>
      </c>
      <c r="Q54" s="26">
        <f t="shared" si="3"/>
        <v>5057910.3620000035</v>
      </c>
    </row>
    <row r="55" spans="1:22" s="2" customFormat="1" ht="18.75">
      <c r="A55" s="30" t="s">
        <v>72</v>
      </c>
      <c r="B55" s="20">
        <v>53726.400000000001</v>
      </c>
      <c r="C55" s="21">
        <f t="shared" si="4"/>
        <v>0.96500007445129399</v>
      </c>
      <c r="D55" s="20">
        <v>51845.98</v>
      </c>
      <c r="E55" s="31">
        <v>1.302</v>
      </c>
      <c r="F55" s="23">
        <v>232.4</v>
      </c>
      <c r="G55" s="24">
        <v>12</v>
      </c>
      <c r="H55" s="25">
        <f t="shared" si="0"/>
        <v>188253665.86899999</v>
      </c>
      <c r="I55" s="25">
        <f>10079.82*1000</f>
        <v>10079820</v>
      </c>
      <c r="J55" s="25">
        <f t="shared" si="5"/>
        <v>178173845.86899999</v>
      </c>
      <c r="K55" s="25">
        <v>1051500</v>
      </c>
      <c r="L55" s="20">
        <f t="shared" si="1"/>
        <v>165677040.59</v>
      </c>
      <c r="M55" s="20">
        <v>166728540.59</v>
      </c>
      <c r="N55" s="26">
        <f t="shared" si="2"/>
        <v>11445305.278999984</v>
      </c>
      <c r="O55" s="32">
        <f>N55*0.88</f>
        <v>10071868.645519987</v>
      </c>
      <c r="P55" s="33">
        <v>88</v>
      </c>
      <c r="Q55" s="32">
        <f t="shared" si="3"/>
        <v>1373436.6334799975</v>
      </c>
    </row>
    <row r="56" spans="1:22" s="2" customFormat="1" ht="18.75">
      <c r="A56" s="30" t="s">
        <v>73</v>
      </c>
      <c r="B56" s="20">
        <v>53726.400000000001</v>
      </c>
      <c r="C56" s="21">
        <f t="shared" si="4"/>
        <v>0.96500007445129399</v>
      </c>
      <c r="D56" s="20">
        <v>51845.98</v>
      </c>
      <c r="E56" s="31">
        <v>1.302</v>
      </c>
      <c r="F56" s="23">
        <v>56.7</v>
      </c>
      <c r="G56" s="24">
        <v>12</v>
      </c>
      <c r="H56" s="25">
        <f t="shared" si="0"/>
        <v>45929358.239</v>
      </c>
      <c r="I56" s="25">
        <v>0</v>
      </c>
      <c r="J56" s="25">
        <f t="shared" si="5"/>
        <v>45929358.239</v>
      </c>
      <c r="K56" s="25">
        <v>0</v>
      </c>
      <c r="L56" s="20">
        <f t="shared" si="1"/>
        <v>43639129.843000002</v>
      </c>
      <c r="M56" s="20">
        <v>43639129.843000002</v>
      </c>
      <c r="N56" s="26">
        <f t="shared" si="2"/>
        <v>2290228.3959999979</v>
      </c>
      <c r="O56" s="32">
        <f>N56*0.87</f>
        <v>1992498.704519998</v>
      </c>
      <c r="P56" s="33">
        <v>87</v>
      </c>
      <c r="Q56" s="32">
        <f t="shared" si="3"/>
        <v>297729.6914799998</v>
      </c>
    </row>
    <row r="57" spans="1:22" s="2" customFormat="1" ht="18.75">
      <c r="A57" s="30" t="s">
        <v>74</v>
      </c>
      <c r="B57" s="20">
        <v>53726.400000000001</v>
      </c>
      <c r="C57" s="21">
        <f t="shared" si="4"/>
        <v>0.96500007445129399</v>
      </c>
      <c r="D57" s="20">
        <v>51845.98</v>
      </c>
      <c r="E57" s="31">
        <v>1.302</v>
      </c>
      <c r="F57" s="23">
        <v>120.2</v>
      </c>
      <c r="G57" s="24">
        <v>12</v>
      </c>
      <c r="H57" s="25">
        <f t="shared" si="0"/>
        <v>97366999.300999999</v>
      </c>
      <c r="I57" s="25">
        <f>985.7*1000</f>
        <v>985700</v>
      </c>
      <c r="J57" s="25">
        <f t="shared" si="5"/>
        <v>96381299.300999999</v>
      </c>
      <c r="K57" s="25">
        <v>0</v>
      </c>
      <c r="L57" s="20">
        <f t="shared" si="1"/>
        <v>92038637.280000001</v>
      </c>
      <c r="M57" s="20">
        <v>92038637.280000001</v>
      </c>
      <c r="N57" s="26">
        <f t="shared" si="2"/>
        <v>4342662.0209999979</v>
      </c>
      <c r="O57" s="32">
        <f>N57*0.86</f>
        <v>3734689.3380599981</v>
      </c>
      <c r="P57" s="33">
        <v>86</v>
      </c>
      <c r="Q57" s="32">
        <f t="shared" si="3"/>
        <v>607972.68293999974</v>
      </c>
    </row>
    <row r="58" spans="1:22" s="2" customFormat="1" ht="18.75">
      <c r="A58" s="30" t="s">
        <v>36</v>
      </c>
      <c r="B58" s="20">
        <v>53726.400000000001</v>
      </c>
      <c r="C58" s="21">
        <f t="shared" si="4"/>
        <v>0.96500007445129399</v>
      </c>
      <c r="D58" s="20">
        <v>51845.98</v>
      </c>
      <c r="E58" s="31">
        <v>1.302</v>
      </c>
      <c r="F58" s="23">
        <v>20.399999999999999</v>
      </c>
      <c r="G58" s="24">
        <v>12</v>
      </c>
      <c r="H58" s="25">
        <f t="shared" si="0"/>
        <v>16524848.467</v>
      </c>
      <c r="I58" s="25">
        <v>0</v>
      </c>
      <c r="J58" s="25">
        <f t="shared" si="5"/>
        <v>16524848.467</v>
      </c>
      <c r="K58" s="25">
        <v>0</v>
      </c>
      <c r="L58" s="20">
        <f t="shared" si="1"/>
        <v>15529939.446</v>
      </c>
      <c r="M58" s="20">
        <v>15529939.446</v>
      </c>
      <c r="N58" s="26">
        <f t="shared" si="2"/>
        <v>994909.02099999972</v>
      </c>
      <c r="O58" s="32">
        <f>N58*0.78</f>
        <v>776029.03637999983</v>
      </c>
      <c r="P58" s="33">
        <v>78</v>
      </c>
      <c r="Q58" s="32">
        <f t="shared" si="3"/>
        <v>218879.98461999989</v>
      </c>
    </row>
    <row r="59" spans="1:22" ht="18.75">
      <c r="A59" s="19" t="s">
        <v>75</v>
      </c>
      <c r="B59" s="35">
        <v>53726.400000000001</v>
      </c>
      <c r="C59" s="36">
        <f>D59/B59</f>
        <v>0.96500007445010527</v>
      </c>
      <c r="D59" s="35">
        <f>H59/G59/F59/E59</f>
        <v>51845.979999936135</v>
      </c>
      <c r="E59" s="36">
        <v>1.302</v>
      </c>
      <c r="F59" s="37">
        <f>SUM(F7:F58)</f>
        <v>3407.4999999999991</v>
      </c>
      <c r="G59" s="34">
        <v>12</v>
      </c>
      <c r="H59" s="35">
        <f>SUM(H7:H58)</f>
        <v>2760216723.1009994</v>
      </c>
      <c r="I59" s="35">
        <f t="shared" ref="I59:O59" si="12">SUM(I7:I58)</f>
        <v>124980000</v>
      </c>
      <c r="J59" s="35">
        <f t="shared" si="12"/>
        <v>2635236723.1009994</v>
      </c>
      <c r="K59" s="35">
        <f t="shared" si="12"/>
        <v>18118520</v>
      </c>
      <c r="L59" s="38">
        <f>SUM(L7:L58)</f>
        <v>2488352505.0010004</v>
      </c>
      <c r="M59" s="35">
        <f>SUM(M7:M58)</f>
        <v>2506471025.0010004</v>
      </c>
      <c r="N59" s="35">
        <f>SUM(N7:N58)</f>
        <v>128765698.09999992</v>
      </c>
      <c r="O59" s="35">
        <f t="shared" si="12"/>
        <v>112430601.8000699</v>
      </c>
      <c r="P59" s="34"/>
      <c r="Q59" s="35">
        <f>SUM(Q7:Q58)</f>
        <v>16335096.299929993</v>
      </c>
    </row>
    <row r="60" spans="1:22" ht="13.5" hidden="1" customHeight="1">
      <c r="A60" s="39"/>
      <c r="B60" s="2"/>
      <c r="C60" s="2"/>
      <c r="D60" s="2"/>
      <c r="E60" s="2"/>
      <c r="F60" s="2"/>
      <c r="G60" s="2"/>
      <c r="H60" s="2"/>
      <c r="I60" s="2"/>
      <c r="J60" s="40"/>
      <c r="K60" s="2"/>
      <c r="M60" s="2"/>
      <c r="N60" s="2"/>
      <c r="O60" s="2"/>
      <c r="P60" s="2"/>
      <c r="Q60" s="2"/>
      <c r="R60" s="2"/>
      <c r="S60" s="41"/>
      <c r="T60" s="41"/>
    </row>
    <row r="61" spans="1:22" ht="18.75" hidden="1">
      <c r="A61" s="42" t="s">
        <v>76</v>
      </c>
      <c r="B61" s="43"/>
      <c r="C61" s="43"/>
      <c r="D61" s="44"/>
      <c r="E61" s="44"/>
      <c r="F61" s="44"/>
      <c r="G61" s="45"/>
      <c r="H61" s="46">
        <v>2481038056</v>
      </c>
      <c r="I61" s="47"/>
      <c r="J61" s="47"/>
      <c r="K61" s="47"/>
      <c r="L61" s="43"/>
      <c r="M61" s="48"/>
      <c r="N61" s="48"/>
      <c r="O61" s="48"/>
      <c r="P61" s="48"/>
      <c r="Q61" s="48"/>
      <c r="R61" s="41"/>
      <c r="S61" s="41"/>
      <c r="T61" s="41"/>
      <c r="U61" s="2"/>
      <c r="V61" s="2"/>
    </row>
    <row r="62" spans="1:22" ht="18.75" hidden="1">
      <c r="A62" s="49" t="s">
        <v>77</v>
      </c>
      <c r="B62" s="43"/>
      <c r="C62" s="43"/>
      <c r="D62" s="50" t="s">
        <v>78</v>
      </c>
      <c r="E62" s="50"/>
      <c r="F62" s="51"/>
      <c r="G62" s="45"/>
      <c r="H62" s="46"/>
      <c r="I62" s="47"/>
      <c r="J62" s="47"/>
      <c r="K62" s="47"/>
      <c r="L62" s="52"/>
      <c r="M62" s="53"/>
      <c r="N62" s="43"/>
      <c r="O62" s="48"/>
      <c r="P62" s="48"/>
      <c r="Q62" s="48"/>
      <c r="R62" s="41"/>
      <c r="S62" s="41"/>
      <c r="T62" s="41"/>
      <c r="U62" s="2"/>
      <c r="V62" s="2"/>
    </row>
    <row r="63" spans="1:22" ht="18.75" hidden="1">
      <c r="A63" s="2"/>
      <c r="B63" s="2"/>
      <c r="C63" s="41"/>
      <c r="D63" s="50" t="s">
        <v>79</v>
      </c>
      <c r="E63" s="50"/>
      <c r="F63" s="53"/>
      <c r="G63" s="48"/>
      <c r="H63" s="48"/>
      <c r="I63" s="48"/>
      <c r="J63" s="48"/>
      <c r="K63" s="48"/>
      <c r="L63" s="45"/>
      <c r="M63" s="51"/>
      <c r="N63" s="2"/>
      <c r="O63" s="41"/>
      <c r="P63" s="41"/>
      <c r="Q63" s="41"/>
      <c r="R63" s="41"/>
      <c r="S63" s="41"/>
      <c r="T63" s="41"/>
      <c r="U63" s="2"/>
      <c r="V63" s="2"/>
    </row>
    <row r="64" spans="1:22" ht="29.25" hidden="1" customHeight="1">
      <c r="C64" s="41"/>
      <c r="D64" s="2"/>
      <c r="E64" s="2"/>
      <c r="F64" s="2"/>
      <c r="G64" s="2"/>
      <c r="H64" s="2"/>
      <c r="I64" s="2"/>
      <c r="J64" s="2"/>
      <c r="K64" s="2"/>
      <c r="M64" s="2"/>
      <c r="N64" s="2"/>
      <c r="O64" s="41"/>
      <c r="P64" s="41"/>
      <c r="Q64" s="41"/>
      <c r="R64" s="41"/>
      <c r="S64" s="41"/>
      <c r="T64" s="41"/>
    </row>
    <row r="65" spans="3:20" hidden="1">
      <c r="C65" s="41"/>
      <c r="D65" s="2"/>
      <c r="E65" s="2"/>
      <c r="F65" s="2"/>
      <c r="G65" s="2"/>
      <c r="H65" s="2"/>
      <c r="I65" s="2"/>
      <c r="J65" s="2"/>
      <c r="K65" s="2"/>
      <c r="M65" s="2"/>
      <c r="N65" s="2"/>
      <c r="O65" s="41"/>
      <c r="P65" s="41"/>
      <c r="Q65" s="41"/>
      <c r="R65" s="41"/>
      <c r="S65" s="41"/>
      <c r="T65" s="41"/>
    </row>
    <row r="66" spans="3:20" hidden="1">
      <c r="D66" s="2"/>
      <c r="E66" s="2"/>
      <c r="F66" s="2"/>
      <c r="G66" s="2"/>
      <c r="H66" s="2"/>
      <c r="I66" s="2"/>
      <c r="J66" s="2"/>
      <c r="K66" s="2"/>
      <c r="M66" s="2"/>
      <c r="N66" s="2"/>
    </row>
    <row r="67" spans="3:20" hidden="1">
      <c r="D67" s="2"/>
      <c r="E67" s="2"/>
      <c r="F67" s="2"/>
      <c r="G67" s="2"/>
      <c r="H67" s="2"/>
      <c r="I67" s="2"/>
      <c r="J67" s="2"/>
      <c r="K67" s="2"/>
      <c r="M67" s="2"/>
      <c r="N67" s="2"/>
    </row>
    <row r="68" spans="3:20">
      <c r="D68" s="2"/>
      <c r="E68" s="2"/>
      <c r="F68" s="2"/>
      <c r="G68" s="2"/>
      <c r="H68" s="2"/>
      <c r="I68" s="2"/>
      <c r="J68" s="2"/>
      <c r="K68" s="2"/>
      <c r="M68" s="2"/>
      <c r="N68" s="2"/>
    </row>
    <row r="69" spans="3:20">
      <c r="D69" s="2"/>
      <c r="E69" s="2"/>
      <c r="F69" s="2"/>
      <c r="G69" s="2"/>
      <c r="H69" s="2"/>
      <c r="I69" s="2"/>
      <c r="J69" s="2"/>
      <c r="K69" s="2"/>
      <c r="M69" s="2"/>
      <c r="N69" s="2"/>
    </row>
    <row r="70" spans="3:20">
      <c r="D70" s="2"/>
      <c r="E70" s="2"/>
      <c r="F70" s="2"/>
      <c r="G70" s="2"/>
      <c r="H70" s="2"/>
      <c r="I70" s="2"/>
      <c r="J70" s="2"/>
      <c r="K70" s="2"/>
      <c r="M70" s="2"/>
      <c r="N70" s="2"/>
    </row>
    <row r="71" spans="3:20">
      <c r="D71" s="2"/>
      <c r="E71" s="2"/>
      <c r="F71" s="2"/>
      <c r="G71" s="2"/>
      <c r="H71" s="2"/>
      <c r="I71" s="2"/>
      <c r="J71" s="2"/>
      <c r="K71" s="2"/>
      <c r="M71" s="2"/>
      <c r="N71" s="2"/>
    </row>
    <row r="72" spans="3:20">
      <c r="D72" s="2"/>
      <c r="E72" s="2"/>
      <c r="F72" s="2"/>
      <c r="G72" s="2"/>
      <c r="H72" s="2"/>
      <c r="I72" s="2"/>
      <c r="J72" s="2"/>
      <c r="K72" s="2"/>
    </row>
  </sheetData>
  <mergeCells count="21">
    <mergeCell ref="P1:Q1"/>
    <mergeCell ref="B3:O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L4:L5"/>
    <mergeCell ref="M4:M5"/>
    <mergeCell ref="N4:N5"/>
    <mergeCell ref="D62:E62"/>
    <mergeCell ref="D63:E63"/>
    <mergeCell ref="I4:I5"/>
    <mergeCell ref="J4:J5"/>
    <mergeCell ref="K4:K5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45" fitToWidth="0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97 процентов</vt:lpstr>
      <vt:lpstr>'2022 97 процентов'!Заголовки_для_печати</vt:lpstr>
      <vt:lpstr>'2022 97 процентов'!Область_печати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Вероника Владимировна</dc:creator>
  <cp:lastModifiedBy>minfin user</cp:lastModifiedBy>
  <cp:lastPrinted>2022-10-05T16:25:20Z</cp:lastPrinted>
  <dcterms:created xsi:type="dcterms:W3CDTF">2022-09-12T09:19:50Z</dcterms:created>
  <dcterms:modified xsi:type="dcterms:W3CDTF">2022-10-05T16:25:22Z</dcterms:modified>
</cp:coreProperties>
</file>