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540" windowHeight="11760"/>
  </bookViews>
  <sheets>
    <sheet name="97 % (53224,19)" sheetId="1" r:id="rId1"/>
  </sheets>
  <definedNames>
    <definedName name="_xlnm.Print_Area" localSheetId="0">'97 % (53224,19)'!$A$1:$U$35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35" l="1"/>
  <c r="T12" l="1"/>
  <c r="T16"/>
  <c r="T10"/>
  <c r="T13"/>
  <c r="T14"/>
  <c r="T15"/>
  <c r="T17"/>
  <c r="T18"/>
  <c r="T21"/>
  <c r="T22"/>
  <c r="T23"/>
  <c r="T26"/>
  <c r="T27"/>
  <c r="T31"/>
  <c r="U10" l="1"/>
  <c r="U14"/>
  <c r="U18"/>
  <c r="U22"/>
  <c r="U26"/>
  <c r="U12"/>
  <c r="U15"/>
  <c r="U16"/>
  <c r="U17"/>
  <c r="U21"/>
  <c r="U23"/>
  <c r="U27"/>
  <c r="U31"/>
  <c r="AG10" l="1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9"/>
  <c r="AB35"/>
  <c r="AC35"/>
  <c r="AD35"/>
  <c r="AF35"/>
  <c r="AG35" l="1"/>
  <c r="AE35"/>
  <c r="I9" l="1"/>
  <c r="E9"/>
  <c r="X35" l="1"/>
  <c r="E49" l="1"/>
  <c r="F46"/>
  <c r="F45"/>
  <c r="E37"/>
  <c r="E38" s="1"/>
  <c r="O35"/>
  <c r="M35"/>
  <c r="L35"/>
  <c r="I49"/>
  <c r="Y34"/>
  <c r="J34"/>
  <c r="K34" s="1"/>
  <c r="N34" s="1"/>
  <c r="P34" s="1"/>
  <c r="E34"/>
  <c r="E33"/>
  <c r="E32"/>
  <c r="I31"/>
  <c r="E31"/>
  <c r="I30"/>
  <c r="E30"/>
  <c r="I29"/>
  <c r="E29"/>
  <c r="E28"/>
  <c r="I27"/>
  <c r="E27"/>
  <c r="I26"/>
  <c r="E26"/>
  <c r="I25"/>
  <c r="E25"/>
  <c r="I24"/>
  <c r="E24"/>
  <c r="V23"/>
  <c r="I23"/>
  <c r="E23"/>
  <c r="V22"/>
  <c r="W22"/>
  <c r="I22"/>
  <c r="E22"/>
  <c r="I21"/>
  <c r="E21"/>
  <c r="I20"/>
  <c r="E20"/>
  <c r="I19"/>
  <c r="E19"/>
  <c r="V18"/>
  <c r="W18"/>
  <c r="I18"/>
  <c r="E18"/>
  <c r="V17"/>
  <c r="W17"/>
  <c r="I17"/>
  <c r="E17"/>
  <c r="V16"/>
  <c r="W16"/>
  <c r="I16"/>
  <c r="E16"/>
  <c r="V15"/>
  <c r="W15"/>
  <c r="I15"/>
  <c r="E15"/>
  <c r="I14"/>
  <c r="E14"/>
  <c r="I13"/>
  <c r="E13"/>
  <c r="I12"/>
  <c r="E12"/>
  <c r="I11"/>
  <c r="E11"/>
  <c r="Y10"/>
  <c r="AA10" s="1"/>
  <c r="I10"/>
  <c r="F35"/>
  <c r="E10"/>
  <c r="Y15" l="1"/>
  <c r="AA15" s="1"/>
  <c r="Y18"/>
  <c r="AA18" s="1"/>
  <c r="Y16"/>
  <c r="AA16" s="1"/>
  <c r="Y17"/>
  <c r="AA17" s="1"/>
  <c r="Y22"/>
  <c r="AA22" s="1"/>
  <c r="G12"/>
  <c r="J12" s="1"/>
  <c r="K12" s="1"/>
  <c r="N12" s="1"/>
  <c r="P12" s="1"/>
  <c r="G17"/>
  <c r="J17" s="1"/>
  <c r="K17" s="1"/>
  <c r="N17" s="1"/>
  <c r="P17" s="1"/>
  <c r="G31"/>
  <c r="J31" s="1"/>
  <c r="K31" s="1"/>
  <c r="N31" s="1"/>
  <c r="P31" s="1"/>
  <c r="G11"/>
  <c r="J11" s="1"/>
  <c r="K11" s="1"/>
  <c r="N11" s="1"/>
  <c r="G16"/>
  <c r="J16" s="1"/>
  <c r="K16" s="1"/>
  <c r="N16" s="1"/>
  <c r="P16" s="1"/>
  <c r="G19"/>
  <c r="G20"/>
  <c r="J20" s="1"/>
  <c r="K20" s="1"/>
  <c r="N20" s="1"/>
  <c r="G22"/>
  <c r="J22" s="1"/>
  <c r="K22" s="1"/>
  <c r="N22" s="1"/>
  <c r="P22" s="1"/>
  <c r="G26"/>
  <c r="J26" s="1"/>
  <c r="K26" s="1"/>
  <c r="N26" s="1"/>
  <c r="P26" s="1"/>
  <c r="G21"/>
  <c r="G23"/>
  <c r="J23" s="1"/>
  <c r="K23" s="1"/>
  <c r="N23" s="1"/>
  <c r="P23" s="1"/>
  <c r="G24"/>
  <c r="G25"/>
  <c r="G29"/>
  <c r="J29" s="1"/>
  <c r="K29" s="1"/>
  <c r="N29" s="1"/>
  <c r="J9"/>
  <c r="K9" s="1"/>
  <c r="N9" s="1"/>
  <c r="G13"/>
  <c r="J13" s="1"/>
  <c r="K13" s="1"/>
  <c r="N13" s="1"/>
  <c r="G27"/>
  <c r="J27" s="1"/>
  <c r="K27" s="1"/>
  <c r="N27" s="1"/>
  <c r="P27" s="1"/>
  <c r="G10"/>
  <c r="G15"/>
  <c r="J15" s="1"/>
  <c r="K15" s="1"/>
  <c r="N15" s="1"/>
  <c r="P15" s="1"/>
  <c r="G14"/>
  <c r="J14" s="1"/>
  <c r="K14" s="1"/>
  <c r="N14" s="1"/>
  <c r="P14" s="1"/>
  <c r="G18"/>
  <c r="J18" s="1"/>
  <c r="K18" s="1"/>
  <c r="N18" s="1"/>
  <c r="P18" s="1"/>
  <c r="G30"/>
  <c r="F44"/>
  <c r="G49"/>
  <c r="J49" s="1"/>
  <c r="I34"/>
  <c r="I33"/>
  <c r="G33" s="1"/>
  <c r="I28"/>
  <c r="G28" s="1"/>
  <c r="I32"/>
  <c r="G32" s="1"/>
  <c r="P29" l="1"/>
  <c r="Q29"/>
  <c r="P9"/>
  <c r="Q9"/>
  <c r="R9" s="1"/>
  <c r="T9" s="1"/>
  <c r="P20"/>
  <c r="Q20"/>
  <c r="P13"/>
  <c r="Q11"/>
  <c r="P11"/>
  <c r="J21"/>
  <c r="K21" s="1"/>
  <c r="N21" s="1"/>
  <c r="P21" s="1"/>
  <c r="J19"/>
  <c r="K19" s="1"/>
  <c r="N19" s="1"/>
  <c r="J24"/>
  <c r="K24" s="1"/>
  <c r="N24" s="1"/>
  <c r="J25"/>
  <c r="K25" s="1"/>
  <c r="N25" s="1"/>
  <c r="J30"/>
  <c r="K30" s="1"/>
  <c r="N30" s="1"/>
  <c r="J10"/>
  <c r="K10" s="1"/>
  <c r="N10" s="1"/>
  <c r="P10" s="1"/>
  <c r="J32"/>
  <c r="K32" s="1"/>
  <c r="N32" s="1"/>
  <c r="J33"/>
  <c r="K33" s="1"/>
  <c r="N33" s="1"/>
  <c r="N49"/>
  <c r="Q49" s="1"/>
  <c r="K49"/>
  <c r="J28"/>
  <c r="K28" s="1"/>
  <c r="N28" s="1"/>
  <c r="R11" l="1"/>
  <c r="T11" s="1"/>
  <c r="V11" s="1"/>
  <c r="R20"/>
  <c r="T20" s="1"/>
  <c r="U20" s="1"/>
  <c r="R29"/>
  <c r="T29" s="1"/>
  <c r="P19"/>
  <c r="Q19"/>
  <c r="P30"/>
  <c r="Q30"/>
  <c r="U13"/>
  <c r="Q33"/>
  <c r="P33"/>
  <c r="Q25"/>
  <c r="P25"/>
  <c r="P28"/>
  <c r="Q28"/>
  <c r="Q32"/>
  <c r="P32"/>
  <c r="P24"/>
  <c r="Q24"/>
  <c r="N35"/>
  <c r="J35"/>
  <c r="K35"/>
  <c r="T49"/>
  <c r="U49" s="1"/>
  <c r="T33" l="1"/>
  <c r="R33"/>
  <c r="U29"/>
  <c r="R30"/>
  <c r="T30" s="1"/>
  <c r="T32"/>
  <c r="R32"/>
  <c r="U32" s="1"/>
  <c r="R19"/>
  <c r="T19" s="1"/>
  <c r="U19" s="1"/>
  <c r="W19" s="1"/>
  <c r="T25"/>
  <c r="R25"/>
  <c r="R24"/>
  <c r="T24" s="1"/>
  <c r="T28"/>
  <c r="U28" s="1"/>
  <c r="R28"/>
  <c r="U9"/>
  <c r="Q35"/>
  <c r="U11"/>
  <c r="U25"/>
  <c r="U33"/>
  <c r="W33" s="1"/>
  <c r="V33"/>
  <c r="V12"/>
  <c r="V29"/>
  <c r="V20"/>
  <c r="V26"/>
  <c r="W26"/>
  <c r="W23"/>
  <c r="Y23"/>
  <c r="AA23" s="1"/>
  <c r="W27"/>
  <c r="W20"/>
  <c r="W21"/>
  <c r="J44"/>
  <c r="K52"/>
  <c r="G35"/>
  <c r="W12"/>
  <c r="P35"/>
  <c r="W29"/>
  <c r="U24" l="1"/>
  <c r="U30"/>
  <c r="W30" s="1"/>
  <c r="R35"/>
  <c r="Y9"/>
  <c r="AA9" s="1"/>
  <c r="Y33"/>
  <c r="AA33" s="1"/>
  <c r="Q44"/>
  <c r="Y26"/>
  <c r="AA26" s="1"/>
  <c r="V19"/>
  <c r="Y19"/>
  <c r="AA19" s="1"/>
  <c r="Y29"/>
  <c r="AA29" s="1"/>
  <c r="V25"/>
  <c r="V21"/>
  <c r="Y21"/>
  <c r="AA21" s="1"/>
  <c r="V14"/>
  <c r="Y20"/>
  <c r="AA20" s="1"/>
  <c r="Y12"/>
  <c r="AA12" s="1"/>
  <c r="V31"/>
  <c r="V24"/>
  <c r="V30"/>
  <c r="V13"/>
  <c r="V27"/>
  <c r="Y27"/>
  <c r="AA27" s="1"/>
  <c r="W31"/>
  <c r="W24"/>
  <c r="G52"/>
  <c r="G45"/>
  <c r="J37"/>
  <c r="J38" s="1"/>
  <c r="J36"/>
  <c r="Q52"/>
  <c r="W14"/>
  <c r="W13"/>
  <c r="R52"/>
  <c r="W25"/>
  <c r="Y11" l="1"/>
  <c r="AA11" s="1"/>
  <c r="W11"/>
  <c r="Y30"/>
  <c r="AA30" s="1"/>
  <c r="Y24"/>
  <c r="AA24" s="1"/>
  <c r="Y31"/>
  <c r="AA31" s="1"/>
  <c r="V28"/>
  <c r="Y13"/>
  <c r="AA13" s="1"/>
  <c r="V32"/>
  <c r="Y14"/>
  <c r="AA14" s="1"/>
  <c r="Y25"/>
  <c r="AA25" s="1"/>
  <c r="W28"/>
  <c r="T35"/>
  <c r="W32"/>
  <c r="V35" l="1"/>
  <c r="Y32"/>
  <c r="AA32" s="1"/>
  <c r="U35"/>
  <c r="U44" s="1"/>
  <c r="Y28"/>
  <c r="AA28" s="1"/>
  <c r="W35"/>
  <c r="V51" s="1"/>
  <c r="T44"/>
  <c r="T45" s="1"/>
  <c r="T52"/>
  <c r="Y35" l="1"/>
  <c r="AA35"/>
</calcChain>
</file>

<file path=xl/sharedStrings.xml><?xml version="1.0" encoding="utf-8"?>
<sst xmlns="http://schemas.openxmlformats.org/spreadsheetml/2006/main" count="91" uniqueCount="90">
  <si>
    <t>№ п/п</t>
  </si>
  <si>
    <t>Наименование МО</t>
  </si>
  <si>
    <t>Потребность за счет всех источников (руб.)</t>
  </si>
  <si>
    <t>Потребность за счет средств консолидированного бюджета Архангельской области (руб.)</t>
  </si>
  <si>
    <t>Потребность районов (без МСП ) (руб.)</t>
  </si>
  <si>
    <t>Дополнительная потребность за счет средств консолидированного бюджета  (руб.)</t>
  </si>
  <si>
    <t>Дополнительная потребность за счет средств консолидированного бюджета  без учета отрицательных значений. (руб.)</t>
  </si>
  <si>
    <t xml:space="preserve">Дополнительная потребность за счет средств консолидированного бюджета с учетом  коэффициента досчета потребности (руб.) </t>
  </si>
  <si>
    <t>Объем субсидии на повышение средней заработной платы работников муниципальных учреждений дополнительного образования за счет средств областного бюджета (руб.)</t>
  </si>
  <si>
    <t>Потребность на повышение средней заработной платы работников муниципальных учреждений дополнительного образования, рублей  местный бюджет (руб.)</t>
  </si>
  <si>
    <t>Всего субсидия на повышение оплаты труда в 2021 году (руб.)</t>
  </si>
  <si>
    <t>за счет средств областного бюджета</t>
  </si>
  <si>
    <t>за счет местных бюджетов</t>
  </si>
  <si>
    <t>Zi</t>
  </si>
  <si>
    <t>K</t>
  </si>
  <si>
    <t>1,302; 12</t>
  </si>
  <si>
    <t>Mci</t>
  </si>
  <si>
    <t>Фоpi</t>
  </si>
  <si>
    <t>ФMi</t>
  </si>
  <si>
    <t>Ксофi</t>
  </si>
  <si>
    <t>гр.1</t>
  </si>
  <si>
    <t>гр.2</t>
  </si>
  <si>
    <t>гр.3</t>
  </si>
  <si>
    <t>гр.4</t>
  </si>
  <si>
    <t>гр.5</t>
  </si>
  <si>
    <t>гр.6=гр.4*гр.7</t>
  </si>
  <si>
    <t>гр.7</t>
  </si>
  <si>
    <t>гр.8=гр.5*гр.6*1,302*12мес.</t>
  </si>
  <si>
    <t>гр.9 = гр.8-гр.11</t>
  </si>
  <si>
    <t>гр.10</t>
  </si>
  <si>
    <t>гр.11</t>
  </si>
  <si>
    <t>гр.12=гр.9-гр.10</t>
  </si>
  <si>
    <t>гр.13</t>
  </si>
  <si>
    <t>гр.21</t>
  </si>
  <si>
    <t>гр.22 = гр.20*гр.21/100</t>
  </si>
  <si>
    <t>гр.23=гр.20-гр.22</t>
  </si>
  <si>
    <t>гр.26=гр.16+гр.24</t>
  </si>
  <si>
    <t>гр.27=гр.14+гр.25</t>
  </si>
  <si>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</si>
  <si>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</si>
  <si>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</si>
  <si>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</si>
  <si>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</si>
  <si>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</si>
  <si>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</si>
  <si>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</si>
  <si>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</si>
  <si>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</si>
  <si>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</si>
  <si>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</si>
  <si>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</si>
  <si>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</si>
  <si>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</si>
  <si>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</si>
  <si>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</si>
  <si>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</si>
  <si>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</si>
  <si>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</si>
  <si>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</si>
  <si>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</si>
  <si>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</si>
  <si>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</si>
  <si>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</si>
  <si>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Новая Земля</t>
  </si>
  <si>
    <t>Всего по МО</t>
  </si>
  <si>
    <t>коэф роста ЗПЛ учит в 2019 к 2018</t>
  </si>
  <si>
    <t>коэф роста ЗПЛ учит в 2018 (с 38131руб.до  39020,89 руб.)</t>
  </si>
  <si>
    <t>Министе образования и науки Архангельской области</t>
  </si>
  <si>
    <t xml:space="preserve">                          (подпись)</t>
  </si>
  <si>
    <t>Целевой показатель на  2021  год</t>
  </si>
  <si>
    <t>индексация на 2022 год</t>
  </si>
  <si>
    <t>Проект  2022 года</t>
  </si>
  <si>
    <t>Предусмотрено на  2021 год</t>
  </si>
  <si>
    <t>Прогнозная средняя заработная плата педагогических работников  общего образования на 2022 год (руб.)</t>
  </si>
  <si>
    <t>Средняя заработная плата педагогов общего образования на  2022 год (руб.) (соглашение с МО)</t>
  </si>
  <si>
    <t>коэфф роста СЗП в 2022 г.</t>
  </si>
  <si>
    <t>Предусморено в местном бюджете (без МСП)  на 2022 год (инф. Минфин АО)(руб.)</t>
  </si>
  <si>
    <t>мерв  2021</t>
  </si>
  <si>
    <t>предпр</t>
  </si>
  <si>
    <t xml:space="preserve">Запланированный объем средств на меры социальной поддержки педработников в сельской местности (ЗП-обр.  2021 г. с инд. 1,04) ( руб.) </t>
  </si>
  <si>
    <t xml:space="preserve">Запланированный объем средств от внебюджетной деятельности, направляемый на повышение оплаты труда (ЗП-обр. 2021 г.) (руб.) </t>
  </si>
  <si>
    <t>гр 14 =гр. 12 - гр.13</t>
  </si>
  <si>
    <t>гр 15 =гр. 12 - гр.13 (гр15&gt;0)</t>
  </si>
  <si>
    <t>гр.16= гр.15 х к-нт</t>
  </si>
  <si>
    <t>уровни  СЗП ДО юр в соглашении</t>
  </si>
  <si>
    <t>Предельный уровень софинансирования, %</t>
  </si>
  <si>
    <t>Среднесписочная численность  пед. работников муниципальных образовательных организаций дополнительного образования на 2022 год, ед.</t>
  </si>
  <si>
    <t xml:space="preserve">Целевой показатель на 2022 год (соотношение средней заработной платы педагогов дополнительного образования к средней заработной плате учителей), % </t>
  </si>
  <si>
    <t>Планируемая средняя заработная плата педагогов допобразования в 2022 году в размере 97% к целевому показателю в размере 54870,3 руб.(руб.)</t>
  </si>
  <si>
    <t>Расчет потребности средств для реализации "майских" указов Президента Российской Федерации в 2022 году в части повышения заработной платы педагогических работников муниципальных учреждений дополнительного образования  (97 % к целевому показателю)</t>
  </si>
</sst>
</file>

<file path=xl/styles.xml><?xml version="1.0" encoding="utf-8"?>
<styleSheet xmlns="http://schemas.openxmlformats.org/spreadsheetml/2006/main">
  <numFmts count="17">
    <numFmt numFmtId="43" formatCode="_-* #,##0.00\ _₽_-;\-* #,##0.00\ _₽_-;_-* &quot;-&quot;??\ _₽_-;_-@_-"/>
    <numFmt numFmtId="164" formatCode="_-* #,##0.0000\ _₽_-;\-* #,##0.0000\ _₽_-;_-* &quot;-&quot;??\ _₽_-;_-@_-"/>
    <numFmt numFmtId="165" formatCode="_-* #,##0_р_._-;\-* #,##0_р_._-;_-* &quot;-&quot;??_р_._-;_-@_-"/>
    <numFmt numFmtId="166" formatCode="#,##0.0"/>
    <numFmt numFmtId="167" formatCode="_(* #,##0.0_);_(* \(#,##0.0\);_(* &quot;-&quot;??_);_(@_)"/>
    <numFmt numFmtId="168" formatCode="_-* #,##0.00_р_._-;\-* #,##0.00_р_._-;_-* &quot;-&quot;??_р_._-;_-@_-"/>
    <numFmt numFmtId="169" formatCode="_-* #,##0.0_р_._-;\-* #,##0.0_р_._-;_-* &quot;-&quot;??_р_._-;_-@_-"/>
    <numFmt numFmtId="170" formatCode="_-* #,##0.0\ _₽_-;\-* #,##0.0\ _₽_-;_-* &quot;-&quot;?\ _₽_-;_-@_-"/>
    <numFmt numFmtId="171" formatCode="_-* #,##0.0\ _₽_-;\-* #,##0.0\ _₽_-;_-* &quot;-&quot;??\ _₽_-;_-@_-"/>
    <numFmt numFmtId="172" formatCode="_-* #,##0.000_р_._-;\-* #,##0.000_р_._-;_-* &quot;-&quot;??_р_._-;_-@_-"/>
    <numFmt numFmtId="173" formatCode="0.00000000000"/>
    <numFmt numFmtId="174" formatCode="_(* #,##0.00_);_(* \(#,##0.00\);_(* &quot;-&quot;??_);_(@_)"/>
    <numFmt numFmtId="175" formatCode="#,##0.00000000"/>
    <numFmt numFmtId="176" formatCode="#,##0.00000"/>
    <numFmt numFmtId="177" formatCode="_-* #,##0.00\ _₽_-;\-* #,##0.00\ _₽_-;_-* &quot;-&quot;?\ _₽_-;_-@_-"/>
    <numFmt numFmtId="178" formatCode="0.00000"/>
    <numFmt numFmtId="179" formatCode="_-* #,##0.000\ _₽_-;\-* #,##0.000\ _₽_-;_-* &quot;-&quot;??\ _₽_-;_-@_-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16" fillId="0" borderId="0"/>
  </cellStyleXfs>
  <cellXfs count="118">
    <xf numFmtId="0" fontId="0" fillId="0" borderId="0" xfId="0"/>
    <xf numFmtId="0" fontId="3" fillId="0" borderId="1" xfId="0" applyFont="1" applyFill="1" applyBorder="1"/>
    <xf numFmtId="0" fontId="8" fillId="0" borderId="1" xfId="0" applyFont="1" applyFill="1" applyBorder="1" applyAlignment="1">
      <alignment horizontal="left"/>
    </xf>
    <xf numFmtId="166" fontId="8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 applyAlignment="1">
      <alignment horizontal="right" vertical="center" wrapText="1" indent="1"/>
    </xf>
    <xf numFmtId="168" fontId="3" fillId="0" borderId="1" xfId="1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13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 indent="1"/>
    </xf>
    <xf numFmtId="164" fontId="8" fillId="0" borderId="1" xfId="1" applyNumberFormat="1" applyFont="1" applyFill="1" applyBorder="1" applyAlignment="1">
      <alignment horizontal="right" indent="1"/>
    </xf>
    <xf numFmtId="174" fontId="3" fillId="0" borderId="1" xfId="1" applyNumberFormat="1" applyFont="1" applyFill="1" applyBorder="1" applyAlignment="1">
      <alignment horizontal="right" vertical="center" wrapText="1" indent="1"/>
    </xf>
    <xf numFmtId="166" fontId="3" fillId="0" borderId="1" xfId="1" applyNumberFormat="1" applyFont="1" applyFill="1" applyBorder="1" applyAlignment="1">
      <alignment horizontal="right" vertical="center" indent="1"/>
    </xf>
    <xf numFmtId="171" fontId="3" fillId="0" borderId="1" xfId="1" applyNumberFormat="1" applyFont="1" applyFill="1" applyBorder="1"/>
    <xf numFmtId="171" fontId="13" fillId="0" borderId="1" xfId="1" applyNumberFormat="1" applyFont="1" applyFill="1" applyBorder="1"/>
    <xf numFmtId="4" fontId="8" fillId="0" borderId="1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/>
    <xf numFmtId="4" fontId="12" fillId="0" borderId="1" xfId="1" applyNumberFormat="1" applyFont="1" applyFill="1" applyBorder="1" applyAlignment="1"/>
    <xf numFmtId="4" fontId="12" fillId="0" borderId="1" xfId="1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 vertical="center" wrapText="1"/>
    </xf>
    <xf numFmtId="1" fontId="10" fillId="0" borderId="1" xfId="3" applyNumberFormat="1" applyFont="1" applyFill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" fontId="11" fillId="0" borderId="1" xfId="3" applyNumberFormat="1" applyFont="1" applyFill="1" applyBorder="1" applyAlignment="1">
      <alignment horizontal="center" vertical="center" wrapText="1"/>
    </xf>
    <xf numFmtId="1" fontId="10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7" fontId="3" fillId="0" borderId="1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168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/>
    <xf numFmtId="166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/>
    <xf numFmtId="166" fontId="3" fillId="0" borderId="1" xfId="1" applyNumberFormat="1" applyFont="1" applyFill="1" applyBorder="1"/>
    <xf numFmtId="170" fontId="3" fillId="0" borderId="0" xfId="0" applyNumberFormat="1" applyFont="1" applyFill="1" applyBorder="1"/>
    <xf numFmtId="170" fontId="3" fillId="0" borderId="1" xfId="0" applyNumberFormat="1" applyFont="1" applyFill="1" applyBorder="1"/>
    <xf numFmtId="177" fontId="3" fillId="0" borderId="1" xfId="0" applyNumberFormat="1" applyFont="1" applyFill="1" applyBorder="1"/>
    <xf numFmtId="166" fontId="13" fillId="0" borderId="1" xfId="1" applyNumberFormat="1" applyFont="1" applyFill="1" applyBorder="1" applyAlignment="1">
      <alignment horizontal="center"/>
    </xf>
    <xf numFmtId="170" fontId="14" fillId="0" borderId="0" xfId="0" applyNumberFormat="1" applyFont="1" applyFill="1" applyBorder="1"/>
    <xf numFmtId="0" fontId="8" fillId="0" borderId="1" xfId="0" applyFont="1" applyFill="1" applyBorder="1"/>
    <xf numFmtId="167" fontId="8" fillId="0" borderId="1" xfId="1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166" fontId="8" fillId="0" borderId="1" xfId="1" applyNumberFormat="1" applyFont="1" applyFill="1" applyBorder="1" applyAlignment="1">
      <alignment horizontal="right" vertical="center" wrapText="1"/>
    </xf>
    <xf numFmtId="168" fontId="8" fillId="0" borderId="1" xfId="1" applyNumberFormat="1" applyFont="1" applyFill="1" applyBorder="1" applyAlignment="1">
      <alignment horizontal="center"/>
    </xf>
    <xf numFmtId="168" fontId="8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164" fontId="14" fillId="0" borderId="0" xfId="1" applyNumberFormat="1" applyFont="1" applyFill="1"/>
    <xf numFmtId="172" fontId="3" fillId="0" borderId="0" xfId="1" applyNumberFormat="1" applyFont="1" applyFill="1"/>
    <xf numFmtId="169" fontId="3" fillId="0" borderId="0" xfId="1" applyNumberFormat="1" applyFont="1" applyFill="1"/>
    <xf numFmtId="0" fontId="3" fillId="0" borderId="0" xfId="0" applyFont="1" applyFill="1" applyBorder="1"/>
    <xf numFmtId="0" fontId="16" fillId="0" borderId="0" xfId="4" applyFill="1"/>
    <xf numFmtId="164" fontId="16" fillId="0" borderId="0" xfId="1" applyNumberFormat="1" applyFont="1" applyFill="1"/>
    <xf numFmtId="166" fontId="3" fillId="0" borderId="0" xfId="0" applyNumberFormat="1" applyFont="1" applyFill="1"/>
    <xf numFmtId="173" fontId="16" fillId="0" borderId="0" xfId="4" applyNumberFormat="1" applyFill="1"/>
    <xf numFmtId="168" fontId="3" fillId="0" borderId="0" xfId="1" applyNumberFormat="1" applyFont="1" applyFill="1"/>
    <xf numFmtId="0" fontId="17" fillId="0" borderId="0" xfId="0" applyFont="1" applyFill="1"/>
    <xf numFmtId="0" fontId="3" fillId="0" borderId="5" xfId="0" applyFont="1" applyFill="1" applyBorder="1"/>
    <xf numFmtId="165" fontId="17" fillId="0" borderId="5" xfId="1" applyNumberFormat="1" applyFont="1" applyFill="1" applyBorder="1"/>
    <xf numFmtId="165" fontId="18" fillId="0" borderId="0" xfId="1" applyNumberFormat="1" applyFont="1" applyFill="1"/>
    <xf numFmtId="4" fontId="3" fillId="0" borderId="0" xfId="0" applyNumberFormat="1" applyFont="1" applyFill="1"/>
    <xf numFmtId="166" fontId="3" fillId="0" borderId="1" xfId="0" applyNumberFormat="1" applyFont="1" applyFill="1" applyBorder="1" applyAlignment="1">
      <alignment horizontal="right" vertical="center" wrapText="1" indent="1"/>
    </xf>
    <xf numFmtId="166" fontId="3" fillId="0" borderId="0" xfId="0" applyNumberFormat="1" applyFont="1" applyFill="1" applyBorder="1" applyAlignment="1">
      <alignment horizontal="right" vertical="center" wrapText="1" indent="1"/>
    </xf>
    <xf numFmtId="169" fontId="14" fillId="0" borderId="0" xfId="1" applyNumberFormat="1" applyFont="1" applyFill="1"/>
    <xf numFmtId="43" fontId="3" fillId="0" borderId="0" xfId="0" applyNumberFormat="1" applyFont="1" applyFill="1"/>
    <xf numFmtId="0" fontId="0" fillId="0" borderId="0" xfId="0" applyFill="1"/>
    <xf numFmtId="164" fontId="0" fillId="0" borderId="0" xfId="1" applyNumberFormat="1" applyFont="1" applyFill="1"/>
    <xf numFmtId="43" fontId="0" fillId="0" borderId="0" xfId="0" applyNumberFormat="1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4" fontId="0" fillId="0" borderId="0" xfId="0" applyNumberFormat="1" applyFill="1"/>
    <xf numFmtId="166" fontId="0" fillId="0" borderId="0" xfId="0" applyNumberFormat="1" applyFill="1"/>
    <xf numFmtId="175" fontId="0" fillId="0" borderId="0" xfId="0" applyNumberFormat="1" applyFill="1"/>
    <xf numFmtId="176" fontId="0" fillId="0" borderId="0" xfId="0" applyNumberFormat="1" applyFill="1"/>
    <xf numFmtId="178" fontId="0" fillId="0" borderId="0" xfId="0" applyNumberFormat="1" applyFill="1"/>
    <xf numFmtId="173" fontId="0" fillId="0" borderId="0" xfId="0" applyNumberFormat="1" applyFill="1"/>
  </cellXfs>
  <cellStyles count="5">
    <cellStyle name="Normal" xfId="3"/>
    <cellStyle name="Обычный" xfId="0" builtinId="0"/>
    <cellStyle name="Обычный 3" xfId="2"/>
    <cellStyle name="Обычный 6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G66"/>
  <sheetViews>
    <sheetView tabSelected="1" view="pageBreakPreview" zoomScale="80" zoomScaleNormal="78" zoomScaleSheetLayoutView="8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E13" sqref="E13"/>
    </sheetView>
  </sheetViews>
  <sheetFormatPr defaultRowHeight="12.75"/>
  <cols>
    <col min="1" max="1" width="3.85546875" style="107" customWidth="1"/>
    <col min="2" max="2" width="21.5703125" style="107" customWidth="1"/>
    <col min="3" max="3" width="9.7109375" style="107" customWidth="1"/>
    <col min="4" max="4" width="9.85546875" style="108" customWidth="1"/>
    <col min="5" max="5" width="9.85546875" style="107" customWidth="1"/>
    <col min="6" max="6" width="12" style="107" customWidth="1"/>
    <col min="7" max="7" width="12.5703125" style="107" customWidth="1"/>
    <col min="8" max="8" width="18.7109375" style="107" hidden="1" customWidth="1"/>
    <col min="9" max="9" width="14.42578125" style="107" customWidth="1"/>
    <col min="10" max="10" width="18.5703125" style="107" customWidth="1"/>
    <col min="11" max="11" width="18.28515625" style="107" customWidth="1"/>
    <col min="12" max="12" width="16.42578125" style="107" customWidth="1"/>
    <col min="13" max="13" width="16.85546875" style="107" customWidth="1"/>
    <col min="14" max="14" width="18.7109375" style="107" customWidth="1"/>
    <col min="15" max="15" width="19.140625" style="107" customWidth="1"/>
    <col min="16" max="16" width="15.28515625" style="107" customWidth="1"/>
    <col min="17" max="17" width="15.7109375" style="107" customWidth="1"/>
    <col min="18" max="18" width="15.42578125" style="107" customWidth="1"/>
    <col min="19" max="19" width="8.42578125" style="107" customWidth="1"/>
    <col min="20" max="20" width="15.5703125" style="107" customWidth="1"/>
    <col min="21" max="21" width="15.7109375" style="107" customWidth="1"/>
    <col min="22" max="23" width="18.85546875" style="107" hidden="1" customWidth="1"/>
    <col min="24" max="24" width="5.42578125" style="107" hidden="1" customWidth="1"/>
    <col min="25" max="25" width="21.7109375" style="107" hidden="1" customWidth="1"/>
    <col min="26" max="26" width="13.140625" style="107" hidden="1" customWidth="1"/>
    <col min="27" max="27" width="20.7109375" style="107" hidden="1" customWidth="1"/>
    <col min="28" max="29" width="0" style="107" hidden="1" customWidth="1"/>
    <col min="30" max="30" width="13.28515625" style="107" hidden="1" customWidth="1"/>
    <col min="31" max="31" width="17.5703125" style="107" hidden="1" customWidth="1"/>
    <col min="32" max="32" width="15.85546875" style="107" hidden="1" customWidth="1"/>
    <col min="33" max="33" width="18.140625" style="107" hidden="1" customWidth="1"/>
    <col min="34" max="16384" width="9.140625" style="107"/>
  </cols>
  <sheetData>
    <row r="1" spans="1:33" s="32" customFormat="1" ht="39.75" customHeight="1">
      <c r="A1" s="29"/>
      <c r="B1" s="30" t="s">
        <v>89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33" s="32" customFormat="1" ht="6.75" customHeight="1">
      <c r="D2" s="33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33" s="32" customFormat="1" ht="15.75">
      <c r="D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33" s="43" customFormat="1" ht="37.5" customHeight="1">
      <c r="A4" s="35" t="s">
        <v>0</v>
      </c>
      <c r="B4" s="36" t="s">
        <v>1</v>
      </c>
      <c r="C4" s="37" t="s">
        <v>74</v>
      </c>
      <c r="D4" s="38" t="s">
        <v>75</v>
      </c>
      <c r="E4" s="37" t="s">
        <v>73</v>
      </c>
      <c r="F4" s="37" t="s">
        <v>86</v>
      </c>
      <c r="G4" s="37" t="s">
        <v>88</v>
      </c>
      <c r="H4" s="39"/>
      <c r="I4" s="37" t="s">
        <v>87</v>
      </c>
      <c r="J4" s="37" t="s">
        <v>2</v>
      </c>
      <c r="K4" s="37" t="s">
        <v>3</v>
      </c>
      <c r="L4" s="37" t="s">
        <v>79</v>
      </c>
      <c r="M4" s="37" t="s">
        <v>80</v>
      </c>
      <c r="N4" s="28" t="s">
        <v>4</v>
      </c>
      <c r="O4" s="28" t="s">
        <v>76</v>
      </c>
      <c r="P4" s="28" t="s">
        <v>5</v>
      </c>
      <c r="Q4" s="40" t="s">
        <v>6</v>
      </c>
      <c r="R4" s="28" t="s">
        <v>7</v>
      </c>
      <c r="S4" s="40" t="s">
        <v>85</v>
      </c>
      <c r="T4" s="28" t="s">
        <v>8</v>
      </c>
      <c r="U4" s="28" t="s">
        <v>9</v>
      </c>
      <c r="V4" s="41" t="s">
        <v>10</v>
      </c>
      <c r="W4" s="41"/>
      <c r="X4" s="42"/>
      <c r="Y4" s="41" t="s">
        <v>72</v>
      </c>
      <c r="Z4" s="41" t="s">
        <v>70</v>
      </c>
      <c r="AA4" s="41" t="s">
        <v>71</v>
      </c>
    </row>
    <row r="5" spans="1:33" s="43" customFormat="1" ht="44.25" customHeight="1">
      <c r="A5" s="35"/>
      <c r="B5" s="36"/>
      <c r="C5" s="44"/>
      <c r="D5" s="45"/>
      <c r="E5" s="44"/>
      <c r="F5" s="44"/>
      <c r="G5" s="44"/>
      <c r="H5" s="46" t="s">
        <v>84</v>
      </c>
      <c r="I5" s="44"/>
      <c r="J5" s="44"/>
      <c r="K5" s="44"/>
      <c r="L5" s="44"/>
      <c r="M5" s="44"/>
      <c r="N5" s="28"/>
      <c r="O5" s="28"/>
      <c r="P5" s="28"/>
      <c r="Q5" s="47"/>
      <c r="R5" s="28"/>
      <c r="S5" s="47"/>
      <c r="T5" s="28"/>
      <c r="U5" s="28"/>
      <c r="V5" s="41"/>
      <c r="W5" s="41"/>
      <c r="X5" s="42"/>
      <c r="Y5" s="41"/>
      <c r="Z5" s="41"/>
      <c r="AA5" s="41"/>
    </row>
    <row r="6" spans="1:33" s="32" customFormat="1" ht="219.75" customHeight="1">
      <c r="A6" s="35"/>
      <c r="B6" s="36"/>
      <c r="C6" s="48"/>
      <c r="D6" s="49"/>
      <c r="E6" s="48"/>
      <c r="F6" s="48"/>
      <c r="G6" s="48"/>
      <c r="H6" s="50"/>
      <c r="I6" s="48"/>
      <c r="J6" s="48"/>
      <c r="K6" s="48"/>
      <c r="L6" s="48"/>
      <c r="M6" s="48"/>
      <c r="N6" s="28"/>
      <c r="O6" s="28"/>
      <c r="P6" s="28"/>
      <c r="Q6" s="51"/>
      <c r="R6" s="28"/>
      <c r="S6" s="51"/>
      <c r="T6" s="28"/>
      <c r="U6" s="28"/>
      <c r="V6" s="52" t="s">
        <v>11</v>
      </c>
      <c r="W6" s="53" t="s">
        <v>12</v>
      </c>
      <c r="X6" s="42"/>
      <c r="Y6" s="41"/>
      <c r="Z6" s="41"/>
      <c r="AA6" s="41"/>
      <c r="AD6" s="32" t="s">
        <v>77</v>
      </c>
      <c r="AF6" s="32" t="s">
        <v>78</v>
      </c>
    </row>
    <row r="7" spans="1:33" s="32" customFormat="1" ht="26.25" hidden="1" customHeight="1">
      <c r="A7" s="54"/>
      <c r="B7" s="55"/>
      <c r="C7" s="50"/>
      <c r="D7" s="56"/>
      <c r="E7" s="50" t="s">
        <v>13</v>
      </c>
      <c r="F7" s="50"/>
      <c r="G7" s="50"/>
      <c r="H7" s="50"/>
      <c r="I7" s="50" t="s">
        <v>14</v>
      </c>
      <c r="J7" s="50" t="s">
        <v>15</v>
      </c>
      <c r="K7" s="50"/>
      <c r="L7" s="50" t="s">
        <v>16</v>
      </c>
      <c r="M7" s="50" t="s">
        <v>17</v>
      </c>
      <c r="N7" s="27"/>
      <c r="O7" s="27" t="s">
        <v>18</v>
      </c>
      <c r="P7" s="27"/>
      <c r="Q7" s="57"/>
      <c r="R7" s="27"/>
      <c r="S7" s="58" t="s">
        <v>19</v>
      </c>
      <c r="T7" s="27"/>
      <c r="U7" s="27"/>
      <c r="V7" s="52"/>
      <c r="W7" s="53"/>
      <c r="X7" s="42"/>
      <c r="Y7" s="53"/>
      <c r="Z7" s="53"/>
      <c r="AA7" s="53"/>
    </row>
    <row r="8" spans="1:33" s="65" customFormat="1" ht="45" customHeight="1">
      <c r="A8" s="59" t="s">
        <v>20</v>
      </c>
      <c r="B8" s="59" t="s">
        <v>21</v>
      </c>
      <c r="C8" s="59" t="s">
        <v>22</v>
      </c>
      <c r="D8" s="59">
        <v>4</v>
      </c>
      <c r="E8" s="59" t="s">
        <v>23</v>
      </c>
      <c r="F8" s="59" t="s">
        <v>24</v>
      </c>
      <c r="G8" s="60" t="s">
        <v>25</v>
      </c>
      <c r="H8" s="60"/>
      <c r="I8" s="61" t="s">
        <v>26</v>
      </c>
      <c r="J8" s="62" t="s">
        <v>27</v>
      </c>
      <c r="K8" s="62" t="s">
        <v>28</v>
      </c>
      <c r="L8" s="59" t="s">
        <v>29</v>
      </c>
      <c r="M8" s="59" t="s">
        <v>30</v>
      </c>
      <c r="N8" s="24" t="s">
        <v>31</v>
      </c>
      <c r="O8" s="59" t="s">
        <v>32</v>
      </c>
      <c r="P8" s="24" t="s">
        <v>81</v>
      </c>
      <c r="Q8" s="24" t="s">
        <v>82</v>
      </c>
      <c r="R8" s="63" t="s">
        <v>83</v>
      </c>
      <c r="S8" s="24" t="s">
        <v>33</v>
      </c>
      <c r="T8" s="24" t="s">
        <v>34</v>
      </c>
      <c r="U8" s="24" t="s">
        <v>35</v>
      </c>
      <c r="V8" s="24" t="s">
        <v>36</v>
      </c>
      <c r="W8" s="24" t="s">
        <v>37</v>
      </c>
      <c r="X8" s="64"/>
      <c r="Y8" s="24"/>
      <c r="Z8" s="24"/>
      <c r="AA8" s="24"/>
    </row>
    <row r="9" spans="1:33" s="32" customFormat="1" ht="18.95" customHeight="1">
      <c r="A9" s="1">
        <v>1</v>
      </c>
      <c r="B9" s="2" t="s">
        <v>38</v>
      </c>
      <c r="C9" s="16">
        <v>52087.320472336003</v>
      </c>
      <c r="D9" s="25">
        <v>1.0328999999999999</v>
      </c>
      <c r="E9" s="17">
        <f>ROUND(C9*D9,2)</f>
        <v>53800.99</v>
      </c>
      <c r="F9" s="66">
        <v>77</v>
      </c>
      <c r="G9" s="67">
        <f>ROUND(E9*I9/100,1)</f>
        <v>56452.2</v>
      </c>
      <c r="H9" s="67">
        <v>54658.97571674372</v>
      </c>
      <c r="I9" s="19">
        <f>$I$35</f>
        <v>104.92783257524999</v>
      </c>
      <c r="J9" s="68">
        <f t="shared" ref="J9:J34" si="0">ROUND(F9*G9*12*1.302,2)</f>
        <v>67914706.310000002</v>
      </c>
      <c r="K9" s="6">
        <f>J9-M9</f>
        <v>67113455.510000005</v>
      </c>
      <c r="L9" s="5">
        <v>237640.00000000003</v>
      </c>
      <c r="M9" s="69">
        <v>801250.8</v>
      </c>
      <c r="N9" s="20">
        <f>K9-L9</f>
        <v>66875815.510000005</v>
      </c>
      <c r="O9" s="20">
        <v>58788748.214000002</v>
      </c>
      <c r="P9" s="20">
        <f>N9-O9</f>
        <v>8087067.2960000038</v>
      </c>
      <c r="Q9" s="20">
        <f>N9-O9</f>
        <v>8087067.2960000038</v>
      </c>
      <c r="R9" s="70">
        <f>ROUND(Q9*0.77077541904,1)</f>
        <v>6233312.7000000002</v>
      </c>
      <c r="S9" s="71">
        <v>93</v>
      </c>
      <c r="T9" s="72">
        <f>ROUND(R9*S9/100,T218)</f>
        <v>5796981</v>
      </c>
      <c r="U9" s="73">
        <f>R9-T9</f>
        <v>436331.70000000019</v>
      </c>
      <c r="V9" s="1"/>
      <c r="W9" s="1"/>
      <c r="X9" s="74"/>
      <c r="Y9" s="75" t="e">
        <f>#REF!+T9+U9</f>
        <v>#REF!</v>
      </c>
      <c r="Z9" s="76">
        <v>1.01</v>
      </c>
      <c r="AA9" s="75" t="e">
        <f>Y9*Z9</f>
        <v>#REF!</v>
      </c>
      <c r="AD9" s="32">
        <v>228.5</v>
      </c>
      <c r="AE9" s="32">
        <f>AD9*1.04*1000</f>
        <v>237640.00000000003</v>
      </c>
      <c r="AF9" s="32">
        <v>615.4</v>
      </c>
      <c r="AG9" s="32">
        <f>AF9*1000*1.302</f>
        <v>801250.8</v>
      </c>
    </row>
    <row r="10" spans="1:33" s="32" customFormat="1" ht="18.95" customHeight="1">
      <c r="A10" s="1">
        <v>2</v>
      </c>
      <c r="B10" s="2" t="s">
        <v>39</v>
      </c>
      <c r="C10" s="16">
        <v>45054.909232662736</v>
      </c>
      <c r="D10" s="25">
        <v>1.0328999999999999</v>
      </c>
      <c r="E10" s="17">
        <f t="shared" ref="E10:E33" si="1">ROUND(C10*D10,2)</f>
        <v>46537.22</v>
      </c>
      <c r="F10" s="66">
        <v>19</v>
      </c>
      <c r="G10" s="67">
        <f t="shared" ref="G10:G33" si="2">ROUND(E10*I10/100,1)</f>
        <v>48830.5</v>
      </c>
      <c r="H10" s="67">
        <v>52763.700662280695</v>
      </c>
      <c r="I10" s="19">
        <f>$I$35</f>
        <v>104.92783257524999</v>
      </c>
      <c r="J10" s="68">
        <f t="shared" si="0"/>
        <v>14495626.91</v>
      </c>
      <c r="K10" s="6">
        <f>J10-M10</f>
        <v>14421933.710000001</v>
      </c>
      <c r="L10" s="5">
        <v>1008696</v>
      </c>
      <c r="M10" s="69">
        <v>73693.2</v>
      </c>
      <c r="N10" s="20">
        <f t="shared" ref="N10:N34" si="3">K10-L10</f>
        <v>13413237.710000001</v>
      </c>
      <c r="O10" s="20">
        <v>16280999.616</v>
      </c>
      <c r="P10" s="20">
        <f t="shared" ref="P10:P34" si="4">N10-O10</f>
        <v>-2867761.9059999995</v>
      </c>
      <c r="Q10" s="20"/>
      <c r="R10" s="70"/>
      <c r="S10" s="77"/>
      <c r="T10" s="72">
        <f t="shared" ref="T10:T33" si="5">ROUND(R10*S10/100,T219)</f>
        <v>0</v>
      </c>
      <c r="U10" s="73">
        <f t="shared" ref="U10:U33" si="6">R10-T10</f>
        <v>0</v>
      </c>
      <c r="V10" s="1"/>
      <c r="W10" s="1"/>
      <c r="X10" s="74"/>
      <c r="Y10" s="75" t="e">
        <f>#REF!+T10+U10</f>
        <v>#REF!</v>
      </c>
      <c r="Z10" s="76">
        <v>1.01</v>
      </c>
      <c r="AA10" s="75" t="e">
        <f t="shared" ref="AA10:AA33" si="7">Y10*Z10</f>
        <v>#REF!</v>
      </c>
      <c r="AD10" s="32">
        <v>969.9</v>
      </c>
      <c r="AE10" s="32">
        <f t="shared" ref="AE10:AE34" si="8">AD10*1.04*1000</f>
        <v>1008696</v>
      </c>
      <c r="AF10" s="32">
        <v>56.6</v>
      </c>
      <c r="AG10" s="32">
        <f t="shared" ref="AG10:AG33" si="9">AF10*1000*1.302</f>
        <v>73693.2</v>
      </c>
    </row>
    <row r="11" spans="1:33" s="32" customFormat="1" ht="18.95" customHeight="1">
      <c r="A11" s="1">
        <v>3</v>
      </c>
      <c r="B11" s="2" t="s">
        <v>40</v>
      </c>
      <c r="C11" s="16">
        <v>50330.717545407577</v>
      </c>
      <c r="D11" s="25">
        <v>1.0328999999999999</v>
      </c>
      <c r="E11" s="17">
        <f t="shared" si="1"/>
        <v>51986.6</v>
      </c>
      <c r="F11" s="66">
        <v>17.600000000000001</v>
      </c>
      <c r="G11" s="67">
        <f t="shared" si="2"/>
        <v>54548.4</v>
      </c>
      <c r="H11" s="67">
        <v>52503.645833333336</v>
      </c>
      <c r="I11" s="19">
        <f t="shared" ref="I11:I34" si="10">$I$35</f>
        <v>104.92783257524999</v>
      </c>
      <c r="J11" s="68">
        <f t="shared" si="0"/>
        <v>14999849.949999999</v>
      </c>
      <c r="K11" s="5">
        <f t="shared" ref="K11:K34" si="11">J11-M11</f>
        <v>14999849.949999999</v>
      </c>
      <c r="L11" s="5">
        <v>1120808</v>
      </c>
      <c r="M11" s="69">
        <v>0</v>
      </c>
      <c r="N11" s="20">
        <f t="shared" si="3"/>
        <v>13879041.949999999</v>
      </c>
      <c r="O11" s="20">
        <v>13079541.511000002</v>
      </c>
      <c r="P11" s="20">
        <f t="shared" si="4"/>
        <v>799500.43899999745</v>
      </c>
      <c r="Q11" s="20">
        <f t="shared" ref="Q11:Q33" si="12">N11-O11</f>
        <v>799500.43899999745</v>
      </c>
      <c r="R11" s="70">
        <f>ROUND(Q11*0.77077541904,1)</f>
        <v>616235.30000000005</v>
      </c>
      <c r="S11" s="71">
        <v>95</v>
      </c>
      <c r="T11" s="72">
        <f t="shared" si="5"/>
        <v>585424</v>
      </c>
      <c r="U11" s="73">
        <f t="shared" si="6"/>
        <v>30811.300000000047</v>
      </c>
      <c r="V11" s="75" t="e">
        <f>#REF!+T11</f>
        <v>#REF!</v>
      </c>
      <c r="W11" s="75" t="e">
        <f>#REF!+U11</f>
        <v>#REF!</v>
      </c>
      <c r="X11" s="78"/>
      <c r="Y11" s="75" t="e">
        <f>#REF!+T11+U11</f>
        <v>#REF!</v>
      </c>
      <c r="Z11" s="76">
        <v>1.01</v>
      </c>
      <c r="AA11" s="75" t="e">
        <f t="shared" si="7"/>
        <v>#REF!</v>
      </c>
      <c r="AD11" s="32">
        <v>1077.7</v>
      </c>
      <c r="AE11" s="32">
        <f t="shared" si="8"/>
        <v>1120808</v>
      </c>
      <c r="AF11" s="32">
        <v>0</v>
      </c>
      <c r="AG11" s="32">
        <f t="shared" si="9"/>
        <v>0</v>
      </c>
    </row>
    <row r="12" spans="1:33" s="32" customFormat="1" ht="18.95" customHeight="1">
      <c r="A12" s="1">
        <v>4</v>
      </c>
      <c r="B12" s="2" t="s">
        <v>41</v>
      </c>
      <c r="C12" s="16">
        <v>54780.556160833476</v>
      </c>
      <c r="D12" s="25">
        <v>1.0328999999999999</v>
      </c>
      <c r="E12" s="17">
        <f t="shared" si="1"/>
        <v>56582.84</v>
      </c>
      <c r="F12" s="66">
        <v>18.7</v>
      </c>
      <c r="G12" s="67">
        <f t="shared" si="2"/>
        <v>59371.1</v>
      </c>
      <c r="H12" s="67">
        <v>56026.31578947368</v>
      </c>
      <c r="I12" s="19">
        <f t="shared" si="10"/>
        <v>104.92783257524999</v>
      </c>
      <c r="J12" s="68">
        <f t="shared" si="0"/>
        <v>17346383.039999999</v>
      </c>
      <c r="K12" s="5">
        <f t="shared" si="11"/>
        <v>17214230.039999999</v>
      </c>
      <c r="L12" s="5">
        <v>1347736</v>
      </c>
      <c r="M12" s="69">
        <v>132153</v>
      </c>
      <c r="N12" s="20">
        <f t="shared" si="3"/>
        <v>15866494.039999999</v>
      </c>
      <c r="O12" s="20">
        <v>17362973.427999996</v>
      </c>
      <c r="P12" s="20">
        <f t="shared" si="4"/>
        <v>-1496479.3879999965</v>
      </c>
      <c r="Q12" s="20"/>
      <c r="R12" s="70"/>
      <c r="S12" s="71"/>
      <c r="T12" s="72">
        <f t="shared" si="5"/>
        <v>0</v>
      </c>
      <c r="U12" s="73">
        <f t="shared" si="6"/>
        <v>0</v>
      </c>
      <c r="V12" s="75" t="e">
        <f>#REF!+T12</f>
        <v>#REF!</v>
      </c>
      <c r="W12" s="75" t="e">
        <f>#REF!+U12</f>
        <v>#REF!</v>
      </c>
      <c r="X12" s="78"/>
      <c r="Y12" s="75" t="e">
        <f>#REF!+T12+U12</f>
        <v>#REF!</v>
      </c>
      <c r="Z12" s="76">
        <v>1.01</v>
      </c>
      <c r="AA12" s="75" t="e">
        <f t="shared" si="7"/>
        <v>#REF!</v>
      </c>
      <c r="AD12" s="32">
        <v>1295.9000000000001</v>
      </c>
      <c r="AE12" s="32">
        <f t="shared" si="8"/>
        <v>1347736</v>
      </c>
      <c r="AF12" s="32">
        <v>101.5</v>
      </c>
      <c r="AG12" s="32">
        <f t="shared" si="9"/>
        <v>132153</v>
      </c>
    </row>
    <row r="13" spans="1:33" s="32" customFormat="1" ht="18.95" customHeight="1">
      <c r="A13" s="1">
        <v>5</v>
      </c>
      <c r="B13" s="2" t="s">
        <v>42</v>
      </c>
      <c r="C13" s="16">
        <v>42810.045222305496</v>
      </c>
      <c r="D13" s="25">
        <v>1.0328999999999999</v>
      </c>
      <c r="E13" s="17">
        <f t="shared" si="1"/>
        <v>44218.5</v>
      </c>
      <c r="F13" s="66">
        <v>22.5</v>
      </c>
      <c r="G13" s="67">
        <f t="shared" si="2"/>
        <v>46397.5</v>
      </c>
      <c r="H13" s="67">
        <v>45872.03746</v>
      </c>
      <c r="I13" s="19">
        <f t="shared" si="10"/>
        <v>104.92783257524999</v>
      </c>
      <c r="J13" s="68">
        <f t="shared" si="0"/>
        <v>16310577.15</v>
      </c>
      <c r="K13" s="5">
        <f t="shared" si="11"/>
        <v>16028173.35</v>
      </c>
      <c r="L13" s="5">
        <v>0</v>
      </c>
      <c r="M13" s="69">
        <v>282403.8</v>
      </c>
      <c r="N13" s="20">
        <f t="shared" si="3"/>
        <v>16028173.35</v>
      </c>
      <c r="O13" s="20">
        <v>16082073.7732</v>
      </c>
      <c r="P13" s="20">
        <f t="shared" si="4"/>
        <v>-53900.423200000077</v>
      </c>
      <c r="Q13" s="20"/>
      <c r="R13" s="70"/>
      <c r="S13" s="71">
        <v>95</v>
      </c>
      <c r="T13" s="72">
        <f t="shared" si="5"/>
        <v>0</v>
      </c>
      <c r="U13" s="73">
        <f t="shared" si="6"/>
        <v>0</v>
      </c>
      <c r="V13" s="75" t="e">
        <f>#REF!+T13</f>
        <v>#REF!</v>
      </c>
      <c r="W13" s="75" t="e">
        <f>#REF!+U13</f>
        <v>#REF!</v>
      </c>
      <c r="X13" s="78"/>
      <c r="Y13" s="75" t="e">
        <f>#REF!+T13+U13</f>
        <v>#REF!</v>
      </c>
      <c r="Z13" s="76">
        <v>1.01</v>
      </c>
      <c r="AA13" s="75" t="e">
        <f t="shared" si="7"/>
        <v>#REF!</v>
      </c>
      <c r="AD13" s="32">
        <v>0</v>
      </c>
      <c r="AE13" s="32">
        <f t="shared" si="8"/>
        <v>0</v>
      </c>
      <c r="AF13" s="32">
        <v>216.9</v>
      </c>
      <c r="AG13" s="32">
        <f t="shared" si="9"/>
        <v>282403.8</v>
      </c>
    </row>
    <row r="14" spans="1:33" s="32" customFormat="1" ht="18.95" customHeight="1">
      <c r="A14" s="1">
        <v>6</v>
      </c>
      <c r="B14" s="2" t="s">
        <v>43</v>
      </c>
      <c r="C14" s="16">
        <v>51244.39057722588</v>
      </c>
      <c r="D14" s="25">
        <v>1.0328999999999999</v>
      </c>
      <c r="E14" s="17">
        <f t="shared" si="1"/>
        <v>52930.33</v>
      </c>
      <c r="F14" s="66">
        <v>36.9</v>
      </c>
      <c r="G14" s="67">
        <f t="shared" si="2"/>
        <v>55538.6</v>
      </c>
      <c r="H14" s="67">
        <v>53844.636524822701</v>
      </c>
      <c r="I14" s="19">
        <f t="shared" si="10"/>
        <v>104.92783257524999</v>
      </c>
      <c r="J14" s="68">
        <f t="shared" si="0"/>
        <v>32019424.690000001</v>
      </c>
      <c r="K14" s="5">
        <f>J14-M14</f>
        <v>31960834.690000001</v>
      </c>
      <c r="L14" s="5">
        <v>2057567.2</v>
      </c>
      <c r="M14" s="69">
        <v>58590</v>
      </c>
      <c r="N14" s="20">
        <f t="shared" si="3"/>
        <v>29903267.490000002</v>
      </c>
      <c r="O14" s="20">
        <v>33085521.197799999</v>
      </c>
      <c r="P14" s="20">
        <f t="shared" si="4"/>
        <v>-3182253.7077999972</v>
      </c>
      <c r="Q14" s="20"/>
      <c r="R14" s="70"/>
      <c r="S14" s="71"/>
      <c r="T14" s="72">
        <f t="shared" si="5"/>
        <v>0</v>
      </c>
      <c r="U14" s="73">
        <f t="shared" si="6"/>
        <v>0</v>
      </c>
      <c r="V14" s="75" t="e">
        <f>#REF!+T14</f>
        <v>#REF!</v>
      </c>
      <c r="W14" s="75" t="e">
        <f>#REF!+U14</f>
        <v>#REF!</v>
      </c>
      <c r="X14" s="78"/>
      <c r="Y14" s="75" t="e">
        <f>#REF!+T14+U14</f>
        <v>#REF!</v>
      </c>
      <c r="Z14" s="76">
        <v>1.01</v>
      </c>
      <c r="AA14" s="75" t="e">
        <f t="shared" si="7"/>
        <v>#REF!</v>
      </c>
      <c r="AD14" s="32">
        <v>1978.43</v>
      </c>
      <c r="AE14" s="32">
        <f t="shared" si="8"/>
        <v>2057567.2</v>
      </c>
      <c r="AF14" s="32">
        <v>45</v>
      </c>
      <c r="AG14" s="32">
        <f t="shared" si="9"/>
        <v>58590</v>
      </c>
    </row>
    <row r="15" spans="1:33" s="32" customFormat="1" ht="18.95" customHeight="1">
      <c r="A15" s="1">
        <v>7</v>
      </c>
      <c r="B15" s="2" t="s">
        <v>44</v>
      </c>
      <c r="C15" s="16">
        <v>53522.488016825395</v>
      </c>
      <c r="D15" s="25">
        <v>1.0328999999999999</v>
      </c>
      <c r="E15" s="17">
        <f t="shared" si="1"/>
        <v>55283.38</v>
      </c>
      <c r="F15" s="66">
        <v>20.8</v>
      </c>
      <c r="G15" s="67">
        <f t="shared" si="2"/>
        <v>58007.7</v>
      </c>
      <c r="H15" s="67">
        <v>53807.120500782476</v>
      </c>
      <c r="I15" s="19">
        <f t="shared" si="10"/>
        <v>104.92783257524999</v>
      </c>
      <c r="J15" s="68">
        <f t="shared" si="0"/>
        <v>18851295.940000001</v>
      </c>
      <c r="K15" s="5">
        <f t="shared" si="11"/>
        <v>18525014.740000002</v>
      </c>
      <c r="L15" s="5">
        <v>819104</v>
      </c>
      <c r="M15" s="69">
        <v>326281.2</v>
      </c>
      <c r="N15" s="20">
        <f t="shared" si="3"/>
        <v>17705910.740000002</v>
      </c>
      <c r="O15" s="20">
        <v>25593899.441768002</v>
      </c>
      <c r="P15" s="20">
        <f t="shared" si="4"/>
        <v>-7887988.7017679997</v>
      </c>
      <c r="Q15" s="20"/>
      <c r="R15" s="70"/>
      <c r="S15" s="71"/>
      <c r="T15" s="72">
        <f t="shared" si="5"/>
        <v>0</v>
      </c>
      <c r="U15" s="73">
        <f t="shared" si="6"/>
        <v>0</v>
      </c>
      <c r="V15" s="75" t="e">
        <f>#REF!+T15</f>
        <v>#REF!</v>
      </c>
      <c r="W15" s="75" t="e">
        <f>#REF!+U15</f>
        <v>#REF!</v>
      </c>
      <c r="X15" s="78"/>
      <c r="Y15" s="75" t="e">
        <f>#REF!+T15+U15</f>
        <v>#REF!</v>
      </c>
      <c r="Z15" s="76">
        <v>1.01</v>
      </c>
      <c r="AA15" s="75" t="e">
        <f t="shared" si="7"/>
        <v>#REF!</v>
      </c>
      <c r="AD15" s="32">
        <v>787.6</v>
      </c>
      <c r="AE15" s="32">
        <f t="shared" si="8"/>
        <v>819104</v>
      </c>
      <c r="AF15" s="32">
        <v>250.6</v>
      </c>
      <c r="AG15" s="32">
        <f t="shared" si="9"/>
        <v>326281.2</v>
      </c>
    </row>
    <row r="16" spans="1:33" s="32" customFormat="1" ht="18.95" customHeight="1">
      <c r="A16" s="1">
        <v>8</v>
      </c>
      <c r="B16" s="2" t="s">
        <v>45</v>
      </c>
      <c r="C16" s="16">
        <v>49626.502602869492</v>
      </c>
      <c r="D16" s="25">
        <v>1.0328999999999999</v>
      </c>
      <c r="E16" s="17">
        <f t="shared" si="1"/>
        <v>51259.21</v>
      </c>
      <c r="F16" s="66">
        <v>6.2</v>
      </c>
      <c r="G16" s="67">
        <f t="shared" si="2"/>
        <v>53785.2</v>
      </c>
      <c r="H16" s="67">
        <v>52818.917142857157</v>
      </c>
      <c r="I16" s="19">
        <f t="shared" si="10"/>
        <v>104.92783257524999</v>
      </c>
      <c r="J16" s="68">
        <f t="shared" si="0"/>
        <v>5210107.78</v>
      </c>
      <c r="K16" s="5">
        <f t="shared" si="11"/>
        <v>5089021.78</v>
      </c>
      <c r="L16" s="5">
        <v>551824.00000000012</v>
      </c>
      <c r="M16" s="69">
        <v>121086</v>
      </c>
      <c r="N16" s="20">
        <f t="shared" si="3"/>
        <v>4537197.78</v>
      </c>
      <c r="O16" s="20">
        <v>5850210.0720000016</v>
      </c>
      <c r="P16" s="20">
        <f t="shared" si="4"/>
        <v>-1313012.2920000013</v>
      </c>
      <c r="Q16" s="20"/>
      <c r="R16" s="70"/>
      <c r="S16" s="71"/>
      <c r="T16" s="72">
        <f t="shared" si="5"/>
        <v>0</v>
      </c>
      <c r="U16" s="73">
        <f t="shared" si="6"/>
        <v>0</v>
      </c>
      <c r="V16" s="75" t="e">
        <f>#REF!+T16</f>
        <v>#REF!</v>
      </c>
      <c r="W16" s="75" t="e">
        <f>#REF!+U16</f>
        <v>#REF!</v>
      </c>
      <c r="X16" s="78"/>
      <c r="Y16" s="75" t="e">
        <f>#REF!+T16+U16</f>
        <v>#REF!</v>
      </c>
      <c r="Z16" s="76">
        <v>1.01</v>
      </c>
      <c r="AA16" s="75" t="e">
        <f t="shared" si="7"/>
        <v>#REF!</v>
      </c>
      <c r="AD16" s="32">
        <v>530.6</v>
      </c>
      <c r="AE16" s="32">
        <f t="shared" si="8"/>
        <v>551824.00000000012</v>
      </c>
      <c r="AF16" s="32">
        <v>93</v>
      </c>
      <c r="AG16" s="32">
        <f t="shared" si="9"/>
        <v>121086</v>
      </c>
    </row>
    <row r="17" spans="1:33" s="32" customFormat="1" ht="18.95" customHeight="1">
      <c r="A17" s="1">
        <v>9</v>
      </c>
      <c r="B17" s="2" t="s">
        <v>46</v>
      </c>
      <c r="C17" s="16">
        <v>62609.062365647413</v>
      </c>
      <c r="D17" s="25">
        <v>1.0328999999999999</v>
      </c>
      <c r="E17" s="17">
        <f t="shared" si="1"/>
        <v>64668.9</v>
      </c>
      <c r="F17" s="66">
        <v>20.2</v>
      </c>
      <c r="G17" s="67">
        <f t="shared" si="2"/>
        <v>67855.7</v>
      </c>
      <c r="H17" s="67">
        <v>66397.060424390249</v>
      </c>
      <c r="I17" s="19">
        <f t="shared" si="10"/>
        <v>104.92783257524999</v>
      </c>
      <c r="J17" s="68">
        <f t="shared" si="0"/>
        <v>21415584.629999999</v>
      </c>
      <c r="K17" s="5">
        <f t="shared" si="11"/>
        <v>21415584.629999999</v>
      </c>
      <c r="L17" s="5">
        <v>1565616.0000000002</v>
      </c>
      <c r="M17" s="69">
        <v>0</v>
      </c>
      <c r="N17" s="20">
        <f t="shared" si="3"/>
        <v>19849968.629999999</v>
      </c>
      <c r="O17" s="20">
        <v>21584133.088</v>
      </c>
      <c r="P17" s="20">
        <f t="shared" si="4"/>
        <v>-1734164.4580000006</v>
      </c>
      <c r="Q17" s="20"/>
      <c r="R17" s="70"/>
      <c r="S17" s="71"/>
      <c r="T17" s="72">
        <f t="shared" si="5"/>
        <v>0</v>
      </c>
      <c r="U17" s="73">
        <f t="shared" si="6"/>
        <v>0</v>
      </c>
      <c r="V17" s="75" t="e">
        <f>#REF!+T17</f>
        <v>#REF!</v>
      </c>
      <c r="W17" s="75" t="e">
        <f>#REF!+U17</f>
        <v>#REF!</v>
      </c>
      <c r="X17" s="78"/>
      <c r="Y17" s="75" t="e">
        <f>#REF!+T17+U17</f>
        <v>#REF!</v>
      </c>
      <c r="Z17" s="76">
        <v>1.01</v>
      </c>
      <c r="AA17" s="75" t="e">
        <f t="shared" si="7"/>
        <v>#REF!</v>
      </c>
      <c r="AD17" s="32">
        <v>1505.4</v>
      </c>
      <c r="AE17" s="32">
        <f t="shared" si="8"/>
        <v>1565616.0000000002</v>
      </c>
      <c r="AF17" s="32">
        <v>0</v>
      </c>
      <c r="AG17" s="32">
        <f t="shared" si="9"/>
        <v>0</v>
      </c>
    </row>
    <row r="18" spans="1:33" s="32" customFormat="1" ht="18.95" customHeight="1">
      <c r="A18" s="1">
        <v>10</v>
      </c>
      <c r="B18" s="2" t="s">
        <v>47</v>
      </c>
      <c r="C18" s="16">
        <v>61976.648197440329</v>
      </c>
      <c r="D18" s="25">
        <v>1.0328999999999999</v>
      </c>
      <c r="E18" s="17">
        <f t="shared" si="1"/>
        <v>64015.68</v>
      </c>
      <c r="F18" s="66">
        <v>3</v>
      </c>
      <c r="G18" s="67">
        <f t="shared" si="2"/>
        <v>67170.3</v>
      </c>
      <c r="H18" s="67">
        <v>65927.524638888877</v>
      </c>
      <c r="I18" s="19">
        <f t="shared" si="10"/>
        <v>104.92783257524999</v>
      </c>
      <c r="J18" s="68">
        <f t="shared" si="0"/>
        <v>3148406.3</v>
      </c>
      <c r="K18" s="5">
        <f t="shared" si="11"/>
        <v>3118590.5</v>
      </c>
      <c r="L18" s="5">
        <v>0</v>
      </c>
      <c r="M18" s="69">
        <v>29815.8</v>
      </c>
      <c r="N18" s="20">
        <f t="shared" si="3"/>
        <v>3118590.5</v>
      </c>
      <c r="O18" s="20">
        <v>3227679.0179999997</v>
      </c>
      <c r="P18" s="20">
        <f t="shared" si="4"/>
        <v>-109088.51799999969</v>
      </c>
      <c r="Q18" s="20"/>
      <c r="R18" s="70"/>
      <c r="S18" s="71"/>
      <c r="T18" s="72">
        <f t="shared" si="5"/>
        <v>0</v>
      </c>
      <c r="U18" s="73">
        <f t="shared" si="6"/>
        <v>0</v>
      </c>
      <c r="V18" s="75" t="e">
        <f>#REF!+T18</f>
        <v>#REF!</v>
      </c>
      <c r="W18" s="75" t="e">
        <f>#REF!+U18</f>
        <v>#REF!</v>
      </c>
      <c r="X18" s="78"/>
      <c r="Y18" s="75" t="e">
        <f>#REF!+T18+U18</f>
        <v>#REF!</v>
      </c>
      <c r="Z18" s="76">
        <v>1.01</v>
      </c>
      <c r="AA18" s="75" t="e">
        <f t="shared" si="7"/>
        <v>#REF!</v>
      </c>
      <c r="AD18" s="32">
        <v>0</v>
      </c>
      <c r="AE18" s="32">
        <f t="shared" si="8"/>
        <v>0</v>
      </c>
      <c r="AF18" s="32">
        <v>22.9</v>
      </c>
      <c r="AG18" s="32">
        <f t="shared" si="9"/>
        <v>29815.8</v>
      </c>
    </row>
    <row r="19" spans="1:33" s="32" customFormat="1" ht="18.95" customHeight="1">
      <c r="A19" s="1">
        <v>11</v>
      </c>
      <c r="B19" s="2" t="s">
        <v>48</v>
      </c>
      <c r="C19" s="16">
        <v>56263.377972213231</v>
      </c>
      <c r="D19" s="25">
        <v>1.0328999999999999</v>
      </c>
      <c r="E19" s="17">
        <f t="shared" si="1"/>
        <v>58114.44</v>
      </c>
      <c r="F19" s="66">
        <v>12.7</v>
      </c>
      <c r="G19" s="67">
        <f t="shared" si="2"/>
        <v>60978.2</v>
      </c>
      <c r="H19" s="67">
        <v>62527</v>
      </c>
      <c r="I19" s="19">
        <f t="shared" si="10"/>
        <v>104.92783257524999</v>
      </c>
      <c r="J19" s="68">
        <f t="shared" si="0"/>
        <v>12099587.140000001</v>
      </c>
      <c r="K19" s="5">
        <f t="shared" si="11"/>
        <v>12034747.540000001</v>
      </c>
      <c r="L19" s="5">
        <v>175760.00000000003</v>
      </c>
      <c r="M19" s="69">
        <v>64839.600000000006</v>
      </c>
      <c r="N19" s="20">
        <f t="shared" si="3"/>
        <v>11858987.540000001</v>
      </c>
      <c r="O19" s="20">
        <v>11593479.021</v>
      </c>
      <c r="P19" s="20">
        <f t="shared" si="4"/>
        <v>265508.51900000125</v>
      </c>
      <c r="Q19" s="20">
        <f t="shared" si="12"/>
        <v>265508.51900000125</v>
      </c>
      <c r="R19" s="70">
        <f t="shared" ref="R19:R20" si="13">ROUND(Q19*0.77077541904,1)</f>
        <v>204647.4</v>
      </c>
      <c r="S19" s="71">
        <v>81</v>
      </c>
      <c r="T19" s="72">
        <f t="shared" si="5"/>
        <v>165764</v>
      </c>
      <c r="U19" s="73">
        <f t="shared" si="6"/>
        <v>38883.399999999994</v>
      </c>
      <c r="V19" s="75" t="e">
        <f>#REF!+T19</f>
        <v>#REF!</v>
      </c>
      <c r="W19" s="75" t="e">
        <f>#REF!+U19</f>
        <v>#REF!</v>
      </c>
      <c r="X19" s="78"/>
      <c r="Y19" s="75" t="e">
        <f>#REF!+T19+U19</f>
        <v>#REF!</v>
      </c>
      <c r="Z19" s="76">
        <v>1.01</v>
      </c>
      <c r="AA19" s="75" t="e">
        <f t="shared" si="7"/>
        <v>#REF!</v>
      </c>
      <c r="AD19" s="32">
        <v>169</v>
      </c>
      <c r="AE19" s="32">
        <f t="shared" si="8"/>
        <v>175760.00000000003</v>
      </c>
      <c r="AF19" s="32">
        <v>49.8</v>
      </c>
      <c r="AG19" s="32">
        <f t="shared" si="9"/>
        <v>64839.600000000006</v>
      </c>
    </row>
    <row r="20" spans="1:33" s="32" customFormat="1" ht="18.95" customHeight="1">
      <c r="A20" s="1">
        <v>12</v>
      </c>
      <c r="B20" s="2" t="s">
        <v>49</v>
      </c>
      <c r="C20" s="16">
        <v>50288.848057193944</v>
      </c>
      <c r="D20" s="25">
        <v>1.0328999999999999</v>
      </c>
      <c r="E20" s="17">
        <f t="shared" si="1"/>
        <v>51943.35</v>
      </c>
      <c r="F20" s="66">
        <v>36</v>
      </c>
      <c r="G20" s="67">
        <f t="shared" si="2"/>
        <v>54503</v>
      </c>
      <c r="H20" s="67">
        <v>49978.201634877383</v>
      </c>
      <c r="I20" s="19">
        <f t="shared" si="10"/>
        <v>104.92783257524999</v>
      </c>
      <c r="J20" s="68">
        <f t="shared" si="0"/>
        <v>30655975.390000001</v>
      </c>
      <c r="K20" s="5">
        <f t="shared" si="11"/>
        <v>29865270.789999999</v>
      </c>
      <c r="L20" s="5">
        <v>106808</v>
      </c>
      <c r="M20" s="69">
        <v>790704.6</v>
      </c>
      <c r="N20" s="20">
        <f t="shared" si="3"/>
        <v>29758462.789999999</v>
      </c>
      <c r="O20" s="20">
        <v>28197595.716000006</v>
      </c>
      <c r="P20" s="20">
        <f t="shared" si="4"/>
        <v>1560867.0739999935</v>
      </c>
      <c r="Q20" s="20">
        <f t="shared" si="12"/>
        <v>1560867.0739999935</v>
      </c>
      <c r="R20" s="70">
        <f t="shared" si="13"/>
        <v>1203078</v>
      </c>
      <c r="S20" s="71">
        <v>93</v>
      </c>
      <c r="T20" s="72">
        <f t="shared" si="5"/>
        <v>1118863</v>
      </c>
      <c r="U20" s="73">
        <f t="shared" si="6"/>
        <v>84215</v>
      </c>
      <c r="V20" s="75" t="e">
        <f>#REF!+T20</f>
        <v>#REF!</v>
      </c>
      <c r="W20" s="75" t="e">
        <f>#REF!+U20</f>
        <v>#REF!</v>
      </c>
      <c r="X20" s="78"/>
      <c r="Y20" s="75" t="e">
        <f>#REF!+T20+U20</f>
        <v>#REF!</v>
      </c>
      <c r="Z20" s="76">
        <v>1.01</v>
      </c>
      <c r="AA20" s="75" t="e">
        <f t="shared" si="7"/>
        <v>#REF!</v>
      </c>
      <c r="AD20" s="32">
        <v>102.7</v>
      </c>
      <c r="AE20" s="32">
        <f t="shared" si="8"/>
        <v>106808</v>
      </c>
      <c r="AF20" s="32">
        <v>607.29999999999995</v>
      </c>
      <c r="AG20" s="32">
        <f t="shared" si="9"/>
        <v>790704.6</v>
      </c>
    </row>
    <row r="21" spans="1:33" s="43" customFormat="1" ht="18.95" customHeight="1">
      <c r="A21" s="79">
        <v>13</v>
      </c>
      <c r="B21" s="2" t="s">
        <v>50</v>
      </c>
      <c r="C21" s="16">
        <v>46545.518668489967</v>
      </c>
      <c r="D21" s="25">
        <v>1.0328999999999999</v>
      </c>
      <c r="E21" s="17">
        <f t="shared" si="1"/>
        <v>48076.87</v>
      </c>
      <c r="F21" s="80">
        <v>17.3</v>
      </c>
      <c r="G21" s="81">
        <f t="shared" si="2"/>
        <v>50446</v>
      </c>
      <c r="H21" s="81">
        <v>49515.100671140935</v>
      </c>
      <c r="I21" s="82">
        <f t="shared" si="10"/>
        <v>104.92783257524999</v>
      </c>
      <c r="J21" s="83">
        <f t="shared" si="0"/>
        <v>13635311.66</v>
      </c>
      <c r="K21" s="84">
        <f t="shared" si="11"/>
        <v>13576851.859999999</v>
      </c>
      <c r="L21" s="84">
        <v>0</v>
      </c>
      <c r="M21" s="85">
        <v>58459.8</v>
      </c>
      <c r="N21" s="20">
        <f t="shared" si="3"/>
        <v>13576851.859999999</v>
      </c>
      <c r="O21" s="70">
        <v>14092229.120999999</v>
      </c>
      <c r="P21" s="20">
        <f t="shared" si="4"/>
        <v>-515377.26099999994</v>
      </c>
      <c r="Q21" s="20"/>
      <c r="R21" s="70"/>
      <c r="S21" s="71"/>
      <c r="T21" s="72">
        <f t="shared" si="5"/>
        <v>0</v>
      </c>
      <c r="U21" s="73">
        <f t="shared" si="6"/>
        <v>0</v>
      </c>
      <c r="V21" s="75" t="e">
        <f>#REF!+T21</f>
        <v>#REF!</v>
      </c>
      <c r="W21" s="75" t="e">
        <f>#REF!+U21</f>
        <v>#REF!</v>
      </c>
      <c r="X21" s="78"/>
      <c r="Y21" s="75" t="e">
        <f>#REF!+T21+U21</f>
        <v>#REF!</v>
      </c>
      <c r="Z21" s="76">
        <v>1.01</v>
      </c>
      <c r="AA21" s="75" t="e">
        <f t="shared" si="7"/>
        <v>#REF!</v>
      </c>
      <c r="AD21" s="43">
        <v>0</v>
      </c>
      <c r="AE21" s="32">
        <f t="shared" si="8"/>
        <v>0</v>
      </c>
      <c r="AF21" s="43">
        <v>44.9</v>
      </c>
      <c r="AG21" s="32">
        <f t="shared" si="9"/>
        <v>58459.8</v>
      </c>
    </row>
    <row r="22" spans="1:33" s="32" customFormat="1" ht="18.95" customHeight="1">
      <c r="A22" s="1">
        <v>14</v>
      </c>
      <c r="B22" s="2" t="s">
        <v>51</v>
      </c>
      <c r="C22" s="16">
        <v>58355.013629362991</v>
      </c>
      <c r="D22" s="25">
        <v>1.0328999999999999</v>
      </c>
      <c r="E22" s="17">
        <f t="shared" si="1"/>
        <v>60274.89</v>
      </c>
      <c r="F22" s="66">
        <v>28.9</v>
      </c>
      <c r="G22" s="67">
        <f t="shared" si="2"/>
        <v>63245.1</v>
      </c>
      <c r="H22" s="67">
        <v>61698.464330508476</v>
      </c>
      <c r="I22" s="19">
        <f>$I$35</f>
        <v>104.92783257524999</v>
      </c>
      <c r="J22" s="68">
        <f t="shared" si="0"/>
        <v>28557287.690000001</v>
      </c>
      <c r="K22" s="5">
        <f t="shared" si="11"/>
        <v>28557287.690000001</v>
      </c>
      <c r="L22" s="5">
        <v>1439713.6</v>
      </c>
      <c r="M22" s="69">
        <v>0</v>
      </c>
      <c r="N22" s="20">
        <f t="shared" si="3"/>
        <v>27117574.09</v>
      </c>
      <c r="O22" s="20">
        <v>30093135.436000001</v>
      </c>
      <c r="P22" s="20">
        <f t="shared" si="4"/>
        <v>-2975561.3460000008</v>
      </c>
      <c r="Q22" s="20"/>
      <c r="R22" s="70"/>
      <c r="S22" s="71"/>
      <c r="T22" s="72">
        <f t="shared" si="5"/>
        <v>0</v>
      </c>
      <c r="U22" s="73">
        <f t="shared" si="6"/>
        <v>0</v>
      </c>
      <c r="V22" s="75" t="e">
        <f>#REF!+T22</f>
        <v>#REF!</v>
      </c>
      <c r="W22" s="75" t="e">
        <f>#REF!+U22</f>
        <v>#REF!</v>
      </c>
      <c r="X22" s="78"/>
      <c r="Y22" s="75" t="e">
        <f>#REF!+T22+U22</f>
        <v>#REF!</v>
      </c>
      <c r="Z22" s="76">
        <v>1.01</v>
      </c>
      <c r="AA22" s="75" t="e">
        <f t="shared" si="7"/>
        <v>#REF!</v>
      </c>
      <c r="AD22" s="32">
        <v>1384.34</v>
      </c>
      <c r="AE22" s="32">
        <f t="shared" si="8"/>
        <v>1439713.6</v>
      </c>
      <c r="AF22" s="32">
        <v>0</v>
      </c>
      <c r="AG22" s="32">
        <f t="shared" si="9"/>
        <v>0</v>
      </c>
    </row>
    <row r="23" spans="1:33" s="32" customFormat="1" ht="18.95" customHeight="1">
      <c r="A23" s="1">
        <v>15</v>
      </c>
      <c r="B23" s="2" t="s">
        <v>52</v>
      </c>
      <c r="C23" s="16">
        <v>51927.054771607276</v>
      </c>
      <c r="D23" s="25">
        <v>1.0328999999999999</v>
      </c>
      <c r="E23" s="17">
        <f t="shared" si="1"/>
        <v>53635.45</v>
      </c>
      <c r="F23" s="66">
        <v>0</v>
      </c>
      <c r="G23" s="67">
        <f t="shared" si="2"/>
        <v>56278.5</v>
      </c>
      <c r="H23" s="67"/>
      <c r="I23" s="19">
        <f t="shared" si="10"/>
        <v>104.92783257524999</v>
      </c>
      <c r="J23" s="68">
        <f t="shared" si="0"/>
        <v>0</v>
      </c>
      <c r="K23" s="5">
        <f t="shared" si="11"/>
        <v>0</v>
      </c>
      <c r="L23" s="5">
        <v>0</v>
      </c>
      <c r="M23" s="69">
        <v>0</v>
      </c>
      <c r="N23" s="20">
        <f t="shared" si="3"/>
        <v>0</v>
      </c>
      <c r="O23" s="20">
        <v>0</v>
      </c>
      <c r="P23" s="20">
        <f t="shared" si="4"/>
        <v>0</v>
      </c>
      <c r="Q23" s="20"/>
      <c r="R23" s="70"/>
      <c r="S23" s="71"/>
      <c r="T23" s="72">
        <f t="shared" si="5"/>
        <v>0</v>
      </c>
      <c r="U23" s="73">
        <f t="shared" si="6"/>
        <v>0</v>
      </c>
      <c r="V23" s="75" t="e">
        <f>#REF!+T23</f>
        <v>#REF!</v>
      </c>
      <c r="W23" s="75" t="e">
        <f>#REF!+U23</f>
        <v>#REF!</v>
      </c>
      <c r="X23" s="78"/>
      <c r="Y23" s="75" t="e">
        <f>#REF!+T23+U23</f>
        <v>#REF!</v>
      </c>
      <c r="Z23" s="76">
        <v>1.01</v>
      </c>
      <c r="AA23" s="75" t="e">
        <f t="shared" si="7"/>
        <v>#REF!</v>
      </c>
      <c r="AD23" s="32">
        <v>0</v>
      </c>
      <c r="AE23" s="32">
        <f t="shared" si="8"/>
        <v>0</v>
      </c>
      <c r="AF23" s="32">
        <v>0</v>
      </c>
      <c r="AG23" s="32">
        <f t="shared" si="9"/>
        <v>0</v>
      </c>
    </row>
    <row r="24" spans="1:33" s="32" customFormat="1" ht="18.95" customHeight="1">
      <c r="A24" s="1">
        <v>16</v>
      </c>
      <c r="B24" s="2" t="s">
        <v>53</v>
      </c>
      <c r="C24" s="16">
        <v>53037.127947201909</v>
      </c>
      <c r="D24" s="25">
        <v>1.0328999999999999</v>
      </c>
      <c r="E24" s="17">
        <f t="shared" si="1"/>
        <v>54782.05</v>
      </c>
      <c r="F24" s="66">
        <v>22.1</v>
      </c>
      <c r="G24" s="67">
        <f t="shared" si="2"/>
        <v>57481.599999999999</v>
      </c>
      <c r="H24" s="67">
        <v>55240.157413928006</v>
      </c>
      <c r="I24" s="19">
        <f t="shared" si="10"/>
        <v>104.92783257524999</v>
      </c>
      <c r="J24" s="68">
        <f t="shared" si="0"/>
        <v>19847844.66</v>
      </c>
      <c r="K24" s="5">
        <f t="shared" si="11"/>
        <v>19617260.460000001</v>
      </c>
      <c r="L24" s="5">
        <v>617552</v>
      </c>
      <c r="M24" s="69">
        <v>230584.2</v>
      </c>
      <c r="N24" s="20">
        <f t="shared" si="3"/>
        <v>18999708.460000001</v>
      </c>
      <c r="O24" s="20">
        <v>17843205.4606</v>
      </c>
      <c r="P24" s="20">
        <f t="shared" si="4"/>
        <v>1156502.999400001</v>
      </c>
      <c r="Q24" s="20">
        <f t="shared" si="12"/>
        <v>1156502.999400001</v>
      </c>
      <c r="R24" s="70">
        <f t="shared" ref="R24:R25" si="14">ROUND(Q24*0.77077541904,1)</f>
        <v>891404.1</v>
      </c>
      <c r="S24" s="71">
        <v>83</v>
      </c>
      <c r="T24" s="72">
        <f t="shared" si="5"/>
        <v>739865</v>
      </c>
      <c r="U24" s="73">
        <f t="shared" si="6"/>
        <v>151539.09999999998</v>
      </c>
      <c r="V24" s="75" t="e">
        <f>#REF!+T24</f>
        <v>#REF!</v>
      </c>
      <c r="W24" s="75" t="e">
        <f>#REF!+U24</f>
        <v>#REF!</v>
      </c>
      <c r="X24" s="78"/>
      <c r="Y24" s="75" t="e">
        <f>#REF!+T24+U24</f>
        <v>#REF!</v>
      </c>
      <c r="Z24" s="76">
        <v>1.01</v>
      </c>
      <c r="AA24" s="75" t="e">
        <f t="shared" si="7"/>
        <v>#REF!</v>
      </c>
      <c r="AD24" s="32">
        <v>593.79999999999995</v>
      </c>
      <c r="AE24" s="32">
        <f t="shared" si="8"/>
        <v>617552</v>
      </c>
      <c r="AF24" s="32">
        <v>177.1</v>
      </c>
      <c r="AG24" s="32">
        <f t="shared" si="9"/>
        <v>230584.2</v>
      </c>
    </row>
    <row r="25" spans="1:33" s="32" customFormat="1" ht="18.95" customHeight="1">
      <c r="A25" s="1">
        <v>17</v>
      </c>
      <c r="B25" s="2" t="s">
        <v>54</v>
      </c>
      <c r="C25" s="16">
        <v>53755.943578223509</v>
      </c>
      <c r="D25" s="25">
        <v>1.0328999999999999</v>
      </c>
      <c r="E25" s="17">
        <f t="shared" si="1"/>
        <v>55524.51</v>
      </c>
      <c r="F25" s="66">
        <v>24</v>
      </c>
      <c r="G25" s="67">
        <f t="shared" si="2"/>
        <v>58260.7</v>
      </c>
      <c r="H25" s="67">
        <v>58747</v>
      </c>
      <c r="I25" s="19">
        <f t="shared" si="10"/>
        <v>104.92783257524999</v>
      </c>
      <c r="J25" s="68">
        <f t="shared" si="0"/>
        <v>21846364.239999998</v>
      </c>
      <c r="K25" s="5">
        <f t="shared" si="11"/>
        <v>21346135.84</v>
      </c>
      <c r="L25" s="84">
        <v>1987440</v>
      </c>
      <c r="M25" s="85">
        <v>500228.4</v>
      </c>
      <c r="N25" s="20">
        <f t="shared" si="3"/>
        <v>19358695.84</v>
      </c>
      <c r="O25" s="20">
        <v>19196131.730200004</v>
      </c>
      <c r="P25" s="20">
        <f t="shared" si="4"/>
        <v>162564.10979999602</v>
      </c>
      <c r="Q25" s="20">
        <f t="shared" si="12"/>
        <v>162564.10979999602</v>
      </c>
      <c r="R25" s="70">
        <f t="shared" si="14"/>
        <v>125300.4</v>
      </c>
      <c r="S25" s="71">
        <v>85</v>
      </c>
      <c r="T25" s="72">
        <f t="shared" si="5"/>
        <v>106505</v>
      </c>
      <c r="U25" s="73">
        <f t="shared" si="6"/>
        <v>18795.399999999994</v>
      </c>
      <c r="V25" s="75" t="e">
        <f>#REF!+T25</f>
        <v>#REF!</v>
      </c>
      <c r="W25" s="75" t="e">
        <f>#REF!+U25</f>
        <v>#REF!</v>
      </c>
      <c r="X25" s="78"/>
      <c r="Y25" s="75" t="e">
        <f>#REF!+T25+U25</f>
        <v>#REF!</v>
      </c>
      <c r="Z25" s="76">
        <v>1.01</v>
      </c>
      <c r="AA25" s="75" t="e">
        <f t="shared" si="7"/>
        <v>#REF!</v>
      </c>
      <c r="AD25" s="32">
        <v>1911</v>
      </c>
      <c r="AE25" s="32">
        <f t="shared" si="8"/>
        <v>1987440</v>
      </c>
      <c r="AF25" s="32">
        <v>384.2</v>
      </c>
      <c r="AG25" s="32">
        <f t="shared" si="9"/>
        <v>500228.4</v>
      </c>
    </row>
    <row r="26" spans="1:33" s="32" customFormat="1" ht="18.95" customHeight="1">
      <c r="A26" s="1">
        <v>18</v>
      </c>
      <c r="B26" s="2" t="s">
        <v>55</v>
      </c>
      <c r="C26" s="16">
        <v>58290.044274920263</v>
      </c>
      <c r="D26" s="25">
        <v>1.0328999999999999</v>
      </c>
      <c r="E26" s="17">
        <f t="shared" si="1"/>
        <v>60207.79</v>
      </c>
      <c r="F26" s="66">
        <v>3.2</v>
      </c>
      <c r="G26" s="67">
        <f t="shared" si="2"/>
        <v>63174.7</v>
      </c>
      <c r="H26" s="67">
        <v>60748.749374999992</v>
      </c>
      <c r="I26" s="19">
        <f t="shared" si="10"/>
        <v>104.92783257524999</v>
      </c>
      <c r="J26" s="68">
        <f t="shared" si="0"/>
        <v>3158532.84</v>
      </c>
      <c r="K26" s="5">
        <f t="shared" si="11"/>
        <v>3158532.84</v>
      </c>
      <c r="L26" s="5">
        <v>174096</v>
      </c>
      <c r="M26" s="69">
        <v>0</v>
      </c>
      <c r="N26" s="20">
        <f t="shared" si="3"/>
        <v>2984436.84</v>
      </c>
      <c r="O26" s="20">
        <v>3613311.764</v>
      </c>
      <c r="P26" s="20">
        <f t="shared" si="4"/>
        <v>-628874.92400000012</v>
      </c>
      <c r="Q26" s="20"/>
      <c r="R26" s="70"/>
      <c r="S26" s="71"/>
      <c r="T26" s="72">
        <f t="shared" si="5"/>
        <v>0</v>
      </c>
      <c r="U26" s="73">
        <f t="shared" si="6"/>
        <v>0</v>
      </c>
      <c r="V26" s="75" t="e">
        <f>#REF!+T26</f>
        <v>#REF!</v>
      </c>
      <c r="W26" s="75" t="e">
        <f>#REF!+U26</f>
        <v>#REF!</v>
      </c>
      <c r="X26" s="78"/>
      <c r="Y26" s="75" t="e">
        <f>#REF!+T26+U26</f>
        <v>#REF!</v>
      </c>
      <c r="Z26" s="76">
        <v>1.01</v>
      </c>
      <c r="AA26" s="75" t="e">
        <f t="shared" si="7"/>
        <v>#REF!</v>
      </c>
      <c r="AD26" s="32">
        <v>167.4</v>
      </c>
      <c r="AE26" s="32">
        <f t="shared" si="8"/>
        <v>174096</v>
      </c>
      <c r="AF26" s="32">
        <v>0</v>
      </c>
      <c r="AG26" s="32">
        <f t="shared" si="9"/>
        <v>0</v>
      </c>
    </row>
    <row r="27" spans="1:33" s="32" customFormat="1" ht="18.95" customHeight="1">
      <c r="A27" s="1">
        <v>19</v>
      </c>
      <c r="B27" s="2" t="s">
        <v>56</v>
      </c>
      <c r="C27" s="16">
        <v>48055.825568136854</v>
      </c>
      <c r="D27" s="25">
        <v>1.0328999999999999</v>
      </c>
      <c r="E27" s="17">
        <f t="shared" si="1"/>
        <v>49636.86</v>
      </c>
      <c r="F27" s="66">
        <v>15.9</v>
      </c>
      <c r="G27" s="67">
        <f t="shared" si="2"/>
        <v>52082.9</v>
      </c>
      <c r="H27" s="67">
        <v>52530.729166666664</v>
      </c>
      <c r="I27" s="19">
        <f t="shared" si="10"/>
        <v>104.92783257524999</v>
      </c>
      <c r="J27" s="68">
        <f t="shared" si="0"/>
        <v>12938517.35</v>
      </c>
      <c r="K27" s="5">
        <f t="shared" si="11"/>
        <v>12938517.35</v>
      </c>
      <c r="L27" s="5">
        <v>0</v>
      </c>
      <c r="M27" s="69">
        <v>0</v>
      </c>
      <c r="N27" s="20">
        <f t="shared" si="3"/>
        <v>12938517.35</v>
      </c>
      <c r="O27" s="20">
        <v>13742333.710000001</v>
      </c>
      <c r="P27" s="20">
        <f t="shared" si="4"/>
        <v>-803816.36000000127</v>
      </c>
      <c r="Q27" s="20"/>
      <c r="R27" s="70"/>
      <c r="S27" s="71"/>
      <c r="T27" s="72">
        <f t="shared" si="5"/>
        <v>0</v>
      </c>
      <c r="U27" s="73">
        <f t="shared" si="6"/>
        <v>0</v>
      </c>
      <c r="V27" s="75" t="e">
        <f>#REF!+T27</f>
        <v>#REF!</v>
      </c>
      <c r="W27" s="75" t="e">
        <f>#REF!+U27</f>
        <v>#REF!</v>
      </c>
      <c r="X27" s="78"/>
      <c r="Y27" s="75" t="e">
        <f>#REF!+T27+U27</f>
        <v>#REF!</v>
      </c>
      <c r="Z27" s="76">
        <v>1.01</v>
      </c>
      <c r="AA27" s="75" t="e">
        <f t="shared" si="7"/>
        <v>#REF!</v>
      </c>
      <c r="AD27" s="32">
        <v>0</v>
      </c>
      <c r="AE27" s="32">
        <f t="shared" si="8"/>
        <v>0</v>
      </c>
      <c r="AF27" s="32">
        <v>0</v>
      </c>
      <c r="AG27" s="32">
        <f t="shared" si="9"/>
        <v>0</v>
      </c>
    </row>
    <row r="28" spans="1:33" s="32" customFormat="1" ht="18.95" customHeight="1">
      <c r="A28" s="1">
        <v>20</v>
      </c>
      <c r="B28" s="2" t="s">
        <v>57</v>
      </c>
      <c r="C28" s="16">
        <v>45803.719362107135</v>
      </c>
      <c r="D28" s="25">
        <v>1.0328999999999999</v>
      </c>
      <c r="E28" s="17">
        <f t="shared" si="1"/>
        <v>47310.66</v>
      </c>
      <c r="F28" s="66">
        <v>347.9</v>
      </c>
      <c r="G28" s="67">
        <f t="shared" si="2"/>
        <v>49642.1</v>
      </c>
      <c r="H28" s="67">
        <v>46520.577364898607</v>
      </c>
      <c r="I28" s="19">
        <f t="shared" si="10"/>
        <v>104.92783257524999</v>
      </c>
      <c r="J28" s="68">
        <f t="shared" si="0"/>
        <v>269834082.48000002</v>
      </c>
      <c r="K28" s="5">
        <f t="shared" si="11"/>
        <v>265703357.28000003</v>
      </c>
      <c r="L28" s="5">
        <v>0</v>
      </c>
      <c r="M28" s="69">
        <v>4130725.2</v>
      </c>
      <c r="N28" s="20">
        <f t="shared" si="3"/>
        <v>265703357.28000003</v>
      </c>
      <c r="O28" s="20">
        <v>221754500.99880001</v>
      </c>
      <c r="P28" s="20">
        <f t="shared" si="4"/>
        <v>43948856.281200022</v>
      </c>
      <c r="Q28" s="20">
        <f t="shared" si="12"/>
        <v>43948856.281200022</v>
      </c>
      <c r="R28" s="70">
        <f t="shared" ref="R28:R30" si="15">ROUND(Q28*0.77077541904,1)</f>
        <v>33874698.100000001</v>
      </c>
      <c r="S28" s="71">
        <v>85</v>
      </c>
      <c r="T28" s="72">
        <f t="shared" si="5"/>
        <v>28793493</v>
      </c>
      <c r="U28" s="73">
        <f t="shared" si="6"/>
        <v>5081205.1000000015</v>
      </c>
      <c r="V28" s="75" t="e">
        <f>#REF!+T28</f>
        <v>#REF!</v>
      </c>
      <c r="W28" s="75" t="e">
        <f>#REF!+U28</f>
        <v>#REF!</v>
      </c>
      <c r="X28" s="78"/>
      <c r="Y28" s="75" t="e">
        <f>#REF!+T28+U28</f>
        <v>#REF!</v>
      </c>
      <c r="Z28" s="76">
        <v>1.01</v>
      </c>
      <c r="AA28" s="75" t="e">
        <f t="shared" si="7"/>
        <v>#REF!</v>
      </c>
      <c r="AD28" s="32">
        <v>0</v>
      </c>
      <c r="AE28" s="32">
        <f t="shared" si="8"/>
        <v>0</v>
      </c>
      <c r="AF28" s="32">
        <v>3172.6</v>
      </c>
      <c r="AG28" s="32">
        <f t="shared" si="9"/>
        <v>4130725.2</v>
      </c>
    </row>
    <row r="29" spans="1:33" s="32" customFormat="1" ht="18.95" customHeight="1">
      <c r="A29" s="1">
        <v>21</v>
      </c>
      <c r="B29" s="2" t="s">
        <v>58</v>
      </c>
      <c r="C29" s="16">
        <v>53657.313514719739</v>
      </c>
      <c r="D29" s="25">
        <v>1.0328999999999999</v>
      </c>
      <c r="E29" s="17">
        <f t="shared" si="1"/>
        <v>55422.64</v>
      </c>
      <c r="F29" s="66">
        <v>361.4</v>
      </c>
      <c r="G29" s="67">
        <f t="shared" si="2"/>
        <v>58153.8</v>
      </c>
      <c r="H29" s="67">
        <v>54999</v>
      </c>
      <c r="I29" s="19">
        <f t="shared" si="10"/>
        <v>104.92783257524999</v>
      </c>
      <c r="J29" s="68">
        <f t="shared" si="0"/>
        <v>328366222.58999997</v>
      </c>
      <c r="K29" s="5">
        <f t="shared" si="11"/>
        <v>321350916.38999999</v>
      </c>
      <c r="L29" s="5">
        <v>0</v>
      </c>
      <c r="M29" s="69">
        <v>7015306.2000000002</v>
      </c>
      <c r="N29" s="20">
        <f t="shared" si="3"/>
        <v>321350916.38999999</v>
      </c>
      <c r="O29" s="20">
        <v>306846767.00199997</v>
      </c>
      <c r="P29" s="20">
        <f t="shared" si="4"/>
        <v>14504149.388000011</v>
      </c>
      <c r="Q29" s="20">
        <f t="shared" si="12"/>
        <v>14504149.388000011</v>
      </c>
      <c r="R29" s="70">
        <f t="shared" si="15"/>
        <v>11179441.800000001</v>
      </c>
      <c r="S29" s="71">
        <v>75</v>
      </c>
      <c r="T29" s="72">
        <f t="shared" si="5"/>
        <v>8384581</v>
      </c>
      <c r="U29" s="73">
        <f t="shared" si="6"/>
        <v>2794860.8000000007</v>
      </c>
      <c r="V29" s="75" t="e">
        <f>#REF!+T29</f>
        <v>#REF!</v>
      </c>
      <c r="W29" s="75" t="e">
        <f>#REF!+U29</f>
        <v>#REF!</v>
      </c>
      <c r="X29" s="78"/>
      <c r="Y29" s="75" t="e">
        <f>#REF!+T29+U29</f>
        <v>#REF!</v>
      </c>
      <c r="Z29" s="76">
        <v>1.01</v>
      </c>
      <c r="AA29" s="75" t="e">
        <f t="shared" si="7"/>
        <v>#REF!</v>
      </c>
      <c r="AD29" s="32">
        <v>0</v>
      </c>
      <c r="AE29" s="32">
        <f t="shared" si="8"/>
        <v>0</v>
      </c>
      <c r="AF29" s="32">
        <v>5388.1</v>
      </c>
      <c r="AG29" s="32">
        <f t="shared" si="9"/>
        <v>7015306.2000000002</v>
      </c>
    </row>
    <row r="30" spans="1:33" s="32" customFormat="1" ht="18.95" customHeight="1">
      <c r="A30" s="1">
        <v>22</v>
      </c>
      <c r="B30" s="2" t="s">
        <v>59</v>
      </c>
      <c r="C30" s="16">
        <v>43902.852741119117</v>
      </c>
      <c r="D30" s="25">
        <v>1.0328999999999999</v>
      </c>
      <c r="E30" s="17">
        <f t="shared" si="1"/>
        <v>45347.26</v>
      </c>
      <c r="F30" s="66">
        <v>101.6</v>
      </c>
      <c r="G30" s="67">
        <f t="shared" si="2"/>
        <v>47581.9</v>
      </c>
      <c r="H30" s="67">
        <v>45913</v>
      </c>
      <c r="I30" s="19">
        <f>$I$35</f>
        <v>104.92783257524999</v>
      </c>
      <c r="J30" s="68">
        <f t="shared" si="0"/>
        <v>75531431.930000007</v>
      </c>
      <c r="K30" s="5">
        <f>J30-M30</f>
        <v>71295505.13000001</v>
      </c>
      <c r="L30" s="5">
        <v>1064752</v>
      </c>
      <c r="M30" s="69">
        <v>4235926.8</v>
      </c>
      <c r="N30" s="20">
        <f t="shared" si="3"/>
        <v>70230753.13000001</v>
      </c>
      <c r="O30" s="20">
        <v>69005427.857999995</v>
      </c>
      <c r="P30" s="20">
        <f t="shared" si="4"/>
        <v>1225325.2720000148</v>
      </c>
      <c r="Q30" s="20">
        <f t="shared" si="12"/>
        <v>1225325.2720000148</v>
      </c>
      <c r="R30" s="70">
        <f t="shared" si="15"/>
        <v>944450.6</v>
      </c>
      <c r="S30" s="71">
        <v>88</v>
      </c>
      <c r="T30" s="72">
        <f t="shared" si="5"/>
        <v>831117</v>
      </c>
      <c r="U30" s="73">
        <f t="shared" si="6"/>
        <v>113333.59999999998</v>
      </c>
      <c r="V30" s="75" t="e">
        <f>#REF!+T30</f>
        <v>#REF!</v>
      </c>
      <c r="W30" s="75" t="e">
        <f>#REF!+U30</f>
        <v>#REF!</v>
      </c>
      <c r="X30" s="78"/>
      <c r="Y30" s="75" t="e">
        <f>#REF!+T30+U30</f>
        <v>#REF!</v>
      </c>
      <c r="Z30" s="76">
        <v>1.01</v>
      </c>
      <c r="AA30" s="75" t="e">
        <f t="shared" si="7"/>
        <v>#REF!</v>
      </c>
      <c r="AD30" s="32">
        <v>1023.8</v>
      </c>
      <c r="AE30" s="32">
        <f t="shared" si="8"/>
        <v>1064752</v>
      </c>
      <c r="AF30" s="32">
        <v>3253.4</v>
      </c>
      <c r="AG30" s="32">
        <f t="shared" si="9"/>
        <v>4235926.8</v>
      </c>
    </row>
    <row r="31" spans="1:33" s="32" customFormat="1" ht="18.95" customHeight="1">
      <c r="A31" s="1">
        <v>23</v>
      </c>
      <c r="B31" s="2" t="s">
        <v>60</v>
      </c>
      <c r="C31" s="16">
        <v>44558.80841388429</v>
      </c>
      <c r="D31" s="25">
        <v>1.0328999999999999</v>
      </c>
      <c r="E31" s="17">
        <f t="shared" si="1"/>
        <v>46024.79</v>
      </c>
      <c r="F31" s="66">
        <v>69.099999999999994</v>
      </c>
      <c r="G31" s="67">
        <f t="shared" si="2"/>
        <v>48292.800000000003</v>
      </c>
      <c r="H31" s="67">
        <v>48745.119047619046</v>
      </c>
      <c r="I31" s="19">
        <f>$I$35</f>
        <v>104.92783257524999</v>
      </c>
      <c r="J31" s="68">
        <f t="shared" si="0"/>
        <v>52137795.469999999</v>
      </c>
      <c r="K31" s="5">
        <f t="shared" si="11"/>
        <v>51659050.07</v>
      </c>
      <c r="L31" s="5">
        <v>0</v>
      </c>
      <c r="M31" s="69">
        <v>478745.4</v>
      </c>
      <c r="N31" s="20">
        <f>K31-L31</f>
        <v>51659050.07</v>
      </c>
      <c r="O31" s="20">
        <v>52747193.137000002</v>
      </c>
      <c r="P31" s="20">
        <f t="shared" si="4"/>
        <v>-1088143.0670000017</v>
      </c>
      <c r="Q31" s="20"/>
      <c r="R31" s="70"/>
      <c r="S31" s="71"/>
      <c r="T31" s="72">
        <f t="shared" si="5"/>
        <v>0</v>
      </c>
      <c r="U31" s="73">
        <f t="shared" si="6"/>
        <v>0</v>
      </c>
      <c r="V31" s="75" t="e">
        <f>#REF!+T31</f>
        <v>#REF!</v>
      </c>
      <c r="W31" s="75" t="e">
        <f>#REF!+U31</f>
        <v>#REF!</v>
      </c>
      <c r="X31" s="78"/>
      <c r="Y31" s="75" t="e">
        <f>#REF!+T31+U31</f>
        <v>#REF!</v>
      </c>
      <c r="Z31" s="76">
        <v>1.01</v>
      </c>
      <c r="AA31" s="75" t="e">
        <f t="shared" si="7"/>
        <v>#REF!</v>
      </c>
      <c r="AD31" s="32">
        <v>0</v>
      </c>
      <c r="AE31" s="32">
        <f t="shared" si="8"/>
        <v>0</v>
      </c>
      <c r="AF31" s="32">
        <v>367.7</v>
      </c>
      <c r="AG31" s="32">
        <f t="shared" si="9"/>
        <v>478745.4</v>
      </c>
    </row>
    <row r="32" spans="1:33" s="32" customFormat="1" ht="18.95" customHeight="1">
      <c r="A32" s="1">
        <v>24</v>
      </c>
      <c r="B32" s="2" t="s">
        <v>61</v>
      </c>
      <c r="C32" s="16">
        <v>43134.160270180233</v>
      </c>
      <c r="D32" s="25">
        <v>1.0328999999999999</v>
      </c>
      <c r="E32" s="17">
        <f t="shared" si="1"/>
        <v>44553.27</v>
      </c>
      <c r="F32" s="66">
        <v>47.1</v>
      </c>
      <c r="G32" s="67">
        <f t="shared" si="2"/>
        <v>46748.800000000003</v>
      </c>
      <c r="H32" s="67">
        <v>44119</v>
      </c>
      <c r="I32" s="19">
        <f t="shared" si="10"/>
        <v>104.92783257524999</v>
      </c>
      <c r="J32" s="68">
        <f t="shared" si="0"/>
        <v>34401993.130000003</v>
      </c>
      <c r="K32" s="5">
        <f t="shared" si="11"/>
        <v>31856322.730000004</v>
      </c>
      <c r="L32" s="5">
        <v>0</v>
      </c>
      <c r="M32" s="69">
        <v>2545670.4</v>
      </c>
      <c r="N32" s="20">
        <f t="shared" si="3"/>
        <v>31856322.730000004</v>
      </c>
      <c r="O32" s="20">
        <v>30610912.441</v>
      </c>
      <c r="P32" s="20">
        <f t="shared" si="4"/>
        <v>1245410.2890000045</v>
      </c>
      <c r="Q32" s="20">
        <f t="shared" si="12"/>
        <v>1245410.2890000045</v>
      </c>
      <c r="R32" s="70">
        <f>ROUND(Q32*0.77077541904,1)</f>
        <v>959931.6</v>
      </c>
      <c r="S32" s="71">
        <v>86</v>
      </c>
      <c r="T32" s="72">
        <f t="shared" si="5"/>
        <v>825541</v>
      </c>
      <c r="U32" s="73">
        <f t="shared" si="6"/>
        <v>134390.59999999998</v>
      </c>
      <c r="V32" s="75" t="e">
        <f>#REF!+T32</f>
        <v>#REF!</v>
      </c>
      <c r="W32" s="75" t="e">
        <f>#REF!+U32</f>
        <v>#REF!</v>
      </c>
      <c r="X32" s="78"/>
      <c r="Y32" s="75" t="e">
        <f>#REF!+T32+U32</f>
        <v>#REF!</v>
      </c>
      <c r="Z32" s="76">
        <v>1.01</v>
      </c>
      <c r="AA32" s="75" t="e">
        <f t="shared" si="7"/>
        <v>#REF!</v>
      </c>
      <c r="AD32" s="32">
        <v>0</v>
      </c>
      <c r="AE32" s="32">
        <f t="shared" si="8"/>
        <v>0</v>
      </c>
      <c r="AF32" s="32">
        <v>1955.2</v>
      </c>
      <c r="AG32" s="32">
        <f t="shared" si="9"/>
        <v>2545670.4</v>
      </c>
    </row>
    <row r="33" spans="1:33" s="32" customFormat="1" ht="18.95" customHeight="1">
      <c r="A33" s="1">
        <v>25</v>
      </c>
      <c r="B33" s="2" t="s">
        <v>62</v>
      </c>
      <c r="C33" s="16">
        <v>40472.375102785591</v>
      </c>
      <c r="D33" s="25">
        <v>1.0328999999999999</v>
      </c>
      <c r="E33" s="17">
        <f t="shared" si="1"/>
        <v>41803.919999999998</v>
      </c>
      <c r="F33" s="66">
        <v>64.8</v>
      </c>
      <c r="G33" s="67">
        <f t="shared" si="2"/>
        <v>43863.9</v>
      </c>
      <c r="H33" s="67">
        <v>38940</v>
      </c>
      <c r="I33" s="19">
        <f t="shared" si="10"/>
        <v>104.92783257524999</v>
      </c>
      <c r="J33" s="68">
        <f t="shared" si="0"/>
        <v>44409356.369999997</v>
      </c>
      <c r="K33" s="5">
        <f t="shared" si="11"/>
        <v>44409356.369999997</v>
      </c>
      <c r="L33" s="5">
        <v>0</v>
      </c>
      <c r="M33" s="69">
        <v>0</v>
      </c>
      <c r="N33" s="20">
        <f t="shared" si="3"/>
        <v>44409356.369999997</v>
      </c>
      <c r="O33" s="20">
        <v>34832263.899999999</v>
      </c>
      <c r="P33" s="20">
        <f t="shared" si="4"/>
        <v>9577092.4699999988</v>
      </c>
      <c r="Q33" s="20">
        <f t="shared" si="12"/>
        <v>9577092.4699999988</v>
      </c>
      <c r="R33" s="70">
        <f>ROUND(Q33*0.77077541904,1)</f>
        <v>7381787.5</v>
      </c>
      <c r="S33" s="71">
        <v>78</v>
      </c>
      <c r="T33" s="72">
        <f t="shared" si="5"/>
        <v>5757794</v>
      </c>
      <c r="U33" s="73">
        <f t="shared" si="6"/>
        <v>1623993.5</v>
      </c>
      <c r="V33" s="75" t="e">
        <f>#REF!+R33</f>
        <v>#REF!</v>
      </c>
      <c r="W33" s="75" t="e">
        <f>#REF!+U33</f>
        <v>#REF!</v>
      </c>
      <c r="X33" s="74"/>
      <c r="Y33" s="75" t="e">
        <f>#REF!+T33+U33</f>
        <v>#REF!</v>
      </c>
      <c r="Z33" s="76">
        <v>1.01</v>
      </c>
      <c r="AA33" s="75" t="e">
        <f t="shared" si="7"/>
        <v>#REF!</v>
      </c>
      <c r="AD33" s="32">
        <v>0</v>
      </c>
      <c r="AE33" s="32">
        <f t="shared" si="8"/>
        <v>0</v>
      </c>
      <c r="AF33" s="32">
        <v>0</v>
      </c>
      <c r="AG33" s="32">
        <f t="shared" si="9"/>
        <v>0</v>
      </c>
    </row>
    <row r="34" spans="1:33" s="32" customFormat="1" ht="18.95" customHeight="1">
      <c r="A34" s="1">
        <v>26</v>
      </c>
      <c r="B34" s="7" t="s">
        <v>63</v>
      </c>
      <c r="C34" s="17"/>
      <c r="D34" s="25">
        <v>1.0328999999999999</v>
      </c>
      <c r="E34" s="17">
        <f>C34*D34</f>
        <v>0</v>
      </c>
      <c r="F34" s="66">
        <v>6.9</v>
      </c>
      <c r="G34" s="67">
        <v>53224.19</v>
      </c>
      <c r="H34" s="67">
        <v>81025.000000000015</v>
      </c>
      <c r="I34" s="19">
        <f t="shared" si="10"/>
        <v>104.92783257524999</v>
      </c>
      <c r="J34" s="68">
        <f t="shared" si="0"/>
        <v>5737865.7400000002</v>
      </c>
      <c r="K34" s="5">
        <f t="shared" si="11"/>
        <v>5737865.7400000002</v>
      </c>
      <c r="L34" s="5">
        <v>0</v>
      </c>
      <c r="M34" s="69">
        <v>0</v>
      </c>
      <c r="N34" s="20">
        <f t="shared" si="3"/>
        <v>5737865.7400000002</v>
      </c>
      <c r="O34" s="20"/>
      <c r="P34" s="20">
        <f t="shared" si="4"/>
        <v>5737865.7400000002</v>
      </c>
      <c r="Q34" s="20"/>
      <c r="R34" s="21"/>
      <c r="S34" s="71"/>
      <c r="T34" s="73"/>
      <c r="U34" s="73"/>
      <c r="V34" s="75"/>
      <c r="W34" s="75"/>
      <c r="X34" s="74"/>
      <c r="Y34" s="75" t="e">
        <f>#REF!+T34+U34</f>
        <v>#REF!</v>
      </c>
      <c r="Z34" s="75"/>
      <c r="AA34" s="75"/>
      <c r="AD34" s="32">
        <v>0</v>
      </c>
      <c r="AE34" s="32">
        <f t="shared" si="8"/>
        <v>0</v>
      </c>
      <c r="AF34" s="32">
        <v>0</v>
      </c>
    </row>
    <row r="35" spans="1:33" s="32" customFormat="1" ht="18.95" customHeight="1">
      <c r="A35" s="8"/>
      <c r="B35" s="9" t="s">
        <v>64</v>
      </c>
      <c r="C35" s="18"/>
      <c r="D35" s="25">
        <v>1.0328999999999999</v>
      </c>
      <c r="E35" s="22"/>
      <c r="F35" s="86">
        <f>SUM(F9:F34)</f>
        <v>1400.7999999999995</v>
      </c>
      <c r="G35" s="18">
        <f>J35/F35/12/1.302</f>
        <v>53224.200472416771</v>
      </c>
      <c r="H35" s="87"/>
      <c r="I35" s="19">
        <f>106.485*0.98537665</f>
        <v>104.92783257524999</v>
      </c>
      <c r="J35" s="18">
        <f t="shared" ref="J35:U35" si="16">SUM(J9:J34)</f>
        <v>1164870131.3800001</v>
      </c>
      <c r="K35" s="18">
        <f t="shared" si="16"/>
        <v>1142993666.9799998</v>
      </c>
      <c r="L35" s="18">
        <f t="shared" si="16"/>
        <v>14275112.800000001</v>
      </c>
      <c r="M35" s="18">
        <f t="shared" si="16"/>
        <v>21876464.399999999</v>
      </c>
      <c r="N35" s="18">
        <f t="shared" si="16"/>
        <v>1128718554.1799998</v>
      </c>
      <c r="O35" s="18">
        <f t="shared" si="16"/>
        <v>1065104266.655368</v>
      </c>
      <c r="P35" s="18">
        <f>SUM(P9:P34)</f>
        <v>63614287.524632044</v>
      </c>
      <c r="Q35" s="18">
        <f>SUM(Q9:Q34)</f>
        <v>82532844.137400046</v>
      </c>
      <c r="R35" s="23">
        <f>SUM(R9:R34)</f>
        <v>63614287.5</v>
      </c>
      <c r="S35" s="71"/>
      <c r="T35" s="18">
        <f>SUM(T9:T34)</f>
        <v>53105928</v>
      </c>
      <c r="U35" s="26">
        <f t="shared" si="16"/>
        <v>10508359.500000002</v>
      </c>
      <c r="V35" s="10" t="e">
        <f>SUM(V9:V34)</f>
        <v>#REF!</v>
      </c>
      <c r="W35" s="10" t="e">
        <f>SUM(W9:W34)</f>
        <v>#REF!</v>
      </c>
      <c r="X35" s="10">
        <f t="shared" ref="X35:AG35" si="17">SUM(X9:X34)</f>
        <v>0</v>
      </c>
      <c r="Y35" s="10" t="e">
        <f t="shared" si="17"/>
        <v>#REF!</v>
      </c>
      <c r="Z35" s="10">
        <v>1.01</v>
      </c>
      <c r="AA35" s="10" t="e">
        <f t="shared" si="17"/>
        <v>#REF!</v>
      </c>
      <c r="AB35" s="10">
        <f t="shared" si="17"/>
        <v>0</v>
      </c>
      <c r="AC35" s="10">
        <f t="shared" si="17"/>
        <v>0</v>
      </c>
      <c r="AD35" s="10">
        <f t="shared" si="17"/>
        <v>13726.07</v>
      </c>
      <c r="AE35" s="10">
        <f t="shared" si="17"/>
        <v>14275112.800000001</v>
      </c>
      <c r="AF35" s="10">
        <f t="shared" si="17"/>
        <v>16802.2</v>
      </c>
      <c r="AG35" s="10">
        <f t="shared" si="17"/>
        <v>21876464.399999999</v>
      </c>
    </row>
    <row r="36" spans="1:33" s="32" customFormat="1" ht="15.75" hidden="1">
      <c r="C36" s="88"/>
      <c r="D36" s="89"/>
      <c r="E36" s="88">
        <v>52211</v>
      </c>
      <c r="G36" s="32">
        <v>47699</v>
      </c>
      <c r="J36" s="6">
        <f>ROUND(F35*G35*12*1.302/1000,2)</f>
        <v>1164870.1299999999</v>
      </c>
      <c r="K36" s="34"/>
      <c r="L36" s="34"/>
      <c r="M36" s="34"/>
      <c r="N36" s="34">
        <v>1035855</v>
      </c>
      <c r="O36" s="34"/>
      <c r="P36" s="34"/>
      <c r="Q36" s="90">
        <v>45141.168629999942</v>
      </c>
      <c r="R36" s="34"/>
      <c r="S36" s="34"/>
      <c r="T36" s="91">
        <v>39724.22839439995</v>
      </c>
      <c r="U36" s="92">
        <v>5416.9402355999919</v>
      </c>
    </row>
    <row r="37" spans="1:33" s="32" customFormat="1" ht="15.75" hidden="1">
      <c r="B37" s="32" t="s">
        <v>65</v>
      </c>
      <c r="C37" s="93">
        <v>1.0510083658965148</v>
      </c>
      <c r="D37" s="94"/>
      <c r="E37" s="93" t="e">
        <f>E35/#REF!</f>
        <v>#REF!</v>
      </c>
      <c r="F37" s="95"/>
      <c r="G37" s="32">
        <v>41011.279999999999</v>
      </c>
      <c r="J37" s="34" t="e">
        <f>G35*#REF!*1.302*12</f>
        <v>#REF!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92"/>
    </row>
    <row r="38" spans="1:33" s="32" customFormat="1" ht="15.75" hidden="1">
      <c r="B38" s="32" t="s">
        <v>66</v>
      </c>
      <c r="C38" s="93">
        <v>1.023337685874129</v>
      </c>
      <c r="D38" s="94"/>
      <c r="E38" s="96" t="e">
        <f>C36/E37</f>
        <v>#REF!</v>
      </c>
      <c r="J38" s="97" t="e">
        <f>J37/#REF!/1.302/12</f>
        <v>#REF!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2"/>
    </row>
    <row r="39" spans="1:33" s="32" customFormat="1" ht="15.75" hidden="1">
      <c r="D39" s="33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33" s="32" customFormat="1" ht="15.75" hidden="1">
      <c r="D40" s="3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33" s="32" customFormat="1" ht="84.75" hidden="1" customHeight="1">
      <c r="D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33" s="32" customFormat="1" ht="18.75" hidden="1">
      <c r="B42" s="98" t="s">
        <v>67</v>
      </c>
      <c r="D42" s="33"/>
      <c r="I42" s="99"/>
      <c r="J42" s="100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33" s="32" customFormat="1" ht="16.5" hidden="1" customHeight="1">
      <c r="D43" s="33"/>
      <c r="I43" s="32" t="s">
        <v>68</v>
      </c>
      <c r="J43" s="101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33" s="32" customFormat="1" ht="15.75" hidden="1">
      <c r="D44" s="33"/>
      <c r="F44" s="102" t="e">
        <f>#REF!-F35</f>
        <v>#REF!</v>
      </c>
      <c r="G44" s="103">
        <v>44780</v>
      </c>
      <c r="H44" s="104"/>
      <c r="J44" s="34">
        <f>J35/F35/1.302/12</f>
        <v>53224.200472416771</v>
      </c>
      <c r="K44" s="34"/>
      <c r="L44" s="34"/>
      <c r="M44" s="34"/>
      <c r="N44" s="34"/>
      <c r="O44" s="34"/>
      <c r="P44" s="34"/>
      <c r="Q44" s="34">
        <f>Q36-Q35</f>
        <v>-82487702.968770042</v>
      </c>
      <c r="R44" s="34"/>
      <c r="S44" s="34"/>
      <c r="T44" s="105">
        <f t="shared" ref="T44:U44" si="18">T36-T35</f>
        <v>-53066203.771605603</v>
      </c>
      <c r="U44" s="34">
        <f t="shared" si="18"/>
        <v>-10502942.559764402</v>
      </c>
    </row>
    <row r="45" spans="1:33" s="32" customFormat="1" ht="15.75" hidden="1">
      <c r="D45" s="33"/>
      <c r="F45" s="106" t="e">
        <f>#REF!-F28</f>
        <v>#REF!</v>
      </c>
      <c r="G45" s="103">
        <f>G35-G44</f>
        <v>8444.2004724167709</v>
      </c>
      <c r="H45" s="104"/>
      <c r="I45" s="32">
        <v>105.5412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>
        <f>T44-T35</f>
        <v>-106172131.77160561</v>
      </c>
    </row>
    <row r="46" spans="1:33" hidden="1">
      <c r="F46" s="109" t="e">
        <f>F30-#REF!</f>
        <v>#REF!</v>
      </c>
    </row>
    <row r="47" spans="1:33" hidden="1"/>
    <row r="48" spans="1:33" hidden="1"/>
    <row r="49" spans="1:27" s="32" customFormat="1" ht="15.75" hidden="1">
      <c r="A49" s="1">
        <v>23</v>
      </c>
      <c r="B49" s="2" t="s">
        <v>60</v>
      </c>
      <c r="C49" s="3">
        <v>39147.4019360409</v>
      </c>
      <c r="D49" s="11"/>
      <c r="E49" s="3">
        <f>C49</f>
        <v>39147.4019360409</v>
      </c>
      <c r="F49" s="12"/>
      <c r="G49" s="103">
        <f>ROUND(E49*I49/100,1)</f>
        <v>41076.5</v>
      </c>
      <c r="H49" s="103"/>
      <c r="I49" s="4">
        <f>$I$35</f>
        <v>104.92783257524999</v>
      </c>
      <c r="J49" s="6" t="e">
        <f>ROUND(#REF!*G49*12*1.302/1000,2)</f>
        <v>#REF!</v>
      </c>
      <c r="K49" s="6" t="e">
        <f t="shared" ref="K49" si="19">J49-M49</f>
        <v>#REF!</v>
      </c>
      <c r="L49" s="6">
        <v>0</v>
      </c>
      <c r="M49" s="13">
        <v>372</v>
      </c>
      <c r="N49" s="14" t="e">
        <f t="shared" ref="N49" si="20">J49-L49-M49</f>
        <v>#REF!</v>
      </c>
      <c r="O49" s="14">
        <v>49753.599999999999</v>
      </c>
      <c r="P49" s="14"/>
      <c r="Q49" s="14" t="e">
        <f>N49-O49</f>
        <v>#REF!</v>
      </c>
      <c r="R49" s="15"/>
      <c r="S49" s="15"/>
      <c r="T49" s="15" t="e">
        <f>Q49*#REF!</f>
        <v>#REF!</v>
      </c>
      <c r="U49" s="15" t="e">
        <f>Q49-T49</f>
        <v>#REF!</v>
      </c>
    </row>
    <row r="50" spans="1:27" hidden="1"/>
    <row r="51" spans="1:27" ht="22.5" hidden="1" customHeight="1">
      <c r="B51" s="110" t="s">
        <v>69</v>
      </c>
      <c r="C51" s="110"/>
      <c r="D51" s="110"/>
      <c r="E51" s="110"/>
      <c r="F51" s="110"/>
      <c r="G51" s="107">
        <v>52159</v>
      </c>
      <c r="I51" s="111"/>
      <c r="V51" s="112" t="e">
        <f>#REF!+W35</f>
        <v>#REF!</v>
      </c>
    </row>
    <row r="52" spans="1:27" hidden="1">
      <c r="G52" s="107">
        <f>G35/52159</f>
        <v>1.0204221797276936</v>
      </c>
      <c r="K52" s="112">
        <f>J35-M35</f>
        <v>1142993666.98</v>
      </c>
      <c r="P52" s="113">
        <v>15244700</v>
      </c>
      <c r="Q52" s="114">
        <f>P35/Q35</f>
        <v>0.77077541904078173</v>
      </c>
      <c r="R52" s="115">
        <f>7200500/R35</f>
        <v>0.11318998110290868</v>
      </c>
      <c r="T52" s="112">
        <f>T35+197049600</f>
        <v>250155528</v>
      </c>
      <c r="U52" s="112"/>
      <c r="V52" s="113"/>
      <c r="W52" s="113"/>
      <c r="X52" s="113"/>
      <c r="Y52" s="113"/>
      <c r="Z52" s="113"/>
      <c r="AA52" s="113"/>
    </row>
    <row r="53" spans="1:27" hidden="1">
      <c r="T53" s="113"/>
      <c r="U53" s="112"/>
      <c r="W53" s="112"/>
    </row>
    <row r="54" spans="1:27" hidden="1">
      <c r="R54" s="113"/>
      <c r="T54" s="112"/>
    </row>
    <row r="55" spans="1:27" hidden="1">
      <c r="V55" s="112"/>
    </row>
    <row r="56" spans="1:27" hidden="1"/>
    <row r="57" spans="1:27" hidden="1"/>
    <row r="58" spans="1:27" hidden="1"/>
    <row r="59" spans="1:27" hidden="1">
      <c r="I59" s="107">
        <v>101.6399325</v>
      </c>
    </row>
    <row r="60" spans="1:27" hidden="1"/>
    <row r="61" spans="1:27" hidden="1"/>
    <row r="63" spans="1:27">
      <c r="G63" s="116"/>
      <c r="Q63" s="117"/>
      <c r="AA63" s="112"/>
    </row>
    <row r="64" spans="1:27">
      <c r="T64" s="112"/>
    </row>
    <row r="66" spans="21:21">
      <c r="U66" s="112"/>
    </row>
  </sheetData>
  <mergeCells count="26">
    <mergeCell ref="B1:T1"/>
    <mergeCell ref="Y4:Y6"/>
    <mergeCell ref="Z4:Z6"/>
    <mergeCell ref="AA4:AA6"/>
    <mergeCell ref="F4:F6"/>
    <mergeCell ref="G4:G6"/>
    <mergeCell ref="I4:I6"/>
    <mergeCell ref="J4:J6"/>
    <mergeCell ref="S4:S6"/>
    <mergeCell ref="T4:T6"/>
    <mergeCell ref="U4:U6"/>
    <mergeCell ref="V4:W5"/>
    <mergeCell ref="Q4:Q6"/>
    <mergeCell ref="R4:R6"/>
    <mergeCell ref="A4:A6"/>
    <mergeCell ref="B4:B6"/>
    <mergeCell ref="C4:C6"/>
    <mergeCell ref="D4:D6"/>
    <mergeCell ref="E4:E6"/>
    <mergeCell ref="B51:F51"/>
    <mergeCell ref="P4:P6"/>
    <mergeCell ref="K4:K6"/>
    <mergeCell ref="L4:L6"/>
    <mergeCell ref="M4:M6"/>
    <mergeCell ref="N4:N6"/>
    <mergeCell ref="O4:O6"/>
  </mergeCells>
  <printOptions horizontalCentered="1"/>
  <pageMargins left="0.39370078740157483" right="0.39370078740157483" top="0.94488188976377963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97 % (53224,19)</vt:lpstr>
      <vt:lpstr>'97 % (53224,19)'!Область_печати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2022-09-15T09:29:42Z</cp:lastPrinted>
  <dcterms:created xsi:type="dcterms:W3CDTF">2021-10-12T08:59:22Z</dcterms:created>
  <dcterms:modified xsi:type="dcterms:W3CDTF">2022-09-15T09:29:45Z</dcterms:modified>
</cp:coreProperties>
</file>