
<file path=[Content_Types].xml><?xml version="1.0" encoding="utf-8"?>
<Types xmlns="http://schemas.openxmlformats.org/package/2006/content-types">
  <Override PartName="/xl/revisions/revisionLog16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14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92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81.xml" ContentType="application/vnd.openxmlformats-officedocument.spreadsheetml.revisionLog+xml"/>
  <Default Extension="xml" ContentType="application/xml"/>
  <Override PartName="/xl/revisions/revisionLog14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2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4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81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411111.xml" ContentType="application/vnd.openxmlformats-officedocument.spreadsheetml.revisionLog+xml"/>
  <Override PartName="/xl/revisions/revisionLog111211.xml" ContentType="application/vnd.openxmlformats-officedocument.spreadsheetml.revisionLog+xml"/>
  <Override PartName="/docProps/core.xml" ContentType="application/vnd.openxmlformats-package.core-properties+xml"/>
  <Override PartName="/xl/revisions/revisionLog1111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81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9211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811111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5111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Z_40F15A73_9550_4519_BD07_5B1306791A2B_.wvu.PrintArea" localSheetId="0" hidden="1">Лист1!$A$1:$W$274</definedName>
    <definedName name="Z_40F15A73_9550_4519_BD07_5B1306791A2B_.wvu.PrintTitles" localSheetId="0" hidden="1">Лист1!$A:$F,Лист1!$3:$6</definedName>
    <definedName name="Z_40F15A73_9550_4519_BD07_5B1306791A2B_.wvu.Rows" localSheetId="0" hidden="1">Лист1!$28:$32,Лист1!$45:$46,Лист1!$78:$80,Лист1!$91:$93,Лист1!$102:$103,Лист1!$106:$106,Лист1!$114:$114,Лист1!$116:$118,Лист1!$120:$120,Лист1!$124:$124,Лист1!$128:$128,Лист1!$261:$263</definedName>
    <definedName name="Z_F6681789_96F0_4D5A_90BA_C1A8630D3E2C_.wvu.PrintArea" localSheetId="0" hidden="1">Лист1!$A$2:$W$274</definedName>
    <definedName name="Z_F6681789_96F0_4D5A_90BA_C1A8630D3E2C_.wvu.PrintTitles" localSheetId="0" hidden="1">Лист1!$A:$F,Лист1!$3:$6</definedName>
    <definedName name="Z_F6681789_96F0_4D5A_90BA_C1A8630D3E2C_.wvu.Rows" localSheetId="0" hidden="1">Лист1!$15:$16,Лист1!$24:$24,Лист1!$28:$32,Лист1!$45:$46,Лист1!$50:$51,Лист1!$91:$93,Лист1!$203:$203</definedName>
    <definedName name="_xlnm.Print_Titles" localSheetId="0">Лист1!$A:$F,Лист1!$3:$6</definedName>
    <definedName name="_xlnm.Print_Area" localSheetId="0">Лист1!$A$1:$W$274</definedName>
  </definedNames>
  <calcPr calcId="124519"/>
  <customWorkbookViews>
    <customWorkbookView name="Pavlenko - Личное представление" guid="{40F15A73-9550-4519-BD07-5B1306791A2B}" mergeInterval="0" personalView="1" maximized="1" xWindow="1" yWindow="1" windowWidth="1920" windowHeight="850" activeSheetId="1"/>
    <customWorkbookView name="minfin user - Личное представление" guid="{F6681789-96F0-4D5A-90BA-C1A8630D3E2C}" mergeInterval="0" personalView="1" maximized="1" xWindow="1" yWindow="1" windowWidth="1920" windowHeight="850" activeSheetId="1"/>
    <customWorkbookView name="Телицина Татьяна Александровна - Личное представление" guid="{1B5FFDB8-A1F9-475C-854F-961801845FF2}" mergeInterval="0" personalView="1" maximized="1" xWindow="1" yWindow="1" windowWidth="1920" windowHeight="776" activeSheetId="1"/>
  </customWorkbookViews>
</workbook>
</file>

<file path=xl/calcChain.xml><?xml version="1.0" encoding="utf-8"?>
<calcChain xmlns="http://schemas.openxmlformats.org/spreadsheetml/2006/main">
  <c r="V247" i="1"/>
  <c r="W247"/>
  <c r="R199"/>
  <c r="Q199"/>
  <c r="O199"/>
  <c r="N199"/>
  <c r="L199"/>
  <c r="K199"/>
  <c r="U265"/>
  <c r="T265"/>
  <c r="R265"/>
  <c r="Q265"/>
  <c r="O265"/>
  <c r="N265"/>
  <c r="L265"/>
  <c r="K265"/>
  <c r="U222"/>
  <c r="R222"/>
  <c r="O222"/>
  <c r="S223"/>
  <c r="P223"/>
  <c r="M223"/>
  <c r="N189"/>
  <c r="W223" l="1"/>
  <c r="U139"/>
  <c r="U138" s="1"/>
  <c r="U137" s="1"/>
  <c r="U135" s="1"/>
  <c r="R139"/>
  <c r="P139" s="1"/>
  <c r="P140"/>
  <c r="O139"/>
  <c r="M139" s="1"/>
  <c r="M140"/>
  <c r="J140"/>
  <c r="L139"/>
  <c r="J139" s="1"/>
  <c r="O138" l="1"/>
  <c r="O137" s="1"/>
  <c r="M137" s="1"/>
  <c r="L138"/>
  <c r="J138" s="1"/>
  <c r="R138"/>
  <c r="J101"/>
  <c r="O85"/>
  <c r="T63"/>
  <c r="U72"/>
  <c r="O72"/>
  <c r="U54"/>
  <c r="T54"/>
  <c r="R54"/>
  <c r="Q54"/>
  <c r="O54"/>
  <c r="N54"/>
  <c r="O53"/>
  <c r="K54"/>
  <c r="K53"/>
  <c r="L54"/>
  <c r="M73"/>
  <c r="N72"/>
  <c r="S74"/>
  <c r="P74"/>
  <c r="M74"/>
  <c r="U58"/>
  <c r="U53" s="1"/>
  <c r="R58"/>
  <c r="R53" s="1"/>
  <c r="O58"/>
  <c r="L58"/>
  <c r="L57" s="1"/>
  <c r="T58"/>
  <c r="T53" s="1"/>
  <c r="Q58"/>
  <c r="Q53" s="1"/>
  <c r="K58"/>
  <c r="K57" s="1"/>
  <c r="N58"/>
  <c r="N53" s="1"/>
  <c r="J77"/>
  <c r="J76"/>
  <c r="L75"/>
  <c r="K75"/>
  <c r="J74"/>
  <c r="J73"/>
  <c r="L72"/>
  <c r="K72"/>
  <c r="J71"/>
  <c r="J70"/>
  <c r="L69"/>
  <c r="K69"/>
  <c r="J66"/>
  <c r="J64"/>
  <c r="L63"/>
  <c r="J63" s="1"/>
  <c r="J62"/>
  <c r="J61"/>
  <c r="J59"/>
  <c r="J58"/>
  <c r="O36"/>
  <c r="N36"/>
  <c r="O22"/>
  <c r="U26"/>
  <c r="R26"/>
  <c r="O26"/>
  <c r="T26"/>
  <c r="Q26"/>
  <c r="N26"/>
  <c r="N22"/>
  <c r="N21" s="1"/>
  <c r="U48"/>
  <c r="R48"/>
  <c r="O48"/>
  <c r="T48"/>
  <c r="Q48"/>
  <c r="N48"/>
  <c r="N47" s="1"/>
  <c r="L53" l="1"/>
  <c r="M72"/>
  <c r="M138"/>
  <c r="O135"/>
  <c r="M135" s="1"/>
  <c r="J75"/>
  <c r="T52"/>
  <c r="J72"/>
  <c r="L137"/>
  <c r="L135" s="1"/>
  <c r="J135" s="1"/>
  <c r="J69"/>
  <c r="P138"/>
  <c r="R137"/>
  <c r="J57"/>
  <c r="J49"/>
  <c r="J48"/>
  <c r="L47"/>
  <c r="K47"/>
  <c r="J43"/>
  <c r="L42"/>
  <c r="J42" s="1"/>
  <c r="J40"/>
  <c r="L39"/>
  <c r="J39" s="1"/>
  <c r="J38"/>
  <c r="J36"/>
  <c r="L35"/>
  <c r="J35" s="1"/>
  <c r="J33"/>
  <c r="J26"/>
  <c r="L25"/>
  <c r="J25" s="1"/>
  <c r="J24"/>
  <c r="J23"/>
  <c r="J22"/>
  <c r="L21"/>
  <c r="K21"/>
  <c r="J20"/>
  <c r="J19"/>
  <c r="J18"/>
  <c r="L17"/>
  <c r="J17" s="1"/>
  <c r="U199"/>
  <c r="J223"/>
  <c r="V223" s="1"/>
  <c r="I199"/>
  <c r="G223"/>
  <c r="I54"/>
  <c r="I53"/>
  <c r="G274"/>
  <c r="I273"/>
  <c r="G273" s="1"/>
  <c r="G252"/>
  <c r="I251"/>
  <c r="G251" s="1"/>
  <c r="J21" l="1"/>
  <c r="J47"/>
  <c r="I250"/>
  <c r="G250" s="1"/>
  <c r="J137"/>
  <c r="P137"/>
  <c r="R135"/>
  <c r="P135" s="1"/>
  <c r="I272"/>
  <c r="I249" l="1"/>
  <c r="I247" s="1"/>
  <c r="G247" s="1"/>
  <c r="I270"/>
  <c r="G270" s="1"/>
  <c r="G272"/>
  <c r="G249" l="1"/>
  <c r="G244"/>
  <c r="G232"/>
  <c r="G217"/>
  <c r="G216"/>
  <c r="I215"/>
  <c r="G215" s="1"/>
  <c r="G195"/>
  <c r="I187"/>
  <c r="H187"/>
  <c r="G188"/>
  <c r="G175"/>
  <c r="I174"/>
  <c r="H174"/>
  <c r="I139"/>
  <c r="G139" s="1"/>
  <c r="G140"/>
  <c r="H98"/>
  <c r="H53"/>
  <c r="H54"/>
  <c r="G74"/>
  <c r="G73"/>
  <c r="H72"/>
  <c r="I72"/>
  <c r="G66"/>
  <c r="G49"/>
  <c r="S72"/>
  <c r="P72"/>
  <c r="S60"/>
  <c r="P60"/>
  <c r="M60"/>
  <c r="G72" l="1"/>
  <c r="G174"/>
  <c r="I138"/>
  <c r="G187"/>
  <c r="I137" l="1"/>
  <c r="G138"/>
  <c r="S239"/>
  <c r="W134"/>
  <c r="W72"/>
  <c r="U268"/>
  <c r="R268"/>
  <c r="O268"/>
  <c r="P242"/>
  <c r="P239"/>
  <c r="M239"/>
  <c r="J242"/>
  <c r="S244"/>
  <c r="P244"/>
  <c r="M244"/>
  <c r="S246"/>
  <c r="S243"/>
  <c r="S240"/>
  <c r="S238"/>
  <c r="S236"/>
  <c r="P246"/>
  <c r="P243"/>
  <c r="P240"/>
  <c r="P238"/>
  <c r="P236"/>
  <c r="M246"/>
  <c r="M243"/>
  <c r="M242"/>
  <c r="M240"/>
  <c r="M238"/>
  <c r="M236"/>
  <c r="J246"/>
  <c r="J244"/>
  <c r="J243"/>
  <c r="J240"/>
  <c r="J239"/>
  <c r="J238"/>
  <c r="J236"/>
  <c r="T225"/>
  <c r="T224" s="1"/>
  <c r="Q225"/>
  <c r="Q224" s="1"/>
  <c r="N225"/>
  <c r="N224" s="1"/>
  <c r="P232"/>
  <c r="T228"/>
  <c r="Q228"/>
  <c r="N228"/>
  <c r="M232"/>
  <c r="M231"/>
  <c r="M230"/>
  <c r="M229"/>
  <c r="S232"/>
  <c r="J232"/>
  <c r="K206"/>
  <c r="N206"/>
  <c r="Q206"/>
  <c r="P206" s="1"/>
  <c r="T206"/>
  <c r="S206" s="1"/>
  <c r="O220"/>
  <c r="M220" s="1"/>
  <c r="U221"/>
  <c r="U220" s="1"/>
  <c r="S220" s="1"/>
  <c r="R221"/>
  <c r="R220" s="1"/>
  <c r="P220" s="1"/>
  <c r="O221"/>
  <c r="M221" s="1"/>
  <c r="U218"/>
  <c r="T218"/>
  <c r="R218"/>
  <c r="Q218"/>
  <c r="O218"/>
  <c r="N218"/>
  <c r="U215"/>
  <c r="T215"/>
  <c r="R215"/>
  <c r="Q215"/>
  <c r="O215"/>
  <c r="N215"/>
  <c r="U211"/>
  <c r="T211"/>
  <c r="R211"/>
  <c r="Q211"/>
  <c r="O211"/>
  <c r="N211"/>
  <c r="N213"/>
  <c r="U213"/>
  <c r="T213"/>
  <c r="R213"/>
  <c r="Q213"/>
  <c r="O213"/>
  <c r="J214"/>
  <c r="J213"/>
  <c r="J212"/>
  <c r="J211"/>
  <c r="J210"/>
  <c r="J209"/>
  <c r="J208"/>
  <c r="J207"/>
  <c r="J206"/>
  <c r="J205"/>
  <c r="J220"/>
  <c r="J219"/>
  <c r="J218"/>
  <c r="J217"/>
  <c r="J216"/>
  <c r="L215"/>
  <c r="J215" s="1"/>
  <c r="S217"/>
  <c r="P217"/>
  <c r="M217"/>
  <c r="S222"/>
  <c r="S219"/>
  <c r="S216"/>
  <c r="S214"/>
  <c r="S212"/>
  <c r="S210"/>
  <c r="S209"/>
  <c r="S208"/>
  <c r="S207"/>
  <c r="S205"/>
  <c r="S204"/>
  <c r="S203"/>
  <c r="P222"/>
  <c r="P219"/>
  <c r="P216"/>
  <c r="P214"/>
  <c r="P212"/>
  <c r="P210"/>
  <c r="P209"/>
  <c r="P208"/>
  <c r="P207"/>
  <c r="P205"/>
  <c r="P204"/>
  <c r="P203"/>
  <c r="M222"/>
  <c r="M219"/>
  <c r="M216"/>
  <c r="M214"/>
  <c r="M213" s="1"/>
  <c r="M212"/>
  <c r="M210"/>
  <c r="M209"/>
  <c r="M208"/>
  <c r="M207"/>
  <c r="M206"/>
  <c r="M205"/>
  <c r="M204"/>
  <c r="M203"/>
  <c r="S197"/>
  <c r="S195"/>
  <c r="S194"/>
  <c r="S192"/>
  <c r="S190"/>
  <c r="S188"/>
  <c r="S186"/>
  <c r="S184"/>
  <c r="S182"/>
  <c r="S181"/>
  <c r="S180"/>
  <c r="S178"/>
  <c r="S177"/>
  <c r="S175"/>
  <c r="S173"/>
  <c r="S171"/>
  <c r="P197"/>
  <c r="P195"/>
  <c r="P194"/>
  <c r="P192"/>
  <c r="P190"/>
  <c r="P188"/>
  <c r="P186"/>
  <c r="P184"/>
  <c r="P182"/>
  <c r="P181"/>
  <c r="P180"/>
  <c r="P178"/>
  <c r="P177"/>
  <c r="P175"/>
  <c r="P173"/>
  <c r="P171"/>
  <c r="M197"/>
  <c r="M195"/>
  <c r="M194"/>
  <c r="M192"/>
  <c r="M190"/>
  <c r="M188"/>
  <c r="M186"/>
  <c r="M184"/>
  <c r="M182"/>
  <c r="M181"/>
  <c r="M180"/>
  <c r="M178"/>
  <c r="M177"/>
  <c r="M175"/>
  <c r="M173"/>
  <c r="M171"/>
  <c r="P211" l="1"/>
  <c r="P213"/>
  <c r="S221"/>
  <c r="W236"/>
  <c r="P221"/>
  <c r="M215"/>
  <c r="S213"/>
  <c r="W213" s="1"/>
  <c r="U202"/>
  <c r="I135"/>
  <c r="G135" s="1"/>
  <c r="G137"/>
  <c r="W188"/>
  <c r="S211"/>
  <c r="P215"/>
  <c r="M218"/>
  <c r="S218"/>
  <c r="W240"/>
  <c r="W180"/>
  <c r="W186"/>
  <c r="W205"/>
  <c r="W216"/>
  <c r="W238"/>
  <c r="W184"/>
  <c r="W192"/>
  <c r="W214"/>
  <c r="W190"/>
  <c r="W239"/>
  <c r="S215"/>
  <c r="P218"/>
  <c r="T202"/>
  <c r="L202"/>
  <c r="N202"/>
  <c r="S242"/>
  <c r="J202"/>
  <c r="M211"/>
  <c r="M202" s="1"/>
  <c r="U196"/>
  <c r="T196"/>
  <c r="U193"/>
  <c r="T193"/>
  <c r="U191"/>
  <c r="T191"/>
  <c r="U189"/>
  <c r="T189"/>
  <c r="U187"/>
  <c r="T187"/>
  <c r="U185"/>
  <c r="T185"/>
  <c r="U183"/>
  <c r="T183"/>
  <c r="U179"/>
  <c r="T179"/>
  <c r="U176"/>
  <c r="T176"/>
  <c r="U174"/>
  <c r="T174"/>
  <c r="U172"/>
  <c r="T172"/>
  <c r="U170"/>
  <c r="T170"/>
  <c r="R196"/>
  <c r="Q196"/>
  <c r="R193"/>
  <c r="Q193"/>
  <c r="R191"/>
  <c r="Q191"/>
  <c r="R189"/>
  <c r="Q189"/>
  <c r="R187"/>
  <c r="Q187"/>
  <c r="R185"/>
  <c r="Q185"/>
  <c r="R183"/>
  <c r="Q183"/>
  <c r="R179"/>
  <c r="Q179"/>
  <c r="R176"/>
  <c r="Q176"/>
  <c r="R174"/>
  <c r="Q174"/>
  <c r="R172"/>
  <c r="Q172"/>
  <c r="R170"/>
  <c r="Q170"/>
  <c r="O196"/>
  <c r="N196"/>
  <c r="O193"/>
  <c r="N193"/>
  <c r="O191"/>
  <c r="N191"/>
  <c r="O189"/>
  <c r="M189" s="1"/>
  <c r="O187"/>
  <c r="N187"/>
  <c r="O185"/>
  <c r="N185"/>
  <c r="O183"/>
  <c r="N183"/>
  <c r="O179"/>
  <c r="N179"/>
  <c r="O176"/>
  <c r="N176"/>
  <c r="O174"/>
  <c r="N174"/>
  <c r="O172"/>
  <c r="N172"/>
  <c r="O170"/>
  <c r="N170"/>
  <c r="L196"/>
  <c r="L193"/>
  <c r="L191"/>
  <c r="L189"/>
  <c r="L187"/>
  <c r="L185"/>
  <c r="L183"/>
  <c r="L176"/>
  <c r="L174"/>
  <c r="L172"/>
  <c r="L170"/>
  <c r="K196"/>
  <c r="K193"/>
  <c r="K191"/>
  <c r="K189"/>
  <c r="K187"/>
  <c r="K185"/>
  <c r="K183"/>
  <c r="K179"/>
  <c r="K176"/>
  <c r="J176" s="1"/>
  <c r="K174"/>
  <c r="K172"/>
  <c r="K170"/>
  <c r="J197"/>
  <c r="J195"/>
  <c r="J194"/>
  <c r="J192"/>
  <c r="J190"/>
  <c r="J188"/>
  <c r="J186"/>
  <c r="J184"/>
  <c r="J182"/>
  <c r="J181"/>
  <c r="J180"/>
  <c r="J178"/>
  <c r="J177"/>
  <c r="J175"/>
  <c r="J173"/>
  <c r="J171"/>
  <c r="S164"/>
  <c r="U163"/>
  <c r="U162" s="1"/>
  <c r="P164"/>
  <c r="R163"/>
  <c r="R162" s="1"/>
  <c r="M164"/>
  <c r="O163"/>
  <c r="M163" s="1"/>
  <c r="S158"/>
  <c r="U157"/>
  <c r="U156" s="1"/>
  <c r="S156" s="1"/>
  <c r="S155"/>
  <c r="U154"/>
  <c r="U153" s="1"/>
  <c r="S153" s="1"/>
  <c r="U152"/>
  <c r="U150" s="1"/>
  <c r="P158"/>
  <c r="R157"/>
  <c r="R156" s="1"/>
  <c r="P156" s="1"/>
  <c r="P155"/>
  <c r="R154"/>
  <c r="P154" s="1"/>
  <c r="R152"/>
  <c r="R150" s="1"/>
  <c r="M155"/>
  <c r="O154"/>
  <c r="M154" s="1"/>
  <c r="S139"/>
  <c r="S140"/>
  <c r="M133"/>
  <c r="M131"/>
  <c r="M127"/>
  <c r="M126"/>
  <c r="M125"/>
  <c r="M119"/>
  <c r="S133"/>
  <c r="S132"/>
  <c r="S131"/>
  <c r="S130"/>
  <c r="S129"/>
  <c r="S127"/>
  <c r="S126"/>
  <c r="S125"/>
  <c r="S123"/>
  <c r="S122"/>
  <c r="S121"/>
  <c r="S119"/>
  <c r="S115"/>
  <c r="P133"/>
  <c r="P132"/>
  <c r="P131"/>
  <c r="P130"/>
  <c r="P129"/>
  <c r="P127"/>
  <c r="P126"/>
  <c r="P125"/>
  <c r="P123"/>
  <c r="P122"/>
  <c r="P121"/>
  <c r="P119"/>
  <c r="P115"/>
  <c r="M112"/>
  <c r="M111"/>
  <c r="P112"/>
  <c r="P111"/>
  <c r="S112"/>
  <c r="S111"/>
  <c r="N107"/>
  <c r="Q107"/>
  <c r="T107"/>
  <c r="M109"/>
  <c r="P109"/>
  <c r="S109"/>
  <c r="S104"/>
  <c r="P104"/>
  <c r="M104"/>
  <c r="S101"/>
  <c r="P101"/>
  <c r="M101"/>
  <c r="J100"/>
  <c r="M100"/>
  <c r="P100"/>
  <c r="S100"/>
  <c r="O87"/>
  <c r="N87"/>
  <c r="R87"/>
  <c r="Q87"/>
  <c r="T87"/>
  <c r="U87"/>
  <c r="N63"/>
  <c r="Q63"/>
  <c r="P65"/>
  <c r="M65"/>
  <c r="M66"/>
  <c r="P66"/>
  <c r="S66"/>
  <c r="O57"/>
  <c r="R25"/>
  <c r="T25"/>
  <c r="U25"/>
  <c r="U42"/>
  <c r="T42"/>
  <c r="R42"/>
  <c r="Q42"/>
  <c r="O42"/>
  <c r="N42"/>
  <c r="S44"/>
  <c r="S43"/>
  <c r="P44"/>
  <c r="P43"/>
  <c r="M44"/>
  <c r="M43"/>
  <c r="S49"/>
  <c r="S48"/>
  <c r="P49"/>
  <c r="P48"/>
  <c r="M49"/>
  <c r="M48"/>
  <c r="P41"/>
  <c r="U39"/>
  <c r="T39"/>
  <c r="R39"/>
  <c r="Q39"/>
  <c r="O39"/>
  <c r="N39"/>
  <c r="S41"/>
  <c r="N35"/>
  <c r="O35"/>
  <c r="U35"/>
  <c r="R35"/>
  <c r="T35"/>
  <c r="Q35"/>
  <c r="S37"/>
  <c r="P37"/>
  <c r="M37"/>
  <c r="S27"/>
  <c r="P27"/>
  <c r="M27"/>
  <c r="Q25"/>
  <c r="O25"/>
  <c r="N25"/>
  <c r="W215" l="1"/>
  <c r="J174"/>
  <c r="J172"/>
  <c r="J170"/>
  <c r="P185"/>
  <c r="P193"/>
  <c r="S174"/>
  <c r="S185"/>
  <c r="S189"/>
  <c r="M185"/>
  <c r="W185" s="1"/>
  <c r="S170"/>
  <c r="P174"/>
  <c r="P189"/>
  <c r="P179"/>
  <c r="M179"/>
  <c r="M193"/>
  <c r="M170"/>
  <c r="S179"/>
  <c r="W112"/>
  <c r="W101"/>
  <c r="J185"/>
  <c r="W189"/>
  <c r="P152"/>
  <c r="P150" s="1"/>
  <c r="S152"/>
  <c r="S150" s="1"/>
  <c r="S154"/>
  <c r="J187"/>
  <c r="J196"/>
  <c r="W43"/>
  <c r="O153"/>
  <c r="M153" s="1"/>
  <c r="M176"/>
  <c r="M183"/>
  <c r="M187"/>
  <c r="M191"/>
  <c r="M196"/>
  <c r="P172"/>
  <c r="P176"/>
  <c r="P183"/>
  <c r="P187"/>
  <c r="P191"/>
  <c r="P196"/>
  <c r="S176"/>
  <c r="S187"/>
  <c r="S191"/>
  <c r="S196"/>
  <c r="W37"/>
  <c r="R153"/>
  <c r="P153" s="1"/>
  <c r="J189"/>
  <c r="J183"/>
  <c r="J191"/>
  <c r="S183"/>
  <c r="M174"/>
  <c r="S172"/>
  <c r="M172"/>
  <c r="S193"/>
  <c r="P170"/>
  <c r="S137"/>
  <c r="S135"/>
  <c r="S138"/>
  <c r="J193"/>
  <c r="O162"/>
  <c r="U161"/>
  <c r="S162"/>
  <c r="S163"/>
  <c r="R161"/>
  <c r="P162"/>
  <c r="P163"/>
  <c r="S157"/>
  <c r="P157"/>
  <c r="S25"/>
  <c r="P25"/>
  <c r="W179" l="1"/>
  <c r="W183"/>
  <c r="W187"/>
  <c r="W191"/>
  <c r="O161"/>
  <c r="M162"/>
  <c r="U159"/>
  <c r="S159" s="1"/>
  <c r="S161"/>
  <c r="R159"/>
  <c r="P159" s="1"/>
  <c r="P161"/>
  <c r="M161" l="1"/>
  <c r="O159"/>
  <c r="M159" s="1"/>
  <c r="S274" l="1"/>
  <c r="U273"/>
  <c r="S273" s="1"/>
  <c r="S269"/>
  <c r="S268"/>
  <c r="S267"/>
  <c r="S266"/>
  <c r="S265"/>
  <c r="U264"/>
  <c r="T264"/>
  <c r="S260"/>
  <c r="S259"/>
  <c r="U258"/>
  <c r="T258"/>
  <c r="S257"/>
  <c r="U255"/>
  <c r="T255"/>
  <c r="U241"/>
  <c r="T241"/>
  <c r="U237"/>
  <c r="T237"/>
  <c r="U235"/>
  <c r="T235"/>
  <c r="S231"/>
  <c r="S229"/>
  <c r="U228"/>
  <c r="T227"/>
  <c r="U226"/>
  <c r="U225"/>
  <c r="S225" s="1"/>
  <c r="S202"/>
  <c r="U201"/>
  <c r="U198" s="1"/>
  <c r="U200" s="1"/>
  <c r="T201"/>
  <c r="T198" s="1"/>
  <c r="S201"/>
  <c r="S198" s="1"/>
  <c r="T199"/>
  <c r="S199"/>
  <c r="V193"/>
  <c r="V191"/>
  <c r="V185"/>
  <c r="U169"/>
  <c r="T169"/>
  <c r="U167"/>
  <c r="T167"/>
  <c r="U166"/>
  <c r="T166"/>
  <c r="S149"/>
  <c r="S148" s="1"/>
  <c r="U148"/>
  <c r="U147" s="1"/>
  <c r="U143"/>
  <c r="U141" s="1"/>
  <c r="U113"/>
  <c r="S113"/>
  <c r="U110"/>
  <c r="S110" s="1"/>
  <c r="T110"/>
  <c r="S108"/>
  <c r="U107"/>
  <c r="S107" s="1"/>
  <c r="S99"/>
  <c r="T98"/>
  <c r="U95"/>
  <c r="T95"/>
  <c r="S90"/>
  <c r="S87"/>
  <c r="S85"/>
  <c r="U84"/>
  <c r="U81" s="1"/>
  <c r="T84"/>
  <c r="T81" s="1"/>
  <c r="U83"/>
  <c r="T83"/>
  <c r="S77"/>
  <c r="S76"/>
  <c r="U75"/>
  <c r="T75"/>
  <c r="S71"/>
  <c r="S70"/>
  <c r="U69"/>
  <c r="T69"/>
  <c r="S64"/>
  <c r="U63"/>
  <c r="S63" s="1"/>
  <c r="S62"/>
  <c r="V62" s="1"/>
  <c r="S61"/>
  <c r="S59"/>
  <c r="S58"/>
  <c r="U57"/>
  <c r="T57"/>
  <c r="U47"/>
  <c r="T47"/>
  <c r="S42"/>
  <c r="S40"/>
  <c r="V40" s="1"/>
  <c r="S39"/>
  <c r="S38"/>
  <c r="S36"/>
  <c r="S35"/>
  <c r="S33"/>
  <c r="S26"/>
  <c r="S24"/>
  <c r="S23"/>
  <c r="S22"/>
  <c r="U21"/>
  <c r="T21"/>
  <c r="S20"/>
  <c r="S19"/>
  <c r="S18"/>
  <c r="U17"/>
  <c r="U12"/>
  <c r="S12" s="1"/>
  <c r="P274"/>
  <c r="R273"/>
  <c r="P273" s="1"/>
  <c r="P269"/>
  <c r="P268"/>
  <c r="P267"/>
  <c r="P266"/>
  <c r="P265"/>
  <c r="R264"/>
  <c r="Q264"/>
  <c r="P260"/>
  <c r="P259"/>
  <c r="R258"/>
  <c r="Q258"/>
  <c r="P257"/>
  <c r="R255"/>
  <c r="Q255"/>
  <c r="Q253"/>
  <c r="R241"/>
  <c r="Q241"/>
  <c r="R237"/>
  <c r="Q237"/>
  <c r="R235"/>
  <c r="Q235"/>
  <c r="P231"/>
  <c r="P229"/>
  <c r="R228"/>
  <c r="Q227"/>
  <c r="R226"/>
  <c r="R225"/>
  <c r="P225" s="1"/>
  <c r="R202"/>
  <c r="Q202"/>
  <c r="P202"/>
  <c r="R201"/>
  <c r="R198" s="1"/>
  <c r="R200" s="1"/>
  <c r="Q201"/>
  <c r="Q198" s="1"/>
  <c r="Q200" s="1"/>
  <c r="P201"/>
  <c r="P198" s="1"/>
  <c r="P199"/>
  <c r="R169"/>
  <c r="Q169"/>
  <c r="R167"/>
  <c r="Q167"/>
  <c r="R166"/>
  <c r="Q166"/>
  <c r="P149"/>
  <c r="P148" s="1"/>
  <c r="P147" s="1"/>
  <c r="R148"/>
  <c r="R147" s="1"/>
  <c r="R143"/>
  <c r="R141" s="1"/>
  <c r="R113"/>
  <c r="P113"/>
  <c r="R110"/>
  <c r="P110" s="1"/>
  <c r="Q110"/>
  <c r="P108"/>
  <c r="R107"/>
  <c r="P107" s="1"/>
  <c r="P99"/>
  <c r="Q98"/>
  <c r="R95"/>
  <c r="Q95"/>
  <c r="P90"/>
  <c r="P87"/>
  <c r="P85"/>
  <c r="R84"/>
  <c r="R81" s="1"/>
  <c r="Q84"/>
  <c r="Q81" s="1"/>
  <c r="R83"/>
  <c r="Q83"/>
  <c r="P77"/>
  <c r="P76"/>
  <c r="R75"/>
  <c r="Q75"/>
  <c r="P71"/>
  <c r="P70"/>
  <c r="R69"/>
  <c r="Q69"/>
  <c r="P64"/>
  <c r="R63"/>
  <c r="P63" s="1"/>
  <c r="P62"/>
  <c r="P61"/>
  <c r="P59"/>
  <c r="P58"/>
  <c r="R57"/>
  <c r="Q57"/>
  <c r="Q56" s="1"/>
  <c r="R47"/>
  <c r="Q47"/>
  <c r="P42"/>
  <c r="P40"/>
  <c r="P39"/>
  <c r="P38"/>
  <c r="P35"/>
  <c r="P33"/>
  <c r="P26"/>
  <c r="P24"/>
  <c r="P23"/>
  <c r="P22"/>
  <c r="R21"/>
  <c r="Q21"/>
  <c r="P20"/>
  <c r="P19"/>
  <c r="P18"/>
  <c r="R17"/>
  <c r="R12"/>
  <c r="M274"/>
  <c r="O273"/>
  <c r="O272" s="1"/>
  <c r="O270" s="1"/>
  <c r="M269"/>
  <c r="M268"/>
  <c r="M267"/>
  <c r="W267" s="1"/>
  <c r="M266"/>
  <c r="M265"/>
  <c r="W265" s="1"/>
  <c r="O264"/>
  <c r="N264"/>
  <c r="M260"/>
  <c r="M259"/>
  <c r="O258"/>
  <c r="N258"/>
  <c r="M257"/>
  <c r="O255"/>
  <c r="N255"/>
  <c r="O241"/>
  <c r="N241"/>
  <c r="O237"/>
  <c r="N237"/>
  <c r="O235"/>
  <c r="N235"/>
  <c r="O228"/>
  <c r="N227"/>
  <c r="O226"/>
  <c r="O225"/>
  <c r="M225" s="1"/>
  <c r="O202"/>
  <c r="O201"/>
  <c r="O198" s="1"/>
  <c r="O200" s="1"/>
  <c r="N201"/>
  <c r="N198" s="1"/>
  <c r="N200" s="1"/>
  <c r="M201"/>
  <c r="M198" s="1"/>
  <c r="M199"/>
  <c r="N169"/>
  <c r="O169"/>
  <c r="O167"/>
  <c r="N167"/>
  <c r="O166"/>
  <c r="N166"/>
  <c r="M158"/>
  <c r="O157"/>
  <c r="M157" s="1"/>
  <c r="O152"/>
  <c r="M152" s="1"/>
  <c r="M150" s="1"/>
  <c r="M149"/>
  <c r="M143" s="1"/>
  <c r="M141" s="1"/>
  <c r="O148"/>
  <c r="O147" s="1"/>
  <c r="O143"/>
  <c r="O141" s="1"/>
  <c r="O113"/>
  <c r="M113"/>
  <c r="O110"/>
  <c r="M110" s="1"/>
  <c r="N110"/>
  <c r="M108"/>
  <c r="O107"/>
  <c r="M107" s="1"/>
  <c r="M99"/>
  <c r="W99" s="1"/>
  <c r="N98"/>
  <c r="O95"/>
  <c r="N95"/>
  <c r="M90"/>
  <c r="M87"/>
  <c r="M85"/>
  <c r="O84"/>
  <c r="N84"/>
  <c r="N81" s="1"/>
  <c r="O83"/>
  <c r="N83"/>
  <c r="O81"/>
  <c r="M77"/>
  <c r="M76"/>
  <c r="O75"/>
  <c r="N75"/>
  <c r="M71"/>
  <c r="M70"/>
  <c r="O69"/>
  <c r="N69"/>
  <c r="M64"/>
  <c r="O63"/>
  <c r="M62"/>
  <c r="M61"/>
  <c r="M59"/>
  <c r="M58"/>
  <c r="W58" s="1"/>
  <c r="N57"/>
  <c r="O47"/>
  <c r="M42"/>
  <c r="M40"/>
  <c r="M39"/>
  <c r="M38"/>
  <c r="M36"/>
  <c r="M35"/>
  <c r="M33"/>
  <c r="M26"/>
  <c r="M25"/>
  <c r="M24"/>
  <c r="M23"/>
  <c r="M22"/>
  <c r="O21"/>
  <c r="N14"/>
  <c r="N13" s="1"/>
  <c r="N11" s="1"/>
  <c r="M20"/>
  <c r="M19"/>
  <c r="M18"/>
  <c r="O17"/>
  <c r="M17" s="1"/>
  <c r="O12"/>
  <c r="L273"/>
  <c r="J273" s="1"/>
  <c r="J274"/>
  <c r="J269"/>
  <c r="J268"/>
  <c r="J267"/>
  <c r="V267" s="1"/>
  <c r="J266"/>
  <c r="V266" s="1"/>
  <c r="J265"/>
  <c r="L264"/>
  <c r="K264"/>
  <c r="J260"/>
  <c r="J259"/>
  <c r="L258"/>
  <c r="K258"/>
  <c r="J257"/>
  <c r="L255"/>
  <c r="K255"/>
  <c r="L241"/>
  <c r="K241"/>
  <c r="L237"/>
  <c r="K237"/>
  <c r="L235"/>
  <c r="K235"/>
  <c r="J231"/>
  <c r="V231" s="1"/>
  <c r="J229"/>
  <c r="L228"/>
  <c r="J228" s="1"/>
  <c r="K227"/>
  <c r="L226"/>
  <c r="L225"/>
  <c r="K202"/>
  <c r="L201"/>
  <c r="L198" s="1"/>
  <c r="L200" s="1"/>
  <c r="K201"/>
  <c r="K198" s="1"/>
  <c r="K200" s="1"/>
  <c r="J201"/>
  <c r="J198" s="1"/>
  <c r="J199"/>
  <c r="L179"/>
  <c r="J179" s="1"/>
  <c r="K169"/>
  <c r="L167"/>
  <c r="K167"/>
  <c r="L166"/>
  <c r="K166"/>
  <c r="J158"/>
  <c r="V158" s="1"/>
  <c r="L157"/>
  <c r="L156" s="1"/>
  <c r="J156" s="1"/>
  <c r="V156" s="1"/>
  <c r="L152"/>
  <c r="L150" s="1"/>
  <c r="J149"/>
  <c r="J148" s="1"/>
  <c r="J147" s="1"/>
  <c r="L148"/>
  <c r="L147" s="1"/>
  <c r="L143"/>
  <c r="L141" s="1"/>
  <c r="L113"/>
  <c r="J113"/>
  <c r="V113" s="1"/>
  <c r="L110"/>
  <c r="K110"/>
  <c r="J110"/>
  <c r="J108"/>
  <c r="L107"/>
  <c r="L98" s="1"/>
  <c r="J99"/>
  <c r="V99" s="1"/>
  <c r="K98"/>
  <c r="L95"/>
  <c r="K95"/>
  <c r="J90"/>
  <c r="J87"/>
  <c r="J85"/>
  <c r="J84" s="1"/>
  <c r="L84"/>
  <c r="L81" s="1"/>
  <c r="K84"/>
  <c r="K81" s="1"/>
  <c r="L83"/>
  <c r="K83"/>
  <c r="V48"/>
  <c r="K14"/>
  <c r="K13" s="1"/>
  <c r="K11" s="1"/>
  <c r="L12"/>
  <c r="H258"/>
  <c r="I258"/>
  <c r="I264"/>
  <c r="H264"/>
  <c r="G269"/>
  <c r="G268"/>
  <c r="G267"/>
  <c r="G266"/>
  <c r="G265"/>
  <c r="G260"/>
  <c r="G259"/>
  <c r="G257"/>
  <c r="H235"/>
  <c r="I235"/>
  <c r="I226"/>
  <c r="I225"/>
  <c r="G225" s="1"/>
  <c r="G231"/>
  <c r="I166"/>
  <c r="H166"/>
  <c r="G197"/>
  <c r="I196"/>
  <c r="H196"/>
  <c r="G194"/>
  <c r="I193"/>
  <c r="H193"/>
  <c r="G192"/>
  <c r="I191"/>
  <c r="H191"/>
  <c r="G186"/>
  <c r="I185"/>
  <c r="H185"/>
  <c r="G180"/>
  <c r="I179"/>
  <c r="H179"/>
  <c r="G178"/>
  <c r="G177"/>
  <c r="I176"/>
  <c r="H176"/>
  <c r="I152"/>
  <c r="G152" s="1"/>
  <c r="G150" s="1"/>
  <c r="G158"/>
  <c r="I157"/>
  <c r="I156" s="1"/>
  <c r="G156" s="1"/>
  <c r="I143"/>
  <c r="I141" s="1"/>
  <c r="I148"/>
  <c r="I147" s="1"/>
  <c r="G149"/>
  <c r="G143" s="1"/>
  <c r="G141" s="1"/>
  <c r="G99"/>
  <c r="G77"/>
  <c r="H75"/>
  <c r="G76"/>
  <c r="G64"/>
  <c r="G61"/>
  <c r="I57"/>
  <c r="H57"/>
  <c r="G58"/>
  <c r="G59"/>
  <c r="I69"/>
  <c r="H69"/>
  <c r="G70"/>
  <c r="G71"/>
  <c r="I47"/>
  <c r="H47"/>
  <c r="H21"/>
  <c r="I12"/>
  <c r="G38"/>
  <c r="G23"/>
  <c r="G19"/>
  <c r="I255"/>
  <c r="H255"/>
  <c r="G246"/>
  <c r="G243"/>
  <c r="G242"/>
  <c r="I241"/>
  <c r="H241"/>
  <c r="G239"/>
  <c r="G238"/>
  <c r="I237"/>
  <c r="H237"/>
  <c r="H233" s="1"/>
  <c r="G229"/>
  <c r="I228"/>
  <c r="I227" s="1"/>
  <c r="H227"/>
  <c r="I202"/>
  <c r="H202"/>
  <c r="G202"/>
  <c r="I201"/>
  <c r="I198" s="1"/>
  <c r="I200" s="1"/>
  <c r="H201"/>
  <c r="H198" s="1"/>
  <c r="G201"/>
  <c r="G198" s="1"/>
  <c r="H199"/>
  <c r="G199"/>
  <c r="G184"/>
  <c r="G183"/>
  <c r="I167"/>
  <c r="H167"/>
  <c r="I113"/>
  <c r="G113"/>
  <c r="I110"/>
  <c r="H110"/>
  <c r="H97" s="1"/>
  <c r="G110"/>
  <c r="G108"/>
  <c r="I107"/>
  <c r="G107" s="1"/>
  <c r="I95"/>
  <c r="H95"/>
  <c r="G90"/>
  <c r="G87"/>
  <c r="G85"/>
  <c r="I84"/>
  <c r="I81" s="1"/>
  <c r="H84"/>
  <c r="H81" s="1"/>
  <c r="I83"/>
  <c r="H83"/>
  <c r="I75"/>
  <c r="I63"/>
  <c r="G62"/>
  <c r="G48"/>
  <c r="G43"/>
  <c r="I42"/>
  <c r="G42" s="1"/>
  <c r="G40"/>
  <c r="I39"/>
  <c r="G39" s="1"/>
  <c r="G36"/>
  <c r="I35"/>
  <c r="G35" s="1"/>
  <c r="G33"/>
  <c r="G26"/>
  <c r="I25"/>
  <c r="G25" s="1"/>
  <c r="G24"/>
  <c r="G22"/>
  <c r="I21"/>
  <c r="G20"/>
  <c r="G18"/>
  <c r="I17"/>
  <c r="G17" s="1"/>
  <c r="W221"/>
  <c r="V15"/>
  <c r="W15"/>
  <c r="V16"/>
  <c r="W16"/>
  <c r="V19"/>
  <c r="V20"/>
  <c r="V27"/>
  <c r="V28"/>
  <c r="W28"/>
  <c r="V29"/>
  <c r="W29"/>
  <c r="V30"/>
  <c r="W30"/>
  <c r="V31"/>
  <c r="W31"/>
  <c r="V32"/>
  <c r="W32"/>
  <c r="V33"/>
  <c r="V37"/>
  <c r="V41"/>
  <c r="V44"/>
  <c r="V45"/>
  <c r="W45"/>
  <c r="V46"/>
  <c r="W46"/>
  <c r="W48"/>
  <c r="V49"/>
  <c r="W49"/>
  <c r="V60"/>
  <c r="W60"/>
  <c r="V65"/>
  <c r="V66"/>
  <c r="W66"/>
  <c r="W70"/>
  <c r="V72"/>
  <c r="V100"/>
  <c r="V101"/>
  <c r="V104"/>
  <c r="V109"/>
  <c r="V111"/>
  <c r="V112"/>
  <c r="V115"/>
  <c r="V119"/>
  <c r="V121"/>
  <c r="V122"/>
  <c r="V123"/>
  <c r="V125"/>
  <c r="V126"/>
  <c r="V127"/>
  <c r="V129"/>
  <c r="V130"/>
  <c r="V131"/>
  <c r="V132"/>
  <c r="V133"/>
  <c r="V134"/>
  <c r="V135"/>
  <c r="W135"/>
  <c r="V137"/>
  <c r="W137"/>
  <c r="V138"/>
  <c r="W138"/>
  <c r="V139"/>
  <c r="W139"/>
  <c r="V140"/>
  <c r="W140"/>
  <c r="V144"/>
  <c r="W144"/>
  <c r="V145"/>
  <c r="W145"/>
  <c r="V146"/>
  <c r="W146"/>
  <c r="V153"/>
  <c r="V154"/>
  <c r="V155"/>
  <c r="V159"/>
  <c r="V161"/>
  <c r="V162"/>
  <c r="V163"/>
  <c r="V164"/>
  <c r="V170"/>
  <c r="V171"/>
  <c r="V174"/>
  <c r="W175"/>
  <c r="W176"/>
  <c r="V177"/>
  <c r="V178"/>
  <c r="W178"/>
  <c r="V180"/>
  <c r="V184"/>
  <c r="V186"/>
  <c r="V187"/>
  <c r="V188"/>
  <c r="V189"/>
  <c r="V190"/>
  <c r="V192"/>
  <c r="V194"/>
  <c r="V195"/>
  <c r="V203"/>
  <c r="V204"/>
  <c r="W204"/>
  <c r="V205"/>
  <c r="V207"/>
  <c r="W207"/>
  <c r="V208"/>
  <c r="W208"/>
  <c r="V209"/>
  <c r="V210"/>
  <c r="V211"/>
  <c r="V212"/>
  <c r="V213"/>
  <c r="V214"/>
  <c r="V215"/>
  <c r="V216"/>
  <c r="V218"/>
  <c r="V219"/>
  <c r="V221"/>
  <c r="V222"/>
  <c r="W222"/>
  <c r="V229"/>
  <c r="V230"/>
  <c r="W231"/>
  <c r="V232"/>
  <c r="V236"/>
  <c r="V238"/>
  <c r="V239"/>
  <c r="V240"/>
  <c r="V242"/>
  <c r="W242"/>
  <c r="V243"/>
  <c r="W243"/>
  <c r="V244"/>
  <c r="W244"/>
  <c r="W246"/>
  <c r="V246"/>
  <c r="V259"/>
  <c r="W171"/>
  <c r="V175"/>
  <c r="W170"/>
  <c r="V172"/>
  <c r="V183"/>
  <c r="W177"/>
  <c r="V43"/>
  <c r="V173"/>
  <c r="V22"/>
  <c r="W206"/>
  <c r="K97" l="1"/>
  <c r="W26"/>
  <c r="V90"/>
  <c r="J12"/>
  <c r="V108"/>
  <c r="V26"/>
  <c r="V87"/>
  <c r="U56"/>
  <c r="T97"/>
  <c r="V269"/>
  <c r="N97"/>
  <c r="Q14"/>
  <c r="Q13" s="1"/>
  <c r="Q11" s="1"/>
  <c r="R56"/>
  <c r="N82"/>
  <c r="G75"/>
  <c r="J107"/>
  <c r="M63"/>
  <c r="O56"/>
  <c r="R82"/>
  <c r="G12"/>
  <c r="T56"/>
  <c r="G228"/>
  <c r="G148"/>
  <c r="G147" s="1"/>
  <c r="N56"/>
  <c r="M148"/>
  <c r="M147" s="1"/>
  <c r="W33"/>
  <c r="W71"/>
  <c r="R233"/>
  <c r="W199"/>
  <c r="J255"/>
  <c r="M167"/>
  <c r="V110"/>
  <c r="M75"/>
  <c r="L52"/>
  <c r="P12"/>
  <c r="M12"/>
  <c r="W12" s="1"/>
  <c r="N10"/>
  <c r="U14"/>
  <c r="U13" s="1"/>
  <c r="U11" s="1"/>
  <c r="U10" s="1"/>
  <c r="G255"/>
  <c r="Q254"/>
  <c r="P83"/>
  <c r="Q165"/>
  <c r="Q168" s="1"/>
  <c r="T253"/>
  <c r="L97"/>
  <c r="L96" s="1"/>
  <c r="M47"/>
  <c r="V36"/>
  <c r="W42"/>
  <c r="V85"/>
  <c r="G47"/>
  <c r="G185"/>
  <c r="J264"/>
  <c r="V23"/>
  <c r="W61"/>
  <c r="I253"/>
  <c r="V257"/>
  <c r="V268"/>
  <c r="I233"/>
  <c r="G166"/>
  <c r="V24"/>
  <c r="W259"/>
  <c r="W260"/>
  <c r="G258"/>
  <c r="L14"/>
  <c r="J14" s="1"/>
  <c r="J13" s="1"/>
  <c r="L56"/>
  <c r="L55" s="1"/>
  <c r="J237"/>
  <c r="V61"/>
  <c r="G21"/>
  <c r="H200"/>
  <c r="I169"/>
  <c r="G193"/>
  <c r="G196"/>
  <c r="G264"/>
  <c r="J83"/>
  <c r="L82"/>
  <c r="W39"/>
  <c r="U253"/>
  <c r="U254" s="1"/>
  <c r="U272"/>
  <c r="S272" s="1"/>
  <c r="W35"/>
  <c r="W40"/>
  <c r="T82"/>
  <c r="V260"/>
  <c r="J167"/>
  <c r="M255"/>
  <c r="S143"/>
  <c r="U233"/>
  <c r="S237"/>
  <c r="K256"/>
  <c r="L253"/>
  <c r="L254" s="1"/>
  <c r="O256"/>
  <c r="S255"/>
  <c r="U256"/>
  <c r="S258"/>
  <c r="P258"/>
  <c r="Q256"/>
  <c r="O253"/>
  <c r="O254" s="1"/>
  <c r="M258"/>
  <c r="R272"/>
  <c r="P272" s="1"/>
  <c r="M241"/>
  <c r="S241"/>
  <c r="P241"/>
  <c r="O233"/>
  <c r="S235"/>
  <c r="P237"/>
  <c r="P235"/>
  <c r="M235"/>
  <c r="M237"/>
  <c r="J235"/>
  <c r="J241"/>
  <c r="L233"/>
  <c r="K233"/>
  <c r="O224"/>
  <c r="U227"/>
  <c r="S227" s="1"/>
  <c r="S228"/>
  <c r="V228" s="1"/>
  <c r="R227"/>
  <c r="P228"/>
  <c r="R224"/>
  <c r="O227"/>
  <c r="M227" s="1"/>
  <c r="M226" s="1"/>
  <c r="M228"/>
  <c r="L224"/>
  <c r="J200"/>
  <c r="T200"/>
  <c r="M200"/>
  <c r="P200"/>
  <c r="L169"/>
  <c r="J169" s="1"/>
  <c r="S166"/>
  <c r="S167"/>
  <c r="W167" s="1"/>
  <c r="L165"/>
  <c r="L168" s="1"/>
  <c r="P17"/>
  <c r="R14"/>
  <c r="R13" s="1"/>
  <c r="R11" s="1"/>
  <c r="V59"/>
  <c r="W59"/>
  <c r="V77"/>
  <c r="W77"/>
  <c r="I82"/>
  <c r="H169"/>
  <c r="G179"/>
  <c r="H256"/>
  <c r="K82"/>
  <c r="J82" s="1"/>
  <c r="J225"/>
  <c r="L227"/>
  <c r="J227" s="1"/>
  <c r="R256"/>
  <c r="W23"/>
  <c r="W90"/>
  <c r="W110"/>
  <c r="U224"/>
  <c r="V76"/>
  <c r="W76"/>
  <c r="I150"/>
  <c r="K52"/>
  <c r="K96"/>
  <c r="K9" s="1"/>
  <c r="N96"/>
  <c r="N94" s="1"/>
  <c r="N256"/>
  <c r="M273"/>
  <c r="V58"/>
  <c r="V63"/>
  <c r="W87"/>
  <c r="T96"/>
  <c r="T94" s="1"/>
  <c r="K165"/>
  <c r="J166"/>
  <c r="G167"/>
  <c r="H14"/>
  <c r="H13" s="1"/>
  <c r="H11" s="1"/>
  <c r="G57"/>
  <c r="G191"/>
  <c r="H253"/>
  <c r="L94"/>
  <c r="J258"/>
  <c r="J253" s="1"/>
  <c r="L256"/>
  <c r="M83"/>
  <c r="P69"/>
  <c r="P95"/>
  <c r="S69"/>
  <c r="S83"/>
  <c r="T254"/>
  <c r="T256"/>
  <c r="J95"/>
  <c r="S21"/>
  <c r="V21" s="1"/>
  <c r="T14"/>
  <c r="T13" s="1"/>
  <c r="T11" s="1"/>
  <c r="T10" s="1"/>
  <c r="M264"/>
  <c r="M253" s="1"/>
  <c r="P255"/>
  <c r="U82"/>
  <c r="V107"/>
  <c r="S200"/>
  <c r="U165"/>
  <c r="U168" s="1"/>
  <c r="S169"/>
  <c r="P169"/>
  <c r="R165"/>
  <c r="R168" s="1"/>
  <c r="O165"/>
  <c r="O168" s="1"/>
  <c r="M169"/>
  <c r="T165"/>
  <c r="P166"/>
  <c r="P167"/>
  <c r="N165"/>
  <c r="N168" s="1"/>
  <c r="M166"/>
  <c r="O150"/>
  <c r="P143"/>
  <c r="P141" s="1"/>
  <c r="S147"/>
  <c r="V148"/>
  <c r="W148"/>
  <c r="V149"/>
  <c r="W149"/>
  <c r="U98"/>
  <c r="U97" s="1"/>
  <c r="S97" s="1"/>
  <c r="S95"/>
  <c r="M95"/>
  <c r="O98"/>
  <c r="O97" s="1"/>
  <c r="O96" s="1"/>
  <c r="O94" s="1"/>
  <c r="M84"/>
  <c r="P84"/>
  <c r="S84"/>
  <c r="O82"/>
  <c r="K56"/>
  <c r="K55" s="1"/>
  <c r="S75"/>
  <c r="W75" s="1"/>
  <c r="P75"/>
  <c r="Q55"/>
  <c r="M69"/>
  <c r="N55"/>
  <c r="R55"/>
  <c r="O55"/>
  <c r="U55"/>
  <c r="S54"/>
  <c r="U52"/>
  <c r="M54"/>
  <c r="O52"/>
  <c r="Q52"/>
  <c r="P54"/>
  <c r="R52"/>
  <c r="J54"/>
  <c r="P57"/>
  <c r="S53"/>
  <c r="S57"/>
  <c r="V57" s="1"/>
  <c r="M53"/>
  <c r="M57"/>
  <c r="N52"/>
  <c r="S47"/>
  <c r="P47"/>
  <c r="O14"/>
  <c r="O13" s="1"/>
  <c r="O11" s="1"/>
  <c r="P21"/>
  <c r="M21"/>
  <c r="V225"/>
  <c r="V179"/>
  <c r="T233"/>
  <c r="S264"/>
  <c r="W107"/>
  <c r="S81"/>
  <c r="V17"/>
  <c r="Q82"/>
  <c r="P82" s="1"/>
  <c r="P81"/>
  <c r="Q10"/>
  <c r="P227"/>
  <c r="P226" s="1"/>
  <c r="P224" s="1"/>
  <c r="Q97"/>
  <c r="R98"/>
  <c r="R97" s="1"/>
  <c r="R96" s="1"/>
  <c r="R9" s="1"/>
  <c r="Q233"/>
  <c r="P233" s="1"/>
  <c r="P264"/>
  <c r="P53"/>
  <c r="R253"/>
  <c r="R254" s="1"/>
  <c r="M272"/>
  <c r="O156"/>
  <c r="M156" s="1"/>
  <c r="N233"/>
  <c r="M81"/>
  <c r="L272"/>
  <c r="N253"/>
  <c r="N254" s="1"/>
  <c r="K10"/>
  <c r="J53"/>
  <c r="J81"/>
  <c r="J97"/>
  <c r="V176"/>
  <c r="J98"/>
  <c r="J152"/>
  <c r="J157"/>
  <c r="V157" s="1"/>
  <c r="K253"/>
  <c r="J143"/>
  <c r="W108"/>
  <c r="I52"/>
  <c r="G157"/>
  <c r="G176"/>
  <c r="I165"/>
  <c r="I168" s="1"/>
  <c r="I224"/>
  <c r="G235"/>
  <c r="W172"/>
  <c r="H165"/>
  <c r="V202"/>
  <c r="V71"/>
  <c r="G83"/>
  <c r="V201"/>
  <c r="G233"/>
  <c r="G241"/>
  <c r="H56"/>
  <c r="H55" s="1"/>
  <c r="V206"/>
  <c r="V241"/>
  <c r="V42"/>
  <c r="V265"/>
  <c r="W22"/>
  <c r="G84"/>
  <c r="G53"/>
  <c r="W173"/>
  <c r="V35"/>
  <c r="V18"/>
  <c r="I56"/>
  <c r="I55" s="1"/>
  <c r="G54"/>
  <c r="V39"/>
  <c r="W202"/>
  <c r="W62"/>
  <c r="V83"/>
  <c r="V69"/>
  <c r="G200"/>
  <c r="G237"/>
  <c r="G69"/>
  <c r="I14"/>
  <c r="V12"/>
  <c r="W201"/>
  <c r="V198"/>
  <c r="W25"/>
  <c r="V25"/>
  <c r="V70"/>
  <c r="V199"/>
  <c r="H52"/>
  <c r="W174"/>
  <c r="G95"/>
  <c r="I98"/>
  <c r="I97" s="1"/>
  <c r="I96" s="1"/>
  <c r="I9" s="1"/>
  <c r="G227"/>
  <c r="G226" s="1"/>
  <c r="G224" s="1"/>
  <c r="H82"/>
  <c r="G81"/>
  <c r="G63"/>
  <c r="H96"/>
  <c r="H94" s="1"/>
  <c r="I256"/>
  <c r="W69" l="1"/>
  <c r="W241"/>
  <c r="L9"/>
  <c r="J9" s="1"/>
  <c r="N8"/>
  <c r="G253"/>
  <c r="G254" s="1"/>
  <c r="J96"/>
  <c r="J94" s="1"/>
  <c r="J256"/>
  <c r="V255"/>
  <c r="S82"/>
  <c r="M82"/>
  <c r="W169"/>
  <c r="S56"/>
  <c r="G82"/>
  <c r="T55"/>
  <c r="R8"/>
  <c r="O8"/>
  <c r="V95"/>
  <c r="N9"/>
  <c r="U8"/>
  <c r="H9"/>
  <c r="Q8"/>
  <c r="T8"/>
  <c r="T9"/>
  <c r="O9"/>
  <c r="V235"/>
  <c r="V258"/>
  <c r="K94"/>
  <c r="W84"/>
  <c r="M254"/>
  <c r="L270"/>
  <c r="J165"/>
  <c r="G169"/>
  <c r="G52"/>
  <c r="P256"/>
  <c r="J233"/>
  <c r="W237"/>
  <c r="V84"/>
  <c r="J52"/>
  <c r="K168"/>
  <c r="J168" s="1"/>
  <c r="V167"/>
  <c r="J226"/>
  <c r="J224" s="1"/>
  <c r="S141"/>
  <c r="W141" s="1"/>
  <c r="W143"/>
  <c r="L13"/>
  <c r="L11" s="1"/>
  <c r="J11" s="1"/>
  <c r="G256"/>
  <c r="G56"/>
  <c r="G55" s="1"/>
  <c r="W255"/>
  <c r="V75"/>
  <c r="W258"/>
  <c r="S233"/>
  <c r="V237"/>
  <c r="P253"/>
  <c r="P254" s="1"/>
  <c r="W264"/>
  <c r="M256"/>
  <c r="W235"/>
  <c r="M233"/>
  <c r="S226"/>
  <c r="V226" s="1"/>
  <c r="V227"/>
  <c r="W227"/>
  <c r="M168"/>
  <c r="M165"/>
  <c r="H10"/>
  <c r="R270"/>
  <c r="P270" s="1"/>
  <c r="M96"/>
  <c r="M94" s="1"/>
  <c r="P56"/>
  <c r="P55" s="1"/>
  <c r="W81"/>
  <c r="W82"/>
  <c r="V97"/>
  <c r="U270"/>
  <c r="S270" s="1"/>
  <c r="W21"/>
  <c r="S98"/>
  <c r="V98" s="1"/>
  <c r="U96"/>
  <c r="U9" s="1"/>
  <c r="M98"/>
  <c r="V169"/>
  <c r="P168"/>
  <c r="P165"/>
  <c r="T168"/>
  <c r="S168" s="1"/>
  <c r="S165"/>
  <c r="W95"/>
  <c r="M97"/>
  <c r="W97" s="1"/>
  <c r="R94"/>
  <c r="J56"/>
  <c r="J55" s="1"/>
  <c r="S55"/>
  <c r="M56"/>
  <c r="M55" s="1"/>
  <c r="S52"/>
  <c r="M52"/>
  <c r="P52"/>
  <c r="W57"/>
  <c r="M14"/>
  <c r="M13" s="1"/>
  <c r="O10"/>
  <c r="O7" s="1"/>
  <c r="M11"/>
  <c r="S14"/>
  <c r="S13" s="1"/>
  <c r="S11"/>
  <c r="S10" s="1"/>
  <c r="S256"/>
  <c r="V256" s="1"/>
  <c r="V264"/>
  <c r="V166"/>
  <c r="W166"/>
  <c r="S253"/>
  <c r="V253" s="1"/>
  <c r="T7"/>
  <c r="R10"/>
  <c r="P10" s="1"/>
  <c r="Q96"/>
  <c r="Q9" s="1"/>
  <c r="P97"/>
  <c r="P11"/>
  <c r="P14"/>
  <c r="P13" s="1"/>
  <c r="P98"/>
  <c r="M270"/>
  <c r="K254"/>
  <c r="K8" s="1"/>
  <c r="K7"/>
  <c r="J272"/>
  <c r="J254"/>
  <c r="M224"/>
  <c r="N7"/>
  <c r="V143"/>
  <c r="J141"/>
  <c r="V141" s="1"/>
  <c r="J150"/>
  <c r="V150" s="1"/>
  <c r="V152"/>
  <c r="G165"/>
  <c r="H168"/>
  <c r="G168" s="1"/>
  <c r="V54"/>
  <c r="W54"/>
  <c r="I94"/>
  <c r="G97"/>
  <c r="G98"/>
  <c r="V81"/>
  <c r="V53"/>
  <c r="W53"/>
  <c r="V200"/>
  <c r="W198"/>
  <c r="V47"/>
  <c r="W47"/>
  <c r="V82"/>
  <c r="G96"/>
  <c r="I13"/>
  <c r="G14"/>
  <c r="G13" s="1"/>
  <c r="V233" l="1"/>
  <c r="M8"/>
  <c r="P8"/>
  <c r="L8"/>
  <c r="J8" s="1"/>
  <c r="L10"/>
  <c r="J10" s="1"/>
  <c r="G9"/>
  <c r="W168"/>
  <c r="M9"/>
  <c r="U94"/>
  <c r="S9"/>
  <c r="Q94"/>
  <c r="Q7" s="1"/>
  <c r="P9"/>
  <c r="V52"/>
  <c r="S8"/>
  <c r="M10"/>
  <c r="M7"/>
  <c r="W256"/>
  <c r="V55"/>
  <c r="W98"/>
  <c r="W233"/>
  <c r="U7"/>
  <c r="S224"/>
  <c r="V224" s="1"/>
  <c r="W226"/>
  <c r="S96"/>
  <c r="W165"/>
  <c r="V165"/>
  <c r="V168"/>
  <c r="R7"/>
  <c r="V56"/>
  <c r="W52"/>
  <c r="W55"/>
  <c r="W56"/>
  <c r="V14"/>
  <c r="W14"/>
  <c r="S254"/>
  <c r="W253"/>
  <c r="P96"/>
  <c r="P94" s="1"/>
  <c r="G94"/>
  <c r="W200"/>
  <c r="W13"/>
  <c r="V13"/>
  <c r="I11"/>
  <c r="P7" l="1"/>
  <c r="W224"/>
  <c r="S94"/>
  <c r="V96"/>
  <c r="I10"/>
  <c r="W254"/>
  <c r="V254"/>
  <c r="J270"/>
  <c r="L7"/>
  <c r="J7" s="1"/>
  <c r="V10"/>
  <c r="W10"/>
  <c r="W11"/>
  <c r="V11"/>
  <c r="G11"/>
  <c r="V94" l="1"/>
  <c r="S7"/>
  <c r="V7" s="1"/>
  <c r="W94"/>
  <c r="W9"/>
  <c r="V9"/>
  <c r="G10"/>
  <c r="W8"/>
  <c r="V8"/>
  <c r="W7" l="1"/>
  <c r="H254"/>
  <c r="H8" s="1"/>
  <c r="I254"/>
  <c r="I8" s="1"/>
  <c r="I7" s="1"/>
  <c r="G8" l="1"/>
  <c r="H7"/>
  <c r="G7" s="1"/>
</calcChain>
</file>

<file path=xl/sharedStrings.xml><?xml version="1.0" encoding="utf-8"?>
<sst xmlns="http://schemas.openxmlformats.org/spreadsheetml/2006/main" count="894" uniqueCount="335">
  <si>
    <t>Наименование объекта капитального строительства (объекта недвижимого имущества, мероприятия) с указанием направления инвестирования</t>
  </si>
  <si>
    <t>Прогнозная мощность (прогнозный прирост мощности)</t>
  </si>
  <si>
    <t>Всего</t>
  </si>
  <si>
    <t>В том числе</t>
  </si>
  <si>
    <t>средства федерального бюджета и прочие целевые средства</t>
  </si>
  <si>
    <t>средства областного бюджета</t>
  </si>
  <si>
    <t>ВСЕГО по областной адресной инвестиционной программе, в том числе:</t>
  </si>
  <si>
    <t>по федеральным проектам</t>
  </si>
  <si>
    <t>вне рамок федеральных проектов</t>
  </si>
  <si>
    <t>Государственная программа Архангельской области "Развитие здравоохранения Архангельской области"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</si>
  <si>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</si>
  <si>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</si>
  <si>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Поликлиника ГБУЗ АО "Лешуконская центральная районная больница" по адресу: Архангельская область, Лешуконский район, с. Лешуконское, ул. Мелоспольская, д. 4, корп. 9. Проектирование и строительство</t>
  </si>
  <si>
    <t>-</t>
  </si>
  <si>
    <t>200 посещений / смену</t>
  </si>
  <si>
    <t>государственное казенное учреждение Архангельской области "Главное управление капитального строительства"</t>
  </si>
  <si>
    <t>2024/2025</t>
  </si>
  <si>
    <t>Федеральный проект "Модернизация первичного звена здравоохранения Российской Федерации"</t>
  </si>
  <si>
    <t>N 9</t>
  </si>
  <si>
    <t>Врачебная амбулатория в п. Подюга Коношского района на 50 посещений в смену. Проектирование и строительство</t>
  </si>
  <si>
    <t>50 посещений в смену</t>
  </si>
  <si>
    <t>2021/2022</t>
  </si>
  <si>
    <t>вне рамок федерального проекта</t>
  </si>
  <si>
    <t>Корректировка проектной документации и строительство больницы на 16 стационарных коек и 7 коек дневного стационара в пос. Урдома Ленского района</t>
  </si>
  <si>
    <t>16 коек</t>
  </si>
  <si>
    <t>2020/2022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</si>
  <si>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</si>
  <si>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298 посещений в смену</t>
  </si>
  <si>
    <t>2015/2022</t>
  </si>
  <si>
    <t>Корректировка ПСД, реконструкция, строительство инженерных сетей и благоустройство территории ГБУЗ АО "АОКБ", г. Архангельск, пр. Ломоносова, 292</t>
  </si>
  <si>
    <t>1520 п.м.</t>
  </si>
  <si>
    <t>2022/2024</t>
  </si>
  <si>
    <t>400 посещений, 20 коек</t>
  </si>
  <si>
    <t>2021/2023</t>
  </si>
  <si>
    <t>250 посещений в смену</t>
  </si>
  <si>
    <t>Проектирование и строительство фельдшерско-акушерского пункта в дер. Патровская Каргопольского муниципального округа Архангельской области</t>
  </si>
  <si>
    <t>20 посещений в смену</t>
  </si>
  <si>
    <t>2021/2024</t>
  </si>
  <si>
    <t>45 коек</t>
  </si>
  <si>
    <t>2015/2021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</si>
  <si>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</si>
  <si>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Проектирование и строительство фельдшерско-акушерского пункта в дер. Усачевская Каргопольского муниципального округа Архангельской области</t>
  </si>
  <si>
    <t>Проектирование и строительство фельдшерско-акушерского пункта в с. Койда Мезенского района Архангельской области &lt;*&gt;</t>
  </si>
  <si>
    <t>2020/2021</t>
  </si>
  <si>
    <t>Реконструкция главного корпуса ГБУЗ АО "Вельская центральная районная больница" по адресу: Архангельская область, Вельский район, г. Вельск, ул. Конева, д. 28а</t>
  </si>
  <si>
    <t>780 посещений в смену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</si>
  <si>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П.Г.Выжлецова"</t>
  </si>
  <si>
    <t>70 коек</t>
  </si>
  <si>
    <t>2011/2022</t>
  </si>
  <si>
    <t>Федеральный проект "Развитие детского здравоохранения, включая создание современной инфраструктуры оказания медицинской помощи детям"</t>
  </si>
  <si>
    <t>N 4</t>
  </si>
  <si>
    <t>Строительство офиса врача общей практики в г. Архангельск, ул. Карская, 15</t>
  </si>
  <si>
    <t>Государственная программа Архангельской области "Развитие образования и науки Архангельской области"</t>
  </si>
  <si>
    <t>Подпрограмма "Строительство и капитальный ремонт объектов инфраструктуры системы образования в Архангельской области"</t>
  </si>
  <si>
    <t>Строительство детского сада на 120 мест в пос. Малошуйка Онежского района &lt;*&gt;</t>
  </si>
  <si>
    <t>120 мест</t>
  </si>
  <si>
    <t>администрация Онежского муниципального района Архангельской области</t>
  </si>
  <si>
    <t>2019/2022</t>
  </si>
  <si>
    <t>Строительство детского сада на 220 мест в пос. Урдома Ленского района</t>
  </si>
  <si>
    <t>220 мест</t>
  </si>
  <si>
    <t>Строительство начальной общеобразовательной школы на 320 учащихся в с. Ильинско-Подомское Вилегодского муниципального округа Архангельской области &lt;*&gt;</t>
  </si>
  <si>
    <t>320 мест</t>
  </si>
  <si>
    <t>администрация Вилегодского муниципального округа Архангельской области</t>
  </si>
  <si>
    <t>Строительство пристройки на 200 учащихся к зданию школы в пос. Приводино Котласского района</t>
  </si>
  <si>
    <t>200 мест</t>
  </si>
  <si>
    <t>Строительство средней общеобразовательной школы на 240 мест в поселке Оксовский Плесецкого муниципального округа Архангельской области &lt;*&gt;</t>
  </si>
  <si>
    <t>240 мест</t>
  </si>
  <si>
    <t>администрация Плесецкого муниципального района Архангельской области</t>
  </si>
  <si>
    <t>2022/2023</t>
  </si>
  <si>
    <t>Федеральный проект "Современная школа"</t>
  </si>
  <si>
    <t>E1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</si>
  <si>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 &lt;*&gt;</t>
  </si>
  <si>
    <t>250 мест</t>
  </si>
  <si>
    <t>администрация Шенкурского муниципального района Архангельской области</t>
  </si>
  <si>
    <t>2013/2021</t>
  </si>
  <si>
    <t>Строительство школы на 1 600 мест в территориальном округе Варавино-Фактория г. Архангельска</t>
  </si>
  <si>
    <t>1600 мест</t>
  </si>
  <si>
    <t>администрация городского округа "Город Архангельск"</t>
  </si>
  <si>
    <t>2023/2024</t>
  </si>
  <si>
    <t>Строительство школы на 1 600 мест в территориальном округе Майская горка г. Архангельска</t>
  </si>
  <si>
    <t>1 600 мест</t>
  </si>
  <si>
    <t>Строительство школы на 860 мест в территориальном округе Варавино-Фактория г. Архангельска &lt;*&gt;</t>
  </si>
  <si>
    <t>860 мест</t>
  </si>
  <si>
    <t>2019/2021</t>
  </si>
  <si>
    <t>Строительство школы на 90 учащихся в с. Долгощелье Мезенского района Архангельской области &lt;*&gt;</t>
  </si>
  <si>
    <t>90 мест</t>
  </si>
  <si>
    <t>администрация Мезенского муниципального района Архангельской области</t>
  </si>
  <si>
    <t>2018/2022</t>
  </si>
  <si>
    <t>Министерство образования Архангельской области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</si>
  <si>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</si>
  <si>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Государственная программа Архангельской области "Культура Русского Севера"</t>
  </si>
  <si>
    <t>Реконструкция здания Новодвинского ГКЦ</t>
  </si>
  <si>
    <t>Сельский дом культуры на 100 мест в д. Ватамановская. Строительство</t>
  </si>
  <si>
    <t>администрация Каргопольского муниципального округа Архангельской области</t>
  </si>
  <si>
    <t>Федеральный проект "Культурная среда"</t>
  </si>
  <si>
    <t>A1</t>
  </si>
  <si>
    <t>Министерство транспорта Архангельской области</t>
  </si>
  <si>
    <t>Строительство моста (Пентус)</t>
  </si>
  <si>
    <t>ДФ</t>
  </si>
  <si>
    <t>протяженность моста - 130 м</t>
  </si>
  <si>
    <t>администрация Устьянского муниципального района Архангельской области</t>
  </si>
  <si>
    <t>Федеральный проект "Развитие туристической инфраструктуры"</t>
  </si>
  <si>
    <t>J1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</si>
  <si>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</si>
  <si>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Подпрограмма "Создание условий для обеспечения доступным и комфортным жильем жителей Архангельской области"</t>
  </si>
  <si>
    <t>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Матигоры), 1 этап: Боброво-1, Боброво-2</t>
  </si>
  <si>
    <t>0,9098 км</t>
  </si>
  <si>
    <t>Обустройство объектами инженерной инфраструктуры площадки под комплексную жилищную застройку по адресу: Архангельская область, Вилегодский муниципальный округ Архангельской области, село Ильинско-Подомское, ул. Советская</t>
  </si>
  <si>
    <t>517,3 м автомобильной дороги местного значения, 1371,1 м водопроводных сетей, 791,7 м канализационных сетей</t>
  </si>
  <si>
    <t>Проектирование и строительство канализационных очистных сооружений мощностью до 2 500 куб. м / сутки с трассами напорного коллектора в пос. Приводино Котласского района</t>
  </si>
  <si>
    <t>до 2 500 куб. м / сутки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</si>
  <si>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</si>
  <si>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</t>
  </si>
  <si>
    <t>администрация городского округа Архангельской области "Мирный"</t>
  </si>
  <si>
    <t>2014/2022</t>
  </si>
  <si>
    <t>Создание инженерной и транспортной инфраструктуры (II очереди) 17 и 19 кварталов земельного участка "Зеленый-1" в г. Коряжме Архангельской области</t>
  </si>
  <si>
    <t>184 земельных участка</t>
  </si>
  <si>
    <t>администрация городского округа Архангельской области "Город Коряжма"</t>
  </si>
  <si>
    <t>(ул. Таежная) &lt;*&gt;</t>
  </si>
  <si>
    <t>1,29 км</t>
  </si>
  <si>
    <t>администрация городского округа Архангельской области "Котлас"</t>
  </si>
  <si>
    <t>Строительство служебного жилья для молодых специалистов</t>
  </si>
  <si>
    <t>35 квартир</t>
  </si>
  <si>
    <t>Строительство школы на 860 мест в г. Котласе &lt;*&gt;</t>
  </si>
  <si>
    <t>Федеральный проект "Жилье"</t>
  </si>
  <si>
    <t>F1</t>
  </si>
  <si>
    <t>Министерство топливно-энергетического комплекса и жилищно-коммунального хозяйства Архангельской области</t>
  </si>
  <si>
    <t>Приобретение жилых помещений для переселения граждан из жилых домов, расположенных по адресам: с. Холмогоры, ул. Ломоносова, д. 64, корп. 1 и корп. 2</t>
  </si>
  <si>
    <t>9 жилых помещений</t>
  </si>
  <si>
    <t>администрация Холмогорского муниципального района Архангельской области</t>
  </si>
  <si>
    <t>Приобретение жилых помещений для переселения граждан из жилого дома, расположенного по адресу: г. Онега, ул. Привокзальная, д. 30, корп. А</t>
  </si>
  <si>
    <t>4 жилых помещения</t>
  </si>
  <si>
    <t>Министерство здравоохранения Архангельской области</t>
  </si>
  <si>
    <t>Приобретение жилых помещений для предоставления в качестве служебного жилья медицинским работникам</t>
  </si>
  <si>
    <t>Приобретение 1 квартиры</t>
  </si>
  <si>
    <t>государственное автономное учреждение здравоохранения Архангельской области "Вельская стоматологическая поликлиника"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</si>
  <si>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</si>
  <si>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</si>
  <si>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</si>
  <si>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"Котласский психоневрологический диспансер"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</si>
  <si>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</si>
  <si>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</si>
  <si>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Приобретение 2 квартир</t>
  </si>
  <si>
    <t>государственное бюджетное учреждение здравоохранения Архангельской области "Архангельская городская клиническая больница N 4"</t>
  </si>
  <si>
    <t>государственное бюджетное учреждение здравоохранения Архангельской области "Архангельская городская клиническая поликлиника N 1"</t>
  </si>
  <si>
    <t>государственное бюджетное учреждение здравоохранения Архангельской области "Мирнинская центральная городская больница"</t>
  </si>
  <si>
    <t>государственное бюджетное учреждение здравоохранения Архангельской области "Северодвинская городская больница N 2 скорой медицинской помощи"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</si>
  <si>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</si>
  <si>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Приобретение 3 квартир</t>
  </si>
  <si>
    <t>государственное бюджетное учреждение здравоохранения Архангельской области "Плесецкая центральная районная больница"</t>
  </si>
  <si>
    <t>государственное бюджетное учреждение здравоохранения Архангельской области "Приморская центральная районная больница"</t>
  </si>
  <si>
    <t>государственное бюджетное учреждение здравоохранения Архангельской области "Устьянская центральная районная больница"</t>
  </si>
  <si>
    <t>Приобретение 4 квартир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</si>
  <si>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</si>
  <si>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бюджетное учреждение здравоохранения Архангельской области "Коношская центральная районная больница"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</si>
  <si>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</si>
  <si>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государственное бюджетное учреждение здравоохранения Архангельской области "Няндомская центральная районная больница"</t>
  </si>
  <si>
    <t>Приобретение 6 квартир</t>
  </si>
  <si>
    <t>государственное бюджетное учреждение здравоохранения Архангельской области "Вельская центральная районная больница"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</si>
  <si>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</si>
  <si>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</si>
  <si>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</si>
  <si>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31 человек</t>
  </si>
  <si>
    <t>2017/2022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</si>
  <si>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</si>
  <si>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Подпрограмма "Пожарная безопасность в Архангельской области"</t>
  </si>
  <si>
    <t>Проектирование и строительство объекта "Пожарное депо ГКУ "ОГПС-21" на 4 автомашины в г. Сольвычегодске Котласского района</t>
  </si>
  <si>
    <t>4 автомобиля</t>
  </si>
  <si>
    <t>2013/2022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</si>
  <si>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</si>
  <si>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Подпрограмма "Охрана окружающей среды и обеспечение экологической безопасности Архангельской области"</t>
  </si>
  <si>
    <t>Строительство кладбища в деревне Валдушки</t>
  </si>
  <si>
    <t>Площадь - 25,7 га</t>
  </si>
  <si>
    <t>2000/2028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</si>
  <si>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</si>
  <si>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Подпрограмма "Развитие отдельных направлений системы государственного управления Архангельской области"</t>
  </si>
  <si>
    <t>Администрация Губернатора Архангельской области и Правительства Архангельской области</t>
  </si>
  <si>
    <t>Строительство учебных корпусов N 5 и N 6 в Загородном комплексе "Бабанегово", расположенном по адресу: Архангельская область, Приморский район, д. Бабанегово</t>
  </si>
  <si>
    <t>536 кв м</t>
  </si>
  <si>
    <t>государственное казенное учреждение Архангельской области "Управление делами"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</si>
  <si>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</si>
  <si>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Подпрограмма "Энергосбережение и повышение энергетической эффективности в Архангельской области"</t>
  </si>
  <si>
    <t>Водоснабжение правобережной части города Каргополя Каргопольского муниципального округа Архангельской области. Строительство</t>
  </si>
  <si>
    <t>6,58 км</t>
  </si>
  <si>
    <t>Федеральный проект "Чистая вода"</t>
  </si>
  <si>
    <t>F5</t>
  </si>
  <si>
    <t>Проектирование водопровода от точки подключения к городскому водопроводу по адресу: г. Архангельск, ул. Дрейера 1 стр. 1 МО "Город Архангельск" до ВОС дер. Рикасово д. 27 МО "Заостровское" Приморского района Архангельской области (2 этап)</t>
  </si>
  <si>
    <t>администрация Приморского муниципального района Архангельской области</t>
  </si>
  <si>
    <t>Проектирование и строительство водопровода от дер. Рикасиха до пос. Лайский Док МО Приморское Приморского района Архангельской области</t>
  </si>
  <si>
    <t>4,5665 км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</si>
  <si>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</si>
  <si>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4,709 км</t>
  </si>
  <si>
    <t>Реконструкция водопровода с. Яренск Ленского района Архангельской области (Строительство ВОС. 1 этап)</t>
  </si>
  <si>
    <t>500 куб м/сутки</t>
  </si>
  <si>
    <t>администрация Ленского муниципального района Архангельской области</t>
  </si>
  <si>
    <t>Реконструкция водопроводных очистных сооружений г. Вельск (1 этап)</t>
  </si>
  <si>
    <t>6 600 куб м / сутки</t>
  </si>
  <si>
    <t>администрация Вельского муниципального района Архангельской области</t>
  </si>
  <si>
    <t>Реконструкция очистных сооружений водопровода в г. Котласе Архангельской области</t>
  </si>
  <si>
    <t>30 000 куб. м / сутки</t>
  </si>
  <si>
    <t>Реконструкция системы водоснабжения г. Каргополя (левобережная часть) и пос. Пригородный</t>
  </si>
  <si>
    <t>17,231 км</t>
  </si>
  <si>
    <t>Реконструкция системы водоснабжения п. Плесецк Архангельской области ВЗУ-1 (1 этап)</t>
  </si>
  <si>
    <t>2 520 куб м / сутки</t>
  </si>
  <si>
    <t>администрация Плесецкого муниципального округа Архангельской области</t>
  </si>
  <si>
    <t>Реконструкция системы водоснабжения пос. Двинской (1 этап)</t>
  </si>
  <si>
    <t>730,93 куб. м/сутки</t>
  </si>
  <si>
    <t>администрация Верхнетоемского муниципального округа Архангельской области</t>
  </si>
  <si>
    <t>Реконструкция системы водоснабжения с вводом в эксплуатацию новой скважины, строительство и подключение блочно-модульной станции очистки воды пос. Ерцево</t>
  </si>
  <si>
    <t>530 куб м/сутки</t>
  </si>
  <si>
    <t>администрация Коношского муниципального района Архангельской области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</si>
  <si>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области. Строительство</t>
  </si>
  <si>
    <t>490 куб. м / сутки</t>
  </si>
  <si>
    <t>администрация Виноградовского муниципального округа Архангельской области</t>
  </si>
  <si>
    <t>Строительство водоочистных сооружений и водонасосной станции, реконструкция сетей водоснабжения, пос. Шипицыно (1 этап)</t>
  </si>
  <si>
    <t>767,9 куб м / сутки</t>
  </si>
  <si>
    <t>администрация Котласского муниципального района Архангельской области</t>
  </si>
  <si>
    <t>Установка и подключение блочно-модульной станции холодной воды в дер. Рембуево</t>
  </si>
  <si>
    <t>100 куб м/сутки</t>
  </si>
  <si>
    <t>Государственная программа Архангельской области "Развитие транспортной системы Архангельской области"</t>
  </si>
  <si>
    <t>Подпрограмма "Развитие общественного пассажирского транспорта и транспортной инфраструктуры Архангельской области"</t>
  </si>
  <si>
    <t>Проектирование и строительство наплавного моста</t>
  </si>
  <si>
    <t>1 мост</t>
  </si>
  <si>
    <t>Проектирование и строительство судов ледового класса для осуществления грузопассажирских перевозок в период ледохода на территории Архангельской области</t>
  </si>
  <si>
    <t>2 судна</t>
  </si>
  <si>
    <t>государственное бюджетное учреждение Архангельской области "Региональная транспортная служба"</t>
  </si>
  <si>
    <t>Разработка проектной документации и строительство причальных сооружений</t>
  </si>
  <si>
    <t>1 причал</t>
  </si>
  <si>
    <t>Реконструкция моста через Никольское устье Северной Двины в г. Северодвинске</t>
  </si>
  <si>
    <t>протяженность дороги - 2,916 км, в том числе моста - 185,8 пог. м</t>
  </si>
  <si>
    <t>администрация городского округа Архангельской области "Северодвинск"</t>
  </si>
  <si>
    <t>2019/2023</t>
  </si>
  <si>
    <t>Федеральный проект "Региональная и местная дорожная сеть"</t>
  </si>
  <si>
    <t>R1</t>
  </si>
  <si>
    <t>Строительство автодорог в рамках комплексной застройки квартала N 152 в г. Архангельске</t>
  </si>
  <si>
    <t>протяженность - 2,32 км</t>
  </si>
  <si>
    <t>Строительство автодорог в рамках комплексной застройки квартала N 85 в г. Северодвинске</t>
  </si>
  <si>
    <t>протяженность - 2 км</t>
  </si>
  <si>
    <t>Строительство автодороги по ул. Ушинского на участке от ул. Маяковского до ул. Посадская (протяженность 1 900 м) в г. Котласе Архангельской области</t>
  </si>
  <si>
    <t>строительная длина - 1,8909 км</t>
  </si>
  <si>
    <t>Строительство автомобильной дороги по проспекту Мира на участке от ул. Ушинского до объездной автомобильной дороги "Котлас - Коряжма, км 0 - км 41"</t>
  </si>
  <si>
    <t>протяженность дороги - 1,38 км</t>
  </si>
  <si>
    <t>Строительство окружной дороги (соединение ул. Окружной с ул. Юбилейной) в г. Северодвинске (1-й этап)</t>
  </si>
  <si>
    <t>Строительная длина: первый этап - 1077,15 м</t>
  </si>
  <si>
    <t>Строительство окружной дороги (соединение ул. Окружной с ул. Юбилейной) в г. Северодвинске (2 этап)</t>
  </si>
  <si>
    <t>Строительная длина: второй этап - 263,44 м</t>
  </si>
  <si>
    <t>Подпрограмма "Развитие и совершенствование сети автомобильных дорог общего пользования регионального значения"</t>
  </si>
  <si>
    <t>Строительство мостового перехода через реку Устья на км 139 + 309 автомобильной дороги Шангалы - Квазеньга - Кизема</t>
  </si>
  <si>
    <t>протяженность дороги - 5,6 км, в том числе моста - 113,6 п. м</t>
  </si>
  <si>
    <t>государственное казенное учреждение Архангельской области "Дорожное агентство "Архангельскавтодор"</t>
  </si>
  <si>
    <t>Государственная программа Архангельской области "Развитие инфраструктуры Соловецкого архипелага"</t>
  </si>
  <si>
    <t>Реконструкция аэропортового комплекса "Соловки" о. Соловецкий, Архангельская область</t>
  </si>
  <si>
    <t>68 675 кв. м</t>
  </si>
  <si>
    <t>2018/2021</t>
  </si>
  <si>
    <t>Федеральный проект "Развитие региональных аэропортов и маршрутов"</t>
  </si>
  <si>
    <t>V7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</si>
  <si>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</si>
  <si>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</si>
  <si>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</si>
  <si>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протяженность - 14,4 км, производительность - 600 куб. м / сутки</t>
  </si>
  <si>
    <t>Государственная программа Архангельской области "Комплексное развитие сельских территорий Архангельской области"</t>
  </si>
  <si>
    <t>Подпрограмма "Создание условий для обеспечения доступным и комфортным жильем сельского населения"</t>
  </si>
  <si>
    <t>Комплексное обустройство площадки под компактную жилищную застройку в дер. Бор Няндомского района Архангельской области. Строительство</t>
  </si>
  <si>
    <t>Автомобильные дороги - 1,05864 км, водопровод - 900 м, расчетная мощность освещения - 2,48 кВт</t>
  </si>
  <si>
    <t>администрация Няндомского муниципального района Архангельской области</t>
  </si>
  <si>
    <t>Комплексное обустройство площадки под компактную жилищную застройку в дер. Куимиха Котласского района Архангельской области. Строительство</t>
  </si>
  <si>
    <t>Проезжая часть протяженностью 3413,5 м, уличное освещение протяженностью 2450 м</t>
  </si>
  <si>
    <t>администрация городского поселения "Приводинское"</t>
  </si>
  <si>
    <t>Подпрограмма "Создание и развитие инфраструктуры на сельских территориях"</t>
  </si>
  <si>
    <t>Строительство детского сада "Золушка" в с. Черевково Красноборского района Архангельской области (90 мест)</t>
  </si>
  <si>
    <t>администрация Красноборского муниципального района Архангельской области</t>
  </si>
  <si>
    <t>Строительство детского сада на 60 мест в пос. Лайский Док Приморского района Архангельской области</t>
  </si>
  <si>
    <t>60 мест</t>
  </si>
  <si>
    <t>352 учащихся</t>
  </si>
  <si>
    <t>75 мест</t>
  </si>
  <si>
    <t>Государственная программа Архангельской области "Развитие физической культуры и спорта в Архангельской области"</t>
  </si>
  <si>
    <t>Здание крытой ледовой арены учебно-тренировочного комплекса на территории стадиона "Север" в г. Северодвинске Архангельской области. Строительство</t>
  </si>
  <si>
    <t>Размер хоккейного корта - 26 на 60 м</t>
  </si>
  <si>
    <t>Корректировка проектной документации и строительство многоцелевого физкультурно-оздоровительного объекта (хоккейная аренда - "Ледовый дворец") по адресу: Российская Федерация, Архангельская область, г. Коряжма, ул. Архангельская, земельный участок 35</t>
  </si>
  <si>
    <t>100 человек в смену</t>
  </si>
  <si>
    <t>Федеральный проект "Спорт - норма жизни"</t>
  </si>
  <si>
    <t>P5</t>
  </si>
  <si>
    <t>Проектирование и строительство крытого катка с искусственным льдом в г. Архангельске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</si>
  <si>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</si>
  <si>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t>44 человека</t>
  </si>
  <si>
    <t>2021/2021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</si>
  <si>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</si>
  <si>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кв. м</t>
  </si>
  <si>
    <t>Лыжно-биатлонный комплекс "Малиновка". Проектирование и строительство</t>
  </si>
  <si>
    <t>500 посещений в смену</t>
  </si>
  <si>
    <t>В рамках дорожного фонда (ДФ)</t>
  </si>
  <si>
    <t>Наименование заказчика по объектам государственной (муниципальной) собственности</t>
  </si>
  <si>
    <t>Код федераль-ного проекта</t>
  </si>
  <si>
    <t>Прогноз-ный срок (начало/ окончание)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</si>
  <si>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</si>
  <si>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к уточненной сводной бюджетной росписи на год</t>
  </si>
  <si>
    <t>Поликлиника для детского населения в г. Котлас. Строительство</t>
  </si>
  <si>
    <t>Общая площадь здания 4740,9 кв. м вместимость зрительного зала 269 чел</t>
  </si>
  <si>
    <t>общая площадь - 554 кв. м зрительный зал - 100 мест</t>
  </si>
  <si>
    <t>государственное бюджетное учреждение здравоохранения Архангельской области "Каргопольская центральная районная больница имени Н.Д. Кировой"</t>
  </si>
  <si>
    <t>Государственное автономное спортивное учреждение Архангельской области "Спортивная школа олимпийского резерва "Устьянский лыжный клуб"</t>
  </si>
  <si>
    <t>Строительство социально-культурного центра в пос. Лайский Док МО "Приморское" Приморского района Архангельской области (на 75 мест)</t>
  </si>
  <si>
    <t>Строительство объекта "Средняя общеобразовательная школа на 352 учащихся с интернатом на 80 мест в п. Шалакуша" &lt;*&gt;</t>
  </si>
  <si>
    <t>рублей</t>
  </si>
  <si>
    <t>аа</t>
  </si>
  <si>
    <t>Проектирование и строительство фельдшерско-акушерского пункта в дер. Гридино Няндомского муниципального района Архангельской области</t>
  </si>
  <si>
    <t>Р2</t>
  </si>
  <si>
    <t>Федеральный проект "Содействие занятости"</t>
  </si>
  <si>
    <t xml:space="preserve">Строительство канализационной насосной станции в Южном районе в г. Котласе </t>
  </si>
  <si>
    <t>Агентство государственной противопожарной службы и гражданской защиты Архангельской области</t>
  </si>
  <si>
    <t>Закупка маломерного судна, подлежащего государственной регистрации</t>
  </si>
  <si>
    <t>Подпрограмма "Снижение рисков и смягчение последствий чрезвычайных ситуаций межмуниципального и регионального характера, а также обеспечение безопасности людей на водных объектах в Архангельской области"</t>
  </si>
  <si>
    <t>Проектирование и строительство объекта "Укрепление правого берега реки Северная Двина в Соломбальском территориальном округе г. Архангельска на участке от ул. Маяковского до ул. Кедрова"</t>
  </si>
  <si>
    <t>Подпрограмма "Развитие водохозяйственного комплекса Архангельской области"</t>
  </si>
  <si>
    <t xml:space="preserve">Строительство станции очистки холодной воды по адресу: Архангельская область, Холмогорский район, МО Емецкое, дер. Кузнецово </t>
  </si>
  <si>
    <t>408 куб м/сутки</t>
  </si>
  <si>
    <t>Государственная программа Архангельской области "Молодежь Поморья"</t>
  </si>
  <si>
    <t>Приобретение помещений для муниципального учреждения "Молодежный Центр" по адресу: Архангельская область, г. Котлас, ул. Володарского, д. 21</t>
  </si>
  <si>
    <t>Агентство по делам молодежи Архангельской области</t>
  </si>
  <si>
    <t>460,1 кв. м</t>
  </si>
  <si>
    <t>Комитет по управлению имуществом администрации муниципального образования "Котлас"</t>
  </si>
  <si>
    <t>Утверждено постановлением Правительства Архангельской области  от 24.01.2022 № 19-пп (в ред. от 22.09.2022 № 724-пп) на 2022 год</t>
  </si>
  <si>
    <t>Уточненная сводная бюджетная роспись на 2022 год по состоянию на 30.09.2022</t>
  </si>
  <si>
    <t>План кассовых выплат на 9 месяцев 2022 года</t>
  </si>
  <si>
    <t>Исполнено на 30.09.2022</t>
  </si>
  <si>
    <t>Исполнение 9 месяцев, в процентах</t>
  </si>
  <si>
    <t>к плану                              на 9 месяцев</t>
  </si>
  <si>
    <t>Проектирование и строительство больницыв пос. Березник Виноградовского муниципального округа Архангельской области</t>
  </si>
  <si>
    <t>Государственная программа Архангельской области "Экономическое развитие и инвестиционная деятельность в Архангельской области"</t>
  </si>
  <si>
    <t>Подпрограмма "Развитие промышленности и инвестиционной деятельности в Архангельской области"</t>
  </si>
  <si>
    <t>Реконструкция участков автомобильной дороги общего пользования местного значения на территории поселка Строитель Плесецкого муниципального округа Архангельской области</t>
  </si>
  <si>
    <t>Протяжен-ность - 586,16 м</t>
  </si>
  <si>
    <t>Министерство  спорта Архангельской области</t>
  </si>
  <si>
    <t>ОТЧЕТ ОБ ИСПОЛНЕНИИ ОБЛАСТНОЙ АДРЕСНОЙ ИНВЕСТИЦИОННОЙ ПРОГАММЫ ЗА 9 МЕСЯЦЕВ 2022 ГОДА</t>
  </si>
  <si>
    <t>Поликлиника на 250 посещений в смену, второй пусковой комплекс по адресу Архангельская область, Пинежский район, с. Карпогоры, ул. Ленина 47 Б. Корректировка проектной документации и строительство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</si>
</sst>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</font>
    <font>
      <sz val="1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9D9D9"/>
      </left>
      <right style="medium">
        <color indexed="64"/>
      </right>
      <top/>
      <bottom style="thin">
        <color rgb="FFD9D9D9"/>
      </bottom>
      <diagonal/>
    </border>
  </borders>
  <cellStyleXfs count="4">
    <xf numFmtId="0" fontId="0" fillId="0" borderId="0"/>
    <xf numFmtId="0" fontId="1" fillId="0" borderId="9">
      <alignment horizontal="center" vertical="center" wrapText="1"/>
    </xf>
    <xf numFmtId="4" fontId="1" fillId="0" borderId="9">
      <alignment horizontal="right" vertical="top" shrinkToFit="1"/>
    </xf>
    <xf numFmtId="10" fontId="1" fillId="3" borderId="9">
      <alignment horizontal="right" vertical="top" shrinkToFit="1"/>
    </xf>
  </cellStyleXfs>
  <cellXfs count="170">
    <xf numFmtId="0" fontId="0" fillId="0" borderId="0" xfId="0"/>
    <xf numFmtId="0" fontId="0" fillId="0" borderId="0" xfId="0" applyFont="1"/>
    <xf numFmtId="0" fontId="0" fillId="0" borderId="0" xfId="0" applyFont="1"/>
    <xf numFmtId="0" fontId="0" fillId="2" borderId="0" xfId="0" applyFill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4" borderId="17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4" borderId="16" xfId="0" applyFont="1" applyFill="1" applyBorder="1" applyAlignment="1">
      <alignment horizontal="right" vertical="top" wrapText="1"/>
    </xf>
    <xf numFmtId="0" fontId="2" fillId="0" borderId="16" xfId="0" applyFont="1" applyBorder="1" applyAlignment="1">
      <alignment horizontal="center"/>
    </xf>
    <xf numFmtId="4" fontId="5" fillId="4" borderId="9" xfId="0" applyNumberFormat="1" applyFont="1" applyFill="1" applyBorder="1" applyAlignment="1">
      <alignment horizontal="right" vertical="top" wrapText="1"/>
    </xf>
    <xf numFmtId="4" fontId="5" fillId="4" borderId="18" xfId="0" applyNumberFormat="1" applyFont="1" applyFill="1" applyBorder="1" applyAlignment="1">
      <alignment horizontal="right" vertical="top" wrapText="1"/>
    </xf>
    <xf numFmtId="4" fontId="6" fillId="4" borderId="16" xfId="0" applyNumberFormat="1" applyFont="1" applyFill="1" applyBorder="1" applyAlignment="1">
      <alignment horizontal="right" vertical="top" wrapText="1"/>
    </xf>
    <xf numFmtId="0" fontId="6" fillId="4" borderId="16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right" vertical="top" wrapText="1"/>
    </xf>
    <xf numFmtId="0" fontId="6" fillId="4" borderId="17" xfId="0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4" fontId="6" fillId="4" borderId="17" xfId="0" applyNumberFormat="1" applyFont="1" applyFill="1" applyBorder="1" applyAlignment="1">
      <alignment horizontal="right" vertical="top" wrapText="1"/>
    </xf>
    <xf numFmtId="4" fontId="7" fillId="4" borderId="16" xfId="0" applyNumberFormat="1" applyFont="1" applyFill="1" applyBorder="1" applyAlignment="1">
      <alignment horizontal="righ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4" fontId="7" fillId="4" borderId="17" xfId="0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right" vertical="top" wrapText="1"/>
    </xf>
    <xf numFmtId="0" fontId="7" fillId="4" borderId="17" xfId="0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vertical="top" wrapText="1"/>
    </xf>
    <xf numFmtId="4" fontId="6" fillId="4" borderId="17" xfId="0" applyNumberFormat="1" applyFont="1" applyFill="1" applyBorder="1" applyAlignment="1" applyProtection="1">
      <alignment horizontal="right" vertical="top" shrinkToFit="1"/>
    </xf>
    <xf numFmtId="4" fontId="6" fillId="4" borderId="16" xfId="0" applyNumberFormat="1" applyFont="1" applyFill="1" applyBorder="1" applyAlignment="1" applyProtection="1">
      <alignment horizontal="right" vertical="top" shrinkToFit="1"/>
    </xf>
    <xf numFmtId="0" fontId="7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4" fontId="6" fillId="4" borderId="25" xfId="0" applyNumberFormat="1" applyFont="1" applyFill="1" applyBorder="1" applyAlignment="1">
      <alignment horizontal="right" vertical="top" wrapText="1"/>
    </xf>
    <xf numFmtId="0" fontId="6" fillId="4" borderId="26" xfId="0" applyFont="1" applyFill="1" applyBorder="1" applyAlignment="1">
      <alignment vertical="top"/>
    </xf>
    <xf numFmtId="4" fontId="6" fillId="4" borderId="27" xfId="0" applyNumberFormat="1" applyFont="1" applyFill="1" applyBorder="1" applyAlignment="1">
      <alignment horizontal="right" vertical="top" wrapText="1"/>
    </xf>
    <xf numFmtId="2" fontId="6" fillId="4" borderId="8" xfId="0" applyNumberFormat="1" applyFont="1" applyFill="1" applyBorder="1" applyAlignment="1">
      <alignment horizontal="right" vertical="top" wrapText="1"/>
    </xf>
    <xf numFmtId="2" fontId="6" fillId="4" borderId="1" xfId="0" applyNumberFormat="1" applyFont="1" applyFill="1" applyBorder="1" applyAlignment="1">
      <alignment horizontal="right" vertical="top" wrapText="1"/>
    </xf>
    <xf numFmtId="0" fontId="6" fillId="4" borderId="17" xfId="0" applyFont="1" applyFill="1" applyBorder="1" applyAlignment="1">
      <alignment vertical="top"/>
    </xf>
    <xf numFmtId="2" fontId="7" fillId="4" borderId="8" xfId="0" applyNumberFormat="1" applyFont="1" applyFill="1" applyBorder="1" applyAlignment="1">
      <alignment horizontal="right" vertical="top" wrapText="1"/>
    </xf>
    <xf numFmtId="2" fontId="7" fillId="4" borderId="1" xfId="0" applyNumberFormat="1" applyFont="1" applyFill="1" applyBorder="1" applyAlignment="1">
      <alignment horizontal="right" vertical="top" wrapText="1"/>
    </xf>
    <xf numFmtId="4" fontId="6" fillId="4" borderId="2" xfId="0" applyNumberFormat="1" applyFont="1" applyFill="1" applyBorder="1" applyAlignment="1">
      <alignment horizontal="right" vertical="top" wrapText="1"/>
    </xf>
    <xf numFmtId="4" fontId="6" fillId="4" borderId="28" xfId="0" applyNumberFormat="1" applyFont="1" applyFill="1" applyBorder="1" applyAlignment="1">
      <alignment horizontal="right" vertical="top" wrapText="1"/>
    </xf>
    <xf numFmtId="4" fontId="6" fillId="4" borderId="22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1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right" vertical="top" wrapText="1"/>
    </xf>
    <xf numFmtId="4" fontId="5" fillId="4" borderId="18" xfId="2" applyNumberFormat="1" applyFont="1" applyFill="1" applyBorder="1" applyAlignment="1" applyProtection="1">
      <alignment horizontal="center" vertical="top" shrinkToFit="1"/>
    </xf>
    <xf numFmtId="0" fontId="7" fillId="4" borderId="16" xfId="0" applyFont="1" applyFill="1" applyBorder="1" applyAlignment="1">
      <alignment horizontal="right" vertical="top" wrapText="1"/>
    </xf>
    <xf numFmtId="0" fontId="6" fillId="4" borderId="17" xfId="0" applyFont="1" applyFill="1" applyBorder="1" applyAlignment="1">
      <alignment horizontal="right" vertical="top"/>
    </xf>
    <xf numFmtId="164" fontId="6" fillId="4" borderId="17" xfId="0" applyNumberFormat="1" applyFont="1" applyFill="1" applyBorder="1" applyAlignment="1">
      <alignment vertical="top"/>
    </xf>
    <xf numFmtId="4" fontId="8" fillId="4" borderId="31" xfId="0" applyNumberFormat="1" applyFont="1" applyFill="1" applyBorder="1" applyAlignment="1">
      <alignment horizontal="right" vertical="top" shrinkToFit="1"/>
    </xf>
    <xf numFmtId="4" fontId="9" fillId="4" borderId="9" xfId="0" applyNumberFormat="1" applyFont="1" applyFill="1" applyBorder="1" applyAlignment="1">
      <alignment horizontal="right" vertical="top" shrinkToFit="1"/>
    </xf>
    <xf numFmtId="4" fontId="10" fillId="4" borderId="9" xfId="0" applyNumberFormat="1" applyFont="1" applyFill="1" applyBorder="1" applyAlignment="1">
      <alignment horizontal="right" vertical="top" shrinkToFit="1"/>
    </xf>
    <xf numFmtId="0" fontId="10" fillId="4" borderId="9" xfId="0" applyFont="1" applyFill="1" applyBorder="1" applyAlignment="1">
      <alignment shrinkToFit="1"/>
    </xf>
    <xf numFmtId="0" fontId="8" fillId="4" borderId="31" xfId="0" applyFont="1" applyFill="1" applyBorder="1" applyAlignment="1">
      <alignment shrinkToFi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right" vertical="top" wrapText="1"/>
    </xf>
    <xf numFmtId="4" fontId="7" fillId="4" borderId="28" xfId="0" applyNumberFormat="1" applyFont="1" applyFill="1" applyBorder="1" applyAlignment="1">
      <alignment horizontal="right" vertical="top" wrapText="1"/>
    </xf>
    <xf numFmtId="4" fontId="8" fillId="4" borderId="35" xfId="0" applyNumberFormat="1" applyFont="1" applyFill="1" applyBorder="1" applyAlignment="1">
      <alignment horizontal="right" vertical="top" shrinkToFit="1"/>
    </xf>
    <xf numFmtId="4" fontId="10" fillId="4" borderId="18" xfId="0" applyNumberFormat="1" applyFont="1" applyFill="1" applyBorder="1" applyAlignment="1">
      <alignment horizontal="right" vertical="top" shrinkToFit="1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4" borderId="1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4" fontId="6" fillId="4" borderId="19" xfId="0" applyNumberFormat="1" applyFont="1" applyFill="1" applyBorder="1" applyAlignment="1">
      <alignment horizontal="right" vertical="top" wrapText="1"/>
    </xf>
    <xf numFmtId="4" fontId="6" fillId="4" borderId="21" xfId="0" applyNumberFormat="1" applyFont="1" applyFill="1" applyBorder="1" applyAlignment="1">
      <alignment horizontal="right" vertical="top" wrapText="1"/>
    </xf>
    <xf numFmtId="4" fontId="6" fillId="4" borderId="5" xfId="0" applyNumberFormat="1" applyFont="1" applyFill="1" applyBorder="1" applyAlignment="1">
      <alignment horizontal="right" vertical="top" wrapText="1"/>
    </xf>
    <xf numFmtId="4" fontId="6" fillId="4" borderId="4" xfId="0" applyNumberFormat="1" applyFont="1" applyFill="1" applyBorder="1" applyAlignment="1">
      <alignment horizontal="right" vertical="top" wrapText="1"/>
    </xf>
    <xf numFmtId="4" fontId="6" fillId="4" borderId="20" xfId="0" applyNumberFormat="1" applyFont="1" applyFill="1" applyBorder="1" applyAlignment="1">
      <alignment horizontal="right" vertical="top" wrapText="1"/>
    </xf>
    <xf numFmtId="4" fontId="6" fillId="4" borderId="22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/>
    <xf numFmtId="49" fontId="2" fillId="4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/>
    </xf>
    <xf numFmtId="0" fontId="0" fillId="0" borderId="3" xfId="0" applyBorder="1" applyAlignment="1"/>
    <xf numFmtId="0" fontId="0" fillId="0" borderId="0" xfId="0" applyBorder="1" applyAlignment="1"/>
    <xf numFmtId="4" fontId="6" fillId="4" borderId="19" xfId="0" applyNumberFormat="1" applyFont="1" applyFill="1" applyBorder="1" applyAlignment="1">
      <alignment horizontal="center" vertical="top" wrapText="1"/>
    </xf>
    <xf numFmtId="4" fontId="6" fillId="4" borderId="21" xfId="0" applyNumberFormat="1" applyFont="1" applyFill="1" applyBorder="1" applyAlignment="1">
      <alignment horizontal="center" vertical="top" wrapText="1"/>
    </xf>
    <xf numFmtId="4" fontId="6" fillId="4" borderId="20" xfId="0" applyNumberFormat="1" applyFont="1" applyFill="1" applyBorder="1" applyAlignment="1">
      <alignment horizontal="center" vertical="top" wrapText="1"/>
    </xf>
    <xf numFmtId="4" fontId="6" fillId="4" borderId="22" xfId="0" applyNumberFormat="1" applyFont="1" applyFill="1" applyBorder="1" applyAlignment="1">
      <alignment horizontal="center" vertical="top" wrapText="1"/>
    </xf>
    <xf numFmtId="4" fontId="6" fillId="4" borderId="23" xfId="0" applyNumberFormat="1" applyFont="1" applyFill="1" applyBorder="1" applyAlignment="1">
      <alignment horizontal="right" vertical="top" wrapText="1"/>
    </xf>
    <xf numFmtId="4" fontId="6" fillId="4" borderId="6" xfId="0" applyNumberFormat="1" applyFont="1" applyFill="1" applyBorder="1" applyAlignment="1">
      <alignment horizontal="right" vertical="top" wrapText="1"/>
    </xf>
    <xf numFmtId="4" fontId="6" fillId="4" borderId="24" xfId="0" applyNumberFormat="1" applyFont="1" applyFill="1" applyBorder="1" applyAlignment="1">
      <alignment horizontal="right" vertical="top" wrapText="1"/>
    </xf>
    <xf numFmtId="4" fontId="6" fillId="4" borderId="5" xfId="0" applyNumberFormat="1" applyFont="1" applyFill="1" applyBorder="1" applyAlignment="1">
      <alignment horizontal="center" vertical="top" wrapText="1"/>
    </xf>
    <xf numFmtId="4" fontId="6" fillId="4" borderId="4" xfId="0" applyNumberFormat="1" applyFont="1" applyFill="1" applyBorder="1" applyAlignment="1">
      <alignment horizontal="center" vertical="top" wrapText="1"/>
    </xf>
    <xf numFmtId="4" fontId="6" fillId="4" borderId="23" xfId="0" applyNumberFormat="1" applyFont="1" applyFill="1" applyBorder="1" applyAlignment="1">
      <alignment horizontal="center" vertical="top" wrapText="1"/>
    </xf>
    <xf numFmtId="4" fontId="6" fillId="4" borderId="6" xfId="0" applyNumberFormat="1" applyFont="1" applyFill="1" applyBorder="1" applyAlignment="1">
      <alignment horizontal="center" vertical="top" wrapText="1"/>
    </xf>
    <xf numFmtId="4" fontId="6" fillId="4" borderId="2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right" vertical="top" wrapText="1"/>
    </xf>
    <xf numFmtId="0" fontId="2" fillId="4" borderId="14" xfId="0" applyFont="1" applyFill="1" applyBorder="1" applyAlignment="1">
      <alignment horizontal="right" vertical="top" wrapText="1"/>
    </xf>
    <xf numFmtId="0" fontId="2" fillId="4" borderId="15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2" fillId="4" borderId="17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2" fontId="6" fillId="4" borderId="32" xfId="0" applyNumberFormat="1" applyFont="1" applyFill="1" applyBorder="1" applyAlignment="1">
      <alignment horizontal="right" vertical="top" wrapText="1"/>
    </xf>
    <xf numFmtId="2" fontId="6" fillId="4" borderId="33" xfId="0" applyNumberFormat="1" applyFont="1" applyFill="1" applyBorder="1" applyAlignment="1">
      <alignment horizontal="right" vertical="top" wrapText="1"/>
    </xf>
    <xf numFmtId="2" fontId="6" fillId="4" borderId="5" xfId="0" applyNumberFormat="1" applyFont="1" applyFill="1" applyBorder="1" applyAlignment="1">
      <alignment horizontal="right" vertical="top" wrapText="1"/>
    </xf>
    <xf numFmtId="2" fontId="6" fillId="4" borderId="4" xfId="0" applyNumberFormat="1" applyFont="1" applyFill="1" applyBorder="1" applyAlignment="1">
      <alignment horizontal="right" vertical="top" wrapText="1"/>
    </xf>
    <xf numFmtId="2" fontId="6" fillId="4" borderId="34" xfId="0" applyNumberFormat="1" applyFont="1" applyFill="1" applyBorder="1" applyAlignment="1">
      <alignment horizontal="right" vertical="top" wrapText="1"/>
    </xf>
    <xf numFmtId="2" fontId="6" fillId="4" borderId="6" xfId="0" applyNumberFormat="1" applyFont="1" applyFill="1" applyBorder="1" applyAlignment="1">
      <alignment horizontal="right" vertical="top" wrapText="1"/>
    </xf>
    <xf numFmtId="4" fontId="5" fillId="4" borderId="29" xfId="0" applyNumberFormat="1" applyFont="1" applyFill="1" applyBorder="1" applyAlignment="1">
      <alignment horizontal="center" vertical="top" wrapText="1"/>
    </xf>
    <xf numFmtId="4" fontId="5" fillId="4" borderId="30" xfId="0" applyNumberFormat="1" applyFont="1" applyFill="1" applyBorder="1" applyAlignment="1">
      <alignment horizontal="center" vertical="top" wrapText="1"/>
    </xf>
    <xf numFmtId="2" fontId="6" fillId="4" borderId="32" xfId="0" applyNumberFormat="1" applyFont="1" applyFill="1" applyBorder="1" applyAlignment="1">
      <alignment horizontal="center" vertical="top" wrapText="1"/>
    </xf>
    <xf numFmtId="2" fontId="6" fillId="4" borderId="33" xfId="0" applyNumberFormat="1" applyFont="1" applyFill="1" applyBorder="1" applyAlignment="1">
      <alignment horizontal="center" vertical="top" wrapText="1"/>
    </xf>
    <xf numFmtId="2" fontId="6" fillId="4" borderId="5" xfId="0" applyNumberFormat="1" applyFont="1" applyFill="1" applyBorder="1" applyAlignment="1">
      <alignment horizontal="center" vertical="top" wrapText="1"/>
    </xf>
    <xf numFmtId="2" fontId="6" fillId="4" borderId="4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4" borderId="28" xfId="0" applyFont="1" applyFill="1" applyBorder="1" applyAlignment="1">
      <alignment horizontal="center" vertical="top" wrapText="1"/>
    </xf>
    <xf numFmtId="0" fontId="2" fillId="0" borderId="0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</cellXfs>
  <cellStyles count="4">
    <cellStyle name="st66" xfId="1"/>
    <cellStyle name="xl40" xfId="2"/>
    <cellStyle name="xl65" xfId="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2.xml"/><Relationship Id="rId18" Type="http://schemas.openxmlformats.org/officeDocument/2006/relationships/revisionLog" Target="revisionLog13.xml"/><Relationship Id="rId26" Type="http://schemas.openxmlformats.org/officeDocument/2006/relationships/revisionLog" Target="revisionLog14.xml"/><Relationship Id="rId39" Type="http://schemas.openxmlformats.org/officeDocument/2006/relationships/revisionLog" Target="revisionLog15.xml"/><Relationship Id="rId21" Type="http://schemas.openxmlformats.org/officeDocument/2006/relationships/revisionLog" Target="revisionLog141.xml"/><Relationship Id="rId34" Type="http://schemas.openxmlformats.org/officeDocument/2006/relationships/revisionLog" Target="revisionLog151.xml"/><Relationship Id="rId42" Type="http://schemas.openxmlformats.org/officeDocument/2006/relationships/revisionLog" Target="revisionLog16.xml"/><Relationship Id="rId47" Type="http://schemas.openxmlformats.org/officeDocument/2006/relationships/revisionLog" Target="revisionLog17.xml"/><Relationship Id="rId50" Type="http://schemas.openxmlformats.org/officeDocument/2006/relationships/revisionLog" Target="revisionLog11.xml"/><Relationship Id="rId55" Type="http://schemas.openxmlformats.org/officeDocument/2006/relationships/revisionLog" Target="revisionLog18.xml"/><Relationship Id="rId63" Type="http://schemas.openxmlformats.org/officeDocument/2006/relationships/revisionLog" Target="revisionLog19.xml"/><Relationship Id="rId68" Type="http://schemas.openxmlformats.org/officeDocument/2006/relationships/revisionLog" Target="revisionLog110.xml"/><Relationship Id="rId7" Type="http://schemas.openxmlformats.org/officeDocument/2006/relationships/revisionLog" Target="revisionLog121.xml"/><Relationship Id="rId2" Type="http://schemas.openxmlformats.org/officeDocument/2006/relationships/revisionLog" Target="revisionLog1111.xml"/><Relationship Id="rId16" Type="http://schemas.openxmlformats.org/officeDocument/2006/relationships/revisionLog" Target="revisionLog14111.xml"/><Relationship Id="rId29" Type="http://schemas.openxmlformats.org/officeDocument/2006/relationships/revisionLog" Target="revisionLog1611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1.xml"/><Relationship Id="rId11" Type="http://schemas.openxmlformats.org/officeDocument/2006/relationships/revisionLog" Target="revisionLog1311.xml"/><Relationship Id="rId24" Type="http://schemas.openxmlformats.org/officeDocument/2006/relationships/revisionLog" Target="revisionLog16111.xml"/><Relationship Id="rId32" Type="http://schemas.openxmlformats.org/officeDocument/2006/relationships/revisionLog" Target="revisionLog1711.xml"/><Relationship Id="rId37" Type="http://schemas.openxmlformats.org/officeDocument/2006/relationships/revisionLog" Target="revisionLog18111.xml"/><Relationship Id="rId40" Type="http://schemas.openxmlformats.org/officeDocument/2006/relationships/revisionLog" Target="revisionLog1911.xml"/><Relationship Id="rId45" Type="http://schemas.openxmlformats.org/officeDocument/2006/relationships/revisionLog" Target="revisionLog1101.xml"/><Relationship Id="rId53" Type="http://schemas.openxmlformats.org/officeDocument/2006/relationships/revisionLog" Target="revisionLog112.xml"/><Relationship Id="rId58" Type="http://schemas.openxmlformats.org/officeDocument/2006/relationships/revisionLog" Target="revisionLog111.xml"/><Relationship Id="rId66" Type="http://schemas.openxmlformats.org/officeDocument/2006/relationships/revisionLog" Target="revisionLog113.xml"/><Relationship Id="rId5" Type="http://schemas.openxmlformats.org/officeDocument/2006/relationships/revisionLog" Target="revisionLog12111.xml"/><Relationship Id="rId15" Type="http://schemas.openxmlformats.org/officeDocument/2006/relationships/revisionLog" Target="revisionLog141111.xml"/><Relationship Id="rId23" Type="http://schemas.openxmlformats.org/officeDocument/2006/relationships/revisionLog" Target="revisionLog161111.xml"/><Relationship Id="rId28" Type="http://schemas.openxmlformats.org/officeDocument/2006/relationships/revisionLog" Target="revisionLog17111.xml"/><Relationship Id="rId36" Type="http://schemas.openxmlformats.org/officeDocument/2006/relationships/revisionLog" Target="revisionLog181111.xml"/><Relationship Id="rId49" Type="http://schemas.openxmlformats.org/officeDocument/2006/relationships/revisionLog" Target="revisionLog1121.xml"/><Relationship Id="rId57" Type="http://schemas.openxmlformats.org/officeDocument/2006/relationships/revisionLog" Target="revisionLog1112.xml"/><Relationship Id="rId61" Type="http://schemas.openxmlformats.org/officeDocument/2006/relationships/revisionLog" Target="revisionLog1921.xml"/><Relationship Id="rId10" Type="http://schemas.openxmlformats.org/officeDocument/2006/relationships/revisionLog" Target="revisionLog13111.xml"/><Relationship Id="rId19" Type="http://schemas.openxmlformats.org/officeDocument/2006/relationships/revisionLog" Target="revisionLog151111.xml"/><Relationship Id="rId31" Type="http://schemas.openxmlformats.org/officeDocument/2006/relationships/revisionLog" Target="revisionLog1811111.xml"/><Relationship Id="rId44" Type="http://schemas.openxmlformats.org/officeDocument/2006/relationships/revisionLog" Target="revisionLog11011.xml"/><Relationship Id="rId52" Type="http://schemas.openxmlformats.org/officeDocument/2006/relationships/revisionLog" Target="revisionLog1131.xml"/><Relationship Id="rId60" Type="http://schemas.openxmlformats.org/officeDocument/2006/relationships/revisionLog" Target="revisionLog114.xml"/><Relationship Id="rId65" Type="http://schemas.openxmlformats.org/officeDocument/2006/relationships/revisionLog" Target="revisionLog115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1.xml"/><Relationship Id="rId14" Type="http://schemas.openxmlformats.org/officeDocument/2006/relationships/revisionLog" Target="revisionLog1411111.xml"/><Relationship Id="rId22" Type="http://schemas.openxmlformats.org/officeDocument/2006/relationships/revisionLog" Target="revisionLog1611111.xml"/><Relationship Id="rId27" Type="http://schemas.openxmlformats.org/officeDocument/2006/relationships/revisionLog" Target="revisionLog171111.xml"/><Relationship Id="rId30" Type="http://schemas.openxmlformats.org/officeDocument/2006/relationships/revisionLog" Target="revisionLog18111111.xml"/><Relationship Id="rId35" Type="http://schemas.openxmlformats.org/officeDocument/2006/relationships/revisionLog" Target="revisionLog19111.xml"/><Relationship Id="rId43" Type="http://schemas.openxmlformats.org/officeDocument/2006/relationships/revisionLog" Target="revisionLog110111.xml"/><Relationship Id="rId48" Type="http://schemas.openxmlformats.org/officeDocument/2006/relationships/revisionLog" Target="revisionLog11211.xml"/><Relationship Id="rId56" Type="http://schemas.openxmlformats.org/officeDocument/2006/relationships/revisionLog" Target="revisionLog11121.xml"/><Relationship Id="rId64" Type="http://schemas.openxmlformats.org/officeDocument/2006/relationships/revisionLog" Target="revisionLog1151.xml"/><Relationship Id="rId69" Type="http://schemas.openxmlformats.org/officeDocument/2006/relationships/revisionLog" Target="revisionLog116.xml"/><Relationship Id="rId8" Type="http://schemas.openxmlformats.org/officeDocument/2006/relationships/revisionLog" Target="revisionLog11311.xml"/><Relationship Id="rId51" Type="http://schemas.openxmlformats.org/officeDocument/2006/relationships/revisionLog" Target="revisionLog1141.xml"/><Relationship Id="rId3" Type="http://schemas.openxmlformats.org/officeDocument/2006/relationships/revisionLog" Target="revisionLog111211.xml"/><Relationship Id="rId12" Type="http://schemas.openxmlformats.org/officeDocument/2006/relationships/revisionLog" Target="revisionLog131.xml"/><Relationship Id="rId17" Type="http://schemas.openxmlformats.org/officeDocument/2006/relationships/revisionLog" Target="revisionLog1411.xml"/><Relationship Id="rId25" Type="http://schemas.openxmlformats.org/officeDocument/2006/relationships/revisionLog" Target="revisionLog1511.xml"/><Relationship Id="rId33" Type="http://schemas.openxmlformats.org/officeDocument/2006/relationships/revisionLog" Target="revisionLog161.xml"/><Relationship Id="rId38" Type="http://schemas.openxmlformats.org/officeDocument/2006/relationships/revisionLog" Target="revisionLog171.xml"/><Relationship Id="rId46" Type="http://schemas.openxmlformats.org/officeDocument/2006/relationships/revisionLog" Target="revisionLog181.xml"/><Relationship Id="rId59" Type="http://schemas.openxmlformats.org/officeDocument/2006/relationships/revisionLog" Target="revisionLog19211.xml"/><Relationship Id="rId67" Type="http://schemas.openxmlformats.org/officeDocument/2006/relationships/revisionLog" Target="revisionLog1161.xml"/><Relationship Id="rId20" Type="http://schemas.openxmlformats.org/officeDocument/2006/relationships/revisionLog" Target="revisionLog15111.xml"/><Relationship Id="rId41" Type="http://schemas.openxmlformats.org/officeDocument/2006/relationships/revisionLog" Target="revisionLog1811.xml"/><Relationship Id="rId54" Type="http://schemas.openxmlformats.org/officeDocument/2006/relationships/revisionLog" Target="revisionLog191.xml"/><Relationship Id="rId62" Type="http://schemas.openxmlformats.org/officeDocument/2006/relationships/revisionLog" Target="revisionLog192.xml"/><Relationship Id="rId7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DD020453-E96F-4995-ADBA-83EA5851407A}" diskRevisions="1" revisionId="509" version="14">
  <header guid="{D0A6B095-AD4C-4978-9439-E0ABB554BFDB}" dateTime="2022-10-17T09:40:55" maxSheetId="4" userName="minfin user" r:id="rId1">
    <sheetIdMap count="3">
      <sheetId val="1"/>
      <sheetId val="2"/>
      <sheetId val="3"/>
    </sheetIdMap>
  </header>
  <header guid="{087AC1B2-E6F3-466B-B621-9D4E0BD41D94}" dateTime="2022-10-17T10:44:18" maxSheetId="4" userName="minfin user" r:id="rId2" minRId="1" maxRId="19">
    <sheetIdMap count="3">
      <sheetId val="1"/>
      <sheetId val="2"/>
      <sheetId val="3"/>
    </sheetIdMap>
  </header>
  <header guid="{04C14AA3-AFA5-48F7-BF17-8B56269432B4}" dateTime="2022-10-17T10:44:50" maxSheetId="4" userName="minfin user" r:id="rId3">
    <sheetIdMap count="3">
      <sheetId val="1"/>
      <sheetId val="2"/>
      <sheetId val="3"/>
    </sheetIdMap>
  </header>
  <header guid="{991BA1E9-9F6B-41EF-A80B-4C7710649658}" dateTime="2022-10-17T10:47:26" maxSheetId="4" userName="minfin user" r:id="rId4" minRId="28" maxRId="29">
    <sheetIdMap count="3">
      <sheetId val="1"/>
      <sheetId val="2"/>
      <sheetId val="3"/>
    </sheetIdMap>
  </header>
  <header guid="{5C8E2349-0203-46CE-B019-E9003D819DEC}" dateTime="2022-10-17T10:51:57" maxSheetId="4" userName="minfin user" r:id="rId5" minRId="34" maxRId="41">
    <sheetIdMap count="3">
      <sheetId val="1"/>
      <sheetId val="2"/>
      <sheetId val="3"/>
    </sheetIdMap>
  </header>
  <header guid="{1FDD7FCB-526E-4BE3-9DAC-42FE9F3E9FE1}" dateTime="2022-10-17T10:53:45" maxSheetId="4" userName="minfin user" r:id="rId6" minRId="46" maxRId="51">
    <sheetIdMap count="3">
      <sheetId val="1"/>
      <sheetId val="2"/>
      <sheetId val="3"/>
    </sheetIdMap>
  </header>
  <header guid="{9C6F89CC-064A-4684-8920-0C84EE791D22}" dateTime="2022-10-17T10:55:14" maxSheetId="4" userName="minfin user" r:id="rId7" minRId="56" maxRId="61">
    <sheetIdMap count="3">
      <sheetId val="1"/>
      <sheetId val="2"/>
      <sheetId val="3"/>
    </sheetIdMap>
  </header>
  <header guid="{0F64ED28-FB51-48A0-AE5D-78F108E8B444}" dateTime="2022-10-17T10:56:01" maxSheetId="4" userName="minfin user" r:id="rId8" minRId="66" maxRId="67">
    <sheetIdMap count="3">
      <sheetId val="1"/>
      <sheetId val="2"/>
      <sheetId val="3"/>
    </sheetIdMap>
  </header>
  <header guid="{40734A8A-3B7F-420C-80A1-0D9D830AB771}" dateTime="2022-10-17T10:59:56" maxSheetId="4" userName="minfin user" r:id="rId9" minRId="72" maxRId="77">
    <sheetIdMap count="3">
      <sheetId val="1"/>
      <sheetId val="2"/>
      <sheetId val="3"/>
    </sheetIdMap>
  </header>
  <header guid="{CFAF6446-15BF-41E7-BEBC-6352F42065FA}" dateTime="2022-10-17T11:02:54" maxSheetId="4" userName="minfin user" r:id="rId10" minRId="82" maxRId="87">
    <sheetIdMap count="3">
      <sheetId val="1"/>
      <sheetId val="2"/>
      <sheetId val="3"/>
    </sheetIdMap>
  </header>
  <header guid="{9DC8DC00-C2FF-43C5-9E91-C1B20EE4856A}" dateTime="2022-10-17T11:05:44" maxSheetId="4" userName="minfin user" r:id="rId11" minRId="92" maxRId="95">
    <sheetIdMap count="3">
      <sheetId val="1"/>
      <sheetId val="2"/>
      <sheetId val="3"/>
    </sheetIdMap>
  </header>
  <header guid="{D58BEC2D-1C99-49D4-9700-E9B4E7FE99D1}" dateTime="2022-10-17T11:08:55" maxSheetId="4" userName="minfin user" r:id="rId12" minRId="100" maxRId="107">
    <sheetIdMap count="3">
      <sheetId val="1"/>
      <sheetId val="2"/>
      <sheetId val="3"/>
    </sheetIdMap>
  </header>
  <header guid="{1D85A73C-8CD4-4D21-9534-0430FDC30B88}" dateTime="2022-10-17T11:11:51" maxSheetId="4" userName="minfin user" r:id="rId13" minRId="112" maxRId="117">
    <sheetIdMap count="3">
      <sheetId val="1"/>
      <sheetId val="2"/>
      <sheetId val="3"/>
    </sheetIdMap>
  </header>
  <header guid="{E98DE1A4-1E4A-4E5C-9549-A71E8A18C398}" dateTime="2022-10-17T11:14:51" maxSheetId="4" userName="minfin user" r:id="rId14" minRId="122" maxRId="127">
    <sheetIdMap count="3">
      <sheetId val="1"/>
      <sheetId val="2"/>
      <sheetId val="3"/>
    </sheetIdMap>
  </header>
  <header guid="{6D897211-073F-4BCD-BBDD-F2A71491FD1A}" dateTime="2022-10-17T11:16:25" maxSheetId="4" userName="minfin user" r:id="rId15" minRId="132" maxRId="137">
    <sheetIdMap count="3">
      <sheetId val="1"/>
      <sheetId val="2"/>
      <sheetId val="3"/>
    </sheetIdMap>
  </header>
  <header guid="{662FCAF7-5107-434D-A237-A49E42D6F812}" dateTime="2022-10-17T11:20:36" maxSheetId="4" userName="minfin user" r:id="rId16" minRId="142" maxRId="143">
    <sheetIdMap count="3">
      <sheetId val="1"/>
      <sheetId val="2"/>
      <sheetId val="3"/>
    </sheetIdMap>
  </header>
  <header guid="{64EA5DB0-8F1A-4279-B511-B9080B845944}" dateTime="2022-10-17T11:20:49" maxSheetId="4" userName="minfin user" r:id="rId17">
    <sheetIdMap count="3">
      <sheetId val="1"/>
      <sheetId val="2"/>
      <sheetId val="3"/>
    </sheetIdMap>
  </header>
  <header guid="{09DB9F7F-4308-4086-83D2-56E7BD06B18B}" dateTime="2022-10-17T11:38:36" maxSheetId="4" userName="minfin user" r:id="rId18" minRId="152" maxRId="153">
    <sheetIdMap count="3">
      <sheetId val="1"/>
      <sheetId val="2"/>
      <sheetId val="3"/>
    </sheetIdMap>
  </header>
  <header guid="{61356C30-7AA2-4534-9487-A4DD383666E3}" dateTime="2022-10-17T11:39:05" maxSheetId="4" userName="minfin user" r:id="rId19" minRId="158">
    <sheetIdMap count="3">
      <sheetId val="1"/>
      <sheetId val="2"/>
      <sheetId val="3"/>
    </sheetIdMap>
  </header>
  <header guid="{FC9BACA2-A743-4974-9D55-C36BDC5C1684}" dateTime="2022-10-17T11:40:28" maxSheetId="4" userName="minfin user" r:id="rId20" minRId="163">
    <sheetIdMap count="3">
      <sheetId val="1"/>
      <sheetId val="2"/>
      <sheetId val="3"/>
    </sheetIdMap>
  </header>
  <header guid="{7C774A56-524B-47CA-9095-E0A5C15930C4}" dateTime="2022-10-17T11:44:50" maxSheetId="4" userName="minfin user" r:id="rId21" minRId="176" maxRId="181">
    <sheetIdMap count="3">
      <sheetId val="1"/>
      <sheetId val="2"/>
      <sheetId val="3"/>
    </sheetIdMap>
  </header>
  <header guid="{45154E24-C4A6-4C83-98A2-13174BA8883C}" dateTime="2022-10-17T11:43:24" maxSheetId="4" userName="minfin user" r:id="rId22" minRId="186" maxRId="189">
    <sheetIdMap count="3">
      <sheetId val="1"/>
      <sheetId val="2"/>
      <sheetId val="3"/>
    </sheetIdMap>
  </header>
  <header guid="{422A9651-6027-40A5-A148-A5FBCA79EE18}" dateTime="2022-10-17T11:51:49" maxSheetId="4" userName="minfin user" r:id="rId23" minRId="194" maxRId="199">
    <sheetIdMap count="3">
      <sheetId val="1"/>
      <sheetId val="2"/>
      <sheetId val="3"/>
    </sheetIdMap>
  </header>
  <header guid="{63DBB219-364A-4E91-8EC0-EA23F03F4106}" dateTime="2022-10-17T11:51:46" maxSheetId="4" userName="minfin user" r:id="rId24" minRId="204" maxRId="209">
    <sheetIdMap count="3">
      <sheetId val="1"/>
      <sheetId val="2"/>
      <sheetId val="3"/>
    </sheetIdMap>
  </header>
  <header guid="{00BCDFC6-531D-4FD6-AA9C-60EC759C5BC3}" dateTime="2022-10-17T11:58:44" maxSheetId="4" userName="minfin user" r:id="rId25" minRId="214" maxRId="217">
    <sheetIdMap count="3">
      <sheetId val="1"/>
      <sheetId val="2"/>
      <sheetId val="3"/>
    </sheetIdMap>
  </header>
  <header guid="{3A364A3F-F8DF-4406-BEF8-E467ACF2CD89}" dateTime="2022-10-17T12:00:31" maxSheetId="4" userName="minfin user" r:id="rId26" minRId="222">
    <sheetIdMap count="3">
      <sheetId val="1"/>
      <sheetId val="2"/>
      <sheetId val="3"/>
    </sheetIdMap>
  </header>
  <header guid="{6A508F23-5628-4019-A8B2-69AEAB280C0A}" dateTime="2022-10-17T12:01:25" maxSheetId="4" userName="minfin user" r:id="rId27" minRId="227" maxRId="230">
    <sheetIdMap count="3">
      <sheetId val="1"/>
      <sheetId val="2"/>
      <sheetId val="3"/>
    </sheetIdMap>
  </header>
  <header guid="{B1B1E4FF-6D60-42DB-A581-524564F9EB80}" dateTime="2022-10-17T12:04:54" maxSheetId="4" userName="minfin user" r:id="rId28" minRId="235" maxRId="238">
    <sheetIdMap count="3">
      <sheetId val="1"/>
      <sheetId val="2"/>
      <sheetId val="3"/>
    </sheetIdMap>
  </header>
  <header guid="{9A916DBD-B1FB-4ECE-AAF5-DB46631565D7}" dateTime="2022-10-17T12:05:49" maxSheetId="4" userName="minfin user" r:id="rId29">
    <sheetIdMap count="3">
      <sheetId val="1"/>
      <sheetId val="2"/>
      <sheetId val="3"/>
    </sheetIdMap>
  </header>
  <header guid="{58747DAE-8CA0-4FFA-9F9A-33978E47FB4F}" dateTime="2022-10-17T12:08:36" maxSheetId="4" userName="minfin user" r:id="rId30" minRId="247" maxRId="275">
    <sheetIdMap count="3">
      <sheetId val="1"/>
      <sheetId val="2"/>
      <sheetId val="3"/>
    </sheetIdMap>
  </header>
  <header guid="{244610D9-E410-4443-9F1C-F2BC9A78EA3F}" dateTime="2022-10-17T12:08:29" maxSheetId="4" userName="minfin user" r:id="rId31" minRId="280" maxRId="283">
    <sheetIdMap count="3">
      <sheetId val="1"/>
      <sheetId val="2"/>
      <sheetId val="3"/>
    </sheetIdMap>
  </header>
  <header guid="{EB3753B2-F7CC-4AFE-9DF7-20D5833BC737}" dateTime="2022-10-17T12:10:39" maxSheetId="4" userName="minfin user" r:id="rId32">
    <sheetIdMap count="3">
      <sheetId val="1"/>
      <sheetId val="2"/>
      <sheetId val="3"/>
    </sheetIdMap>
  </header>
  <header guid="{9C84D4CC-4F2B-4DCE-A05B-41D0A1C35A12}" dateTime="2022-10-17T12:14:02" maxSheetId="4" userName="minfin user" r:id="rId33" minRId="292" maxRId="307">
    <sheetIdMap count="3">
      <sheetId val="1"/>
      <sheetId val="2"/>
      <sheetId val="3"/>
    </sheetIdMap>
  </header>
  <header guid="{82EB6362-0AE7-455F-A230-9F8CBF7E1227}" dateTime="2022-10-17T12:14:39" maxSheetId="4" userName="minfin user" r:id="rId34" minRId="312" maxRId="319">
    <sheetIdMap count="3">
      <sheetId val="1"/>
      <sheetId val="2"/>
      <sheetId val="3"/>
    </sheetIdMap>
  </header>
  <header guid="{8B78DA6A-2102-40B6-BF1B-AB6F94D17F93}" dateTime="2022-10-17T12:19:57" maxSheetId="4" userName="minfin user" r:id="rId35" minRId="324">
    <sheetIdMap count="3">
      <sheetId val="1"/>
      <sheetId val="2"/>
      <sheetId val="3"/>
    </sheetIdMap>
  </header>
  <header guid="{E31C4864-E7BB-48CA-AE3A-7AFB51EA276B}" dateTime="2022-10-17T12:23:06" maxSheetId="4" userName="minfin user" r:id="rId36" minRId="329" maxRId="341">
    <sheetIdMap count="3">
      <sheetId val="1"/>
      <sheetId val="2"/>
      <sheetId val="3"/>
    </sheetIdMap>
  </header>
  <header guid="{355D8422-52CD-4E3A-99C7-C7E37511951C}" dateTime="2022-10-17T12:24:14" maxSheetId="4" userName="minfin user" r:id="rId37" minRId="346" maxRId="348">
    <sheetIdMap count="3">
      <sheetId val="1"/>
      <sheetId val="2"/>
      <sheetId val="3"/>
    </sheetIdMap>
  </header>
  <header guid="{F879E769-33BE-4087-81C4-C0915E981BAF}" dateTime="2022-10-17T12:25:05" maxSheetId="4" userName="minfin user" r:id="rId38" minRId="353" maxRId="355">
    <sheetIdMap count="3">
      <sheetId val="1"/>
      <sheetId val="2"/>
      <sheetId val="3"/>
    </sheetIdMap>
  </header>
  <header guid="{3E688A69-42B2-4A19-9178-171436C82A49}" dateTime="2022-10-17T12:29:10" maxSheetId="4" userName="minfin user" r:id="rId39" minRId="360" maxRId="363">
    <sheetIdMap count="3">
      <sheetId val="1"/>
      <sheetId val="2"/>
      <sheetId val="3"/>
    </sheetIdMap>
  </header>
  <header guid="{0F51795A-F346-417E-B800-EF2C908B2432}" dateTime="2022-10-17T12:33:35" maxSheetId="4" userName="minfin user" r:id="rId40">
    <sheetIdMap count="3">
      <sheetId val="1"/>
      <sheetId val="2"/>
      <sheetId val="3"/>
    </sheetIdMap>
  </header>
  <header guid="{2E76638E-BDFF-49E4-8A15-2FBE5671AB86}" dateTime="2022-10-17T12:34:27" maxSheetId="4" userName="minfin user" r:id="rId41" minRId="372" maxRId="374">
    <sheetIdMap count="3">
      <sheetId val="1"/>
      <sheetId val="2"/>
      <sheetId val="3"/>
    </sheetIdMap>
  </header>
  <header guid="{E4B240AA-802E-488D-AB17-DDEB312B9017}" dateTime="2022-10-17T12:35:55" maxSheetId="4" userName="minfin user" r:id="rId42" minRId="379" maxRId="382">
    <sheetIdMap count="3">
      <sheetId val="1"/>
      <sheetId val="2"/>
      <sheetId val="3"/>
    </sheetIdMap>
  </header>
  <header guid="{9D1FFD28-5C7A-4E89-82A7-828E9AF65D16}" dateTime="2022-10-17T12:37:06" maxSheetId="4" userName="minfin user" r:id="rId43">
    <sheetIdMap count="3">
      <sheetId val="1"/>
      <sheetId val="2"/>
      <sheetId val="3"/>
    </sheetIdMap>
  </header>
  <header guid="{E08374F0-4065-4C53-B65E-3170A9394F47}" dateTime="2022-10-17T13:02:44" maxSheetId="4" userName="minfin user" r:id="rId44" minRId="391" maxRId="396">
    <sheetIdMap count="3">
      <sheetId val="1"/>
      <sheetId val="2"/>
      <sheetId val="3"/>
    </sheetIdMap>
  </header>
  <header guid="{4411F81B-51C0-4CB8-9C41-8BFD02DAAA66}" dateTime="2022-10-17T13:06:32" maxSheetId="4" userName="minfin user" r:id="rId45" minRId="401" maxRId="402">
    <sheetIdMap count="3">
      <sheetId val="1"/>
      <sheetId val="2"/>
      <sheetId val="3"/>
    </sheetIdMap>
  </header>
  <header guid="{F42C1A7D-24B8-4949-AA12-CE401A5D8FB1}" dateTime="2022-10-17T13:06:47" maxSheetId="4" userName="minfin user" r:id="rId46">
    <sheetIdMap count="3">
      <sheetId val="1"/>
      <sheetId val="2"/>
      <sheetId val="3"/>
    </sheetIdMap>
  </header>
  <header guid="{6FF97088-868C-49F9-980B-0692F9BC0017}" dateTime="2022-10-17T13:23:12" maxSheetId="4" userName="minfin user" r:id="rId47" minRId="411" maxRId="412">
    <sheetIdMap count="3">
      <sheetId val="1"/>
      <sheetId val="2"/>
      <sheetId val="3"/>
    </sheetIdMap>
  </header>
  <header guid="{C945F4A3-5EBA-4670-95B9-810369296A90}" dateTime="2022-10-17T13:25:02" maxSheetId="4" userName="minfin user" r:id="rId48" minRId="417" maxRId="420">
    <sheetIdMap count="3">
      <sheetId val="1"/>
      <sheetId val="2"/>
      <sheetId val="3"/>
    </sheetIdMap>
  </header>
  <header guid="{570C5498-9460-4673-84FA-021645944761}" dateTime="2022-10-17T13:29:34" maxSheetId="4" userName="minfin user" r:id="rId49" minRId="425" maxRId="428">
    <sheetIdMap count="3">
      <sheetId val="1"/>
      <sheetId val="2"/>
      <sheetId val="3"/>
    </sheetIdMap>
  </header>
  <header guid="{4B0148BE-BEED-4E97-AE56-71C8F2AE4FC6}" dateTime="2022-10-17T13:30:10" maxSheetId="4" userName="minfin user" r:id="rId50" minRId="433" maxRId="434">
    <sheetIdMap count="3">
      <sheetId val="1"/>
      <sheetId val="2"/>
      <sheetId val="3"/>
    </sheetIdMap>
  </header>
  <header guid="{8822B06F-F704-4F6E-BD87-C8B8990D4C6A}" dateTime="2022-10-17T13:30:42" maxSheetId="4" userName="minfin user" r:id="rId51" minRId="439" maxRId="442">
    <sheetIdMap count="3">
      <sheetId val="1"/>
      <sheetId val="2"/>
      <sheetId val="3"/>
    </sheetIdMap>
  </header>
  <header guid="{03C04790-B5BC-4ADF-82F4-39BE6C80BB7A}" dateTime="2022-10-17T13:33:15" maxSheetId="4" userName="minfin user" r:id="rId52">
    <sheetIdMap count="3">
      <sheetId val="1"/>
      <sheetId val="2"/>
      <sheetId val="3"/>
    </sheetIdMap>
  </header>
  <header guid="{B39DA057-9EE0-4391-97FF-100C851227F0}" dateTime="2022-10-17T14:01:06" maxSheetId="4" userName="minfin user" r:id="rId53">
    <sheetIdMap count="3">
      <sheetId val="1"/>
      <sheetId val="2"/>
      <sheetId val="3"/>
    </sheetIdMap>
  </header>
  <header guid="{B05E8D45-EA90-456A-B691-5350AC481AA7}" dateTime="2022-10-17T14:02:25" maxSheetId="4" userName="minfin user" r:id="rId54">
    <sheetIdMap count="3">
      <sheetId val="1"/>
      <sheetId val="2"/>
      <sheetId val="3"/>
    </sheetIdMap>
  </header>
  <header guid="{057DFAC4-D109-4BFB-88ED-8184A83A115F}" dateTime="2022-10-17T14:06:17" maxSheetId="4" userName="minfin user" r:id="rId55">
    <sheetIdMap count="3">
      <sheetId val="1"/>
      <sheetId val="2"/>
      <sheetId val="3"/>
    </sheetIdMap>
  </header>
  <header guid="{BD3D21FE-184F-4DB3-AA25-3E10592397A3}" dateTime="2022-10-17T14:06:30" maxSheetId="4" userName="minfin user" r:id="rId56">
    <sheetIdMap count="3">
      <sheetId val="1"/>
      <sheetId val="2"/>
      <sheetId val="3"/>
    </sheetIdMap>
  </header>
  <header guid="{67AF4496-1161-4069-91A5-A8B1DE8FF8B7}" dateTime="2022-10-17T14:07:29" maxSheetId="4" userName="minfin user" r:id="rId57">
    <sheetIdMap count="3">
      <sheetId val="1"/>
      <sheetId val="2"/>
      <sheetId val="3"/>
    </sheetIdMap>
  </header>
  <header guid="{4B8652B0-37A3-4B99-98CF-24F24D74EE80}" dateTime="2022-10-17T14:08:01" maxSheetId="4" userName="minfin user" r:id="rId58">
    <sheetIdMap count="3">
      <sheetId val="1"/>
      <sheetId val="2"/>
      <sheetId val="3"/>
    </sheetIdMap>
  </header>
  <header guid="{26E5810F-4077-488E-9030-78AF0A213691}" dateTime="2022-10-17T14:09:53" maxSheetId="4" userName="minfin user" r:id="rId59">
    <sheetIdMap count="3">
      <sheetId val="1"/>
      <sheetId val="2"/>
      <sheetId val="3"/>
    </sheetIdMap>
  </header>
  <header guid="{9D2AE421-B06F-4AA7-840E-33DEC6E936B8}" dateTime="2022-10-17T14:35:36" maxSheetId="4" userName="minfin user" r:id="rId60">
    <sheetIdMap count="3">
      <sheetId val="1"/>
      <sheetId val="2"/>
      <sheetId val="3"/>
    </sheetIdMap>
  </header>
  <header guid="{C9C03063-B333-4C7A-8E7E-688F568A3681}" dateTime="2022-10-17T14:46:44" maxSheetId="4" userName="minfin user" r:id="rId61" minRId="476">
    <sheetIdMap count="3">
      <sheetId val="1"/>
      <sheetId val="2"/>
      <sheetId val="3"/>
    </sheetIdMap>
  </header>
  <header guid="{AD7CCDA6-DE34-4710-9E79-CF608BE6CC26}" dateTime="2022-10-17T16:46:45" maxSheetId="4" userName="minfin user" r:id="rId62">
    <sheetIdMap count="3">
      <sheetId val="1"/>
      <sheetId val="2"/>
      <sheetId val="3"/>
    </sheetIdMap>
  </header>
  <header guid="{DF71A936-BCCE-450A-AD51-B93458EE9336}" dateTime="2022-10-17T17:31:05" maxSheetId="4" userName="minfin user" r:id="rId63">
    <sheetIdMap count="3">
      <sheetId val="1"/>
      <sheetId val="2"/>
      <sheetId val="3"/>
    </sheetIdMap>
  </header>
  <header guid="{E6E724E1-F50A-4147-99F9-E03DDA5161D7}" dateTime="2022-10-18T09:07:45" maxSheetId="4" userName="minfin user" r:id="rId64">
    <sheetIdMap count="3">
      <sheetId val="1"/>
      <sheetId val="2"/>
      <sheetId val="3"/>
    </sheetIdMap>
  </header>
  <header guid="{2DF6C2D2-B365-4CAB-801D-67D4B946B285}" dateTime="2022-10-18T16:28:59" maxSheetId="4" userName="minfin user" r:id="rId65">
    <sheetIdMap count="3">
      <sheetId val="1"/>
      <sheetId val="2"/>
      <sheetId val="3"/>
    </sheetIdMap>
  </header>
  <header guid="{D48F9288-C9F9-4BD8-A368-B110107734C9}" dateTime="2022-10-24T09:48:42" maxSheetId="4" userName="Pavlenko" r:id="rId66" minRId="494" maxRId="497">
    <sheetIdMap count="3">
      <sheetId val="1"/>
      <sheetId val="2"/>
      <sheetId val="3"/>
    </sheetIdMap>
  </header>
  <header guid="{46AB6021-9AC5-4981-9467-858326857D53}" dateTime="2022-10-24T09:51:42" maxSheetId="4" userName="Pavlenko" r:id="rId67">
    <sheetIdMap count="3">
      <sheetId val="1"/>
      <sheetId val="2"/>
      <sheetId val="3"/>
    </sheetIdMap>
  </header>
  <header guid="{EE37EAE7-2B30-450C-9454-395019C2429A}" dateTime="2022-10-24T09:52:53" maxSheetId="4" userName="Pavlenko" r:id="rId68" minRId="501" maxRId="502">
    <sheetIdMap count="3">
      <sheetId val="1"/>
      <sheetId val="2"/>
      <sheetId val="3"/>
    </sheetIdMap>
  </header>
  <header guid="{087145A8-A30A-446A-9D2F-457E1FEB73FF}" dateTime="2022-10-24T10:15:05" maxSheetId="4" userName="Pavlenko" r:id="rId69">
    <sheetIdMap count="3">
      <sheetId val="1"/>
      <sheetId val="2"/>
      <sheetId val="3"/>
    </sheetIdMap>
  </header>
  <header guid="{DD020453-E96F-4995-ADBA-83EA5851407A}" dateTime="2022-10-24T11:16:26" maxSheetId="4" userName="Pavlenko" r:id="rId7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40F15A73-9550-4519-BD07-5B1306791A2B}" action="delete"/>
  <rdn rId="0" localSheetId="1" customView="1" name="Z_40F15A73_9550_4519_BD07_5B1306791A2B_.wvu.PrintArea" hidden="1" oldHidden="1">
    <formula>Лист1!$A$1:$W$274</formula>
    <oldFormula>Лист1!$A$1:$W$274</oldFormula>
  </rdn>
  <rdn rId="0" localSheetId="1" customView="1" name="Z_40F15A73_9550_4519_BD07_5B1306791A2B_.wvu.PrintTitles" hidden="1" oldHidden="1">
    <formula>Лист1!$A:$F,Лист1!$3:$6</formula>
    <oldFormula>Лист1!$A:$F,Лист1!$3:$6</oldFormula>
  </rdn>
  <rdn rId="0" localSheetId="1" customView="1" name="Z_40F15A73_9550_4519_BD07_5B1306791A2B_.wvu.Rows" hidden="1" oldHidden="1">
    <formula>Лист1!$28:$32,Лист1!$45:$46,Лист1!$78:$80,Лист1!$91:$93,Лист1!$102:$103,Лист1!$106:$106,Лист1!$114:$114,Лист1!$116:$118,Лист1!$120:$120,Лист1!$124:$124,Лист1!$128:$128,Лист1!$261:$263</formula>
    <oldFormula>Лист1!$28:$32,Лист1!$45:$46,Лист1!$78:$80,Лист1!$91:$93,Лист1!$102:$103,Лист1!$106:$106,Лист1!$114:$114,Лист1!$116:$118,Лист1!$120:$120,Лист1!$124:$124,Лист1!$128:$128,Лист1!$261:$263</oldFormula>
  </rdn>
  <rcv guid="{40F15A73-9550-4519-BD07-5B1306791A2B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433" sId="1" numFmtId="4">
    <oc r="N246">
      <v>15262955.16</v>
    </oc>
    <nc r="N246">
      <v>33881640</v>
    </nc>
  </rcc>
  <rcc rId="434" sId="1" numFmtId="4">
    <oc r="O246">
      <v>311469.94</v>
    </oc>
    <nc r="O246">
      <v>691420</v>
    </nc>
  </rcc>
  <rfmt sheetId="1" sqref="J246:O246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fmt sheetId="1" sqref="A28" start="0" length="0">
    <dxf/>
  </rfmt>
  <rcc rId="501" sId="1" odxf="1" dxf="1">
    <oc r="A28" t="inlineStr">
      <is>
        <t>Поликлиника на 250 посещений в смену, второй пусковой комплекс по адресу Архангельская область, Пинежский район,</t>
      </is>
    </oc>
    <nc r="A28" t="inlineStr">
      <is>
        <t>Поликлиника на 250 посещений в смену, второй пусковой комплекс по адресу Архангельская область, Пинежский район, с. Карпогоры, ул. Ленина 47 Б. Корректировка проектной документации и строительство</t>
      </is>
    </nc>
    <ndxf>
      <alignment horizontal="center" readingOrder="0"/>
    </ndxf>
  </rcc>
  <rcc rId="502" sId="1" odxf="1" dxf="1">
    <oc r="A29" t="inlineStr">
      <is>
        <t>с. Карпогоры, ул. Ленина 47 Б. Корректировка проектной документации и строительство</t>
      </is>
    </oc>
    <nc r="A29"/>
    <ndxf>
      <alignment horizontal="center" readingOrder="0"/>
    </ndxf>
  </rcc>
  <rfmt sheetId="1" sqref="A28:A29">
    <dxf>
      <alignment horizontal="left" readingOrder="0"/>
    </dxf>
  </rfmt>
  <rcv guid="{40F15A73-9550-4519-BD07-5B1306791A2B}" action="delete"/>
  <rdn rId="0" localSheetId="1" customView="1" name="Z_40F15A73_9550_4519_BD07_5B1306791A2B_.wvu.PrintTitles" hidden="1" oldHidden="1">
    <formula>Лист1!$A:$F,Лист1!$3:$6</formula>
    <oldFormula>Лист1!$A:$F,Лист1!$3:$6</oldFormula>
  </rdn>
  <rcv guid="{40F15A73-9550-4519-BD07-5B1306791A2B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fmt sheetId="1" sqref="Q242:R242">
    <dxf>
      <fill>
        <patternFill>
          <bgColor rgb="FFFFFF00"/>
        </patternFill>
      </fill>
    </dxf>
  </rfmt>
  <rcc rId="401" sId="1" numFmtId="4">
    <oc r="T242">
      <f>52858750.41+24070400</f>
    </oc>
    <nc r="T242">
      <v>99675792.909999996</v>
    </nc>
  </rcc>
  <rfmt sheetId="1" sqref="T242">
    <dxf>
      <fill>
        <patternFill>
          <bgColor rgb="FFFFFF00"/>
        </patternFill>
      </fill>
    </dxf>
  </rfmt>
  <rcc rId="402" sId="1" numFmtId="4">
    <oc r="U242">
      <f>1077101.05+490481.76</f>
    </oc>
    <nc r="U242">
      <v>2031090.4</v>
    </nc>
  </rcc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391" sId="1" numFmtId="4">
    <oc r="K242">
      <f>101775300+24070400</f>
    </oc>
    <nc r="K242">
      <v>125845700</v>
    </nc>
  </rcc>
  <rcc rId="392" sId="1" numFmtId="4">
    <oc r="L242">
      <f>2073871.99+490481.76</f>
    </oc>
    <nc r="L242">
      <v>2564353.75</v>
    </nc>
  </rcc>
  <rfmt sheetId="1" sqref="K242:L242">
    <dxf>
      <fill>
        <patternFill>
          <bgColor rgb="FFFFFF00"/>
        </patternFill>
      </fill>
    </dxf>
  </rfmt>
  <rcc rId="393" sId="1" odxf="1" dxf="1" numFmtId="4">
    <oc r="N242">
      <f>62664000+24070400</f>
    </oc>
    <nc r="N242">
      <v>125845700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394" sId="1" odxf="1" dxf="1" numFmtId="4">
    <oc r="O242">
      <f>1278000+490481.76</f>
    </oc>
    <nc r="O242">
      <v>2564353.75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395" sId="1" numFmtId="4">
    <oc r="Q242">
      <f>52858752.97+24070400</f>
    </oc>
    <nc r="Q242">
      <v>105004923.22</v>
    </nc>
  </rcc>
  <rcc rId="396" sId="1" numFmtId="4">
    <oc r="R242">
      <f>1077101.1+490481.76</f>
    </oc>
    <nc r="R242">
      <v>2139681.91</v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1" sId="1">
    <oc r="K8">
      <f>K11+K53+K82+K95+K166+K199+K225+K254</f>
    </oc>
    <nc r="K8">
      <f>K11+K53+K82+K95+K166+K199+K225+K254</f>
    </nc>
  </rcc>
  <rcc rId="2" sId="1">
    <oc r="L8">
      <f>L11+L53+L82+L95+L166+L199+L225+L254</f>
    </oc>
    <nc r="L8">
      <f>L11+L53+L82+L95+L166+L199+L225+L254</f>
    </nc>
  </rcc>
  <rcc rId="3" sId="1">
    <oc r="K9">
      <f>K12+K54+K83+K96+K143+K152+K161+K167+K200+K226+K235+K249+K255+K272</f>
    </oc>
    <nc r="K9">
      <f>K12+K54+K83+K96+K143+K152+K161+K167+K200+K226+K235+K249+K255+K272</f>
    </nc>
  </rcc>
  <rcc rId="4" sId="1">
    <oc r="L9">
      <f>L12+L54+L83+L96+L138+L143+L152+L161+L167+L200+L226+L235+L249+L255+L272</f>
    </oc>
    <nc r="L9">
      <f>L12+L54+L83+L96+L138+L143+L152+L161+L167+L200+L226+L235+L249+L255+L272</f>
    </nc>
  </rcc>
  <rcc rId="5" sId="1">
    <oc r="N8">
      <f>N11+N53+N82+N95+N166+N199+N225+N254</f>
    </oc>
    <nc r="N8">
      <f>N11+N53+N82+N95+N166+N199+N225+N254</f>
    </nc>
  </rcc>
  <rcc rId="6" sId="1">
    <oc r="O8">
      <f>O11+O53+O82+O95+O166+O199+O225+O254</f>
    </oc>
    <nc r="O8">
      <f>O11+O53+O82+O95+O166+O199+O225+O254</f>
    </nc>
  </rcc>
  <rcc rId="7" sId="1">
    <oc r="N9">
      <f>N12+N54+N83+N96+N143+N152+N161+N167+N200+N226+N235+N249+N255+N272</f>
    </oc>
    <nc r="N9">
      <f>N12+N54+N83+N96+N143+N152+N161+N167+N200+N226+N235+N249+N255+N272</f>
    </nc>
  </rcc>
  <rcc rId="8" sId="1">
    <oc r="O9">
      <f>O12+O54+O83+O96+O138+O143+O152+O161+O167+O200+O226+O235+O249+O255+O272</f>
    </oc>
    <nc r="O9">
      <f>O12+O54+O83+O96+O138+O143+O152+O161+O167+O200+O226+O235+O249+O255+O272</f>
    </nc>
  </rcc>
  <rcc rId="9" sId="1">
    <oc r="Q8">
      <f>Q11+Q53+Q82+Q95+Q166+Q199+Q225+Q254</f>
    </oc>
    <nc r="Q8">
      <f>Q11+Q53+Q82+Q95+Q166+Q199+Q225+Q254</f>
    </nc>
  </rcc>
  <rcc rId="10" sId="1">
    <oc r="R8">
      <f>R11+R53+R82+R95+R166+R199+R225+R254</f>
    </oc>
    <nc r="R8">
      <f>R11+R53+R82+R95+R166+R199+R225+R254</f>
    </nc>
  </rcc>
  <rcc rId="11" sId="1">
    <oc r="Q9">
      <f>Q12+Q54+Q83+Q96+Q143+Q152+Q161+Q167+Q200+Q226+Q235+Q249+Q255+Q272</f>
    </oc>
    <nc r="Q9">
      <f>Q12+Q54+Q83+Q96+Q143+Q152+Q161+Q167+Q200+Q226+Q235+Q249+Q255+Q272</f>
    </nc>
  </rcc>
  <rcc rId="12" sId="1">
    <oc r="R9">
      <f>R12+R54+R83+R96+R138+R143+R152+R161+R167+R200+R226+R235+R249+R255+R272</f>
    </oc>
    <nc r="R9">
      <f>R12+R54+R83+R96+R138+R143+R152+R161+R167+R200+R226+R235+R249+R255+R272</f>
    </nc>
  </rcc>
  <rcc rId="13" sId="1" odxf="1" dxf="1">
    <oc r="T8">
      <f>T11+T53+T82+T95+T142+T151+T160+T166+T199+T225+T234+T254</f>
    </oc>
    <nc r="T8">
      <f>T11+T53+T82+T95+T166+T199+T225+T254</f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4" sId="1">
    <oc r="U8">
      <f>U11+U53+U82+U95+U142+U151+U160+U166+U199+U225+U234+U254</f>
    </oc>
    <nc r="U8">
      <f>U11+U53+U82+U95+U166+U199+U225+U254</f>
    </nc>
  </rcc>
  <rcc rId="15" sId="1" odxf="1" dxf="1">
    <oc r="T9">
      <f>T12+T54+T83+T96+T143+T152+T161+T167+T200+T226+T235+T255+T137+T272</f>
    </oc>
    <nc r="T9">
      <f>T12+T54+T83+T96+T143+T152+T161+T167+T200+T226+T235+T249+T255+T272</f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16" sId="1">
    <oc r="U9">
      <f>U12+U54+U83+U96+U143+U152+U161+U167+U200+U226+U235+U255+U137+U272+U249</f>
    </oc>
    <nc r="U9">
      <f>U12+U54+U83+U96+U138+U143+U152+U161+U167+U200+U226+U235+U249+U255+U272</f>
    </nc>
  </rcc>
  <rcc rId="17" sId="1" numFmtId="4">
    <oc r="O195">
      <v>5225714.99</v>
    </oc>
    <nc r="O195">
      <v>16143080.23</v>
    </nc>
  </rcc>
  <rcc rId="18" sId="1" numFmtId="4">
    <oc r="R195">
      <v>5225714.99</v>
    </oc>
    <nc r="R195">
      <v>16143080.23</v>
    </nc>
  </rcc>
  <rfmt sheetId="1" sqref="J195:S195">
    <dxf>
      <fill>
        <patternFill>
          <bgColor rgb="FFFFFF00"/>
        </patternFill>
      </fill>
    </dxf>
  </rfmt>
  <rcc rId="19" sId="1" odxf="1" dxf="1" numFmtId="4">
    <oc r="U195">
      <v>0</v>
    </oc>
    <nc r="U195">
      <v>16143080.23</v>
    </nc>
    <ndxf>
      <fill>
        <patternFill>
          <bgColor rgb="FFFFFF00"/>
        </patternFill>
      </fill>
    </ndxf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112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fmt sheetId="1" sqref="J178:T178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dn rId="0" localSheetId="1" customView="1" name="Z_F6681789_96F0_4D5A_90BA_C1A8630D3E2C_.wvu.Cols" hidden="1" oldHidden="1">
    <oldFormula>Лист1!$B:$I</oldFormula>
  </rdn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425" sId="1" numFmtId="4">
    <oc r="L244">
      <v>123426692.98</v>
    </oc>
    <nc r="L244">
      <v>147432605.87</v>
    </nc>
  </rcc>
  <rcc rId="426" sId="1" numFmtId="4">
    <oc r="O244">
      <v>81157829.620000005</v>
    </oc>
    <nc r="O244">
      <v>147432605.87</v>
    </nc>
  </rcc>
  <rcc rId="427" sId="1" numFmtId="4">
    <oc r="R244">
      <v>74815973.140000001</v>
    </oc>
    <nc r="R244">
      <v>134963195.33000001</v>
    </nc>
  </rcc>
  <rcc rId="428" sId="1" numFmtId="4">
    <oc r="U244">
      <v>74815973.140000001</v>
    </oc>
    <nc r="U244">
      <v>134963074.41</v>
    </nc>
  </rcc>
  <rfmt sheetId="1" sqref="J244:U245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417" sId="1" odxf="1" s="1" dxf="1" numFmtId="4">
    <oc r="Q243">
      <v>18515093.859999999</v>
    </oc>
    <nc r="Q243">
      <v>33445843.91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cc rId="418" sId="1" odxf="1" s="1" dxf="1" numFmtId="4">
    <oc r="R243">
      <v>377876.95</v>
    </oc>
    <nc r="R243">
      <v>682600.54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fmt sheetId="1" sqref="Q243:R243">
    <dxf>
      <fill>
        <patternFill patternType="solid">
          <bgColor rgb="FFFFFF00"/>
        </patternFill>
      </fill>
    </dxf>
  </rfmt>
  <rcc rId="419" sId="1" odxf="1" s="1" dxf="1" numFmtId="4">
    <oc r="T243">
      <v>18513968.780000001</v>
    </oc>
    <nc r="T243">
      <v>33444718.82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cc rId="420" sId="1" odxf="1" s="1" dxf="1" numFmtId="4">
    <oc r="U243">
      <v>377853.99</v>
    </oc>
    <nc r="U243">
      <v>682577.6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fmt sheetId="1" sqref="T243:U243">
    <dxf>
      <fill>
        <patternFill patternType="solid"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fmt sheetId="1" sqref="B1:L1">
    <dxf>
      <alignment wrapText="0" readingOrder="0"/>
    </dxf>
  </rfmt>
  <rcc rId="494" sId="1">
    <oc r="B1" t="inlineStr">
      <is>
        <t>Отчет об исполнении областной адресной инвестиционной программы за месяцев 2022 года</t>
      </is>
    </oc>
    <nc r="B1"/>
  </rcc>
  <rrc rId="495" sId="1" ref="A1:XFD1" action="deleteRow">
    <undo index="2" exp="area" ref3D="1" dr="$A$3:$XFD$6" dn="Заголовки_для_печати" sId="1"/>
    <undo index="1" exp="area" ref3D="1" dr="$A$1:$F$1048576" dn="Заголовки_для_печати" sId="1"/>
    <undo index="12" exp="area" ref3D="1" dr="$A$203:$XFD$203" dn="Z_F6681789_96F0_4D5A_90BA_C1A8630D3E2C_.wvu.Rows" sId="1"/>
    <undo index="10" exp="area" ref3D="1" dr="$A$91:$XFD$93" dn="Z_F6681789_96F0_4D5A_90BA_C1A8630D3E2C_.wvu.Rows" sId="1"/>
    <undo index="8" exp="area" ref3D="1" dr="$A$50:$XFD$51" dn="Z_F6681789_96F0_4D5A_90BA_C1A8630D3E2C_.wvu.Rows" sId="1"/>
    <undo index="6" exp="area" ref3D="1" dr="$A$45:$XFD$46" dn="Z_F6681789_96F0_4D5A_90BA_C1A8630D3E2C_.wvu.Rows" sId="1"/>
    <undo index="4" exp="area" ref3D="1" dr="$A$28:$XFD$32" dn="Z_F6681789_96F0_4D5A_90BA_C1A8630D3E2C_.wvu.Rows" sId="1"/>
    <undo index="2" exp="area" ref3D="1" dr="$A$24:$XFD$24" dn="Z_F6681789_96F0_4D5A_90BA_C1A8630D3E2C_.wvu.Rows" sId="1"/>
    <undo index="1" exp="area" ref3D="1" dr="$A$15:$XFD$16" dn="Z_F6681789_96F0_4D5A_90BA_C1A8630D3E2C_.wvu.Rows" sId="1"/>
    <undo index="2" exp="area" ref3D="1" dr="$A$3:$XFD$6" dn="Z_F6681789_96F0_4D5A_90BA_C1A8630D3E2C_.wvu.PrintTitles" sId="1"/>
    <undo index="1" exp="area" ref3D="1" dr="$A$1:$F$1048576" dn="Z_F6681789_96F0_4D5A_90BA_C1A8630D3E2C_.wvu.PrintTitles" sId="1"/>
    <undo index="0" exp="area" ref3D="1" dr="$A$1:$W$274" dn="Z_F6681789_96F0_4D5A_90BA_C1A8630D3E2C_.wvu.PrintArea" sId="1"/>
    <undo index="8" exp="area" ref3D="1" dr="$A$245:$XFD$245" dn="Z_40F15A73_9550_4519_BD07_5B1306791A2B_.wvu.Rows" sId="1"/>
    <undo index="6" exp="area" ref3D="1" dr="$A$86:$XFD$86" dn="Z_40F15A73_9550_4519_BD07_5B1306791A2B_.wvu.Rows" sId="1"/>
    <undo index="4" exp="area" ref3D="1" dr="$A$45:$XFD$46" dn="Z_40F15A73_9550_4519_BD07_5B1306791A2B_.wvu.Rows" sId="1"/>
    <undo index="2" exp="area" ref3D="1" dr="$A$28:$XFD$32" dn="Z_40F15A73_9550_4519_BD07_5B1306791A2B_.wvu.Rows" sId="1"/>
    <undo index="1" exp="area" ref3D="1" dr="$A$15:$XFD$16" dn="Z_40F15A73_9550_4519_BD07_5B1306791A2B_.wvu.Rows" sId="1"/>
    <undo index="2" exp="area" ref3D="1" dr="$A$3:$XFD$6" dn="Z_40F15A73_9550_4519_BD07_5B1306791A2B_.wvu.PrintTitles" sId="1"/>
    <undo index="1" exp="area" ref3D="1" dr="$A$1:$F$1048576" dn="Z_40F15A73_9550_4519_BD07_5B1306791A2B_.wvu.PrintTitles" sId="1"/>
    <rfmt sheetId="1" xfDxf="1" sqref="A1:XFD1" start="0" length="0"/>
    <rfmt sheetId="1" sqref="A1" start="0" length="0">
      <dxf>
        <font>
          <sz val="11"/>
          <color theme="1"/>
          <name val="Times New Roman"/>
          <scheme val="none"/>
        </font>
      </dxf>
    </rfmt>
    <rfmt sheetId="1" sqref="B1" start="0" length="0">
      <dxf>
        <font>
          <b/>
          <sz val="14"/>
          <color theme="1"/>
          <name val="Times New Roman"/>
          <scheme val="none"/>
        </font>
        <alignment horizontal="center" vertical="center" readingOrder="0"/>
      </dxf>
    </rfmt>
    <rfmt sheetId="1" sqref="C1" start="0" length="0">
      <dxf>
        <font>
          <b/>
          <sz val="14"/>
          <color theme="1"/>
          <name val="Times New Roman"/>
          <scheme val="none"/>
        </font>
        <alignment vertical="center" readingOrder="0"/>
      </dxf>
    </rfmt>
    <rfmt sheetId="1" sqref="D1" start="0" length="0">
      <dxf>
        <font>
          <b/>
          <sz val="14"/>
          <color theme="1"/>
          <name val="Times New Roman"/>
          <scheme val="none"/>
        </font>
        <alignment vertical="center" readingOrder="0"/>
      </dxf>
    </rfmt>
    <rfmt sheetId="1" sqref="E1" start="0" length="0">
      <dxf>
        <font>
          <b/>
          <sz val="14"/>
          <color theme="1"/>
          <name val="Times New Roman"/>
          <scheme val="none"/>
        </font>
        <alignment vertical="center" readingOrder="0"/>
      </dxf>
    </rfmt>
    <rfmt sheetId="1" sqref="F1" start="0" length="0">
      <dxf>
        <font>
          <b/>
          <sz val="14"/>
          <color theme="1"/>
          <name val="Times New Roman"/>
          <scheme val="none"/>
        </font>
        <alignment vertical="center" readingOrder="0"/>
      </dxf>
    </rfmt>
    <rfmt sheetId="1" sqref="G1" start="0" length="0">
      <dxf>
        <font>
          <b/>
          <sz val="14"/>
          <color theme="1"/>
          <name val="Times New Roman"/>
          <scheme val="none"/>
        </font>
        <alignment vertical="center" readingOrder="0"/>
      </dxf>
    </rfmt>
    <rfmt sheetId="1" sqref="H1" start="0" length="0">
      <dxf>
        <font>
          <b/>
          <sz val="14"/>
          <color theme="1"/>
          <name val="Times New Roman"/>
          <scheme val="none"/>
        </font>
        <alignment vertical="center" readingOrder="0"/>
      </dxf>
    </rfmt>
    <rfmt sheetId="1" sqref="I1" start="0" length="0">
      <dxf>
        <font>
          <b/>
          <sz val="14"/>
          <color theme="1"/>
          <name val="Times New Roman"/>
          <scheme val="none"/>
        </font>
        <alignment vertical="center" readingOrder="0"/>
      </dxf>
    </rfmt>
    <rfmt sheetId="1" sqref="M1" start="0" length="0">
      <dxf>
        <font>
          <sz val="11"/>
          <color theme="1"/>
          <name val="Times New Roman"/>
          <scheme val="none"/>
        </font>
        <numFmt numFmtId="4" formatCode="#,##0.00"/>
      </dxf>
    </rfmt>
    <rfmt sheetId="1" sqref="N1" start="0" length="0">
      <dxf>
        <font>
          <sz val="11"/>
          <color theme="1"/>
          <name val="Times New Roman"/>
          <scheme val="none"/>
        </font>
        <numFmt numFmtId="4" formatCode="#,##0.00"/>
      </dxf>
    </rfmt>
    <rfmt sheetId="1" sqref="O1" start="0" length="0">
      <dxf>
        <font>
          <sz val="11"/>
          <color theme="1"/>
          <name val="Times New Roman"/>
          <scheme val="none"/>
        </font>
      </dxf>
    </rfmt>
    <rfmt sheetId="1" sqref="P1" start="0" length="0">
      <dxf>
        <font>
          <sz val="11"/>
          <color theme="1"/>
          <name val="Times New Roman"/>
          <scheme val="none"/>
        </font>
      </dxf>
    </rfmt>
    <rfmt sheetId="1" sqref="Q1" start="0" length="0">
      <dxf>
        <font>
          <sz val="11"/>
          <color theme="1"/>
          <name val="Times New Roman"/>
          <scheme val="none"/>
        </font>
      </dxf>
    </rfmt>
    <rfmt sheetId="1" sqref="R1" start="0" length="0">
      <dxf>
        <font>
          <sz val="11"/>
          <color theme="1"/>
          <name val="Times New Roman"/>
          <scheme val="none"/>
        </font>
      </dxf>
    </rfmt>
    <rfmt sheetId="1" sqref="S1" start="0" length="0">
      <dxf>
        <font>
          <sz val="11"/>
          <color theme="1"/>
          <name val="Times New Roman"/>
          <scheme val="none"/>
        </font>
      </dxf>
    </rfmt>
    <rfmt sheetId="1" sqref="T1" start="0" length="0">
      <dxf>
        <font>
          <sz val="11"/>
          <color theme="1"/>
          <name val="Times New Roman"/>
          <scheme val="none"/>
        </font>
      </dxf>
    </rfmt>
    <rfmt sheetId="1" sqref="U1" start="0" length="0">
      <dxf>
        <font>
          <sz val="11"/>
          <color theme="1"/>
          <name val="Times New Roman"/>
          <scheme val="none"/>
        </font>
      </dxf>
    </rfmt>
    <rfmt sheetId="1" sqref="V1" start="0" length="0">
      <dxf>
        <font>
          <sz val="11"/>
          <color theme="1"/>
          <name val="Times New Roman"/>
          <scheme val="none"/>
        </font>
      </dxf>
    </rfmt>
    <rfmt sheetId="1" sqref="W1" start="0" length="0">
      <dxf>
        <font>
          <sz val="11"/>
          <color theme="1"/>
          <name val="Times New Roman"/>
          <scheme val="none"/>
        </font>
      </dxf>
    </rfmt>
  </rrc>
  <rrc rId="496" sId="1" ref="A1:XFD1" action="insertRow">
    <undo index="2" exp="area" ref3D="1" dr="$A$2:$XFD$5" dn="Заголовки_для_печати" sId="1"/>
    <undo index="1" exp="area" ref3D="1" dr="$A$1:$F$1048576" dn="Заголовки_для_печати" sId="1"/>
    <undo index="12" exp="area" ref3D="1" dr="$A$202:$XFD$202" dn="Z_F6681789_96F0_4D5A_90BA_C1A8630D3E2C_.wvu.Rows" sId="1"/>
    <undo index="10" exp="area" ref3D="1" dr="$A$90:$XFD$92" dn="Z_F6681789_96F0_4D5A_90BA_C1A8630D3E2C_.wvu.Rows" sId="1"/>
    <undo index="8" exp="area" ref3D="1" dr="$A$49:$XFD$50" dn="Z_F6681789_96F0_4D5A_90BA_C1A8630D3E2C_.wvu.Rows" sId="1"/>
    <undo index="6" exp="area" ref3D="1" dr="$A$44:$XFD$45" dn="Z_F6681789_96F0_4D5A_90BA_C1A8630D3E2C_.wvu.Rows" sId="1"/>
    <undo index="4" exp="area" ref3D="1" dr="$A$27:$XFD$31" dn="Z_F6681789_96F0_4D5A_90BA_C1A8630D3E2C_.wvu.Rows" sId="1"/>
    <undo index="2" exp="area" ref3D="1" dr="$A$23:$XFD$23" dn="Z_F6681789_96F0_4D5A_90BA_C1A8630D3E2C_.wvu.Rows" sId="1"/>
    <undo index="1" exp="area" ref3D="1" dr="$A$14:$XFD$15" dn="Z_F6681789_96F0_4D5A_90BA_C1A8630D3E2C_.wvu.Rows" sId="1"/>
    <undo index="2" exp="area" ref3D="1" dr="$A$2:$XFD$5" dn="Z_F6681789_96F0_4D5A_90BA_C1A8630D3E2C_.wvu.PrintTitles" sId="1"/>
    <undo index="1" exp="area" ref3D="1" dr="$A$1:$F$1048576" dn="Z_F6681789_96F0_4D5A_90BA_C1A8630D3E2C_.wvu.PrintTitles" sId="1"/>
    <undo index="8" exp="area" ref3D="1" dr="$A$244:$XFD$244" dn="Z_40F15A73_9550_4519_BD07_5B1306791A2B_.wvu.Rows" sId="1"/>
    <undo index="6" exp="area" ref3D="1" dr="$A$85:$XFD$85" dn="Z_40F15A73_9550_4519_BD07_5B1306791A2B_.wvu.Rows" sId="1"/>
    <undo index="4" exp="area" ref3D="1" dr="$A$44:$XFD$45" dn="Z_40F15A73_9550_4519_BD07_5B1306791A2B_.wvu.Rows" sId="1"/>
    <undo index="2" exp="area" ref3D="1" dr="$A$27:$XFD$31" dn="Z_40F15A73_9550_4519_BD07_5B1306791A2B_.wvu.Rows" sId="1"/>
    <undo index="1" exp="area" ref3D="1" dr="$A$14:$XFD$15" dn="Z_40F15A73_9550_4519_BD07_5B1306791A2B_.wvu.Rows" sId="1"/>
    <undo index="2" exp="area" ref3D="1" dr="$A$2:$XFD$5" dn="Z_40F15A73_9550_4519_BD07_5B1306791A2B_.wvu.PrintTitles" sId="1"/>
    <undo index="1" exp="area" ref3D="1" dr="$A$1:$F$1048576" dn="Z_40F15A73_9550_4519_BD07_5B1306791A2B_.wvu.PrintTitles" sId="1"/>
  </rrc>
  <rfmt sheetId="1" sqref="G1:L1">
    <dxf>
      <alignment wrapText="1" readingOrder="0"/>
    </dxf>
  </rfmt>
  <rcc rId="497" sId="1">
    <nc r="G1" t="inlineStr">
      <is>
        <t>ОТЧЕТ ОБ ИСПОЛНЕНИИ ОБЛАСТНОЙ АДРЕСНОЙ ИНВЕСТИЦИОННОЙ ПРОГАММЫ ЗА 9 МЕСЯЦЕВ 2022 ГОДА</t>
      </is>
    </nc>
  </rcc>
  <rfmt sheetId="1" sqref="G1:L1">
    <dxf>
      <protection locked="0"/>
    </dxf>
  </rfmt>
  <rdn rId="0" localSheetId="1" customView="1" name="Z_40F15A73_9550_4519_BD07_5B1306791A2B_.wvu.Rows" hidden="1" oldHidden="1">
    <oldFormula>Лист1!$15:$16,Лист1!$28:$32,Лист1!$45:$46,Лист1!$86:$86,Лист1!$245:$245,Лист1!#REF!</oldFormula>
  </rdn>
  <rcv guid="{40F15A73-9550-4519-BD07-5B1306791A2B}" action="delete"/>
  <rdn rId="0" localSheetId="1" customView="1" name="Z_40F15A73_9550_4519_BD07_5B1306791A2B_.wvu.PrintTitles" hidden="1" oldHidden="1">
    <formula>Лист1!$A:$F,Лист1!$3:$6</formula>
    <oldFormula>Лист1!$A:$F,Лист1!$3:$6</oldFormula>
  </rdn>
  <rcv guid="{40F15A73-9550-4519-BD07-5B1306791A2B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66" sId="1" numFmtId="4">
    <oc r="T171">
      <v>15902927.880000001</v>
    </oc>
    <nc r="T171">
      <v>15902927.869999999</v>
    </nc>
  </rcc>
  <rcc rId="67" sId="1" numFmtId="4">
    <oc r="U171">
      <v>324549.53999999998</v>
    </oc>
    <nc r="U171">
      <v>324549.55</v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439" sId="1" odxf="1" s="1" dxf="1" numFmtId="4">
    <oc r="Q246">
      <v>15262955.16</v>
    </oc>
    <nc r="Q246">
      <v>25526435.920000002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cc rId="440" sId="1" odxf="1" s="1" dxf="1" numFmtId="4">
    <oc r="R246">
      <v>311469.94</v>
    </oc>
    <nc r="R246">
      <v>520916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cc rId="441" sId="1" odxf="1" s="1" dxf="1" numFmtId="4">
    <oc r="T246">
      <v>15262955.16</v>
    </oc>
    <nc r="T246">
      <v>25526435.920000002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cc rId="442" sId="1" odxf="1" s="1" dxf="1" numFmtId="4">
    <oc r="U246">
      <v>311469.94</v>
    </oc>
    <nc r="U246">
      <v>520916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fmt sheetId="1" sqref="P246:U246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fmt sheetId="1" sqref="A21">
    <dxf>
      <fill>
        <patternFill>
          <bgColor theme="0"/>
        </patternFill>
      </fill>
    </dxf>
  </rfmt>
  <rdn rId="0" localSheetId="1" customView="1" name="Z_F6681789_96F0_4D5A_90BA_C1A8630D3E2C_.wvu.Cols" hidden="1" oldHidden="1">
    <oldFormula>Лист1!$B:$R</oldFormula>
  </rdn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fmt sheetId="1" sqref="H5:I5">
    <dxf>
      <alignment horizontal="center" readingOrder="0"/>
    </dxf>
  </rfmt>
  <rfmt sheetId="1" sqref="G1:L1">
    <dxf>
      <alignment wrapText="0" readingOrder="0"/>
    </dxf>
  </rfmt>
  <rfmt sheetId="1" sqref="A26:A28">
    <dxf>
      <alignment wrapText="0" readingOrder="0"/>
    </dxf>
  </rfmt>
  <rfmt sheetId="1" sqref="A26:A28">
    <dxf>
      <alignment wrapText="1" readingOrder="0"/>
    </dxf>
  </rfmt>
  <rfmt sheetId="1" sqref="A26:A28">
    <dxf>
      <alignment wrapText="0" readingOrder="0"/>
    </dxf>
  </rfmt>
  <rfmt sheetId="1" sqref="A26:A28">
    <dxf>
      <alignment wrapText="1" readingOrder="0"/>
    </dxf>
  </rfmt>
  <rcv guid="{40F15A73-9550-4519-BD07-5B1306791A2B}" action="delete"/>
  <rdn rId="0" localSheetId="1" customView="1" name="Z_40F15A73_9550_4519_BD07_5B1306791A2B_.wvu.PrintArea" hidden="1" oldHidden="1">
    <formula>Лист1!$A$1:$W$274</formula>
  </rdn>
  <rdn rId="0" localSheetId="1" customView="1" name="Z_40F15A73_9550_4519_BD07_5B1306791A2B_.wvu.PrintTitles" hidden="1" oldHidden="1">
    <formula>Лист1!$A:$F,Лист1!$3:$6</formula>
    <oldFormula>Лист1!$A:$F,Лист1!$3:$6</oldFormula>
  </rdn>
  <rdn rId="0" localSheetId="1" customView="1" name="Z_40F15A73_9550_4519_BD07_5B1306791A2B_.wvu.Rows" hidden="1" oldHidden="1">
    <formula>Лист1!$28:$32,Лист1!$45:$46,Лист1!$78:$80,Лист1!$91:$93,Лист1!$102:$103,Лист1!$106:$106,Лист1!$114:$114,Лист1!$116:$118,Лист1!$120:$120,Лист1!$124:$124,Лист1!$128:$128,Лист1!$261:$263</formula>
  </rdn>
  <rcv guid="{40F15A73-9550-4519-BD07-5B1306791A2B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fmt sheetId="1" sqref="G4:G5">
    <dxf>
      <alignment vertical="center" readingOrder="0"/>
    </dxf>
  </rfmt>
  <rfmt sheetId="1" sqref="G4:G5">
    <dxf>
      <alignment horizontal="center" readingOrder="0"/>
    </dxf>
  </rfmt>
  <rcv guid="{40F15A73-9550-4519-BD07-5B1306791A2B}" action="delete"/>
  <rdn rId="0" localSheetId="1" customView="1" name="Z_40F15A73_9550_4519_BD07_5B1306791A2B_.wvu.PrintTitles" hidden="1" oldHidden="1">
    <formula>Лист1!$A:$F,Лист1!$3:$6</formula>
    <oldFormula>Лист1!$A:$F,Лист1!$3:$6</oldFormula>
  </rdn>
  <rcv guid="{40F15A73-9550-4519-BD07-5B1306791A2B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fmt sheetId="1" sqref="J172:L173">
    <dxf>
      <fill>
        <patternFill>
          <bgColor rgb="FFFFFF00"/>
        </patternFill>
      </fill>
    </dxf>
  </rfmt>
  <rcc rId="112" sId="1" numFmtId="4">
    <oc r="N173">
      <v>210120.42</v>
    </oc>
    <nc r="N173">
      <v>8540352.75</v>
    </nc>
  </rcc>
  <rcc rId="113" sId="1" numFmtId="4">
    <oc r="O173">
      <v>4288.17</v>
    </oc>
    <nc r="O173">
      <v>174292.93</v>
    </nc>
  </rcc>
  <rcc rId="114" sId="1" numFmtId="4">
    <oc r="Q173">
      <v>210120.42</v>
    </oc>
    <nc r="Q173">
      <v>8540352.75</v>
    </nc>
  </rcc>
  <rcc rId="115" sId="1" numFmtId="4">
    <oc r="R173">
      <v>4288.17</v>
    </oc>
    <nc r="R173">
      <v>174292.93</v>
    </nc>
  </rcc>
  <rcc rId="116" sId="1" numFmtId="4">
    <oc r="T173">
      <v>210120.42</v>
    </oc>
    <nc r="T173">
      <v>8540352.7599999998</v>
    </nc>
  </rcc>
  <rcc rId="117" sId="1" numFmtId="4">
    <oc r="U173">
      <v>4288.17</v>
    </oc>
    <nc r="U173">
      <v>174292.92</v>
    </nc>
  </rcc>
  <rfmt sheetId="1" sqref="M172:U173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fmt sheetId="1" sqref="J170:U171">
    <dxf>
      <fill>
        <patternFill>
          <bgColor rgb="FFFFFF00"/>
        </patternFill>
      </fill>
    </dxf>
  </rfmt>
  <rcc rId="56" sId="1" numFmtId="4">
    <oc r="N171">
      <v>12487943.720000001</v>
    </oc>
    <nc r="N171">
      <v>15902927.880000001</v>
    </nc>
  </rcc>
  <rcc rId="57" sId="1" numFmtId="4">
    <oc r="O171">
      <v>254856</v>
    </oc>
    <nc r="O171">
      <v>324549.53999999998</v>
    </nc>
  </rcc>
  <rcc rId="58" sId="1" numFmtId="4">
    <oc r="Q171">
      <v>12487943.720000001</v>
    </oc>
    <nc r="Q171">
      <v>15902927.880000001</v>
    </nc>
  </rcc>
  <rcc rId="59" sId="1" numFmtId="4">
    <oc r="R171">
      <v>254856</v>
    </oc>
    <nc r="R171">
      <v>324549.53999999998</v>
    </nc>
  </rcc>
  <rcc rId="60" sId="1" numFmtId="4">
    <oc r="T171">
      <v>12487943.720000001</v>
    </oc>
    <nc r="T171">
      <v>15902927.880000001</v>
    </nc>
  </rcc>
  <rcc rId="61" sId="1" numFmtId="4">
    <oc r="U171">
      <v>254856</v>
    </oc>
    <nc r="U171">
      <v>324549.53999999998</v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1" sqref="J191:U192">
    <dxf>
      <fill>
        <patternFill>
          <bgColor rgb="FFFFFF00"/>
        </patternFill>
      </fill>
    </dxf>
  </rfmt>
  <rcc rId="46" sId="1" numFmtId="4">
    <oc r="N192">
      <v>791819.38</v>
    </oc>
    <nc r="N192">
      <v>49915116.390000001</v>
    </nc>
  </rcc>
  <rcc rId="47" sId="1" numFmtId="4">
    <oc r="O192">
      <v>16159.58</v>
    </oc>
    <nc r="O192">
      <v>1018675.85</v>
    </nc>
  </rcc>
  <rcc rId="48" sId="1" numFmtId="4">
    <oc r="Q192">
      <v>791819.38</v>
    </oc>
    <nc r="Q192">
      <v>49915116.390000001</v>
    </nc>
  </rcc>
  <rcc rId="49" sId="1" numFmtId="4">
    <oc r="R192">
      <v>16159.58</v>
    </oc>
    <nc r="R192">
      <v>1018675.85</v>
    </nc>
  </rcc>
  <rcc rId="50" sId="1" numFmtId="4">
    <oc r="T192">
      <v>791819.38</v>
    </oc>
    <nc r="T192">
      <v>49915116.390000001</v>
    </nc>
  </rcc>
  <rcc rId="51" sId="1" numFmtId="4">
    <oc r="U192">
      <v>16159.58</v>
    </oc>
    <nc r="U192">
      <v>1018675.85</v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34" sId="1" numFmtId="4">
    <oc r="K188">
      <v>74179800</v>
    </oc>
    <nc r="K188">
      <v>65584800</v>
    </nc>
  </rcc>
  <rcc rId="35" sId="1" numFmtId="4">
    <oc r="L188">
      <v>1513873.47</v>
    </oc>
    <nc r="L188">
      <v>1338465.31</v>
    </nc>
  </rcc>
  <rfmt sheetId="1" sqref="J187:U188">
    <dxf>
      <fill>
        <patternFill>
          <bgColor rgb="FFFFFF00"/>
        </patternFill>
      </fill>
    </dxf>
  </rfmt>
  <rcc rId="36" sId="1" numFmtId="4">
    <oc r="N188">
      <v>33232996.940000001</v>
    </oc>
    <nc r="N188">
      <v>33425548.420000002</v>
    </nc>
  </rcc>
  <rcc rId="37" sId="1" numFmtId="4">
    <oc r="O188">
      <v>678224.43</v>
    </oc>
    <nc r="O188">
      <v>682154.05</v>
    </nc>
  </rcc>
  <rcc rId="38" sId="1" numFmtId="4">
    <oc r="Q188">
      <v>33232996.940000001</v>
    </oc>
    <nc r="Q188">
      <v>33425548.420000002</v>
    </nc>
  </rcc>
  <rcc rId="39" sId="1" numFmtId="4">
    <oc r="R188">
      <v>678224.43</v>
    </oc>
    <nc r="R188">
      <v>682154.05</v>
    </nc>
  </rcc>
  <rcc rId="40" sId="1" numFmtId="4">
    <oc r="T188">
      <v>33232996.940000001</v>
    </oc>
    <nc r="T188">
      <v>33425548.420000002</v>
    </nc>
  </rcc>
  <rcc rId="41" sId="1" numFmtId="4">
    <oc r="U188">
      <v>678224.43</v>
    </oc>
    <nc r="U188">
      <v>682154.05</v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fmt sheetId="1" sqref="J183:T183">
    <dxf>
      <fill>
        <patternFill>
          <bgColor rgb="FFFFFF00"/>
        </patternFill>
      </fill>
    </dxf>
  </rfmt>
  <rcc rId="28" sId="1" numFmtId="4">
    <oc r="T180">
      <v>99957506.430000007</v>
    </oc>
    <nc r="T180">
      <v>102049885.20999999</v>
    </nc>
  </rcc>
  <rcc rId="29" sId="1" numFmtId="4">
    <oc r="U180">
      <v>2039949.11</v>
    </oc>
    <nc r="U180">
      <v>2082650.72</v>
    </nc>
  </rcc>
  <rfmt sheetId="1" sqref="J179:T180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152" sId="1" odxf="1" dxf="1" numFmtId="4">
    <oc r="O274">
      <v>0</v>
    </oc>
    <nc r="O274">
      <v>9000000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153" sId="1" odxf="1" dxf="1">
    <oc r="O270">
      <f>O271</f>
    </oc>
    <nc r="O270">
      <f>O272</f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M270:O274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100" sId="1" numFmtId="4">
    <oc r="N180">
      <v>102049885.20999999</v>
    </oc>
    <nc r="N180">
      <v>102049885.22</v>
    </nc>
  </rcc>
  <rcc rId="101" sId="1" numFmtId="4">
    <oc r="O180">
      <v>2082650.72</v>
    </oc>
    <nc r="O180">
      <v>2082650.71</v>
    </nc>
  </rcc>
  <rcc rId="102" sId="1" numFmtId="4">
    <oc r="Q180">
      <v>102049885.20999999</v>
    </oc>
    <nc r="Q180">
      <v>102049885.22</v>
    </nc>
  </rcc>
  <rcc rId="103" sId="1" numFmtId="4">
    <oc r="R180">
      <v>2082650.72</v>
    </oc>
    <nc r="R180">
      <v>2082650.71</v>
    </nc>
  </rcc>
  <rcc rId="104" sId="1" numFmtId="4">
    <oc r="N190">
      <v>27618888.850000001</v>
    </oc>
    <nc r="N190">
      <v>27618888.84</v>
    </nc>
  </rcc>
  <rcc rId="105" sId="1" numFmtId="4">
    <oc r="O190">
      <v>563650.79</v>
    </oc>
    <nc r="O190">
      <v>563650.80000000005</v>
    </nc>
  </rcc>
  <rcc rId="106" sId="1" numFmtId="4">
    <oc r="Q190">
      <v>27618888.850000001</v>
    </oc>
    <nc r="Q190">
      <v>27618888.84</v>
    </nc>
  </rcc>
  <rcc rId="107" sId="1" numFmtId="4">
    <oc r="R190">
      <v>563650.79</v>
    </oc>
    <nc r="R190">
      <v>563650.80000000005</v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92" sId="1" numFmtId="4">
    <oc r="N184">
      <v>46787442.740000002</v>
    </oc>
    <nc r="N184">
      <v>46787442.75</v>
    </nc>
  </rcc>
  <rcc rId="93" sId="1" numFmtId="4">
    <oc r="O184">
      <v>954845.78</v>
    </oc>
    <nc r="O184">
      <v>954845.77</v>
    </nc>
  </rcc>
  <rcc rId="94" sId="1" numFmtId="4">
    <oc r="Q184">
      <v>46787442.740000002</v>
    </oc>
    <nc r="Q184">
      <v>46787442.75</v>
    </nc>
  </rcc>
  <rcc rId="95" sId="1" numFmtId="4">
    <oc r="R184">
      <v>954845.78</v>
    </oc>
    <nc r="R184">
      <v>954845.77</v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82" sId="1" numFmtId="4">
    <oc r="N177">
      <v>8369812.3799999999</v>
    </oc>
    <nc r="N177">
      <v>13174240.029999999</v>
    </nc>
  </rcc>
  <rcc rId="83" sId="1" numFmtId="4">
    <oc r="O177">
      <v>170812.49</v>
    </oc>
    <nc r="O177">
      <v>268862.03999999998</v>
    </nc>
  </rcc>
  <rfmt sheetId="1" sqref="J176:O177">
    <dxf>
      <fill>
        <patternFill>
          <bgColor rgb="FFFFFF00"/>
        </patternFill>
      </fill>
    </dxf>
  </rfmt>
  <rcc rId="84" sId="1" odxf="1" dxf="1" numFmtId="4">
    <oc r="Q177">
      <v>8369812.3799999999</v>
    </oc>
    <nc r="Q177">
      <v>13174240.029999999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85" sId="1" odxf="1" dxf="1" numFmtId="4">
    <oc r="R177">
      <v>170812.49</v>
    </oc>
    <nc r="R177">
      <v>268862.03999999998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86" sId="1" odxf="1" dxf="1" numFmtId="4">
    <oc r="T177">
      <v>8369812.3799999999</v>
    </oc>
    <nc r="T177">
      <v>13174240.029999999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87" sId="1" odxf="1" dxf="1" numFmtId="4">
    <oc r="U177">
      <v>170812.49</v>
    </oc>
    <nc r="U177">
      <v>268862.03999999998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fmt sheetId="1" sqref="J189:U190">
    <dxf>
      <fill>
        <patternFill>
          <bgColor rgb="FFFFFF00"/>
        </patternFill>
      </fill>
    </dxf>
  </rfmt>
  <rfmt sheetId="1" sqref="J193:L194">
    <dxf>
      <fill>
        <patternFill>
          <bgColor rgb="FFFFFF00"/>
        </patternFill>
      </fill>
    </dxf>
  </rfmt>
  <rcc rId="72" sId="1" numFmtId="4">
    <oc r="N194">
      <v>10312434.5</v>
    </oc>
    <nc r="N194">
      <v>26915918.640000001</v>
    </nc>
  </rcc>
  <rcc rId="73" sId="1" numFmtId="4">
    <oc r="O194">
      <v>210457.85</v>
    </oc>
    <nc r="O194">
      <v>549304.48</v>
    </nc>
  </rcc>
  <rcc rId="74" sId="1" numFmtId="4">
    <oc r="Q194">
      <v>10312434.5</v>
    </oc>
    <nc r="Q194">
      <v>26915918.640000001</v>
    </nc>
  </rcc>
  <rcc rId="75" sId="1" numFmtId="4">
    <oc r="R194">
      <v>210457.85</v>
    </oc>
    <nc r="R194">
      <v>549304.48</v>
    </nc>
  </rcc>
  <rcc rId="76" sId="1" numFmtId="4">
    <oc r="U194">
      <v>0</v>
    </oc>
    <nc r="U194">
      <v>549304.46</v>
    </nc>
  </rcc>
  <rcc rId="77" sId="1" numFmtId="4">
    <oc r="T194">
      <v>0</v>
    </oc>
    <nc r="T194">
      <v>26915918.66</v>
    </nc>
  </rcc>
  <rfmt sheetId="1" sqref="M193:U194">
    <dxf>
      <fill>
        <patternFill>
          <bgColor rgb="FFFFFF00"/>
        </patternFill>
      </fill>
    </dxf>
  </rfmt>
  <rfmt sheetId="1" sqref="J184:U186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22" sId="1" odxf="1" s="1" dxf="1" numFmtId="4">
    <oc r="O257">
      <v>0</v>
    </oc>
    <nc r="O257">
      <v>15000000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J257:O257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176" sId="1" numFmtId="4">
    <oc r="N208">
      <v>60000000</v>
    </oc>
    <nc r="N208">
      <v>131052340.8</v>
    </nc>
  </rcc>
  <rcc rId="177" sId="1" numFmtId="4">
    <oc r="Q208">
      <v>60000000</v>
    </oc>
    <nc r="Q208">
      <v>131052340.8</v>
    </nc>
  </rcc>
  <rcc rId="178" sId="1" numFmtId="4">
    <oc r="T208">
      <v>60000000</v>
    </oc>
    <nc r="T208">
      <v>131052340.8</v>
    </nc>
  </rcc>
  <rcc rId="179" sId="1" numFmtId="4">
    <oc r="N207">
      <v>441226714.80000001</v>
    </oc>
    <nc r="N207">
      <v>595486570.79999995</v>
    </nc>
  </rcc>
  <rcc rId="180" sId="1" numFmtId="4">
    <oc r="Q207">
      <v>441226714.80000001</v>
    </oc>
    <nc r="Q207">
      <v>595486570.79999995</v>
    </nc>
  </rcc>
  <rcc rId="181" sId="1" numFmtId="4">
    <oc r="T207">
      <v>441226714.80000001</v>
    </oc>
    <nc r="T207">
      <v>595486570.79999995</v>
    </nc>
  </rcc>
  <rfmt sheetId="1" sqref="J206:T208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fmt sheetId="1" sqref="J170:L197">
    <dxf>
      <fill>
        <patternFill>
          <bgColor theme="0"/>
        </patternFill>
      </fill>
    </dxf>
  </rfmt>
  <rfmt sheetId="1" sqref="K183:L183">
    <dxf>
      <fill>
        <patternFill>
          <bgColor rgb="FFFFFF00"/>
        </patternFill>
      </fill>
    </dxf>
  </rfmt>
  <rfmt sheetId="1" sqref="K179:L179">
    <dxf>
      <fill>
        <patternFill>
          <bgColor rgb="FFFFFF00"/>
        </patternFill>
      </fill>
    </dxf>
  </rfmt>
  <rfmt sheetId="1" sqref="K187:L187">
    <dxf>
      <fill>
        <patternFill>
          <bgColor rgb="FFFFFF00"/>
        </patternFill>
      </fill>
    </dxf>
  </rfmt>
  <rfmt sheetId="1" sqref="K191:L191">
    <dxf>
      <fill>
        <patternFill>
          <bgColor rgb="FFFFFF00"/>
        </patternFill>
      </fill>
    </dxf>
  </rfmt>
  <rcc rId="142" sId="1" numFmtId="4">
    <oc r="K194">
      <v>27610400</v>
    </oc>
    <nc r="K194">
      <v>27610399.989999998</v>
    </nc>
  </rcc>
  <rcc rId="143" sId="1" numFmtId="4">
    <oc r="L194">
      <v>563477.55000000005</v>
    </oc>
    <nc r="L194">
      <v>563477.56000000006</v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fmt sheetId="1" sqref="J196:L197">
    <dxf>
      <fill>
        <patternFill>
          <bgColor rgb="FFFFFF00"/>
        </patternFill>
      </fill>
    </dxf>
  </rfmt>
  <rcc rId="132" sId="1" numFmtId="4">
    <oc r="N197">
      <v>0</v>
    </oc>
    <nc r="N197">
      <v>9473598.8499999996</v>
    </nc>
  </rcc>
  <rcc rId="133" sId="1" numFmtId="4">
    <oc r="O197">
      <v>0</v>
    </oc>
    <nc r="O197">
      <v>193338.75</v>
    </nc>
  </rcc>
  <rcc rId="134" sId="1" numFmtId="4">
    <oc r="Q197">
      <v>0</v>
    </oc>
    <nc r="Q197">
      <v>9473598.8499999996</v>
    </nc>
  </rcc>
  <rcc rId="135" sId="1" numFmtId="4">
    <oc r="R197">
      <v>0</v>
    </oc>
    <nc r="R197">
      <v>193338.75</v>
    </nc>
  </rcc>
  <rcc rId="136" sId="1" numFmtId="4">
    <oc r="T197">
      <v>0</v>
    </oc>
    <nc r="T197">
      <v>9473598.8499999996</v>
    </nc>
  </rcc>
  <rcc rId="137" sId="1" numFmtId="4">
    <oc r="U197">
      <v>0</v>
    </oc>
    <nc r="U197">
      <v>193338.75</v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fmt sheetId="1" sqref="J174:L175">
    <dxf>
      <fill>
        <patternFill>
          <bgColor rgb="FFFFFF00"/>
        </patternFill>
      </fill>
    </dxf>
  </rfmt>
  <rcc rId="122" sId="1" numFmtId="4">
    <oc r="K175">
      <v>23035900</v>
    </oc>
    <nc r="K175">
      <v>31630900</v>
    </nc>
  </rcc>
  <rcc rId="123" sId="1" numFmtId="4">
    <oc r="L175">
      <v>470120.41</v>
    </oc>
    <nc r="L175">
      <v>645528.56999999995</v>
    </nc>
  </rcc>
  <rcc rId="124" sId="1" numFmtId="4">
    <oc r="N175">
      <v>20778176.280000001</v>
    </oc>
    <nc r="N175">
      <v>20778176.32</v>
    </nc>
  </rcc>
  <rcc rId="125" sId="1" numFmtId="4">
    <oc r="O175">
      <v>424044.43</v>
    </oc>
    <nc r="O175">
      <v>424044.39</v>
    </nc>
  </rcc>
  <rcc rId="126" sId="1" numFmtId="4">
    <oc r="Q175">
      <v>20778176.280000001</v>
    </oc>
    <nc r="Q175">
      <v>20778176.32</v>
    </nc>
  </rcc>
  <rcc rId="127" sId="1" numFmtId="4">
    <oc r="R175">
      <v>424044.43</v>
    </oc>
    <nc r="R175">
      <v>424044.39</v>
    </nc>
  </rcc>
  <rfmt sheetId="1" sqref="M174:U175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360" sId="1" numFmtId="4">
    <oc r="R238">
      <v>111662.71</v>
    </oc>
    <nc r="R238">
      <v>2271262.08</v>
    </nc>
  </rcc>
  <rcc rId="361" sId="1" numFmtId="4">
    <oc r="U238">
      <v>111662.71</v>
    </oc>
    <nc r="U238">
      <v>2271262.08</v>
    </nc>
  </rcc>
  <rfmt sheetId="1" sqref="P238:U238">
    <dxf>
      <fill>
        <patternFill>
          <bgColor rgb="FFFFFF00"/>
        </patternFill>
      </fill>
    </dxf>
  </rfmt>
  <rcc rId="362" sId="1" numFmtId="4">
    <oc r="R239">
      <f>239530.14+3451290.53</f>
    </oc>
    <nc r="R239">
      <v>30558971.199999999</v>
    </nc>
  </rcc>
  <rcc rId="363" sId="1" numFmtId="4">
    <oc r="U239">
      <f>239470.14+3451290.53</f>
    </oc>
    <nc r="U239">
      <v>30558971.199999999</v>
    </nc>
  </rcc>
  <rfmt sheetId="1" sqref="P239:U239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312" sId="1" numFmtId="4">
    <nc r="M247">
      <v>0</v>
    </nc>
  </rcc>
  <rcc rId="313" sId="1" numFmtId="4">
    <nc r="O247">
      <v>0</v>
    </nc>
  </rcc>
  <rcc rId="314" sId="1" numFmtId="4">
    <nc r="P247">
      <v>0</v>
    </nc>
  </rcc>
  <rcc rId="315" sId="1" numFmtId="4">
    <nc r="R247">
      <v>0</v>
    </nc>
  </rcc>
  <rcc rId="316" sId="1" numFmtId="4">
    <nc r="S247">
      <v>0</v>
    </nc>
  </rcc>
  <rcc rId="317" sId="1" numFmtId="4">
    <nc r="U247">
      <v>0</v>
    </nc>
  </rcc>
  <rcc rId="318" sId="1">
    <nc r="W247">
      <f>S247/M247*100</f>
    </nc>
  </rcc>
  <rcc rId="319" sId="1">
    <nc r="V247">
      <f>S247/J247*100</f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fmt sheetId="1" s="1" sqref="Q265" start="0" length="0">
    <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dxf>
  </rfmt>
  <rfmt sheetId="1" s="1" sqref="R265" start="0" length="0">
    <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dxf>
  </rfmt>
  <rcc rId="214" sId="1" numFmtId="4">
    <oc r="Q265">
      <f>16898438.01+3660237.83</f>
    </oc>
    <nc r="Q265">
      <f>24920675.39+6441678.23</f>
    </nc>
  </rcc>
  <rcc rId="215" sId="1" numFmtId="4">
    <oc r="R265">
      <f>344866.08+74698.73</f>
    </oc>
    <nc r="R265">
      <f>508585.2+131462.82</f>
    </nc>
  </rcc>
  <rcc rId="216" sId="1" odxf="1" s="1" dxf="1">
    <oc r="T265">
      <f>16898438.01+3660237.83</f>
    </oc>
    <nc r="T265">
      <f>24920675.39+6441678.23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cc rId="217" sId="1" odxf="1" s="1" dxf="1">
    <oc r="U265">
      <f>344866.08+74698.73</f>
    </oc>
    <nc r="U265">
      <f>508585.2+131462.82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D9D9D9"/>
        </left>
        <right style="thin">
          <color rgb="FFD9D9D9"/>
        </right>
        <top/>
        <bottom style="thin">
          <color rgb="FFD9D9D9"/>
        </bottom>
      </border>
    </ndxf>
  </rcc>
  <rfmt sheetId="1" sqref="P264:U265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163" sId="1" numFmtId="4">
    <oc r="O269">
      <v>3500000</v>
    </oc>
    <nc r="O269">
      <v>7000000</v>
    </nc>
  </rcc>
  <rfmt sheetId="1" sqref="M269:O269">
    <dxf>
      <fill>
        <patternFill>
          <bgColor rgb="FFFFFF00"/>
        </patternFill>
      </fill>
    </dxf>
  </rfmt>
  <rdn rId="0" localSheetId="2" customView="1" name="Z_F6681789_96F0_4D5A_90BA_C1A8630D3E2C_.wvu.PrintArea" hidden="1"/>
  <rdn rId="0" localSheetId="2" customView="1" name="Z_F6681789_96F0_4D5A_90BA_C1A8630D3E2C_.wvu.PrintTitles" hidden="1"/>
  <rdn rId="0" localSheetId="2" customView="1" name="Z_F6681789_96F0_4D5A_90BA_C1A8630D3E2C_.wvu.Rows" hidden="1"/>
  <rdn rId="0" localSheetId="2" customView="1" name="Z_F6681789_96F0_4D5A_90BA_C1A8630D3E2C_.wvu.Cols" hidden="1"/>
  <rdn rId="0" localSheetId="3" customView="1" name="Z_F6681789_96F0_4D5A_90BA_C1A8630D3E2C_.wvu.PrintArea" hidden="1"/>
  <rdn rId="0" localSheetId="3" customView="1" name="Z_F6681789_96F0_4D5A_90BA_C1A8630D3E2C_.wvu.PrintTitles" hidden="1"/>
  <rdn rId="0" localSheetId="3" customView="1" name="Z_F6681789_96F0_4D5A_90BA_C1A8630D3E2C_.wvu.Rows" hidden="1"/>
  <rdn rId="0" localSheetId="3" customView="1" name="Z_F6681789_96F0_4D5A_90BA_C1A8630D3E2C_.wvu.Cols" hidden="1"/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158" sId="1">
    <oc r="A268" t="inlineStr">
      <is>
        <t>Министерство по делам молодежи и спорту Архангельской области</t>
      </is>
    </oc>
    <nc r="A268" t="inlineStr">
      <is>
        <t>Министерство  спорта Архангельской области</t>
      </is>
    </nc>
  </rcc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379" sId="1" numFmtId="4">
    <oc r="L231">
      <v>42780473.810000002</v>
    </oc>
    <nc r="L231">
      <v>95551331.700000003</v>
    </nc>
  </rcc>
  <rcc rId="380" sId="1" numFmtId="4">
    <oc r="O231">
      <v>34129649.310000002</v>
    </oc>
    <nc r="O231">
      <v>95551331.700000003</v>
    </nc>
  </rcc>
  <rcc rId="381" sId="1" numFmtId="4">
    <oc r="R231">
      <v>25092670.510000002</v>
    </oc>
    <nc r="R231">
      <v>58225969.109999999</v>
    </nc>
  </rcc>
  <rcc rId="382" sId="1" numFmtId="4">
    <oc r="U231">
      <v>25092670.510000002</v>
    </oc>
    <nc r="U231">
      <v>58225969.109999999</v>
    </nc>
  </rcc>
  <rfmt sheetId="1" sqref="J231:L231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fmt sheetId="1" xfDxf="1" sqref="L252" start="0" length="0">
    <dxf>
      <font>
        <color auto="1"/>
        <name val="Times New Roman"/>
        <scheme val="none"/>
      </font>
      <numFmt numFmtId="4" formatCode="#,##0.00"/>
      <fill>
        <patternFill patternType="solid">
          <bgColor theme="0"/>
        </patternFill>
      </fill>
      <alignment horizontal="right" vertical="top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292" sId="1" odxf="1" s="1" dxf="1" numFmtId="4">
    <nc r="L252">
      <v>72178200.659999996</v>
    </nc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3" sId="1" odxf="1" s="1" dxf="1" numFmtId="4">
    <nc r="J252">
      <v>72178200.659999996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4" sId="1" numFmtId="4">
    <nc r="O252">
      <v>0</v>
    </nc>
  </rcc>
  <rcc rId="295" sId="1" numFmtId="4">
    <nc r="M252">
      <v>0</v>
    </nc>
  </rcc>
  <rcc rId="296" sId="1" numFmtId="4">
    <nc r="R252">
      <v>0</v>
    </nc>
  </rcc>
  <rcc rId="297" sId="1" numFmtId="4">
    <nc r="P252">
      <v>0</v>
    </nc>
  </rcc>
  <rcc rId="298" sId="1" numFmtId="4">
    <nc r="U252">
      <v>0</v>
    </nc>
  </rcc>
  <rcc rId="299" sId="1" numFmtId="4">
    <nc r="S252">
      <v>0</v>
    </nc>
  </rcc>
  <rcc rId="300" sId="1" odxf="1" s="1" dxf="1" numFmtId="4">
    <nc r="L251">
      <v>72178200.659999996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1" sId="1" odxf="1" s="1" dxf="1" numFmtId="4">
    <nc r="J251">
      <v>72178200.659999996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2" sId="1" odxf="1" s="1" dxf="1" numFmtId="4">
    <nc r="L250">
      <v>72178200.659999996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3" sId="1" odxf="1" s="1" dxf="1" numFmtId="4">
    <nc r="J250">
      <v>72178200.659999996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4" sId="1" odxf="1" s="1" dxf="1" numFmtId="4">
    <nc r="L249">
      <v>72178200.659999996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5" sId="1" odxf="1" s="1" dxf="1" numFmtId="4">
    <nc r="J249">
      <v>72178200.659999996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6" sId="1" odxf="1" s="1" dxf="1" numFmtId="4">
    <nc r="L247">
      <v>72178200.659999996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7" sId="1" odxf="1" s="1" dxf="1" numFmtId="4">
    <nc r="J247">
      <v>72178200.659999996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J247:L247" start="0" length="2147483647">
    <dxf>
      <font>
        <b/>
      </font>
    </dxf>
  </rfmt>
  <rfmt sheetId="1" sqref="J247:L252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fmt sheetId="1" sqref="J266:O266">
    <dxf>
      <fill>
        <patternFill>
          <bgColor rgb="FFFFFF00"/>
        </patternFill>
      </fill>
    </dxf>
  </rfmt>
  <rcc rId="204" sId="1" odxf="1" s="1" dxf="1" numFmtId="4">
    <oc r="R266">
      <v>0</v>
    </oc>
    <nc r="R266">
      <v>28124.25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05" sId="1" odxf="1" s="1" dxf="1" numFmtId="4">
    <oc r="U266">
      <v>0</v>
    </oc>
    <nc r="U266">
      <v>28124.25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P266:U266">
    <dxf>
      <fill>
        <patternFill>
          <bgColor rgb="FFFFFF00"/>
        </patternFill>
      </fill>
    </dxf>
  </rfmt>
  <rfmt sheetId="1" xfDxf="1" sqref="K265" start="0" length="0">
    <dxf>
      <font>
        <color auto="1"/>
        <name val="Times New Roman"/>
        <scheme val="none"/>
      </font>
      <numFmt numFmtId="4" formatCode="#,##0.00"/>
      <fill>
        <patternFill patternType="solid">
          <bgColor theme="0"/>
        </patternFill>
      </fill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6" sId="1">
    <oc r="K265">
      <v>43660690.399999999</v>
    </oc>
    <nc r="K265">
      <f>37087590.4+6573100</f>
    </nc>
  </rcc>
  <rcc rId="207" sId="1">
    <oc r="L265">
      <v>891034.5</v>
    </oc>
    <nc r="L265">
      <f>756889.6+134144.9</f>
    </nc>
  </rcc>
  <rcc rId="208" sId="1">
    <oc r="N265">
      <f>16898438.01+3660237.83</f>
    </oc>
    <nc r="N265">
      <f>36138998.1+6573100</f>
    </nc>
  </rcc>
  <rfmt sheetId="1" s="1" sqref="O265" start="0" length="0">
    <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209" sId="1">
    <oc r="O265">
      <f>344866.08+74698.73</f>
    </oc>
    <nc r="O265">
      <f>737530.58+134144.9</f>
    </nc>
  </rcc>
  <rfmt sheetId="1" sqref="J264:O265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fmt sheetId="1" sqref="J205:U205">
    <dxf>
      <fill>
        <patternFill>
          <bgColor rgb="FFFFFF00"/>
        </patternFill>
      </fill>
    </dxf>
  </rfmt>
  <rfmt sheetId="1" sqref="J217:L217">
    <dxf>
      <fill>
        <patternFill>
          <bgColor rgb="FFFFFF00"/>
        </patternFill>
      </fill>
    </dxf>
  </rfmt>
  <rfmt sheetId="1" sqref="J209:U209">
    <dxf>
      <fill>
        <patternFill>
          <bgColor rgb="FFFFFF00"/>
        </patternFill>
      </fill>
    </dxf>
  </rfmt>
  <rfmt sheetId="1" sqref="J210:R210">
    <dxf>
      <fill>
        <patternFill>
          <bgColor rgb="FFFFFF00"/>
        </patternFill>
      </fill>
    </dxf>
  </rfmt>
  <rfmt sheetId="1" sqref="J213:L214">
    <dxf>
      <fill>
        <patternFill>
          <bgColor rgb="FFFFFF00"/>
        </patternFill>
      </fill>
    </dxf>
  </rfmt>
  <rcc rId="194" sId="1" numFmtId="4">
    <oc r="N214">
      <v>20638193.190000001</v>
    </oc>
    <nc r="N214">
      <v>21084967.859999999</v>
    </nc>
  </rcc>
  <rcc rId="195" sId="1" numFmtId="4">
    <oc r="O214">
      <v>2295682.33</v>
    </oc>
    <nc r="O214">
      <v>2345379.16</v>
    </nc>
  </rcc>
  <rfmt sheetId="1" sqref="M213:O214">
    <dxf>
      <fill>
        <patternFill>
          <bgColor rgb="FFFFFF00"/>
        </patternFill>
      </fill>
    </dxf>
  </rfmt>
  <rcc rId="196" sId="1" odxf="1" dxf="1" numFmtId="4">
    <oc r="Q214">
      <v>20638193.190000001</v>
    </oc>
    <nc r="Q214">
      <v>21084967.859999999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197" sId="1" odxf="1" dxf="1" numFmtId="4">
    <oc r="R214">
      <v>2295682.33</v>
    </oc>
    <nc r="R214">
      <v>2345379.16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198" sId="1" odxf="1" dxf="1" numFmtId="4">
    <oc r="T214">
      <v>382992.3</v>
    </oc>
    <nc r="T214">
      <v>21084967.859999999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199" sId="1" odxf="1" dxf="1" numFmtId="4">
    <oc r="U214">
      <v>42554.7</v>
    </oc>
    <nc r="U214">
      <v>2345379.16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P213:U214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c rId="186" sId="1" odxf="1" s="1" dxf="1" numFmtId="4">
    <oc r="L267">
      <v>6986794.7000000002</v>
    </oc>
    <nc r="L267">
      <v>31517794.699999999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187" sId="1" odxf="1" s="1" dxf="1" numFmtId="4">
    <oc r="O267">
      <v>3046698.41</v>
    </oc>
    <nc r="O267">
      <v>31517794.699999999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J267:O267">
    <dxf>
      <fill>
        <patternFill>
          <bgColor rgb="FFFFFF00"/>
        </patternFill>
      </fill>
    </dxf>
  </rfmt>
  <rcc rId="188" sId="1" odxf="1" s="1" dxf="1" numFmtId="4">
    <oc r="R267">
      <v>2760202.33</v>
    </oc>
    <nc r="R267">
      <v>15488753.16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189" sId="1" odxf="1" s="1" dxf="1" numFmtId="4">
    <oc r="U267">
      <v>2760202.33</v>
    </oc>
    <nc r="U267">
      <v>15488753.16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P267:U267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fmt sheetId="1" sqref="K243:L243">
    <dxf>
      <fill>
        <patternFill>
          <bgColor rgb="FFFFFF00"/>
        </patternFill>
      </fill>
    </dxf>
  </rfmt>
  <rcc rId="411" sId="1" odxf="1" dxf="1" numFmtId="4">
    <oc r="N243">
      <v>20365093.859999999</v>
    </oc>
    <nc r="N243">
      <v>51540660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412" sId="1" odxf="1" dxf="1" numFmtId="4">
    <oc r="O243">
      <v>414976.95</v>
    </oc>
    <nc r="O243">
      <v>1051900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353" sId="1" numFmtId="4">
    <oc r="Q238">
      <v>5465889.3600000003</v>
    </oc>
    <nc r="Q238">
      <v>11725000</v>
    </nc>
  </rcc>
  <rfmt sheetId="1" sqref="Q238:Q239">
    <dxf>
      <fill>
        <patternFill>
          <bgColor rgb="FFFFFF00"/>
        </patternFill>
      </fill>
    </dxf>
  </rfmt>
  <rcc rId="354" sId="1" odxf="1" dxf="1" numFmtId="4">
    <oc r="T239">
      <v>11722063</v>
    </oc>
    <nc r="T239">
      <v>11725000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355" sId="1" odxf="1" dxf="1" numFmtId="4">
    <oc r="T238">
      <v>5465889.3600000003</v>
    </oc>
    <nc r="T238">
      <v>11725000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235" sId="1" numFmtId="4">
    <oc r="K259">
      <v>275839609.60000002</v>
    </oc>
    <nc r="K259">
      <v>304830309.60000002</v>
    </nc>
  </rcc>
  <rcc rId="236" sId="1" numFmtId="4">
    <oc r="L259">
      <v>5629379.7999999998</v>
    </oc>
    <nc r="L259">
      <v>6221026.7399999993</v>
    </nc>
  </rcc>
  <rfmt sheetId="1" sqref="J259:L259">
    <dxf>
      <fill>
        <patternFill>
          <bgColor rgb="FFFFFF00"/>
        </patternFill>
      </fill>
    </dxf>
  </rfmt>
  <rcc rId="237" sId="1" numFmtId="4">
    <oc r="N259">
      <f>138134599.24+39687600</f>
    </oc>
    <nc r="N259">
      <v>294768500</v>
    </nc>
  </rcc>
  <rcc rId="238" sId="1" numFmtId="4">
    <oc r="O259">
      <f>2819073.45+809951.03</f>
    </oc>
    <nc r="O259">
      <v>6221026.7399999993</v>
    </nc>
  </rcc>
  <rfmt sheetId="1" sqref="M259:O259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227" sId="1" odxf="1" s="1" dxf="1" numFmtId="4">
    <oc r="L260">
      <v>23177600</v>
    </oc>
    <nc r="L260">
      <v>34585953.060000002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8" sId="1" odxf="1" s="1" dxf="1" numFmtId="4">
    <oc r="O260">
      <v>661132.79</v>
    </oc>
    <nc r="O260">
      <v>34585953.060000002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9" sId="1" odxf="1" s="1" dxf="1" numFmtId="4">
    <oc r="R260">
      <v>661132.79</v>
    </oc>
    <nc r="R260">
      <v>8459386.8599999994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0" sId="1" odxf="1" s="1" dxf="1" numFmtId="4">
    <oc r="U260">
      <v>661132.79</v>
    </oc>
    <nc r="U260">
      <v>8459386.8599999994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Arial Cyr"/>
        <scheme val="none"/>
      </font>
      <fill>
        <patternFill patternType="none">
          <bgColor indexed="65"/>
        </patternFill>
      </fill>
      <alignment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J260:U260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fmt sheetId="1" sqref="N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:H14" start="0" length="0">
    <dxf>
      <border>
        <right style="thin">
          <color indexed="64"/>
        </right>
      </border>
    </dxf>
  </rfmt>
  <rfmt sheetId="1" sqref="K7:K11" start="0" length="0">
    <dxf>
      <border>
        <right style="thin">
          <color indexed="64"/>
        </right>
      </border>
    </dxf>
  </rfmt>
  <rfmt sheetId="1" sqref="N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Q8:Q9" start="0" length="0">
    <dxf>
      <border>
        <right style="thin">
          <color indexed="64"/>
        </right>
      </border>
    </dxf>
  </rfmt>
  <rfmt sheetId="1" sqref="T7:T10" start="0" length="0">
    <dxf>
      <border>
        <right style="thin">
          <color indexed="64"/>
        </right>
      </border>
    </dxf>
  </rfmt>
  <rfmt sheetId="1" sqref="U3:U274" start="0" length="0">
    <dxf>
      <border>
        <right style="medium">
          <color indexed="64"/>
        </right>
      </border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fmt sheetId="1" sqref="U242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fmt sheetId="1" sqref="J232:L232">
    <dxf>
      <fill>
        <patternFill>
          <bgColor rgb="FFFFFF00"/>
        </patternFill>
      </fill>
    </dxf>
  </rfmt>
  <rcc rId="372" sId="1" numFmtId="4">
    <oc r="O232">
      <v>1000000</v>
    </oc>
    <nc r="O232">
      <v>2855706.71</v>
    </nc>
  </rcc>
  <rcc rId="373" sId="1" numFmtId="4">
    <oc r="R232">
      <v>0</v>
    </oc>
    <nc r="R232">
      <v>2855706.71</v>
    </nc>
  </rcc>
  <rcc rId="374" sId="1" numFmtId="4">
    <oc r="U232">
      <v>0</v>
    </oc>
    <nc r="U232">
      <v>2855706.71</v>
    </nc>
  </rcc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c rId="346" sId="1" odxf="1" dxf="1" numFmtId="4">
    <oc r="N238">
      <v>5466454</v>
    </oc>
    <nc r="N238">
      <v>11725000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fmt sheetId="1" sqref="N239">
    <dxf>
      <fill>
        <patternFill>
          <bgColor rgb="FFFFFF00"/>
        </patternFill>
      </fill>
    </dxf>
  </rfmt>
  <rcc rId="347" sId="1" numFmtId="4">
    <oc r="O238">
      <v>111889.08</v>
    </oc>
    <nc r="O238">
      <v>2271262.08</v>
    </nc>
  </rcc>
  <rfmt sheetId="1" sqref="O238">
    <dxf>
      <fill>
        <patternFill>
          <bgColor rgb="FFFFFF00"/>
        </patternFill>
      </fill>
    </dxf>
  </rfmt>
  <rcc rId="348" sId="1" numFmtId="4">
    <oc r="O239">
      <f>239530.14+3451290.53</f>
    </oc>
    <nc r="O239">
      <v>39880814.57</v>
    </nc>
  </rcc>
  <rfmt sheetId="1" sqref="O239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c rId="329" sId="1" odxf="1" dxf="1">
    <oc r="K199">
      <f>K207+K212+K214+K216+K219</f>
    </oc>
    <nc r="K199">
      <f>K207+K212+K214+K216+K219</f>
    </nc>
    <odxf>
      <font>
        <color auto="1"/>
        <name val="Times New Roman"/>
        <scheme val="none"/>
      </font>
    </odxf>
    <ndxf>
      <font>
        <color auto="1"/>
        <name val="Times New Roman"/>
        <scheme val="none"/>
      </font>
    </ndxf>
  </rcc>
  <rcc rId="330" sId="1">
    <oc r="L199">
      <f>L214+L212+L216+L219+L223</f>
    </oc>
    <nc r="L199">
      <f>L214+L212+L216+L219+L223</f>
    </nc>
  </rcc>
  <rcc rId="331" sId="1" odxf="1" dxf="1">
    <oc r="K200">
      <f>K198-K199</f>
    </oc>
    <nc r="K200">
      <f>K198-K199</f>
    </nc>
    <odxf>
      <font>
        <color auto="1"/>
        <name val="Times New Roman"/>
        <scheme val="none"/>
      </font>
    </odxf>
    <ndxf>
      <font>
        <color auto="1"/>
        <name val="Times New Roman"/>
        <scheme val="none"/>
      </font>
    </ndxf>
  </rcc>
  <rcc rId="332" sId="1">
    <oc r="L200">
      <f>L198-L199</f>
    </oc>
    <nc r="L200">
      <f>L198-L199</f>
    </nc>
  </rcc>
  <rcc rId="333" sId="1" odxf="1" dxf="1">
    <oc r="N199">
      <f>N207+N212+N214+N216+N219</f>
    </oc>
    <nc r="N199">
      <f>N207+N212+N214+N216+N219</f>
    </nc>
    <odxf>
      <font>
        <color auto="1"/>
        <name val="Times New Roman"/>
        <scheme val="none"/>
      </font>
    </odxf>
    <ndxf>
      <font>
        <color auto="1"/>
        <name val="Times New Roman"/>
        <scheme val="none"/>
      </font>
    </ndxf>
  </rcc>
  <rcc rId="334" sId="1">
    <oc r="O199">
      <f>O214+O212+O216+O219+O223</f>
    </oc>
    <nc r="O199">
      <f>O214+O212+O216+O219+O223</f>
    </nc>
  </rcc>
  <rcc rId="335" sId="1" odxf="1" dxf="1">
    <oc r="N200">
      <f>N198-N199</f>
    </oc>
    <nc r="N200">
      <f>N198-N199</f>
    </nc>
    <odxf>
      <font>
        <color auto="1"/>
        <name val="Times New Roman"/>
        <scheme val="none"/>
      </font>
    </odxf>
    <ndxf>
      <font>
        <color auto="1"/>
        <name val="Times New Roman"/>
        <scheme val="none"/>
      </font>
    </ndxf>
  </rcc>
  <rcc rId="336" sId="1">
    <oc r="O200">
      <f>O198-O199</f>
    </oc>
    <nc r="O200">
      <f>O198-O199</f>
    </nc>
  </rcc>
  <rcc rId="337" sId="1" odxf="1" dxf="1">
    <oc r="Q199">
      <f>Q207+Q212+Q214+Q216+Q219</f>
    </oc>
    <nc r="Q199">
      <f>Q207+Q212+Q214+Q216+Q219</f>
    </nc>
    <odxf>
      <font>
        <color auto="1"/>
        <name val="Times New Roman"/>
        <scheme val="none"/>
      </font>
    </odxf>
    <ndxf>
      <font>
        <color auto="1"/>
        <name val="Times New Roman"/>
        <scheme val="none"/>
      </font>
    </ndxf>
  </rcc>
  <rcc rId="338" sId="1">
    <oc r="R199">
      <f>R214+R212+R216+R219+R223</f>
    </oc>
    <nc r="R199">
      <f>R214+R212+R216+R219+R223</f>
    </nc>
  </rcc>
  <rcc rId="339" sId="1" odxf="1" dxf="1">
    <oc r="Q200">
      <f>Q198-Q199</f>
    </oc>
    <nc r="Q200">
      <f>Q198-Q199</f>
    </nc>
    <odxf>
      <font>
        <color auto="1"/>
        <name val="Times New Roman"/>
        <scheme val="none"/>
      </font>
    </odxf>
    <ndxf>
      <font>
        <color auto="1"/>
        <name val="Times New Roman"/>
        <scheme val="none"/>
      </font>
    </ndxf>
  </rcc>
  <rcc rId="340" sId="1">
    <oc r="R200">
      <f>R198-R199</f>
    </oc>
    <nc r="R200">
      <f>R198-R199</f>
    </nc>
  </rcc>
  <rcc rId="341" sId="1">
    <oc r="M202">
      <f>M203+M204+M205+M206+M209+M210+M211+M213+M215+M218</f>
    </oc>
    <nc r="M202">
      <f>M203+M204+M205+M206+M209+M210+M211+M213+M215+M218</f>
    </nc>
  </rcc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811111.xml><?xml version="1.0" encoding="utf-8"?>
<revisions xmlns="http://schemas.openxmlformats.org/spreadsheetml/2006/main" xmlns:r="http://schemas.openxmlformats.org/officeDocument/2006/relationships">
  <rcc rId="280" sId="1" numFmtId="4">
    <oc r="Q259">
      <f>138134599.24+7230096.01</f>
    </oc>
    <nc r="Q259">
      <v>243745125.16999999</v>
    </nc>
  </rcc>
  <rcc rId="281" sId="1" numFmtId="4">
    <oc r="T259">
      <f>138134599.24+7230096.01</f>
    </oc>
    <nc r="T259">
      <v>243745125.16999999</v>
    </nc>
  </rcc>
  <rcc rId="282" sId="1" numFmtId="4">
    <oc r="R259">
      <f>2819073.45+147552.98</f>
    </oc>
    <nc r="R259">
      <v>4974390.3099999996</v>
    </nc>
  </rcc>
  <rcc rId="283" sId="1" numFmtId="4">
    <oc r="U259">
      <f>2819073.45+147552.98</f>
    </oc>
    <nc r="U259">
      <v>4974390.3099999996</v>
    </nc>
  </rcc>
  <rfmt sheetId="1" sqref="P259:U259">
    <dxf>
      <fill>
        <patternFill>
          <bgColor rgb="FFFFFF00"/>
        </patternFill>
      </fill>
    </dxf>
  </rfmt>
  <rfmt sheetId="1" sqref="J258:U258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8111111.xml><?xml version="1.0" encoding="utf-8"?>
<revisions xmlns="http://schemas.openxmlformats.org/spreadsheetml/2006/main" xmlns:r="http://schemas.openxmlformats.org/officeDocument/2006/relationships">
  <rfmt sheetId="1" sqref="J211:L212">
    <dxf>
      <fill>
        <patternFill>
          <bgColor rgb="FFFFFF00"/>
        </patternFill>
      </fill>
    </dxf>
  </rfmt>
  <rcc rId="247" sId="1" numFmtId="4">
    <oc r="N212">
      <v>1361390.87</v>
    </oc>
    <nc r="N212">
      <v>25375632.359999999</v>
    </nc>
  </rcc>
  <rcc rId="248" sId="1" numFmtId="4">
    <oc r="O212">
      <v>151433.91</v>
    </oc>
    <nc r="O212">
      <v>2822650.86</v>
    </nc>
  </rcc>
  <rcc rId="249" sId="1" numFmtId="4">
    <oc r="Q212">
      <v>1361390.87</v>
    </oc>
    <nc r="Q212">
      <v>25375632.359999999</v>
    </nc>
  </rcc>
  <rcc rId="250" sId="1" numFmtId="4">
    <oc r="R212">
      <v>151433.91</v>
    </oc>
    <nc r="R212">
      <v>2822650.86</v>
    </nc>
  </rcc>
  <rcc rId="251" sId="1" numFmtId="4">
    <oc r="T212">
      <v>0</v>
    </oc>
    <nc r="T212">
      <v>24014241.48</v>
    </nc>
  </rcc>
  <rcc rId="252" sId="1" numFmtId="4">
    <oc r="U212">
      <v>0</v>
    </oc>
    <nc r="U212">
      <v>2671216.96</v>
    </nc>
  </rcc>
  <rfmt sheetId="1" sqref="M211:U212">
    <dxf>
      <fill>
        <patternFill>
          <bgColor rgb="FFFFFF00"/>
        </patternFill>
      </fill>
    </dxf>
  </rfmt>
  <rcc rId="253" sId="1" numFmtId="4">
    <oc r="N216">
      <v>7626690.04</v>
    </oc>
    <nc r="N216">
      <v>81481689.920000002</v>
    </nc>
  </rcc>
  <rcc rId="254" sId="1" numFmtId="4">
    <oc r="O216">
      <v>155802.85</v>
    </oc>
    <nc r="O216">
      <v>1664559.5</v>
    </nc>
  </rcc>
  <rcc rId="255" sId="1" numFmtId="4">
    <oc r="Q216">
      <v>7626690.04</v>
    </oc>
    <nc r="Q216">
      <v>81481689.920000002</v>
    </nc>
  </rcc>
  <rcc rId="256" sId="1" numFmtId="4">
    <oc r="R216">
      <v>155802.85</v>
    </oc>
    <nc r="R216">
      <v>1664559.5</v>
    </nc>
  </rcc>
  <rcc rId="257" sId="1" numFmtId="4">
    <oc r="T216">
      <v>7626690.04</v>
    </oc>
    <nc r="T216">
      <v>81481689.920000002</v>
    </nc>
  </rcc>
  <rcc rId="258" sId="1" numFmtId="4">
    <oc r="U216">
      <v>155802.84</v>
    </oc>
    <nc r="U216">
      <v>1664559.49</v>
    </nc>
  </rcc>
  <rfmt sheetId="1" sqref="L215:U216">
    <dxf>
      <fill>
        <patternFill>
          <bgColor rgb="FFFFFF00"/>
        </patternFill>
      </fill>
    </dxf>
  </rfmt>
  <rcc rId="259" sId="1" numFmtId="4">
    <oc r="N219">
      <v>0</v>
    </oc>
    <nc r="N219">
      <v>1337687.54</v>
    </nc>
  </rcc>
  <rcc rId="260" sId="1" numFmtId="4">
    <oc r="O219">
      <v>0</v>
    </oc>
    <nc r="O219">
      <v>27327.119999999999</v>
    </nc>
  </rcc>
  <rcc rId="261" sId="1" numFmtId="4">
    <oc r="Q219">
      <v>0</v>
    </oc>
    <nc r="Q219">
      <v>1337687.54</v>
    </nc>
  </rcc>
  <rcc rId="262" sId="1" numFmtId="4">
    <oc r="R219">
      <v>0</v>
    </oc>
    <nc r="R219">
      <v>27327.119999999999</v>
    </nc>
  </rcc>
  <rcc rId="263" sId="1" numFmtId="4">
    <oc r="T219">
      <v>0</v>
    </oc>
    <nc r="T219">
      <v>1337687.54</v>
    </nc>
  </rcc>
  <rcc rId="264" sId="1" numFmtId="4">
    <oc r="U219">
      <v>0</v>
    </oc>
    <nc r="U219">
      <v>27327.119999999999</v>
    </nc>
  </rcc>
  <rfmt sheetId="1" sqref="J218:U219">
    <dxf>
      <fill>
        <patternFill>
          <bgColor rgb="FFFFFF00"/>
        </patternFill>
      </fill>
    </dxf>
  </rfmt>
  <rcc rId="265" sId="1">
    <nc r="M223">
      <f>O223</f>
    </nc>
  </rcc>
  <rcc rId="266" sId="1">
    <nc r="P223">
      <f>R223</f>
    </nc>
  </rcc>
  <rcc rId="267" sId="1">
    <nc r="S223">
      <f>U223</f>
    </nc>
  </rcc>
  <rcc rId="268" sId="1">
    <nc r="V223">
      <f>S223/J223*100</f>
    </nc>
  </rcc>
  <rcc rId="269" sId="1">
    <nc r="W223">
      <f>S223/M223*100</f>
    </nc>
  </rcc>
  <rcc rId="270" sId="1" numFmtId="4">
    <oc r="O222">
      <v>153656565</v>
    </oc>
    <nc r="O222">
      <f>O223</f>
    </nc>
  </rcc>
  <rcc rId="271" sId="1" numFmtId="4">
    <oc r="R222">
      <v>153656565</v>
    </oc>
    <nc r="R222">
      <f>R223</f>
    </nc>
  </rcc>
  <rcc rId="272" sId="1" numFmtId="4">
    <oc r="U222">
      <v>153656565</v>
    </oc>
    <nc r="U222">
      <f>U223</f>
    </nc>
  </rcc>
  <rcc rId="273" sId="1" numFmtId="4">
    <nc r="O223">
      <v>229880462</v>
    </nc>
  </rcc>
  <rcc rId="274" sId="1" numFmtId="4">
    <nc r="R223">
      <v>229880462</v>
    </nc>
  </rcc>
  <rcc rId="275" sId="1" numFmtId="4">
    <nc r="U223">
      <v>229880462</v>
    </nc>
  </rcc>
  <rfmt sheetId="1" sqref="K221:M222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fmt sheetId="1" sqref="A99" start="0" length="0">
    <dxf/>
  </rfmt>
  <rfmt sheetId="1" sqref="A100" start="0" length="0">
    <dxf/>
  </rfmt>
  <rfmt sheetId="1" sqref="A104" start="0" length="0">
    <dxf/>
  </rfmt>
  <rfmt sheetId="1" sqref="A158" start="0" length="0">
    <dxf/>
  </rfmt>
  <rfmt sheetId="1" sqref="A232" start="0" length="0">
    <dxf/>
  </rfmt>
  <rfmt sheetId="1" sqref="A21">
    <dxf>
      <fill>
        <patternFill patternType="solid"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Лист1!$B:$R</formula>
  </rdn>
  <rcv guid="{F6681789-96F0-4D5A-90BA-C1A8630D3E2C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fmt sheetId="1" sqref="G7:W274">
    <dxf>
      <fill>
        <patternFill>
          <bgColor theme="0"/>
        </patternFill>
      </fill>
    </dxf>
  </rfmt>
  <rfmt sheetId="1" sqref="G7:W274" start="0" length="2147483647">
    <dxf>
      <font>
        <color auto="1"/>
      </font>
    </dxf>
  </rfmt>
  <rfmt sheetId="1" sqref="A270:F274">
    <dxf>
      <fill>
        <patternFill>
          <bgColor theme="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cv guid="{F6681789-96F0-4D5A-90BA-C1A8630D3E2C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fmt sheetId="1" sqref="J230:U230">
    <dxf>
      <fill>
        <patternFill>
          <bgColor rgb="FFFFFF00"/>
        </patternFill>
      </fill>
    </dxf>
  </rfmt>
  <rfmt sheetId="1" sqref="J228:P229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</rdn>
  <rdn rId="0" localSheetId="1" customView="1" name="Z_F6681789_96F0_4D5A_90BA_C1A8630D3E2C_.wvu.PrintTitles" hidden="1" oldHidden="1">
    <formula>Лист1!$A:$F,Лист1!$3:$6</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</rdn>
  <rdn rId="0" localSheetId="1" customView="1" name="Z_F6681789_96F0_4D5A_90BA_C1A8630D3E2C_.wvu.Cols" hidden="1" oldHidden="1">
    <formula>Лист1!$B:$I</formula>
  </rdn>
  <rcv guid="{F6681789-96F0-4D5A-90BA-C1A8630D3E2C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fmt sheetId="1" sqref="K238:K239">
    <dxf>
      <fill>
        <patternFill>
          <bgColor rgb="FFFFFF00"/>
        </patternFill>
      </fill>
    </dxf>
  </rfmt>
  <rfmt sheetId="1" sqref="L238">
    <dxf>
      <fill>
        <patternFill>
          <bgColor rgb="FFFFFF00"/>
        </patternFill>
      </fill>
    </dxf>
  </rfmt>
  <rcc rId="324" sId="1" numFmtId="4">
    <oc r="L239">
      <v>35970911.109999999</v>
    </oc>
    <nc r="L239">
      <v>43170905.009999998</v>
    </nc>
  </rcc>
  <rfmt sheetId="1" sqref="L239">
    <dxf>
      <fill>
        <patternFill>
          <bgColor rgb="FFFFFF00"/>
        </patternFill>
      </fill>
    </dxf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dn rId="0" localSheetId="1" customView="1" name="Z_F6681789_96F0_4D5A_90BA_C1A8630D3E2C_.wvu.Cols" hidden="1" oldHidden="1">
    <formula>Лист1!$B:$I</formula>
    <oldFormula>Лист1!$B:$I</oldFormula>
  </rdn>
  <rcv guid="{F6681789-96F0-4D5A-90BA-C1A8630D3E2C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fmt sheetId="1" sqref="A242" start="0" length="0">
    <dxf/>
  </rfmt>
  <rfmt sheetId="1" sqref="A264" start="0" length="0">
    <dxf/>
  </rfmt>
  <rfmt sheetId="1" sqref="A111" start="0" length="0">
    <dxf/>
  </rfmt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921.xml><?xml version="1.0" encoding="utf-8"?>
<revisions xmlns="http://schemas.openxmlformats.org/spreadsheetml/2006/main" xmlns:r="http://schemas.openxmlformats.org/officeDocument/2006/relationships">
  <rcc rId="476" sId="1">
    <oc r="B1" t="inlineStr">
      <is>
        <t>Отчет об исполнении областной адресной инвестиционной программы за I полугодие 2022 года</t>
      </is>
    </oc>
    <nc r="B1" t="inlineStr">
      <is>
        <t>Отчет об исполнении областной адресной инвестиционной программы за месяцев 2022 года</t>
      </is>
    </nc>
  </rcc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revisionLog19211.xml><?xml version="1.0" encoding="utf-8"?>
<revisions xmlns="http://schemas.openxmlformats.org/spreadsheetml/2006/main" xmlns:r="http://schemas.openxmlformats.org/officeDocument/2006/relationships">
  <rcv guid="{F6681789-96F0-4D5A-90BA-C1A8630D3E2C}" action="delete"/>
  <rdn rId="0" localSheetId="1" customView="1" name="Z_F6681789_96F0_4D5A_90BA_C1A8630D3E2C_.wvu.PrintArea" hidden="1" oldHidden="1">
    <formula>Лист1!$A$1:$W$274</formula>
    <oldFormula>Лист1!$A$1:$W$274</oldFormula>
  </rdn>
  <rdn rId="0" localSheetId="1" customView="1" name="Z_F6681789_96F0_4D5A_90BA_C1A8630D3E2C_.wvu.PrintTitles" hidden="1" oldHidden="1">
    <formula>Лист1!$A:$F,Лист1!$3:$6</formula>
    <oldFormula>Лист1!$A:$F,Лист1!$3:$6</oldFormula>
  </rdn>
  <rdn rId="0" localSheetId="1" customView="1" name="Z_F6681789_96F0_4D5A_90BA_C1A8630D3E2C_.wvu.Rows" hidden="1" oldHidden="1">
    <formula>Лист1!$15:$16,Лист1!$24:$24,Лист1!$28:$32,Лист1!$45:$46,Лист1!$50:$51,Лист1!$91:$93,Лист1!$203:$203</formula>
    <oldFormula>Лист1!$15:$16,Лист1!$24:$24,Лист1!$28:$32,Лист1!$45:$46,Лист1!$50:$51,Лист1!$91:$93,Лист1!$203:$203</oldFormula>
  </rdn>
  <rcv guid="{F6681789-96F0-4D5A-90BA-C1A8630D3E2C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2DF6C2D2-B365-4CAB-801D-67D4B946B285}" name="minfin user" id="-611637812" dateTime="2022-10-18T16:26:2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5"/>
  <sheetViews>
    <sheetView tabSelected="1" view="pageBreakPreview" topLeftCell="M1" zoomScaleSheetLayoutView="85" workbookViewId="0">
      <selection activeCell="W6" sqref="W6"/>
    </sheetView>
  </sheetViews>
  <sheetFormatPr defaultRowHeight="15"/>
  <cols>
    <col min="1" max="1" width="35.7109375" style="11" customWidth="1"/>
    <col min="2" max="2" width="10" style="6" customWidth="1"/>
    <col min="3" max="3" width="12.42578125" style="11" customWidth="1"/>
    <col min="4" max="4" width="13.140625" style="11" customWidth="1"/>
    <col min="5" max="5" width="21.5703125" style="11" customWidth="1"/>
    <col min="6" max="6" width="10" style="11" customWidth="1"/>
    <col min="7" max="7" width="22.5703125" style="11" customWidth="1"/>
    <col min="8" max="8" width="19.5703125" style="11" customWidth="1"/>
    <col min="9" max="9" width="18.140625" style="12" customWidth="1"/>
    <col min="10" max="10" width="19.140625" style="4" customWidth="1"/>
    <col min="11" max="11" width="19.42578125" style="4" customWidth="1"/>
    <col min="12" max="12" width="21.140625" style="4" customWidth="1"/>
    <col min="13" max="13" width="18.85546875" style="4" customWidth="1"/>
    <col min="14" max="15" width="17.7109375" style="4" customWidth="1"/>
    <col min="16" max="16" width="25.42578125" style="4" customWidth="1"/>
    <col min="17" max="17" width="22.28515625" style="4" customWidth="1"/>
    <col min="18" max="18" width="21" style="4" customWidth="1"/>
    <col min="19" max="19" width="25.5703125" style="4" customWidth="1"/>
    <col min="20" max="20" width="23.140625" style="4" customWidth="1"/>
    <col min="21" max="21" width="23.28515625" style="4" customWidth="1"/>
    <col min="22" max="22" width="19.85546875" style="4" customWidth="1"/>
    <col min="23" max="23" width="18.42578125" style="4" customWidth="1"/>
  </cols>
  <sheetData>
    <row r="1" spans="1:23">
      <c r="A1" s="83"/>
      <c r="B1" s="84"/>
      <c r="C1" s="83"/>
      <c r="D1" s="83"/>
      <c r="E1" s="83"/>
      <c r="F1" s="83"/>
      <c r="G1" s="168" t="s">
        <v>333</v>
      </c>
      <c r="H1" s="168"/>
      <c r="I1" s="168"/>
      <c r="J1" s="169"/>
      <c r="K1" s="169"/>
      <c r="L1" s="169"/>
    </row>
    <row r="2" spans="1:23" ht="15.75" thickBot="1">
      <c r="A2" s="126" t="s">
        <v>303</v>
      </c>
      <c r="B2" s="127"/>
      <c r="C2" s="127"/>
      <c r="D2" s="127"/>
      <c r="E2" s="127"/>
      <c r="F2" s="127"/>
      <c r="G2" s="128"/>
      <c r="H2" s="128"/>
      <c r="I2" s="128"/>
      <c r="J2" s="128"/>
      <c r="K2" s="128"/>
      <c r="L2" s="128"/>
      <c r="W2" s="14" t="s">
        <v>303</v>
      </c>
    </row>
    <row r="3" spans="1:23" ht="43.5" customHeight="1">
      <c r="A3" s="124" t="s">
        <v>0</v>
      </c>
      <c r="B3" s="124" t="s">
        <v>292</v>
      </c>
      <c r="C3" s="113" t="s">
        <v>290</v>
      </c>
      <c r="D3" s="113" t="s">
        <v>1</v>
      </c>
      <c r="E3" s="113" t="s">
        <v>291</v>
      </c>
      <c r="F3" s="151" t="s">
        <v>293</v>
      </c>
      <c r="G3" s="145" t="s">
        <v>321</v>
      </c>
      <c r="H3" s="146"/>
      <c r="I3" s="147"/>
      <c r="J3" s="116" t="s">
        <v>322</v>
      </c>
      <c r="K3" s="117"/>
      <c r="L3" s="118"/>
      <c r="M3" s="116" t="s">
        <v>323</v>
      </c>
      <c r="N3" s="117"/>
      <c r="O3" s="118"/>
      <c r="P3" s="116" t="s">
        <v>294</v>
      </c>
      <c r="Q3" s="117"/>
      <c r="R3" s="118"/>
      <c r="S3" s="121" t="s">
        <v>324</v>
      </c>
      <c r="T3" s="122"/>
      <c r="U3" s="123"/>
      <c r="V3" s="107" t="s">
        <v>325</v>
      </c>
      <c r="W3" s="108"/>
    </row>
    <row r="4" spans="1:23" ht="19.5" customHeight="1">
      <c r="A4" s="124"/>
      <c r="B4" s="124"/>
      <c r="C4" s="114"/>
      <c r="D4" s="114"/>
      <c r="E4" s="114"/>
      <c r="F4" s="152"/>
      <c r="G4" s="119" t="s">
        <v>2</v>
      </c>
      <c r="H4" s="148" t="s">
        <v>3</v>
      </c>
      <c r="I4" s="149"/>
      <c r="J4" s="119" t="s">
        <v>2</v>
      </c>
      <c r="K4" s="108" t="s">
        <v>3</v>
      </c>
      <c r="L4" s="120"/>
      <c r="M4" s="119" t="s">
        <v>2</v>
      </c>
      <c r="N4" s="108" t="s">
        <v>3</v>
      </c>
      <c r="O4" s="120"/>
      <c r="P4" s="119" t="s">
        <v>2</v>
      </c>
      <c r="Q4" s="108" t="s">
        <v>3</v>
      </c>
      <c r="R4" s="120"/>
      <c r="S4" s="119" t="s">
        <v>2</v>
      </c>
      <c r="T4" s="108" t="s">
        <v>3</v>
      </c>
      <c r="U4" s="120"/>
      <c r="V4" s="109" t="s">
        <v>295</v>
      </c>
      <c r="W4" s="111" t="s">
        <v>326</v>
      </c>
    </row>
    <row r="5" spans="1:23" ht="67.5" customHeight="1">
      <c r="A5" s="124"/>
      <c r="B5" s="124"/>
      <c r="C5" s="150"/>
      <c r="D5" s="150"/>
      <c r="E5" s="150"/>
      <c r="F5" s="153"/>
      <c r="G5" s="119"/>
      <c r="H5" s="19" t="s">
        <v>4</v>
      </c>
      <c r="I5" s="167" t="s">
        <v>5</v>
      </c>
      <c r="J5" s="119"/>
      <c r="K5" s="19" t="s">
        <v>4</v>
      </c>
      <c r="L5" s="21" t="s">
        <v>5</v>
      </c>
      <c r="M5" s="119"/>
      <c r="N5" s="19" t="s">
        <v>4</v>
      </c>
      <c r="O5" s="21" t="s">
        <v>5</v>
      </c>
      <c r="P5" s="119"/>
      <c r="Q5" s="19" t="s">
        <v>4</v>
      </c>
      <c r="R5" s="21" t="s">
        <v>5</v>
      </c>
      <c r="S5" s="119"/>
      <c r="T5" s="19" t="s">
        <v>4</v>
      </c>
      <c r="U5" s="21" t="s">
        <v>5</v>
      </c>
      <c r="V5" s="110"/>
      <c r="W5" s="112"/>
    </row>
    <row r="6" spans="1:23">
      <c r="A6" s="5">
        <v>1</v>
      </c>
      <c r="B6" s="5">
        <v>2</v>
      </c>
      <c r="C6" s="5">
        <v>3</v>
      </c>
      <c r="D6" s="5">
        <v>4</v>
      </c>
      <c r="E6" s="5">
        <v>5</v>
      </c>
      <c r="F6" s="55">
        <v>6</v>
      </c>
      <c r="G6" s="24">
        <v>7</v>
      </c>
      <c r="H6" s="63">
        <v>8</v>
      </c>
      <c r="I6" s="76">
        <v>9</v>
      </c>
      <c r="J6" s="22">
        <v>10</v>
      </c>
      <c r="K6" s="6">
        <v>11</v>
      </c>
      <c r="L6" s="23">
        <v>12</v>
      </c>
      <c r="M6" s="25">
        <v>13</v>
      </c>
      <c r="N6" s="6">
        <v>14</v>
      </c>
      <c r="O6" s="23">
        <v>15</v>
      </c>
      <c r="P6" s="25">
        <v>16</v>
      </c>
      <c r="Q6" s="6">
        <v>17</v>
      </c>
      <c r="R6" s="23">
        <v>18</v>
      </c>
      <c r="S6" s="25">
        <v>19</v>
      </c>
      <c r="T6" s="6">
        <v>20</v>
      </c>
      <c r="U6" s="23">
        <v>21</v>
      </c>
      <c r="V6" s="20">
        <v>22</v>
      </c>
      <c r="W6" s="6">
        <v>23</v>
      </c>
    </row>
    <row r="7" spans="1:23" s="13" customFormat="1" ht="14.25" customHeight="1">
      <c r="A7" s="101" t="s">
        <v>6</v>
      </c>
      <c r="B7" s="101"/>
      <c r="C7" s="101"/>
      <c r="D7" s="101"/>
      <c r="E7" s="101"/>
      <c r="F7" s="102"/>
      <c r="G7" s="34">
        <f>H7+I7</f>
        <v>11001550388.76</v>
      </c>
      <c r="H7" s="35">
        <f>H8+H9</f>
        <v>7899780344.2700005</v>
      </c>
      <c r="I7" s="77">
        <f>I8+I9</f>
        <v>3101770044.4899998</v>
      </c>
      <c r="J7" s="34">
        <f t="shared" ref="J7:J12" si="0">K7+L7</f>
        <v>10976216096.1</v>
      </c>
      <c r="K7" s="35">
        <f t="shared" ref="K7:U7" si="1">K10+K52+K81+K94+K135+K141+K150+K159+K165+K198+K224+K233+K253+K270</f>
        <v>7946624252.2600002</v>
      </c>
      <c r="L7" s="77">
        <f t="shared" si="1"/>
        <v>3029591843.8400002</v>
      </c>
      <c r="M7" s="34">
        <f t="shared" ref="M7:M12" si="2">N7+O7</f>
        <v>7952088239.7200003</v>
      </c>
      <c r="N7" s="35">
        <f t="shared" si="1"/>
        <v>5501121787.9700003</v>
      </c>
      <c r="O7" s="36">
        <f t="shared" si="1"/>
        <v>2450966451.75</v>
      </c>
      <c r="P7" s="34">
        <f t="shared" ref="P7:P12" si="3">Q7+R7</f>
        <v>6454150938.7999992</v>
      </c>
      <c r="Q7" s="35">
        <f t="shared" si="1"/>
        <v>4623231819.29</v>
      </c>
      <c r="R7" s="36">
        <f t="shared" si="1"/>
        <v>1830919119.5099995</v>
      </c>
      <c r="S7" s="34">
        <f t="shared" si="1"/>
        <v>6426816421.96</v>
      </c>
      <c r="T7" s="35">
        <f t="shared" si="1"/>
        <v>4605591379.2699995</v>
      </c>
      <c r="U7" s="77">
        <f t="shared" si="1"/>
        <v>1821225042.6900003</v>
      </c>
      <c r="V7" s="50">
        <f>S7/J7*100</f>
        <v>58.552203835013195</v>
      </c>
      <c r="W7" s="51">
        <f>S7/M7*100</f>
        <v>80.819229216529592</v>
      </c>
    </row>
    <row r="8" spans="1:23" ht="16.5" customHeight="1">
      <c r="A8" s="103" t="s">
        <v>7</v>
      </c>
      <c r="B8" s="103"/>
      <c r="C8" s="103"/>
      <c r="D8" s="103"/>
      <c r="E8" s="103"/>
      <c r="F8" s="104"/>
      <c r="G8" s="28">
        <f>H8+I8</f>
        <v>7282745250.29</v>
      </c>
      <c r="H8" s="32">
        <f>H11+H53+H82+H95+H166+H199+H225+H254</f>
        <v>6466884239.0900002</v>
      </c>
      <c r="I8" s="53">
        <f>I11+I53+I82+I95+I166+I199+I225+I254</f>
        <v>815861011.19999981</v>
      </c>
      <c r="J8" s="28">
        <f t="shared" si="0"/>
        <v>7330180805.2299995</v>
      </c>
      <c r="K8" s="32">
        <f>K11+K53+K82+K95+K166+K199+K225+K254</f>
        <v>6513728147.0799999</v>
      </c>
      <c r="L8" s="53">
        <f>L11+L53+L82+L95+L166+L199+L225+L254</f>
        <v>816452658.14999986</v>
      </c>
      <c r="M8" s="28">
        <f t="shared" si="2"/>
        <v>5672139157.7399998</v>
      </c>
      <c r="N8" s="32">
        <f>N11+N53+N82+N95+N166+N199+N225+N254</f>
        <v>4997180220.0900002</v>
      </c>
      <c r="O8" s="53">
        <f>O11+O53+O82+O95+O166+O199+O225+O254</f>
        <v>674958937.6500001</v>
      </c>
      <c r="P8" s="28">
        <f t="shared" si="3"/>
        <v>4770520213.6199999</v>
      </c>
      <c r="Q8" s="32">
        <f>Q11+Q53+Q82+Q95+Q166+Q199+Q225+Q254</f>
        <v>4205686360.6500001</v>
      </c>
      <c r="R8" s="53">
        <f>R11+R53+R82+R95+R166+R199+R225+R254</f>
        <v>564833852.97000015</v>
      </c>
      <c r="S8" s="28">
        <f>T8+U8</f>
        <v>4768985400.2600002</v>
      </c>
      <c r="T8" s="32">
        <f>T11+T53+T82+T95+T166+T199+T225+T254</f>
        <v>4204305180.0299997</v>
      </c>
      <c r="U8" s="53">
        <f>U11+U53+U82+U95+U166+U199+U225+U254</f>
        <v>564680220.23000002</v>
      </c>
      <c r="V8" s="47">
        <f t="shared" ref="V8:V75" si="4">S8/J8*100</f>
        <v>65.059587573302196</v>
      </c>
      <c r="W8" s="48">
        <f t="shared" ref="W8:W75" si="5">S8/M8*100</f>
        <v>84.077369536190091</v>
      </c>
    </row>
    <row r="9" spans="1:23" ht="13.5" customHeight="1">
      <c r="A9" s="103" t="s">
        <v>8</v>
      </c>
      <c r="B9" s="103"/>
      <c r="C9" s="103"/>
      <c r="D9" s="103"/>
      <c r="E9" s="103"/>
      <c r="F9" s="104"/>
      <c r="G9" s="28">
        <f>H9+I9</f>
        <v>3718805138.4700003</v>
      </c>
      <c r="H9" s="32">
        <f>H12+H54+H83+H96+H143+H152+H161+H167+H200+H226+H235+H249+H255+H272</f>
        <v>1432896105.1800001</v>
      </c>
      <c r="I9" s="53">
        <f>I12+I54+I83+I96+I138+I143+I152+I161+I167+I200+I226+I235+I249+I255+I272</f>
        <v>2285909033.29</v>
      </c>
      <c r="J9" s="28">
        <f t="shared" si="0"/>
        <v>3718213491.5299997</v>
      </c>
      <c r="K9" s="32">
        <f>K12+K54+K83+K96+K143+K152+K161+K167+K200+K226+K235+K249+K255+K272</f>
        <v>1432896105.1800001</v>
      </c>
      <c r="L9" s="53">
        <f>L12+L54+L83+L96+L138+L143+L152+L161+L167+L200+L226+L235+L249+L255+L272</f>
        <v>2285317386.3499999</v>
      </c>
      <c r="M9" s="28">
        <f t="shared" si="2"/>
        <v>2279949081.98</v>
      </c>
      <c r="N9" s="32">
        <f>N12+N54+N83+N96+N143+N152+N161+N167+N200+N226+N235+N249+N255+N272</f>
        <v>503941567.88</v>
      </c>
      <c r="O9" s="53">
        <f>O12+O54+O83+O96+O138+O143+O152+O161+O167+O200+O226+O235+O249+O255+O272</f>
        <v>1776007514.1000001</v>
      </c>
      <c r="P9" s="28">
        <f t="shared" si="3"/>
        <v>1683630725.1799998</v>
      </c>
      <c r="Q9" s="32">
        <f>Q12+Q54+Q83+Q96+Q143+Q152+Q161+Q167+Q200+Q226+Q235+Q249+Q255+Q272</f>
        <v>417545458.63999999</v>
      </c>
      <c r="R9" s="53">
        <f>R12+R54+R83+R96+R138+R143+R152+R161+R167+R200+R226+R235+R249+R255+R272</f>
        <v>1266085266.54</v>
      </c>
      <c r="S9" s="28">
        <f>T9+U9</f>
        <v>1657831021.7000003</v>
      </c>
      <c r="T9" s="32">
        <f>T12+T54+T83+T96+T143+T152+T161+T167+T200+T226+T235+T249+T255+T272</f>
        <v>401286199.23999995</v>
      </c>
      <c r="U9" s="53">
        <f>U12+U54+U83+U96+U138+U143+U152+U161+U167+U200+U226+U235+U249+U255+U272</f>
        <v>1256544822.4600003</v>
      </c>
      <c r="V9" s="47">
        <f t="shared" si="4"/>
        <v>44.586762580376281</v>
      </c>
      <c r="W9" s="48">
        <f t="shared" si="5"/>
        <v>72.713510788595016</v>
      </c>
    </row>
    <row r="10" spans="1:23" s="13" customFormat="1" ht="31.5" customHeight="1">
      <c r="A10" s="105" t="s">
        <v>9</v>
      </c>
      <c r="B10" s="105"/>
      <c r="C10" s="105"/>
      <c r="D10" s="105"/>
      <c r="E10" s="105"/>
      <c r="F10" s="106"/>
      <c r="G10" s="34">
        <f>G11+G12</f>
        <v>3240761992.2799997</v>
      </c>
      <c r="H10" s="35">
        <f t="shared" ref="H10:I10" si="6">H11+H12</f>
        <v>2801095647.0900002</v>
      </c>
      <c r="I10" s="77">
        <f t="shared" si="6"/>
        <v>439666345.18999994</v>
      </c>
      <c r="J10" s="34">
        <f t="shared" si="0"/>
        <v>3240761992.2800002</v>
      </c>
      <c r="K10" s="35">
        <f t="shared" ref="K10:L10" si="7">K11+K12</f>
        <v>2801095647.0900002</v>
      </c>
      <c r="L10" s="77">
        <f t="shared" si="7"/>
        <v>439666345.18999994</v>
      </c>
      <c r="M10" s="34">
        <f t="shared" si="2"/>
        <v>2522793903.6700001</v>
      </c>
      <c r="N10" s="35">
        <f t="shared" ref="N10:O10" si="8">N11+N12</f>
        <v>2134826503.1799998</v>
      </c>
      <c r="O10" s="36">
        <f t="shared" si="8"/>
        <v>387967400.49000001</v>
      </c>
      <c r="P10" s="34">
        <f t="shared" si="3"/>
        <v>1849151021.0300002</v>
      </c>
      <c r="Q10" s="35">
        <f t="shared" ref="Q10:R10" si="9">Q11+Q12</f>
        <v>1569311928.1100001</v>
      </c>
      <c r="R10" s="36">
        <f t="shared" si="9"/>
        <v>279839092.92000002</v>
      </c>
      <c r="S10" s="34">
        <f>S11+S12</f>
        <v>1846506828.01</v>
      </c>
      <c r="T10" s="35">
        <f>T11+T12</f>
        <v>1569311928.1100001</v>
      </c>
      <c r="U10" s="77">
        <f>U11+U12</f>
        <v>277194899.90000004</v>
      </c>
      <c r="V10" s="50">
        <f t="shared" si="4"/>
        <v>56.97755134158777</v>
      </c>
      <c r="W10" s="51">
        <f t="shared" si="5"/>
        <v>73.192932063289803</v>
      </c>
    </row>
    <row r="11" spans="1:23">
      <c r="A11" s="103" t="s">
        <v>7</v>
      </c>
      <c r="B11" s="103"/>
      <c r="C11" s="103"/>
      <c r="D11" s="103"/>
      <c r="E11" s="103"/>
      <c r="F11" s="104"/>
      <c r="G11" s="28">
        <f>H11+I11</f>
        <v>2850810010.29</v>
      </c>
      <c r="H11" s="32">
        <f>H13-H12</f>
        <v>2602475647.0900002</v>
      </c>
      <c r="I11" s="53">
        <f>I13-I12</f>
        <v>248334363.19999993</v>
      </c>
      <c r="J11" s="28">
        <f t="shared" si="0"/>
        <v>2850810010.29</v>
      </c>
      <c r="K11" s="32">
        <f>K13-K12</f>
        <v>2602475647.0900002</v>
      </c>
      <c r="L11" s="53">
        <f>L13-L12</f>
        <v>248334363.19999993</v>
      </c>
      <c r="M11" s="28">
        <f t="shared" si="2"/>
        <v>2338696690.52</v>
      </c>
      <c r="N11" s="32">
        <f>N13-N12</f>
        <v>2134826503.1799998</v>
      </c>
      <c r="O11" s="33">
        <f>O13-O12</f>
        <v>203870187.34</v>
      </c>
      <c r="P11" s="28">
        <f t="shared" si="3"/>
        <v>1714400966.1700001</v>
      </c>
      <c r="Q11" s="32">
        <f>Q13-Q12</f>
        <v>1569311928.1100001</v>
      </c>
      <c r="R11" s="33">
        <f>R13-R12</f>
        <v>145089038.06000003</v>
      </c>
      <c r="S11" s="28">
        <f>T11+U11</f>
        <v>1714400966.1700001</v>
      </c>
      <c r="T11" s="32">
        <f>T13-T12</f>
        <v>1569311928.1100001</v>
      </c>
      <c r="U11" s="33">
        <f>U13-U12</f>
        <v>145089038.06</v>
      </c>
      <c r="V11" s="47">
        <f t="shared" si="4"/>
        <v>60.137327986848263</v>
      </c>
      <c r="W11" s="48">
        <f t="shared" si="5"/>
        <v>73.305827691097889</v>
      </c>
    </row>
    <row r="12" spans="1:23">
      <c r="A12" s="103" t="s">
        <v>8</v>
      </c>
      <c r="B12" s="103"/>
      <c r="C12" s="103"/>
      <c r="D12" s="103"/>
      <c r="E12" s="103"/>
      <c r="F12" s="104"/>
      <c r="G12" s="28">
        <f>H12+I12</f>
        <v>389951981.99000001</v>
      </c>
      <c r="H12" s="32">
        <v>198620000</v>
      </c>
      <c r="I12" s="53">
        <f>I19+I23+I20+I24+I27+I33+I37+I41+I44+I49+I38</f>
        <v>191331981.99000001</v>
      </c>
      <c r="J12" s="28">
        <f t="shared" si="0"/>
        <v>389951981.99000001</v>
      </c>
      <c r="K12" s="32">
        <v>198620000</v>
      </c>
      <c r="L12" s="33">
        <f>L19+L23+L20+L24+L27+L33+L37+L41+L44+L49+L38</f>
        <v>191331981.99000001</v>
      </c>
      <c r="M12" s="28">
        <f t="shared" si="2"/>
        <v>184097213.15000001</v>
      </c>
      <c r="N12" s="32"/>
      <c r="O12" s="33">
        <f>O19+O23+O20+O24+O27+O33+O37+O41+O44+O49+O38</f>
        <v>184097213.15000001</v>
      </c>
      <c r="P12" s="28">
        <f t="shared" si="3"/>
        <v>134750054.85999998</v>
      </c>
      <c r="Q12" s="32"/>
      <c r="R12" s="33">
        <f>R19+R23+R20+R24+R27+R33+R37+R41+R44+R49+R38</f>
        <v>134750054.85999998</v>
      </c>
      <c r="S12" s="28">
        <f>T12+U12</f>
        <v>132105861.84000002</v>
      </c>
      <c r="T12" s="32"/>
      <c r="U12" s="33">
        <f>U19+U23+U20+U24+U27+U33+U37+U41+U44+U49+U38</f>
        <v>132105861.84000002</v>
      </c>
      <c r="V12" s="47">
        <f t="shared" si="4"/>
        <v>33.877469006783443</v>
      </c>
      <c r="W12" s="48">
        <f t="shared" si="5"/>
        <v>71.758751574561799</v>
      </c>
    </row>
    <row r="13" spans="1:23" s="2" customFormat="1">
      <c r="A13" s="103" t="s">
        <v>10</v>
      </c>
      <c r="B13" s="103"/>
      <c r="C13" s="103"/>
      <c r="D13" s="103"/>
      <c r="E13" s="103"/>
      <c r="F13" s="104"/>
      <c r="G13" s="28">
        <f>G14</f>
        <v>3240761992.2800002</v>
      </c>
      <c r="H13" s="32">
        <f t="shared" ref="H13:U13" si="10">H14</f>
        <v>2801095647.0900002</v>
      </c>
      <c r="I13" s="53">
        <f t="shared" si="10"/>
        <v>439666345.18999994</v>
      </c>
      <c r="J13" s="28">
        <f>J14</f>
        <v>3240761992.2800002</v>
      </c>
      <c r="K13" s="32">
        <f t="shared" si="10"/>
        <v>2801095647.0900002</v>
      </c>
      <c r="L13" s="33">
        <f t="shared" si="10"/>
        <v>439666345.18999994</v>
      </c>
      <c r="M13" s="28">
        <f>M14</f>
        <v>2522793903.6700001</v>
      </c>
      <c r="N13" s="32">
        <f t="shared" si="10"/>
        <v>2134826503.1799998</v>
      </c>
      <c r="O13" s="33">
        <f t="shared" si="10"/>
        <v>387967400.49000001</v>
      </c>
      <c r="P13" s="28">
        <f>P14</f>
        <v>1849151021.0300002</v>
      </c>
      <c r="Q13" s="32">
        <f t="shared" si="10"/>
        <v>1569311928.1100001</v>
      </c>
      <c r="R13" s="33">
        <f t="shared" si="10"/>
        <v>279839092.92000002</v>
      </c>
      <c r="S13" s="28">
        <f>S14</f>
        <v>1846506828.0100002</v>
      </c>
      <c r="T13" s="32">
        <f t="shared" si="10"/>
        <v>1569311928.1100001</v>
      </c>
      <c r="U13" s="33">
        <f t="shared" si="10"/>
        <v>277194899.90000004</v>
      </c>
      <c r="V13" s="47">
        <f t="shared" si="4"/>
        <v>56.977551341587784</v>
      </c>
      <c r="W13" s="48">
        <f t="shared" si="5"/>
        <v>73.192932063289817</v>
      </c>
    </row>
    <row r="14" spans="1:23" s="13" customFormat="1" ht="18.75" customHeight="1">
      <c r="A14" s="101" t="s">
        <v>11</v>
      </c>
      <c r="B14" s="101"/>
      <c r="C14" s="101"/>
      <c r="D14" s="101"/>
      <c r="E14" s="101"/>
      <c r="F14" s="102"/>
      <c r="G14" s="34">
        <f>H14+I14</f>
        <v>3240761992.2800002</v>
      </c>
      <c r="H14" s="35">
        <f>H17+H20+H21+H24+H25+H33+H35+H39+H42+H47</f>
        <v>2801095647.0900002</v>
      </c>
      <c r="I14" s="77">
        <f>I17+I20+I21+I24+I25+I33+I35+I39+I42+I47+I38</f>
        <v>439666345.18999994</v>
      </c>
      <c r="J14" s="34">
        <f>K14+L14</f>
        <v>3240761992.2800002</v>
      </c>
      <c r="K14" s="35">
        <f>K17+K20+K21+K24+K25+K33+K35+K39+K42+K47</f>
        <v>2801095647.0900002</v>
      </c>
      <c r="L14" s="36">
        <f>L17+L20+L21+L24+L25+L33+L35+L39+L42+L47+L38</f>
        <v>439666345.18999994</v>
      </c>
      <c r="M14" s="34">
        <f>N14+O14</f>
        <v>2522793903.6700001</v>
      </c>
      <c r="N14" s="35">
        <f>N17+N20+N21+N24+N25+N33+N35+N39+N42+N47</f>
        <v>2134826503.1799998</v>
      </c>
      <c r="O14" s="36">
        <f>O17+O20+O21+O24+O25+O33+O35+O39+O42+O47+O38</f>
        <v>387967400.49000001</v>
      </c>
      <c r="P14" s="34">
        <f>Q14+R14</f>
        <v>1849151021.0300002</v>
      </c>
      <c r="Q14" s="35">
        <f>Q17+Q20+Q21+Q24+Q25+Q33+Q35+Q39+Q42+Q47</f>
        <v>1569311928.1100001</v>
      </c>
      <c r="R14" s="36">
        <f>R17+R20+R21+R24+R25+R33+R35+R39+R42+R47+R38</f>
        <v>279839092.92000002</v>
      </c>
      <c r="S14" s="34">
        <f>T14+U14</f>
        <v>1846506828.0100002</v>
      </c>
      <c r="T14" s="35">
        <f>T17+T20+T21+T24+T25+T33+T35+T39+T42+T47</f>
        <v>1569311928.1100001</v>
      </c>
      <c r="U14" s="36">
        <f>U17+U20+U21+U24+U25+U33+U35+U39+U42+U47+U38</f>
        <v>277194899.90000004</v>
      </c>
      <c r="V14" s="50">
        <f t="shared" si="4"/>
        <v>56.977551341587784</v>
      </c>
      <c r="W14" s="51">
        <f t="shared" si="5"/>
        <v>73.192932063289817</v>
      </c>
    </row>
    <row r="15" spans="1:23" ht="123" customHeight="1">
      <c r="A15" s="7" t="s">
        <v>12</v>
      </c>
      <c r="B15" s="5" t="s">
        <v>13</v>
      </c>
      <c r="C15" s="5" t="s">
        <v>13</v>
      </c>
      <c r="D15" s="5" t="s">
        <v>14</v>
      </c>
      <c r="E15" s="5" t="s">
        <v>15</v>
      </c>
      <c r="F15" s="55" t="s">
        <v>16</v>
      </c>
      <c r="G15" s="29"/>
      <c r="H15" s="30"/>
      <c r="I15" s="31"/>
      <c r="J15" s="29"/>
      <c r="K15" s="30"/>
      <c r="L15" s="31"/>
      <c r="M15" s="29"/>
      <c r="N15" s="30"/>
      <c r="O15" s="31"/>
      <c r="P15" s="29"/>
      <c r="Q15" s="30"/>
      <c r="R15" s="31"/>
      <c r="S15" s="29"/>
      <c r="T15" s="30"/>
      <c r="U15" s="31"/>
      <c r="V15" s="47" t="e">
        <f t="shared" si="4"/>
        <v>#DIV/0!</v>
      </c>
      <c r="W15" s="48" t="e">
        <f t="shared" si="5"/>
        <v>#DIV/0!</v>
      </c>
    </row>
    <row r="16" spans="1:23" ht="60" customHeight="1">
      <c r="A16" s="7" t="s">
        <v>17</v>
      </c>
      <c r="B16" s="5" t="s">
        <v>18</v>
      </c>
      <c r="C16" s="7"/>
      <c r="D16" s="7"/>
      <c r="E16" s="7"/>
      <c r="F16" s="56"/>
      <c r="G16" s="29"/>
      <c r="H16" s="30"/>
      <c r="I16" s="31"/>
      <c r="J16" s="29"/>
      <c r="K16" s="30"/>
      <c r="L16" s="31"/>
      <c r="M16" s="29"/>
      <c r="N16" s="30"/>
      <c r="O16" s="31"/>
      <c r="P16" s="29"/>
      <c r="Q16" s="30"/>
      <c r="R16" s="31"/>
      <c r="S16" s="29"/>
      <c r="T16" s="30"/>
      <c r="U16" s="31"/>
      <c r="V16" s="47" t="e">
        <f t="shared" si="4"/>
        <v>#DIV/0!</v>
      </c>
      <c r="W16" s="48" t="e">
        <f t="shared" si="5"/>
        <v>#DIV/0!</v>
      </c>
    </row>
    <row r="17" spans="1:23" ht="104.25" customHeight="1">
      <c r="A17" s="7" t="s">
        <v>19</v>
      </c>
      <c r="B17" s="5" t="s">
        <v>13</v>
      </c>
      <c r="C17" s="5" t="s">
        <v>13</v>
      </c>
      <c r="D17" s="5" t="s">
        <v>20</v>
      </c>
      <c r="E17" s="5" t="s">
        <v>15</v>
      </c>
      <c r="F17" s="55" t="s">
        <v>21</v>
      </c>
      <c r="G17" s="28">
        <f>H17+I17</f>
        <v>49400000</v>
      </c>
      <c r="H17" s="32">
        <v>45477215.32</v>
      </c>
      <c r="I17" s="33">
        <f>I18+I19</f>
        <v>3922784.6799999997</v>
      </c>
      <c r="J17" s="28">
        <f>K17+L17</f>
        <v>49400000</v>
      </c>
      <c r="K17" s="32">
        <v>45477215.32</v>
      </c>
      <c r="L17" s="33">
        <f>L18+L19</f>
        <v>3922784.6799999997</v>
      </c>
      <c r="M17" s="28">
        <f>N17+O17</f>
        <v>2400000</v>
      </c>
      <c r="N17" s="32">
        <v>0</v>
      </c>
      <c r="O17" s="33">
        <f>O18+O19</f>
        <v>2400000</v>
      </c>
      <c r="P17" s="28">
        <f>Q17+R17</f>
        <v>0</v>
      </c>
      <c r="Q17" s="32">
        <v>0</v>
      </c>
      <c r="R17" s="33">
        <f>R18+R19</f>
        <v>0</v>
      </c>
      <c r="S17" s="28">
        <v>0</v>
      </c>
      <c r="T17" s="32">
        <v>0</v>
      </c>
      <c r="U17" s="33">
        <f>U18+U19</f>
        <v>0</v>
      </c>
      <c r="V17" s="47">
        <f t="shared" si="4"/>
        <v>0</v>
      </c>
      <c r="W17" s="48">
        <v>0</v>
      </c>
    </row>
    <row r="18" spans="1:23" ht="45">
      <c r="A18" s="7" t="s">
        <v>17</v>
      </c>
      <c r="B18" s="5" t="s">
        <v>18</v>
      </c>
      <c r="C18" s="7"/>
      <c r="D18" s="7"/>
      <c r="E18" s="7"/>
      <c r="F18" s="56"/>
      <c r="G18" s="28">
        <f>H18+I18</f>
        <v>47000000</v>
      </c>
      <c r="H18" s="32">
        <v>45477215.32</v>
      </c>
      <c r="I18" s="33">
        <v>1522784.68</v>
      </c>
      <c r="J18" s="28">
        <f>K18+L18</f>
        <v>47000000</v>
      </c>
      <c r="K18" s="32">
        <v>45477215.32</v>
      </c>
      <c r="L18" s="33">
        <v>1522784.68</v>
      </c>
      <c r="M18" s="28">
        <f>N18+O18</f>
        <v>0</v>
      </c>
      <c r="N18" s="32"/>
      <c r="O18" s="33"/>
      <c r="P18" s="28">
        <f>Q18+R18</f>
        <v>0</v>
      </c>
      <c r="Q18" s="32"/>
      <c r="R18" s="33"/>
      <c r="S18" s="28">
        <f>T18+U18</f>
        <v>0</v>
      </c>
      <c r="T18" s="32"/>
      <c r="U18" s="33"/>
      <c r="V18" s="47">
        <f t="shared" si="4"/>
        <v>0</v>
      </c>
      <c r="W18" s="48">
        <v>0</v>
      </c>
    </row>
    <row r="19" spans="1:23">
      <c r="A19" s="7" t="s">
        <v>22</v>
      </c>
      <c r="B19" s="5" t="s">
        <v>13</v>
      </c>
      <c r="C19" s="7"/>
      <c r="D19" s="7"/>
      <c r="E19" s="7"/>
      <c r="F19" s="56"/>
      <c r="G19" s="28">
        <f>I19</f>
        <v>2400000</v>
      </c>
      <c r="H19" s="30"/>
      <c r="I19" s="33">
        <v>2400000</v>
      </c>
      <c r="J19" s="28">
        <f>L19</f>
        <v>2400000</v>
      </c>
      <c r="K19" s="30"/>
      <c r="L19" s="33">
        <v>2400000</v>
      </c>
      <c r="M19" s="28">
        <f>O19</f>
        <v>2400000</v>
      </c>
      <c r="N19" s="30"/>
      <c r="O19" s="33">
        <v>2400000</v>
      </c>
      <c r="P19" s="28">
        <f>R19</f>
        <v>0</v>
      </c>
      <c r="Q19" s="30"/>
      <c r="R19" s="33"/>
      <c r="S19" s="28">
        <f>U19</f>
        <v>0</v>
      </c>
      <c r="T19" s="30"/>
      <c r="U19" s="33"/>
      <c r="V19" s="47">
        <f t="shared" si="4"/>
        <v>0</v>
      </c>
      <c r="W19" s="48">
        <v>0</v>
      </c>
    </row>
    <row r="20" spans="1:23" ht="104.25" customHeight="1">
      <c r="A20" s="7" t="s">
        <v>23</v>
      </c>
      <c r="B20" s="5" t="s">
        <v>13</v>
      </c>
      <c r="C20" s="5" t="s">
        <v>13</v>
      </c>
      <c r="D20" s="5" t="s">
        <v>24</v>
      </c>
      <c r="E20" s="5" t="s">
        <v>15</v>
      </c>
      <c r="F20" s="55" t="s">
        <v>25</v>
      </c>
      <c r="G20" s="28">
        <f>H20</f>
        <v>198620000</v>
      </c>
      <c r="H20" s="32">
        <v>198620000</v>
      </c>
      <c r="I20" s="66"/>
      <c r="J20" s="28">
        <f>K20</f>
        <v>198620000</v>
      </c>
      <c r="K20" s="32">
        <v>198620000</v>
      </c>
      <c r="L20" s="66"/>
      <c r="M20" s="28">
        <f>N20</f>
        <v>0</v>
      </c>
      <c r="N20" s="32"/>
      <c r="O20" s="67">
        <v>0</v>
      </c>
      <c r="P20" s="28">
        <f>Q20</f>
        <v>0</v>
      </c>
      <c r="Q20" s="32"/>
      <c r="R20" s="49"/>
      <c r="S20" s="28">
        <f>T20</f>
        <v>0</v>
      </c>
      <c r="T20" s="32"/>
      <c r="U20" s="49"/>
      <c r="V20" s="47">
        <f t="shared" si="4"/>
        <v>0</v>
      </c>
      <c r="W20" s="48">
        <v>0</v>
      </c>
    </row>
    <row r="21" spans="1:23" ht="139.5" customHeight="1">
      <c r="A21" s="81" t="s">
        <v>26</v>
      </c>
      <c r="B21" s="5" t="s">
        <v>13</v>
      </c>
      <c r="C21" s="5" t="s">
        <v>13</v>
      </c>
      <c r="D21" s="5" t="s">
        <v>27</v>
      </c>
      <c r="E21" s="5" t="s">
        <v>15</v>
      </c>
      <c r="F21" s="55" t="s">
        <v>28</v>
      </c>
      <c r="G21" s="28">
        <f>H21+I21</f>
        <v>229643253.77999997</v>
      </c>
      <c r="H21" s="32">
        <f>H22</f>
        <v>135324583.69999999</v>
      </c>
      <c r="I21" s="33">
        <f>I22+I23</f>
        <v>94318670.079999998</v>
      </c>
      <c r="J21" s="28">
        <f>K21+L21</f>
        <v>229643253.77999997</v>
      </c>
      <c r="K21" s="32">
        <f>K22</f>
        <v>135324583.69999999</v>
      </c>
      <c r="L21" s="33">
        <f>L22+L23</f>
        <v>94318670.079999998</v>
      </c>
      <c r="M21" s="28">
        <f>N21+O21</f>
        <v>229643253.77999997</v>
      </c>
      <c r="N21" s="32">
        <f>N22</f>
        <v>135324583.69999999</v>
      </c>
      <c r="O21" s="33">
        <f>O22+O23</f>
        <v>94318670.079999998</v>
      </c>
      <c r="P21" s="28">
        <f>Q21+R21</f>
        <v>187899982.88999999</v>
      </c>
      <c r="Q21" s="32">
        <f>Q22</f>
        <v>135324583.69999999</v>
      </c>
      <c r="R21" s="33">
        <f>R22+R23</f>
        <v>52575399.189999998</v>
      </c>
      <c r="S21" s="28">
        <f>T21+U21</f>
        <v>185255789.87</v>
      </c>
      <c r="T21" s="32">
        <f>T22</f>
        <v>135324583.69999999</v>
      </c>
      <c r="U21" s="33">
        <f>U22+U23</f>
        <v>49931206.170000002</v>
      </c>
      <c r="V21" s="47">
        <f t="shared" si="4"/>
        <v>80.671122195244848</v>
      </c>
      <c r="W21" s="48">
        <f t="shared" si="5"/>
        <v>80.671122195244848</v>
      </c>
    </row>
    <row r="22" spans="1:23" ht="45">
      <c r="A22" s="7" t="s">
        <v>17</v>
      </c>
      <c r="B22" s="5" t="s">
        <v>18</v>
      </c>
      <c r="C22" s="7"/>
      <c r="D22" s="7"/>
      <c r="E22" s="7"/>
      <c r="F22" s="56"/>
      <c r="G22" s="28">
        <f>H22+I22</f>
        <v>139855913.53</v>
      </c>
      <c r="H22" s="32">
        <v>135324583.69999999</v>
      </c>
      <c r="I22" s="33">
        <v>4531329.83</v>
      </c>
      <c r="J22" s="28">
        <f>K22+L22</f>
        <v>139855913.53</v>
      </c>
      <c r="K22" s="32">
        <v>135324583.69999999</v>
      </c>
      <c r="L22" s="33">
        <v>4531329.83</v>
      </c>
      <c r="M22" s="28">
        <f>N22+O22</f>
        <v>139855913.53</v>
      </c>
      <c r="N22" s="32">
        <f>92224283.7+43100300</f>
        <v>135324583.69999999</v>
      </c>
      <c r="O22" s="33">
        <f>3088089.83+1443240</f>
        <v>4531329.83</v>
      </c>
      <c r="P22" s="28">
        <f>Q22+R22</f>
        <v>139855913.53</v>
      </c>
      <c r="Q22" s="32">
        <v>135324583.69999999</v>
      </c>
      <c r="R22" s="33">
        <v>4531329.83</v>
      </c>
      <c r="S22" s="28">
        <f>T22+U22</f>
        <v>139855913.53</v>
      </c>
      <c r="T22" s="32">
        <v>135324583.69999999</v>
      </c>
      <c r="U22" s="33">
        <v>4531329.83</v>
      </c>
      <c r="V22" s="47">
        <f t="shared" si="4"/>
        <v>100</v>
      </c>
      <c r="W22" s="48">
        <f t="shared" si="5"/>
        <v>100</v>
      </c>
    </row>
    <row r="23" spans="1:23">
      <c r="A23" s="7" t="s">
        <v>22</v>
      </c>
      <c r="B23" s="5" t="s">
        <v>13</v>
      </c>
      <c r="C23" s="7"/>
      <c r="D23" s="7"/>
      <c r="E23" s="7"/>
      <c r="F23" s="56"/>
      <c r="G23" s="28">
        <f>I23</f>
        <v>89787340.25</v>
      </c>
      <c r="H23" s="32"/>
      <c r="I23" s="33">
        <v>89787340.25</v>
      </c>
      <c r="J23" s="28">
        <f>L23</f>
        <v>89787340.25</v>
      </c>
      <c r="K23" s="32"/>
      <c r="L23" s="33">
        <v>89787340.25</v>
      </c>
      <c r="M23" s="28">
        <f>O23</f>
        <v>89787340.25</v>
      </c>
      <c r="N23" s="32"/>
      <c r="O23" s="33">
        <v>89787340.25</v>
      </c>
      <c r="P23" s="28">
        <f>R23</f>
        <v>48044069.359999999</v>
      </c>
      <c r="Q23" s="32"/>
      <c r="R23" s="33">
        <v>48044069.359999999</v>
      </c>
      <c r="S23" s="28">
        <f>U23</f>
        <v>45399876.340000004</v>
      </c>
      <c r="T23" s="32"/>
      <c r="U23" s="27">
        <v>45399876.340000004</v>
      </c>
      <c r="V23" s="47">
        <f t="shared" si="4"/>
        <v>50.563783506216517</v>
      </c>
      <c r="W23" s="48">
        <f t="shared" si="5"/>
        <v>50.563783506216517</v>
      </c>
    </row>
    <row r="24" spans="1:23" ht="105.75" customHeight="1">
      <c r="A24" s="7" t="s">
        <v>29</v>
      </c>
      <c r="B24" s="5" t="s">
        <v>13</v>
      </c>
      <c r="C24" s="5" t="s">
        <v>13</v>
      </c>
      <c r="D24" s="5" t="s">
        <v>30</v>
      </c>
      <c r="E24" s="5" t="s">
        <v>15</v>
      </c>
      <c r="F24" s="55" t="s">
        <v>31</v>
      </c>
      <c r="G24" s="28">
        <f>H24+I24</f>
        <v>0</v>
      </c>
      <c r="H24" s="32"/>
      <c r="I24" s="33">
        <v>0</v>
      </c>
      <c r="J24" s="28">
        <f>K24+L24</f>
        <v>0</v>
      </c>
      <c r="K24" s="32"/>
      <c r="L24" s="33">
        <v>0</v>
      </c>
      <c r="M24" s="28">
        <f>N24+O24</f>
        <v>0</v>
      </c>
      <c r="N24" s="32"/>
      <c r="O24" s="33"/>
      <c r="P24" s="28">
        <f>Q24+R24</f>
        <v>0</v>
      </c>
      <c r="Q24" s="32"/>
      <c r="R24" s="33"/>
      <c r="S24" s="28">
        <f>T24+U24</f>
        <v>0</v>
      </c>
      <c r="T24" s="32"/>
      <c r="U24" s="33"/>
      <c r="V24" s="47" t="e">
        <f t="shared" si="4"/>
        <v>#DIV/0!</v>
      </c>
      <c r="W24" s="48">
        <v>0</v>
      </c>
    </row>
    <row r="25" spans="1:23" ht="107.25" customHeight="1">
      <c r="A25" s="7" t="s">
        <v>296</v>
      </c>
      <c r="B25" s="5" t="s">
        <v>13</v>
      </c>
      <c r="C25" s="5" t="s">
        <v>13</v>
      </c>
      <c r="D25" s="5" t="s">
        <v>32</v>
      </c>
      <c r="E25" s="5" t="s">
        <v>15</v>
      </c>
      <c r="F25" s="55" t="s">
        <v>33</v>
      </c>
      <c r="G25" s="28">
        <f>H25+I25</f>
        <v>285305219.80000001</v>
      </c>
      <c r="H25" s="32">
        <v>271416942.13999999</v>
      </c>
      <c r="I25" s="33">
        <f>I26+I27</f>
        <v>13888277.66</v>
      </c>
      <c r="J25" s="28">
        <f>K25+L25</f>
        <v>285305219.80000001</v>
      </c>
      <c r="K25" s="32">
        <v>271416942.13999999</v>
      </c>
      <c r="L25" s="33">
        <f>L26+L27</f>
        <v>13888277.66</v>
      </c>
      <c r="M25" s="28">
        <f>N25+O25</f>
        <v>254695354.91</v>
      </c>
      <c r="N25" s="32">
        <f>N26</f>
        <v>246183554.38</v>
      </c>
      <c r="O25" s="33">
        <f>O26+O27</f>
        <v>8511800.5300000012</v>
      </c>
      <c r="P25" s="28">
        <f>Q25+R25</f>
        <v>224624520.71000001</v>
      </c>
      <c r="Q25" s="32">
        <f>Q26</f>
        <v>217391294.88</v>
      </c>
      <c r="R25" s="27">
        <f>R26+R27</f>
        <v>7233225.8300000001</v>
      </c>
      <c r="S25" s="28">
        <f>T25+U25</f>
        <v>224624520.71000001</v>
      </c>
      <c r="T25" s="26">
        <f>T26+T27</f>
        <v>217391294.88</v>
      </c>
      <c r="U25" s="27">
        <f>U26+U27</f>
        <v>7233225.8300000001</v>
      </c>
      <c r="V25" s="47">
        <f t="shared" si="4"/>
        <v>78.731304273879957</v>
      </c>
      <c r="W25" s="48">
        <f t="shared" si="5"/>
        <v>88.193410825797784</v>
      </c>
    </row>
    <row r="26" spans="1:23" ht="45">
      <c r="A26" s="82" t="s">
        <v>17</v>
      </c>
      <c r="B26" s="5" t="s">
        <v>18</v>
      </c>
      <c r="C26" s="7"/>
      <c r="D26" s="7"/>
      <c r="E26" s="7"/>
      <c r="F26" s="56"/>
      <c r="G26" s="28">
        <f>H26+I26</f>
        <v>280505219.80000001</v>
      </c>
      <c r="H26" s="32">
        <v>271416942.13999999</v>
      </c>
      <c r="I26" s="33">
        <v>9088277.6600000001</v>
      </c>
      <c r="J26" s="28">
        <f>K26+L26</f>
        <v>280505219.80000001</v>
      </c>
      <c r="K26" s="32">
        <v>271416942.13999999</v>
      </c>
      <c r="L26" s="33">
        <v>9088277.6600000001</v>
      </c>
      <c r="M26" s="28">
        <f>N26+O26</f>
        <v>254580835.75999999</v>
      </c>
      <c r="N26" s="26">
        <f>246183554.38</f>
        <v>246183554.38</v>
      </c>
      <c r="O26" s="33">
        <f>8397281.38</f>
        <v>8397281.3800000008</v>
      </c>
      <c r="P26" s="28">
        <f>Q26+R26</f>
        <v>224510001.56</v>
      </c>
      <c r="Q26" s="26">
        <f>217391294.88</f>
        <v>217391294.88</v>
      </c>
      <c r="R26" s="27">
        <f>7118706.68</f>
        <v>7118706.6799999997</v>
      </c>
      <c r="S26" s="28">
        <f>T26+U26</f>
        <v>224510001.56</v>
      </c>
      <c r="T26" s="26">
        <f>217391294.88</f>
        <v>217391294.88</v>
      </c>
      <c r="U26" s="27">
        <f>7118706.68</f>
        <v>7118706.6799999997</v>
      </c>
      <c r="V26" s="47">
        <f t="shared" si="4"/>
        <v>80.037726827356522</v>
      </c>
      <c r="W26" s="48">
        <f t="shared" si="5"/>
        <v>88.188099818971239</v>
      </c>
    </row>
    <row r="27" spans="1:23" ht="15.75" customHeight="1">
      <c r="A27" s="82" t="s">
        <v>22</v>
      </c>
      <c r="B27" s="5" t="s">
        <v>13</v>
      </c>
      <c r="C27" s="7"/>
      <c r="D27" s="7"/>
      <c r="E27" s="7"/>
      <c r="F27" s="56"/>
      <c r="G27" s="28">
        <v>4800000</v>
      </c>
      <c r="H27" s="32"/>
      <c r="I27" s="33">
        <v>4800000</v>
      </c>
      <c r="J27" s="28">
        <v>4800000</v>
      </c>
      <c r="K27" s="32"/>
      <c r="L27" s="33">
        <v>4800000</v>
      </c>
      <c r="M27" s="28">
        <f>O27</f>
        <v>114519.15</v>
      </c>
      <c r="N27" s="32"/>
      <c r="O27" s="27">
        <v>114519.15</v>
      </c>
      <c r="P27" s="28">
        <f>R27</f>
        <v>114519.15</v>
      </c>
      <c r="Q27" s="32"/>
      <c r="R27" s="27">
        <v>114519.15</v>
      </c>
      <c r="S27" s="28">
        <f>U27</f>
        <v>114519.15</v>
      </c>
      <c r="T27" s="32"/>
      <c r="U27" s="27">
        <v>114519.15</v>
      </c>
      <c r="V27" s="47">
        <f t="shared" si="4"/>
        <v>2.3858156249999998</v>
      </c>
      <c r="W27" s="48">
        <v>0</v>
      </c>
    </row>
    <row r="28" spans="1:23" ht="63" hidden="1" customHeight="1">
      <c r="A28" s="166" t="s">
        <v>334</v>
      </c>
      <c r="B28" s="124" t="s">
        <v>13</v>
      </c>
      <c r="C28" s="124" t="s">
        <v>13</v>
      </c>
      <c r="D28" s="124" t="s">
        <v>34</v>
      </c>
      <c r="E28" s="124" t="s">
        <v>15</v>
      </c>
      <c r="F28" s="125" t="s">
        <v>16</v>
      </c>
      <c r="G28" s="29"/>
      <c r="H28" s="30"/>
      <c r="I28" s="31"/>
      <c r="J28" s="29"/>
      <c r="K28" s="30"/>
      <c r="L28" s="31"/>
      <c r="M28" s="29"/>
      <c r="N28" s="30"/>
      <c r="O28" s="31"/>
      <c r="P28" s="29"/>
      <c r="Q28" s="30"/>
      <c r="R28" s="31"/>
      <c r="S28" s="29"/>
      <c r="T28" s="30"/>
      <c r="U28" s="31"/>
      <c r="V28" s="47" t="e">
        <f t="shared" si="4"/>
        <v>#DIV/0!</v>
      </c>
      <c r="W28" s="48" t="e">
        <f t="shared" si="5"/>
        <v>#DIV/0!</v>
      </c>
    </row>
    <row r="29" spans="1:23" ht="53.25" hidden="1" customHeight="1">
      <c r="A29" s="166"/>
      <c r="B29" s="124"/>
      <c r="C29" s="124"/>
      <c r="D29" s="124"/>
      <c r="E29" s="124"/>
      <c r="F29" s="125"/>
      <c r="G29" s="29"/>
      <c r="H29" s="30"/>
      <c r="I29" s="31"/>
      <c r="J29" s="29"/>
      <c r="K29" s="30"/>
      <c r="L29" s="31"/>
      <c r="M29" s="29"/>
      <c r="N29" s="30"/>
      <c r="O29" s="31"/>
      <c r="P29" s="29"/>
      <c r="Q29" s="30"/>
      <c r="R29" s="31"/>
      <c r="S29" s="29"/>
      <c r="T29" s="30"/>
      <c r="U29" s="31"/>
      <c r="V29" s="47" t="e">
        <f t="shared" si="4"/>
        <v>#DIV/0!</v>
      </c>
      <c r="W29" s="48" t="e">
        <f t="shared" si="5"/>
        <v>#DIV/0!</v>
      </c>
    </row>
    <row r="30" spans="1:23" ht="60" hidden="1" customHeight="1">
      <c r="A30" s="7" t="s">
        <v>17</v>
      </c>
      <c r="B30" s="5" t="s">
        <v>18</v>
      </c>
      <c r="C30" s="7"/>
      <c r="D30" s="7"/>
      <c r="E30" s="7"/>
      <c r="F30" s="56"/>
      <c r="G30" s="29"/>
      <c r="H30" s="30"/>
      <c r="I30" s="31"/>
      <c r="J30" s="29"/>
      <c r="K30" s="30"/>
      <c r="L30" s="31"/>
      <c r="M30" s="29"/>
      <c r="N30" s="30"/>
      <c r="O30" s="31"/>
      <c r="P30" s="29"/>
      <c r="Q30" s="30"/>
      <c r="R30" s="31"/>
      <c r="S30" s="29"/>
      <c r="T30" s="30"/>
      <c r="U30" s="31"/>
      <c r="V30" s="47" t="e">
        <f t="shared" si="4"/>
        <v>#DIV/0!</v>
      </c>
      <c r="W30" s="48" t="e">
        <f t="shared" si="5"/>
        <v>#DIV/0!</v>
      </c>
    </row>
    <row r="31" spans="1:23" ht="150" hidden="1" customHeight="1">
      <c r="A31" s="7" t="s">
        <v>35</v>
      </c>
      <c r="B31" s="5" t="s">
        <v>13</v>
      </c>
      <c r="C31" s="5" t="s">
        <v>13</v>
      </c>
      <c r="D31" s="5" t="s">
        <v>36</v>
      </c>
      <c r="E31" s="5" t="s">
        <v>15</v>
      </c>
      <c r="F31" s="55" t="s">
        <v>37</v>
      </c>
      <c r="G31" s="29"/>
      <c r="H31" s="30"/>
      <c r="I31" s="31"/>
      <c r="J31" s="29"/>
      <c r="K31" s="30"/>
      <c r="L31" s="31"/>
      <c r="M31" s="29"/>
      <c r="N31" s="30"/>
      <c r="O31" s="31"/>
      <c r="P31" s="29"/>
      <c r="Q31" s="30"/>
      <c r="R31" s="31"/>
      <c r="S31" s="29"/>
      <c r="T31" s="30"/>
      <c r="U31" s="31"/>
      <c r="V31" s="47" t="e">
        <f t="shared" si="4"/>
        <v>#DIV/0!</v>
      </c>
      <c r="W31" s="48" t="e">
        <f t="shared" si="5"/>
        <v>#DIV/0!</v>
      </c>
    </row>
    <row r="32" spans="1:23" ht="60" hidden="1" customHeight="1">
      <c r="A32" s="7" t="s">
        <v>17</v>
      </c>
      <c r="B32" s="5" t="s">
        <v>18</v>
      </c>
      <c r="C32" s="7"/>
      <c r="D32" s="7"/>
      <c r="E32" s="7"/>
      <c r="F32" s="56"/>
      <c r="G32" s="29"/>
      <c r="H32" s="30"/>
      <c r="I32" s="31"/>
      <c r="J32" s="29"/>
      <c r="K32" s="30"/>
      <c r="L32" s="31"/>
      <c r="M32" s="29"/>
      <c r="N32" s="30"/>
      <c r="O32" s="31"/>
      <c r="P32" s="29"/>
      <c r="Q32" s="30"/>
      <c r="R32" s="31"/>
      <c r="S32" s="29"/>
      <c r="T32" s="30"/>
      <c r="U32" s="31"/>
      <c r="V32" s="47" t="e">
        <f t="shared" si="4"/>
        <v>#DIV/0!</v>
      </c>
      <c r="W32" s="48" t="e">
        <f t="shared" si="5"/>
        <v>#DIV/0!</v>
      </c>
    </row>
    <row r="33" spans="1:23" ht="60" customHeight="1">
      <c r="A33" s="99" t="s">
        <v>327</v>
      </c>
      <c r="B33" s="124" t="s">
        <v>13</v>
      </c>
      <c r="C33" s="124" t="s">
        <v>13</v>
      </c>
      <c r="D33" s="124" t="s">
        <v>38</v>
      </c>
      <c r="E33" s="124" t="s">
        <v>15</v>
      </c>
      <c r="F33" s="125" t="s">
        <v>39</v>
      </c>
      <c r="G33" s="129">
        <f>H33+I33</f>
        <v>85125927.409999996</v>
      </c>
      <c r="H33" s="136"/>
      <c r="I33" s="131">
        <v>85125927.409999996</v>
      </c>
      <c r="J33" s="129">
        <f>K33+L33</f>
        <v>85125927.409999996</v>
      </c>
      <c r="K33" s="136"/>
      <c r="L33" s="131">
        <v>85125927.409999996</v>
      </c>
      <c r="M33" s="129">
        <f>N33+O33</f>
        <v>85125927.409999996</v>
      </c>
      <c r="N33" s="136"/>
      <c r="O33" s="131">
        <v>85125927.409999996</v>
      </c>
      <c r="P33" s="129">
        <f>Q33+R33</f>
        <v>82376521.930000007</v>
      </c>
      <c r="Q33" s="136"/>
      <c r="R33" s="160">
        <v>82376521.930000007</v>
      </c>
      <c r="S33" s="129">
        <f>T33+U33</f>
        <v>82376521.930000007</v>
      </c>
      <c r="T33" s="136"/>
      <c r="U33" s="160">
        <v>82376521.930000007</v>
      </c>
      <c r="V33" s="162">
        <f t="shared" si="4"/>
        <v>96.770190277331409</v>
      </c>
      <c r="W33" s="164">
        <f t="shared" si="5"/>
        <v>96.770190277331409</v>
      </c>
    </row>
    <row r="34" spans="1:23" ht="29.25" customHeight="1">
      <c r="A34" s="100"/>
      <c r="B34" s="124"/>
      <c r="C34" s="124"/>
      <c r="D34" s="124"/>
      <c r="E34" s="124"/>
      <c r="F34" s="125"/>
      <c r="G34" s="130"/>
      <c r="H34" s="137"/>
      <c r="I34" s="132"/>
      <c r="J34" s="130"/>
      <c r="K34" s="137"/>
      <c r="L34" s="132"/>
      <c r="M34" s="130"/>
      <c r="N34" s="137"/>
      <c r="O34" s="132"/>
      <c r="P34" s="130"/>
      <c r="Q34" s="137"/>
      <c r="R34" s="161"/>
      <c r="S34" s="130"/>
      <c r="T34" s="137"/>
      <c r="U34" s="161"/>
      <c r="V34" s="163"/>
      <c r="W34" s="165"/>
    </row>
    <row r="35" spans="1:23" ht="106.5" customHeight="1">
      <c r="A35" s="7" t="s">
        <v>40</v>
      </c>
      <c r="B35" s="5" t="s">
        <v>13</v>
      </c>
      <c r="C35" s="5" t="s">
        <v>13</v>
      </c>
      <c r="D35" s="5" t="s">
        <v>20</v>
      </c>
      <c r="E35" s="5" t="s">
        <v>15</v>
      </c>
      <c r="F35" s="55" t="s">
        <v>33</v>
      </c>
      <c r="G35" s="28">
        <f>H35+I35</f>
        <v>22682435.289999999</v>
      </c>
      <c r="H35" s="32">
        <v>19352210</v>
      </c>
      <c r="I35" s="33">
        <f>I36+I37</f>
        <v>3330225.29</v>
      </c>
      <c r="J35" s="28">
        <f>K35+L35</f>
        <v>22682435.289999999</v>
      </c>
      <c r="K35" s="32">
        <v>19352210</v>
      </c>
      <c r="L35" s="33">
        <f>L36+L37</f>
        <v>3330225.29</v>
      </c>
      <c r="M35" s="28">
        <f>N35+O35</f>
        <v>14046225</v>
      </c>
      <c r="N35" s="32">
        <f>N36</f>
        <v>11152000</v>
      </c>
      <c r="O35" s="33">
        <f>O36+O37</f>
        <v>2894225</v>
      </c>
      <c r="P35" s="28">
        <f>Q35+R35</f>
        <v>2517225</v>
      </c>
      <c r="Q35" s="32">
        <f t="shared" ref="Q35" si="11">Q36</f>
        <v>0</v>
      </c>
      <c r="R35" s="33">
        <f>R36+R37</f>
        <v>2517225</v>
      </c>
      <c r="S35" s="28">
        <f>T35+U35</f>
        <v>2517225</v>
      </c>
      <c r="T35" s="32">
        <f t="shared" ref="T35" si="12">T36</f>
        <v>0</v>
      </c>
      <c r="U35" s="33">
        <f>U36+U37</f>
        <v>2517225</v>
      </c>
      <c r="V35" s="47">
        <f t="shared" si="4"/>
        <v>11.097684035319473</v>
      </c>
      <c r="W35" s="48">
        <f t="shared" si="5"/>
        <v>17.921007245719046</v>
      </c>
    </row>
    <row r="36" spans="1:23" ht="45">
      <c r="A36" s="7" t="s">
        <v>17</v>
      </c>
      <c r="B36" s="5" t="s">
        <v>18</v>
      </c>
      <c r="C36" s="7"/>
      <c r="D36" s="7"/>
      <c r="E36" s="16" t="s">
        <v>304</v>
      </c>
      <c r="F36" s="56"/>
      <c r="G36" s="28">
        <f>H36+I36</f>
        <v>20000210.289999999</v>
      </c>
      <c r="H36" s="32">
        <v>19352210</v>
      </c>
      <c r="I36" s="33">
        <v>648000.29</v>
      </c>
      <c r="J36" s="28">
        <f>K36+L36</f>
        <v>20000210.289999999</v>
      </c>
      <c r="K36" s="32">
        <v>19352210</v>
      </c>
      <c r="L36" s="33">
        <v>648000.29</v>
      </c>
      <c r="M36" s="28">
        <f>N36+O36</f>
        <v>11524000</v>
      </c>
      <c r="N36" s="26">
        <f>11152000</f>
        <v>11152000</v>
      </c>
      <c r="O36" s="33">
        <f>372000</f>
        <v>372000</v>
      </c>
      <c r="P36" s="28"/>
      <c r="Q36" s="32"/>
      <c r="R36" s="33"/>
      <c r="S36" s="28">
        <f>T36+U36</f>
        <v>0</v>
      </c>
      <c r="T36" s="32"/>
      <c r="U36" s="33"/>
      <c r="V36" s="47">
        <f t="shared" si="4"/>
        <v>0</v>
      </c>
      <c r="W36" s="48">
        <v>0</v>
      </c>
    </row>
    <row r="37" spans="1:23">
      <c r="A37" s="7" t="s">
        <v>22</v>
      </c>
      <c r="B37" s="5" t="s">
        <v>13</v>
      </c>
      <c r="C37" s="7"/>
      <c r="D37" s="7"/>
      <c r="E37" s="7"/>
      <c r="F37" s="56"/>
      <c r="G37" s="28">
        <v>2682225</v>
      </c>
      <c r="H37" s="32"/>
      <c r="I37" s="33">
        <v>2682225</v>
      </c>
      <c r="J37" s="28">
        <v>2682225</v>
      </c>
      <c r="K37" s="32"/>
      <c r="L37" s="33">
        <v>2682225</v>
      </c>
      <c r="M37" s="28">
        <f>N37+O37</f>
        <v>2522225</v>
      </c>
      <c r="N37" s="32"/>
      <c r="O37" s="33">
        <v>2522225</v>
      </c>
      <c r="P37" s="28">
        <f>Q37+R37</f>
        <v>2517225</v>
      </c>
      <c r="Q37" s="32"/>
      <c r="R37" s="33">
        <v>2517225</v>
      </c>
      <c r="S37" s="28">
        <f>T37+U37</f>
        <v>2517225</v>
      </c>
      <c r="T37" s="32"/>
      <c r="U37" s="33">
        <v>2517225</v>
      </c>
      <c r="V37" s="47">
        <f t="shared" si="4"/>
        <v>93.848390794955677</v>
      </c>
      <c r="W37" s="48">
        <f t="shared" si="5"/>
        <v>99.801762332860861</v>
      </c>
    </row>
    <row r="38" spans="1:23" ht="102" customHeight="1">
      <c r="A38" s="16" t="s">
        <v>305</v>
      </c>
      <c r="B38" s="15" t="s">
        <v>13</v>
      </c>
      <c r="C38" s="15" t="s">
        <v>13</v>
      </c>
      <c r="D38" s="15" t="s">
        <v>36</v>
      </c>
      <c r="E38" s="15" t="s">
        <v>15</v>
      </c>
      <c r="F38" s="55" t="s">
        <v>21</v>
      </c>
      <c r="G38" s="28">
        <f>I38</f>
        <v>1730000</v>
      </c>
      <c r="H38" s="32"/>
      <c r="I38" s="33">
        <v>1730000</v>
      </c>
      <c r="J38" s="28">
        <f>L38</f>
        <v>1730000</v>
      </c>
      <c r="K38" s="32"/>
      <c r="L38" s="33">
        <v>1730000</v>
      </c>
      <c r="M38" s="28">
        <f>O38</f>
        <v>1179650</v>
      </c>
      <c r="N38" s="32"/>
      <c r="O38" s="33">
        <v>1179650</v>
      </c>
      <c r="P38" s="28">
        <f>R38</f>
        <v>547651.19999999995</v>
      </c>
      <c r="Q38" s="32"/>
      <c r="R38" s="33">
        <v>547651.19999999995</v>
      </c>
      <c r="S38" s="28">
        <f>U38</f>
        <v>547651.19999999995</v>
      </c>
      <c r="T38" s="32"/>
      <c r="U38" s="33">
        <v>547651.19999999995</v>
      </c>
      <c r="V38" s="47"/>
      <c r="W38" s="48"/>
    </row>
    <row r="39" spans="1:23" ht="110.25" customHeight="1">
      <c r="A39" s="7" t="s">
        <v>41</v>
      </c>
      <c r="B39" s="5" t="s">
        <v>13</v>
      </c>
      <c r="C39" s="5" t="s">
        <v>13</v>
      </c>
      <c r="D39" s="5" t="s">
        <v>36</v>
      </c>
      <c r="E39" s="5" t="s">
        <v>15</v>
      </c>
      <c r="F39" s="55" t="s">
        <v>21</v>
      </c>
      <c r="G39" s="28">
        <f>H39+I39</f>
        <v>25041000</v>
      </c>
      <c r="H39" s="32">
        <v>24190008.149999999</v>
      </c>
      <c r="I39" s="33">
        <f>I40+I41</f>
        <v>850991.85</v>
      </c>
      <c r="J39" s="28">
        <f>K39+L39</f>
        <v>25041000</v>
      </c>
      <c r="K39" s="32">
        <v>24190008.149999999</v>
      </c>
      <c r="L39" s="33">
        <f>L40+L41</f>
        <v>850991.85</v>
      </c>
      <c r="M39" s="28">
        <f>N39+O39</f>
        <v>16928230.02</v>
      </c>
      <c r="N39" s="32">
        <f>N40+N41</f>
        <v>16322419.68</v>
      </c>
      <c r="O39" s="33">
        <f>O40+O41</f>
        <v>605810.34</v>
      </c>
      <c r="P39" s="28">
        <f>Q39+R39</f>
        <v>12831974.680000002</v>
      </c>
      <c r="Q39" s="32">
        <f t="shared" ref="Q39:R39" si="13">Q40+Q41</f>
        <v>12416222.880000001</v>
      </c>
      <c r="R39" s="33">
        <f t="shared" si="13"/>
        <v>415751.8</v>
      </c>
      <c r="S39" s="28">
        <f>T39+U39</f>
        <v>12831974.680000002</v>
      </c>
      <c r="T39" s="32">
        <f t="shared" ref="T39:U39" si="14">T40+T41</f>
        <v>12416222.880000001</v>
      </c>
      <c r="U39" s="33">
        <f t="shared" si="14"/>
        <v>415751.8</v>
      </c>
      <c r="V39" s="47">
        <f t="shared" si="4"/>
        <v>51.243858791581808</v>
      </c>
      <c r="W39" s="48">
        <f t="shared" si="5"/>
        <v>75.802223060766295</v>
      </c>
    </row>
    <row r="40" spans="1:23" ht="45">
      <c r="A40" s="7" t="s">
        <v>17</v>
      </c>
      <c r="B40" s="5" t="s">
        <v>18</v>
      </c>
      <c r="C40" s="7"/>
      <c r="D40" s="7"/>
      <c r="E40" s="7"/>
      <c r="F40" s="56"/>
      <c r="G40" s="28">
        <f>H40+I40</f>
        <v>25000000</v>
      </c>
      <c r="H40" s="32">
        <v>24190008.149999999</v>
      </c>
      <c r="I40" s="33">
        <v>809991.85</v>
      </c>
      <c r="J40" s="28">
        <f>K40+L40</f>
        <v>25000000</v>
      </c>
      <c r="K40" s="32">
        <v>24190008.149999999</v>
      </c>
      <c r="L40" s="33">
        <v>809991.85</v>
      </c>
      <c r="M40" s="28">
        <f>N40+O40</f>
        <v>16887230.02</v>
      </c>
      <c r="N40" s="26">
        <v>16322419.68</v>
      </c>
      <c r="O40" s="27">
        <v>564810.34</v>
      </c>
      <c r="P40" s="28">
        <f>Q40+R40</f>
        <v>12831974.680000002</v>
      </c>
      <c r="Q40" s="26">
        <v>12416222.880000001</v>
      </c>
      <c r="R40" s="27">
        <v>415751.8</v>
      </c>
      <c r="S40" s="28">
        <f>T40+U40</f>
        <v>12831974.680000002</v>
      </c>
      <c r="T40" s="26">
        <v>12416222.880000001</v>
      </c>
      <c r="U40" s="27">
        <v>415751.8</v>
      </c>
      <c r="V40" s="47">
        <f t="shared" si="4"/>
        <v>51.327898720000007</v>
      </c>
      <c r="W40" s="48">
        <f t="shared" si="5"/>
        <v>75.986261007890278</v>
      </c>
    </row>
    <row r="41" spans="1:23">
      <c r="A41" s="7" t="s">
        <v>22</v>
      </c>
      <c r="B41" s="5" t="s">
        <v>13</v>
      </c>
      <c r="C41" s="7"/>
      <c r="D41" s="7"/>
      <c r="E41" s="7"/>
      <c r="F41" s="56"/>
      <c r="G41" s="28">
        <v>41000</v>
      </c>
      <c r="H41" s="32"/>
      <c r="I41" s="33">
        <v>41000</v>
      </c>
      <c r="J41" s="28">
        <v>41000</v>
      </c>
      <c r="K41" s="32"/>
      <c r="L41" s="33">
        <v>41000</v>
      </c>
      <c r="M41" s="28">
        <v>41000</v>
      </c>
      <c r="N41" s="32"/>
      <c r="O41" s="33">
        <v>41000</v>
      </c>
      <c r="P41" s="28">
        <f>Q41+R41</f>
        <v>0</v>
      </c>
      <c r="Q41" s="32"/>
      <c r="R41" s="33">
        <v>0</v>
      </c>
      <c r="S41" s="28">
        <f>T41+U41</f>
        <v>0</v>
      </c>
      <c r="T41" s="32"/>
      <c r="U41" s="33">
        <v>0</v>
      </c>
      <c r="V41" s="47">
        <f t="shared" si="4"/>
        <v>0</v>
      </c>
      <c r="W41" s="48">
        <v>0</v>
      </c>
    </row>
    <row r="42" spans="1:23" ht="109.5" customHeight="1">
      <c r="A42" s="8" t="s">
        <v>42</v>
      </c>
      <c r="B42" s="5" t="s">
        <v>13</v>
      </c>
      <c r="C42" s="5" t="s">
        <v>13</v>
      </c>
      <c r="D42" s="5" t="s">
        <v>36</v>
      </c>
      <c r="E42" s="5" t="s">
        <v>15</v>
      </c>
      <c r="F42" s="55" t="s">
        <v>43</v>
      </c>
      <c r="G42" s="28">
        <f>H42+I42</f>
        <v>31321000</v>
      </c>
      <c r="H42" s="32">
        <v>30214287.780000001</v>
      </c>
      <c r="I42" s="33">
        <f>I43+I44</f>
        <v>1106712.22</v>
      </c>
      <c r="J42" s="28">
        <f>K42+L42</f>
        <v>31321000</v>
      </c>
      <c r="K42" s="32">
        <v>30214287.780000001</v>
      </c>
      <c r="L42" s="33">
        <f>L43+L44</f>
        <v>1106712.22</v>
      </c>
      <c r="M42" s="28">
        <f t="shared" ref="M42:M44" si="15">N42+O42</f>
        <v>22060000.010000002</v>
      </c>
      <c r="N42" s="32">
        <f>N43+N44</f>
        <v>21344805.34</v>
      </c>
      <c r="O42" s="33">
        <f>O43+O44</f>
        <v>715194.67</v>
      </c>
      <c r="P42" s="28">
        <f t="shared" ref="P42:P44" si="16">Q42+R42</f>
        <v>10311457.569999998</v>
      </c>
      <c r="Q42" s="32">
        <f t="shared" ref="Q42:R42" si="17">Q43+Q44</f>
        <v>9977369.6999999993</v>
      </c>
      <c r="R42" s="33">
        <f t="shared" si="17"/>
        <v>334087.87</v>
      </c>
      <c r="S42" s="28">
        <f t="shared" ref="S42:S44" si="18">T42+U42</f>
        <v>10311457.569999998</v>
      </c>
      <c r="T42" s="32">
        <f t="shared" ref="T42:U42" si="19">T43+T44</f>
        <v>9977369.6999999993</v>
      </c>
      <c r="U42" s="33">
        <f t="shared" si="19"/>
        <v>334087.87</v>
      </c>
      <c r="V42" s="47">
        <f t="shared" si="4"/>
        <v>32.921865745027297</v>
      </c>
      <c r="W42" s="48">
        <f t="shared" si="5"/>
        <v>46.742781347804716</v>
      </c>
    </row>
    <row r="43" spans="1:23" ht="45">
      <c r="A43" s="7" t="s">
        <v>17</v>
      </c>
      <c r="B43" s="5" t="s">
        <v>18</v>
      </c>
      <c r="C43" s="7"/>
      <c r="D43" s="7"/>
      <c r="E43" s="7"/>
      <c r="F43" s="56"/>
      <c r="G43" s="28">
        <f>H43+I43</f>
        <v>31226000</v>
      </c>
      <c r="H43" s="32">
        <v>30214287.780000001</v>
      </c>
      <c r="I43" s="33">
        <v>1011712.22</v>
      </c>
      <c r="J43" s="28">
        <f>K43+L43</f>
        <v>31226000</v>
      </c>
      <c r="K43" s="32">
        <v>30214287.780000001</v>
      </c>
      <c r="L43" s="33">
        <v>1011712.22</v>
      </c>
      <c r="M43" s="28">
        <f t="shared" si="15"/>
        <v>22060000.010000002</v>
      </c>
      <c r="N43" s="26">
        <v>21344805.34</v>
      </c>
      <c r="O43" s="27">
        <v>715194.67</v>
      </c>
      <c r="P43" s="28">
        <f t="shared" si="16"/>
        <v>10311457.569999998</v>
      </c>
      <c r="Q43" s="26">
        <v>9977369.6999999993</v>
      </c>
      <c r="R43" s="27">
        <v>334087.87</v>
      </c>
      <c r="S43" s="28">
        <f t="shared" si="18"/>
        <v>10311457.569999998</v>
      </c>
      <c r="T43" s="26">
        <v>9977369.6999999993</v>
      </c>
      <c r="U43" s="27">
        <v>334087.87</v>
      </c>
      <c r="V43" s="47">
        <f t="shared" si="4"/>
        <v>33.022025139306983</v>
      </c>
      <c r="W43" s="48">
        <f t="shared" si="5"/>
        <v>46.742781347804716</v>
      </c>
    </row>
    <row r="44" spans="1:23">
      <c r="A44" s="7" t="s">
        <v>22</v>
      </c>
      <c r="B44" s="5" t="s">
        <v>13</v>
      </c>
      <c r="C44" s="7"/>
      <c r="D44" s="7"/>
      <c r="E44" s="7"/>
      <c r="F44" s="56"/>
      <c r="G44" s="28">
        <v>95000</v>
      </c>
      <c r="H44" s="32"/>
      <c r="I44" s="33">
        <v>95000</v>
      </c>
      <c r="J44" s="28">
        <v>95000</v>
      </c>
      <c r="K44" s="32"/>
      <c r="L44" s="33">
        <v>95000</v>
      </c>
      <c r="M44" s="28">
        <f t="shared" si="15"/>
        <v>0</v>
      </c>
      <c r="N44" s="32"/>
      <c r="O44" s="33">
        <v>0</v>
      </c>
      <c r="P44" s="28">
        <f t="shared" si="16"/>
        <v>0</v>
      </c>
      <c r="Q44" s="32"/>
      <c r="R44" s="33">
        <v>0</v>
      </c>
      <c r="S44" s="28">
        <f t="shared" si="18"/>
        <v>0</v>
      </c>
      <c r="T44" s="32"/>
      <c r="U44" s="33">
        <v>0</v>
      </c>
      <c r="V44" s="47">
        <f t="shared" si="4"/>
        <v>0</v>
      </c>
      <c r="W44" s="48">
        <v>0</v>
      </c>
    </row>
    <row r="45" spans="1:23" ht="150" hidden="1" customHeight="1">
      <c r="A45" s="7" t="s">
        <v>44</v>
      </c>
      <c r="B45" s="5" t="s">
        <v>13</v>
      </c>
      <c r="C45" s="5" t="s">
        <v>13</v>
      </c>
      <c r="D45" s="5" t="s">
        <v>45</v>
      </c>
      <c r="E45" s="5" t="s">
        <v>15</v>
      </c>
      <c r="F45" s="55" t="s">
        <v>16</v>
      </c>
      <c r="G45" s="29"/>
      <c r="H45" s="30"/>
      <c r="I45" s="31"/>
      <c r="J45" s="29"/>
      <c r="K45" s="30"/>
      <c r="L45" s="31"/>
      <c r="M45" s="29"/>
      <c r="N45" s="30"/>
      <c r="O45" s="31"/>
      <c r="P45" s="29"/>
      <c r="Q45" s="30"/>
      <c r="R45" s="31"/>
      <c r="S45" s="29"/>
      <c r="T45" s="30"/>
      <c r="U45" s="31"/>
      <c r="V45" s="47" t="e">
        <f t="shared" si="4"/>
        <v>#DIV/0!</v>
      </c>
      <c r="W45" s="48" t="e">
        <f t="shared" si="5"/>
        <v>#DIV/0!</v>
      </c>
    </row>
    <row r="46" spans="1:23" ht="60" hidden="1" customHeight="1">
      <c r="A46" s="7" t="s">
        <v>17</v>
      </c>
      <c r="B46" s="5" t="s">
        <v>18</v>
      </c>
      <c r="C46" s="7"/>
      <c r="D46" s="7"/>
      <c r="E46" s="7"/>
      <c r="F46" s="56"/>
      <c r="G46" s="29"/>
      <c r="H46" s="30"/>
      <c r="I46" s="31"/>
      <c r="J46" s="29"/>
      <c r="K46" s="30"/>
      <c r="L46" s="31"/>
      <c r="M46" s="29"/>
      <c r="N46" s="30"/>
      <c r="O46" s="31"/>
      <c r="P46" s="29"/>
      <c r="Q46" s="30"/>
      <c r="R46" s="31"/>
      <c r="S46" s="29"/>
      <c r="T46" s="30"/>
      <c r="U46" s="31"/>
      <c r="V46" s="47" t="e">
        <f t="shared" si="4"/>
        <v>#DIV/0!</v>
      </c>
      <c r="W46" s="48" t="e">
        <f t="shared" si="5"/>
        <v>#DIV/0!</v>
      </c>
    </row>
    <row r="47" spans="1:23" ht="105.75" customHeight="1">
      <c r="A47" s="7" t="s">
        <v>46</v>
      </c>
      <c r="B47" s="5" t="s">
        <v>13</v>
      </c>
      <c r="C47" s="5" t="s">
        <v>13</v>
      </c>
      <c r="D47" s="5" t="s">
        <v>47</v>
      </c>
      <c r="E47" s="5" t="s">
        <v>15</v>
      </c>
      <c r="F47" s="55" t="s">
        <v>48</v>
      </c>
      <c r="G47" s="28">
        <f>H47+I47</f>
        <v>2311893156</v>
      </c>
      <c r="H47" s="32">
        <f>H48</f>
        <v>2076500400</v>
      </c>
      <c r="I47" s="33">
        <f>I48+I49</f>
        <v>235392756</v>
      </c>
      <c r="J47" s="28">
        <f>K47+L47</f>
        <v>2311893156</v>
      </c>
      <c r="K47" s="32">
        <f>K48</f>
        <v>2076500400</v>
      </c>
      <c r="L47" s="33">
        <f>L48+L49</f>
        <v>235392756</v>
      </c>
      <c r="M47" s="28">
        <f>N47+O47</f>
        <v>1896715262.54</v>
      </c>
      <c r="N47" s="32">
        <f>N48</f>
        <v>1704499140.0799999</v>
      </c>
      <c r="O47" s="33">
        <f>O48+O49</f>
        <v>192216122.46000001</v>
      </c>
      <c r="P47" s="28">
        <f t="shared" ref="P47:P49" si="20">Q47+R47</f>
        <v>1328041687.05</v>
      </c>
      <c r="Q47" s="32">
        <f>Q48</f>
        <v>1194202456.95</v>
      </c>
      <c r="R47" s="33">
        <f>R48+R49</f>
        <v>133839230.09999999</v>
      </c>
      <c r="S47" s="28">
        <f t="shared" ref="S47:S49" si="21">T47+U47</f>
        <v>1328041687.05</v>
      </c>
      <c r="T47" s="32">
        <f>T48</f>
        <v>1194202456.95</v>
      </c>
      <c r="U47" s="33">
        <f>U48+U49</f>
        <v>133839230.09999999</v>
      </c>
      <c r="V47" s="47">
        <f t="shared" si="4"/>
        <v>57.443904083688544</v>
      </c>
      <c r="W47" s="48">
        <f t="shared" si="5"/>
        <v>70.017978622238914</v>
      </c>
    </row>
    <row r="48" spans="1:23" ht="60">
      <c r="A48" s="7" t="s">
        <v>49</v>
      </c>
      <c r="B48" s="5" t="s">
        <v>50</v>
      </c>
      <c r="C48" s="7"/>
      <c r="D48" s="7"/>
      <c r="E48" s="7"/>
      <c r="F48" s="56"/>
      <c r="G48" s="28">
        <f>H48+I48</f>
        <v>2307222666.6700001</v>
      </c>
      <c r="H48" s="32">
        <v>2076500400</v>
      </c>
      <c r="I48" s="33">
        <v>230722266.66999999</v>
      </c>
      <c r="J48" s="28">
        <f>K48+L48</f>
        <v>2307222666.6700001</v>
      </c>
      <c r="K48" s="32">
        <v>2076500400</v>
      </c>
      <c r="L48" s="33">
        <v>230722266.66999999</v>
      </c>
      <c r="M48" s="28">
        <f t="shared" ref="M48:M49" si="22">N48+O48</f>
        <v>1893788711.1999998</v>
      </c>
      <c r="N48" s="26">
        <f>1340977440.08+236222200+127299500</f>
        <v>1704499140.0799999</v>
      </c>
      <c r="O48" s="27">
        <f>148898271.12+26246911.11+14144388.89</f>
        <v>189289571.12</v>
      </c>
      <c r="P48" s="28">
        <f t="shared" si="20"/>
        <v>1326891618.8299999</v>
      </c>
      <c r="Q48" s="26">
        <f>830680756.95+236222200+127299500</f>
        <v>1194202456.95</v>
      </c>
      <c r="R48" s="26">
        <f>92297861.88+26246911.11+14144388.89</f>
        <v>132689161.88</v>
      </c>
      <c r="S48" s="28">
        <f t="shared" si="21"/>
        <v>1326891618.8299999</v>
      </c>
      <c r="T48" s="26">
        <f>830680756.95+236222200+127299500</f>
        <v>1194202456.95</v>
      </c>
      <c r="U48" s="27">
        <f>92297861.88+26246911.11+14144388.89</f>
        <v>132689161.88</v>
      </c>
      <c r="V48" s="47">
        <f t="shared" si="4"/>
        <v>57.510340809242052</v>
      </c>
      <c r="W48" s="48">
        <f t="shared" si="5"/>
        <v>70.065451915658244</v>
      </c>
    </row>
    <row r="49" spans="1:23">
      <c r="A49" s="7" t="s">
        <v>22</v>
      </c>
      <c r="B49" s="5" t="s">
        <v>13</v>
      </c>
      <c r="C49" s="7"/>
      <c r="D49" s="7"/>
      <c r="E49" s="7"/>
      <c r="F49" s="56"/>
      <c r="G49" s="28">
        <f>I49</f>
        <v>4670489.33</v>
      </c>
      <c r="H49" s="32"/>
      <c r="I49" s="33">
        <v>4670489.33</v>
      </c>
      <c r="J49" s="28">
        <f>L49</f>
        <v>4670489.33</v>
      </c>
      <c r="K49" s="32"/>
      <c r="L49" s="33">
        <v>4670489.33</v>
      </c>
      <c r="M49" s="28">
        <f t="shared" si="22"/>
        <v>2926551.34</v>
      </c>
      <c r="N49" s="32"/>
      <c r="O49" s="64">
        <v>2926551.34</v>
      </c>
      <c r="P49" s="28">
        <f t="shared" si="20"/>
        <v>1150068.22</v>
      </c>
      <c r="Q49" s="32"/>
      <c r="R49" s="64">
        <v>1150068.22</v>
      </c>
      <c r="S49" s="28">
        <f t="shared" si="21"/>
        <v>1150068.22</v>
      </c>
      <c r="T49" s="32"/>
      <c r="U49" s="64">
        <v>1150068.22</v>
      </c>
      <c r="V49" s="47">
        <f t="shared" si="4"/>
        <v>24.624148322377177</v>
      </c>
      <c r="W49" s="48">
        <f t="shared" si="5"/>
        <v>39.297729183182554</v>
      </c>
    </row>
    <row r="50" spans="1:23" ht="108.75" customHeight="1">
      <c r="A50" s="7" t="s">
        <v>51</v>
      </c>
      <c r="B50" s="5" t="s">
        <v>13</v>
      </c>
      <c r="C50" s="5" t="s">
        <v>13</v>
      </c>
      <c r="D50" s="5" t="s">
        <v>36</v>
      </c>
      <c r="E50" s="5" t="s">
        <v>15</v>
      </c>
      <c r="F50" s="55">
        <v>2024</v>
      </c>
      <c r="G50" s="29"/>
      <c r="H50" s="30"/>
      <c r="I50" s="31"/>
      <c r="J50" s="29"/>
      <c r="K50" s="30"/>
      <c r="L50" s="31"/>
      <c r="M50" s="29"/>
      <c r="N50" s="30"/>
      <c r="O50" s="31"/>
      <c r="P50" s="29"/>
      <c r="Q50" s="30"/>
      <c r="R50" s="31"/>
      <c r="S50" s="29"/>
      <c r="T50" s="30"/>
      <c r="U50" s="31"/>
      <c r="V50" s="47"/>
      <c r="W50" s="48"/>
    </row>
    <row r="51" spans="1:23" ht="45">
      <c r="A51" s="7" t="s">
        <v>17</v>
      </c>
      <c r="B51" s="5" t="s">
        <v>18</v>
      </c>
      <c r="C51" s="7"/>
      <c r="D51" s="7"/>
      <c r="E51" s="7"/>
      <c r="F51" s="56"/>
      <c r="G51" s="29"/>
      <c r="H51" s="30"/>
      <c r="I51" s="31"/>
      <c r="J51" s="29"/>
      <c r="K51" s="30"/>
      <c r="L51" s="31"/>
      <c r="M51" s="29"/>
      <c r="N51" s="30"/>
      <c r="O51" s="31"/>
      <c r="P51" s="29"/>
      <c r="Q51" s="30"/>
      <c r="R51" s="31"/>
      <c r="S51" s="29"/>
      <c r="T51" s="30"/>
      <c r="U51" s="31"/>
      <c r="V51" s="47"/>
      <c r="W51" s="48"/>
    </row>
    <row r="52" spans="1:23" s="13" customFormat="1" ht="28.5" customHeight="1">
      <c r="A52" s="105" t="s">
        <v>52</v>
      </c>
      <c r="B52" s="105"/>
      <c r="C52" s="105"/>
      <c r="D52" s="105"/>
      <c r="E52" s="105"/>
      <c r="F52" s="106"/>
      <c r="G52" s="34">
        <f>G53+G54</f>
        <v>2256901962.5900002</v>
      </c>
      <c r="H52" s="35">
        <f t="shared" ref="H52:I52" si="23">H53+H54</f>
        <v>1142757686.6100001</v>
      </c>
      <c r="I52" s="36">
        <f t="shared" si="23"/>
        <v>1114144275.98</v>
      </c>
      <c r="J52" s="34">
        <f>J53+J54</f>
        <v>2274755162.5900002</v>
      </c>
      <c r="K52" s="35">
        <f t="shared" ref="K52:L52" si="24">K53+K54</f>
        <v>1160610886.6100001</v>
      </c>
      <c r="L52" s="36">
        <f t="shared" si="24"/>
        <v>1114144275.98</v>
      </c>
      <c r="M52" s="34">
        <f>M53+M54</f>
        <v>2201739778.48</v>
      </c>
      <c r="N52" s="35">
        <f t="shared" ref="N52:O52" si="25">N53+N54</f>
        <v>1092224478.0799999</v>
      </c>
      <c r="O52" s="36">
        <f t="shared" si="25"/>
        <v>1109515300.4000001</v>
      </c>
      <c r="P52" s="34">
        <f>P53+P54</f>
        <v>1816192180.05</v>
      </c>
      <c r="Q52" s="35">
        <f t="shared" ref="Q52:R52" si="26">Q53+Q54</f>
        <v>1003163044.72</v>
      </c>
      <c r="R52" s="36">
        <f t="shared" si="26"/>
        <v>813029135.32999992</v>
      </c>
      <c r="S52" s="34">
        <f>S53+S54</f>
        <v>1803961661.3600001</v>
      </c>
      <c r="T52" s="35">
        <f>T53+T54</f>
        <v>992234040.72000003</v>
      </c>
      <c r="U52" s="36">
        <f t="shared" ref="U52" si="27">U53+U54</f>
        <v>811727620.6400001</v>
      </c>
      <c r="V52" s="50">
        <f t="shared" si="4"/>
        <v>79.30355279669034</v>
      </c>
      <c r="W52" s="51">
        <f t="shared" si="5"/>
        <v>81.933463663239479</v>
      </c>
    </row>
    <row r="53" spans="1:23">
      <c r="A53" s="103" t="s">
        <v>7</v>
      </c>
      <c r="B53" s="103"/>
      <c r="C53" s="103"/>
      <c r="D53" s="103"/>
      <c r="E53" s="103"/>
      <c r="F53" s="104"/>
      <c r="G53" s="28">
        <f>H53+I53</f>
        <v>1170281802.05</v>
      </c>
      <c r="H53" s="32">
        <f>H58+H64+H70+H76+H73</f>
        <v>996435100</v>
      </c>
      <c r="I53" s="33">
        <f>I58+I64+I70+I73+I76</f>
        <v>173846702.05000001</v>
      </c>
      <c r="J53" s="28">
        <f>K53+L53</f>
        <v>1188135002.05</v>
      </c>
      <c r="K53" s="33">
        <f>K58+K64+K70+K73+K76</f>
        <v>1014288300</v>
      </c>
      <c r="L53" s="33">
        <f>L58+L64+L70+L73+L76</f>
        <v>173846702.05000001</v>
      </c>
      <c r="M53" s="28">
        <f>N53+O53</f>
        <v>1165949237.71</v>
      </c>
      <c r="N53" s="33">
        <f>N58+N64+N70+N73+N76</f>
        <v>992546250.99000001</v>
      </c>
      <c r="O53" s="33">
        <f>O58+O64+O70+O73+O76</f>
        <v>173402986.72</v>
      </c>
      <c r="P53" s="28">
        <f>Q53+R53</f>
        <v>1036039403.3100001</v>
      </c>
      <c r="Q53" s="33">
        <f>Q58+Q64+Q70+Q73+Q76</f>
        <v>904097129.93000007</v>
      </c>
      <c r="R53" s="33">
        <f>R58+R64+R70+R73+R76</f>
        <v>131942273.38000001</v>
      </c>
      <c r="S53" s="28">
        <f>T53+U53</f>
        <v>1036039403.3100001</v>
      </c>
      <c r="T53" s="33">
        <f>T58+T64+T70+T73+T76</f>
        <v>904097129.93000007</v>
      </c>
      <c r="U53" s="33">
        <f>U58+U64+U70+U73+U76</f>
        <v>131942273.38000001</v>
      </c>
      <c r="V53" s="47">
        <f t="shared" si="4"/>
        <v>87.198794877890535</v>
      </c>
      <c r="W53" s="48">
        <f t="shared" si="5"/>
        <v>88.858019697739905</v>
      </c>
    </row>
    <row r="54" spans="1:23">
      <c r="A54" s="103" t="s">
        <v>8</v>
      </c>
      <c r="B54" s="103"/>
      <c r="C54" s="103"/>
      <c r="D54" s="103"/>
      <c r="E54" s="103"/>
      <c r="F54" s="104"/>
      <c r="G54" s="28">
        <f>H54+I54</f>
        <v>1086620160.54</v>
      </c>
      <c r="H54" s="32">
        <f>H59+H61+H62+H65+H71+H77+H60</f>
        <v>146322586.61000001</v>
      </c>
      <c r="I54" s="33">
        <f>I59+I61+I62+I65+I66+I71+I74+I77</f>
        <v>940297573.92999995</v>
      </c>
      <c r="J54" s="28">
        <f>K54+L54</f>
        <v>1086620160.54</v>
      </c>
      <c r="K54" s="33">
        <f>K60+K62</f>
        <v>146322586.61000001</v>
      </c>
      <c r="L54" s="33">
        <f>L59+L61+L62+L65+L66+L71+L74+L77</f>
        <v>940297573.92999995</v>
      </c>
      <c r="M54" s="28">
        <f>N54+O54</f>
        <v>1035790540.7700001</v>
      </c>
      <c r="N54" s="33">
        <f>N60+N62</f>
        <v>99678227.090000004</v>
      </c>
      <c r="O54" s="33">
        <f>O59+O61+O62+O65+O66+O71+O74+O77</f>
        <v>936112313.68000007</v>
      </c>
      <c r="P54" s="28">
        <f>Q54+R54</f>
        <v>780152776.73999989</v>
      </c>
      <c r="Q54" s="33">
        <f>Q60+Q62</f>
        <v>99065914.790000007</v>
      </c>
      <c r="R54" s="33">
        <f>R59+R61+R62+R65+R66+R71+R74+R77</f>
        <v>681086861.94999993</v>
      </c>
      <c r="S54" s="28">
        <f>T54+U54</f>
        <v>767922258.05000007</v>
      </c>
      <c r="T54" s="33">
        <f>T60+T62</f>
        <v>88136910.790000007</v>
      </c>
      <c r="U54" s="33">
        <f>U59+U61+U62+U65+U66+U71+U74+U77</f>
        <v>679785347.26000011</v>
      </c>
      <c r="V54" s="47">
        <f t="shared" si="4"/>
        <v>70.670716956731056</v>
      </c>
      <c r="W54" s="48">
        <f t="shared" si="5"/>
        <v>74.138759510115975</v>
      </c>
    </row>
    <row r="55" spans="1:23" ht="32.25" customHeight="1">
      <c r="A55" s="103" t="s">
        <v>53</v>
      </c>
      <c r="B55" s="103"/>
      <c r="C55" s="103"/>
      <c r="D55" s="103"/>
      <c r="E55" s="103"/>
      <c r="F55" s="104"/>
      <c r="G55" s="28">
        <f t="shared" ref="G55:U55" si="28">G56</f>
        <v>2256901962.5900002</v>
      </c>
      <c r="H55" s="32">
        <f t="shared" si="28"/>
        <v>1142757686.6100001</v>
      </c>
      <c r="I55" s="33">
        <f t="shared" si="28"/>
        <v>1114144275.98</v>
      </c>
      <c r="J55" s="28">
        <f t="shared" si="28"/>
        <v>2274755162.5900002</v>
      </c>
      <c r="K55" s="32">
        <f t="shared" si="28"/>
        <v>1160610886.6100001</v>
      </c>
      <c r="L55" s="33">
        <f t="shared" si="28"/>
        <v>1114144275.98</v>
      </c>
      <c r="M55" s="28">
        <f t="shared" si="28"/>
        <v>2201739778.48</v>
      </c>
      <c r="N55" s="32">
        <f t="shared" si="28"/>
        <v>1092224478.0799999</v>
      </c>
      <c r="O55" s="33">
        <f t="shared" si="28"/>
        <v>1109515300.4000001</v>
      </c>
      <c r="P55" s="28">
        <f t="shared" si="28"/>
        <v>1816192180.05</v>
      </c>
      <c r="Q55" s="32">
        <f t="shared" si="28"/>
        <v>1003163044.72</v>
      </c>
      <c r="R55" s="33">
        <f t="shared" si="28"/>
        <v>813029135.32999992</v>
      </c>
      <c r="S55" s="28">
        <f t="shared" si="28"/>
        <v>1803961661.3600001</v>
      </c>
      <c r="T55" s="32">
        <f t="shared" si="28"/>
        <v>992234040.72000003</v>
      </c>
      <c r="U55" s="33">
        <f t="shared" si="28"/>
        <v>811727620.6400001</v>
      </c>
      <c r="V55" s="47">
        <f t="shared" si="4"/>
        <v>79.30355279669034</v>
      </c>
      <c r="W55" s="48">
        <f t="shared" si="5"/>
        <v>81.933463663239479</v>
      </c>
    </row>
    <row r="56" spans="1:23" s="13" customFormat="1">
      <c r="A56" s="101" t="s">
        <v>11</v>
      </c>
      <c r="B56" s="101"/>
      <c r="C56" s="101"/>
      <c r="D56" s="101"/>
      <c r="E56" s="101"/>
      <c r="F56" s="102"/>
      <c r="G56" s="34">
        <f>H56+I56</f>
        <v>2256901962.5900002</v>
      </c>
      <c r="H56" s="35">
        <f>H57+H60+H61+H62+H63+H66+H67+H69+H72+H75</f>
        <v>1142757686.6100001</v>
      </c>
      <c r="I56" s="36">
        <f>I57+I60+I61+I62+I63+I66+I67+I69+I72+I75+I59</f>
        <v>1114144275.98</v>
      </c>
      <c r="J56" s="34">
        <f>K56+L56</f>
        <v>2274755162.5900002</v>
      </c>
      <c r="K56" s="35">
        <f>K57+K60+K61+K62+K63+K66+K67+K69+K72+K75</f>
        <v>1160610886.6100001</v>
      </c>
      <c r="L56" s="36">
        <f>L57+L60+L61+L62+L63+L66+L67+L69+L72+L75+L59</f>
        <v>1114144275.98</v>
      </c>
      <c r="M56" s="34">
        <f>N56+O56</f>
        <v>2201739778.48</v>
      </c>
      <c r="N56" s="35">
        <f>N57+N60+N61+N62+N63+N66+N67+N69+N72+N75</f>
        <v>1092224478.0799999</v>
      </c>
      <c r="O56" s="36">
        <f>O57+O60+O61+O62+O63+O66+O67+O69+O72+O75+O59</f>
        <v>1109515300.4000001</v>
      </c>
      <c r="P56" s="34">
        <f>Q56+R56</f>
        <v>1816192180.05</v>
      </c>
      <c r="Q56" s="35">
        <f>Q57+Q60+Q61+Q62+Q63+Q66+Q67+Q69+Q72+Q75</f>
        <v>1003163044.72</v>
      </c>
      <c r="R56" s="36">
        <f>R57+R60+R61+R62+R63+R66+R67+R69+R72+R75+R59</f>
        <v>813029135.32999992</v>
      </c>
      <c r="S56" s="34">
        <f>T56+U56</f>
        <v>1803961661.3600001</v>
      </c>
      <c r="T56" s="35">
        <f>T57+T60+T61+T62+T63+T66+T67+T69+T72+T75</f>
        <v>992234040.72000003</v>
      </c>
      <c r="U56" s="36">
        <f>U57+U60+U61+U62+U63+U66+U67+U69+U72+U75+U59</f>
        <v>811727620.6400001</v>
      </c>
      <c r="V56" s="50">
        <f t="shared" si="4"/>
        <v>79.30355279669034</v>
      </c>
      <c r="W56" s="51">
        <f t="shared" si="5"/>
        <v>81.933463663239479</v>
      </c>
    </row>
    <row r="57" spans="1:23" ht="105">
      <c r="A57" s="8" t="s">
        <v>54</v>
      </c>
      <c r="B57" s="5" t="s">
        <v>13</v>
      </c>
      <c r="C57" s="5" t="s">
        <v>13</v>
      </c>
      <c r="D57" s="5" t="s">
        <v>55</v>
      </c>
      <c r="E57" s="15" t="s">
        <v>15</v>
      </c>
      <c r="F57" s="55" t="s">
        <v>57</v>
      </c>
      <c r="G57" s="28">
        <f>H57+I57</f>
        <v>105495529.72</v>
      </c>
      <c r="H57" s="32">
        <f>H58</f>
        <v>29008500</v>
      </c>
      <c r="I57" s="33">
        <f>I58</f>
        <v>76487029.719999999</v>
      </c>
      <c r="J57" s="28">
        <f>K57+L57</f>
        <v>123348729.72</v>
      </c>
      <c r="K57" s="32">
        <f>K58</f>
        <v>46861700</v>
      </c>
      <c r="L57" s="33">
        <f>L58</f>
        <v>76487029.719999999</v>
      </c>
      <c r="M57" s="28">
        <f>N57+O57</f>
        <v>123348729.72</v>
      </c>
      <c r="N57" s="32">
        <f>N58</f>
        <v>46861700</v>
      </c>
      <c r="O57" s="33">
        <f>O58</f>
        <v>76487029.719999999</v>
      </c>
      <c r="P57" s="28">
        <f>Q57+R57</f>
        <v>86796792.200000003</v>
      </c>
      <c r="Q57" s="32">
        <f>Q58</f>
        <v>46861700</v>
      </c>
      <c r="R57" s="33">
        <f>R58</f>
        <v>39935092.200000003</v>
      </c>
      <c r="S57" s="28">
        <f>T57+U57</f>
        <v>86796792.200000003</v>
      </c>
      <c r="T57" s="32">
        <f>T58</f>
        <v>46861700</v>
      </c>
      <c r="U57" s="33">
        <f>U58</f>
        <v>39935092.200000003</v>
      </c>
      <c r="V57" s="47">
        <f t="shared" si="4"/>
        <v>70.366993155930828</v>
      </c>
      <c r="W57" s="48">
        <f t="shared" si="5"/>
        <v>70.366993155930828</v>
      </c>
    </row>
    <row r="58" spans="1:23" ht="39.75" customHeight="1">
      <c r="A58" s="16" t="s">
        <v>307</v>
      </c>
      <c r="B58" s="15" t="s">
        <v>306</v>
      </c>
      <c r="C58" s="15"/>
      <c r="D58" s="15"/>
      <c r="E58" s="15"/>
      <c r="F58" s="55"/>
      <c r="G58" s="28">
        <f>H58+I58</f>
        <v>105495529.72</v>
      </c>
      <c r="H58" s="32">
        <v>29008500</v>
      </c>
      <c r="I58" s="33">
        <v>76487029.719999999</v>
      </c>
      <c r="J58" s="28">
        <f>K58+L58</f>
        <v>123348729.72</v>
      </c>
      <c r="K58" s="32">
        <f>18882200+27979500</f>
        <v>46861700</v>
      </c>
      <c r="L58" s="33">
        <f>75530668.5+385351.02+571010.2</f>
        <v>76487029.719999999</v>
      </c>
      <c r="M58" s="28">
        <f>N58+O58</f>
        <v>123348729.72</v>
      </c>
      <c r="N58" s="32">
        <f>18882200+27979500</f>
        <v>46861700</v>
      </c>
      <c r="O58" s="33">
        <f>75530668.5+385351.02+571010.2</f>
        <v>76487029.719999999</v>
      </c>
      <c r="P58" s="28">
        <f>Q58+R58</f>
        <v>86796792.200000003</v>
      </c>
      <c r="Q58" s="32">
        <f>18882200+27979500</f>
        <v>46861700</v>
      </c>
      <c r="R58" s="33">
        <f>38978730.98+385351.02+571010.2</f>
        <v>39935092.200000003</v>
      </c>
      <c r="S58" s="28">
        <f>T58+U58</f>
        <v>86796792.200000003</v>
      </c>
      <c r="T58" s="32">
        <f>18882200+27979500</f>
        <v>46861700</v>
      </c>
      <c r="U58" s="33">
        <f>38978730.98+385351.02+571010.2</f>
        <v>39935092.200000003</v>
      </c>
      <c r="V58" s="47">
        <f t="shared" ref="V58:V59" si="29">S58/J58*100</f>
        <v>70.366993155930828</v>
      </c>
      <c r="W58" s="48">
        <f t="shared" ref="W58:W59" si="30">S58/M58*100</f>
        <v>70.366993155930828</v>
      </c>
    </row>
    <row r="59" spans="1:23" ht="87" customHeight="1">
      <c r="A59" s="8" t="s">
        <v>54</v>
      </c>
      <c r="B59" s="15" t="s">
        <v>13</v>
      </c>
      <c r="C59" s="15" t="s">
        <v>13</v>
      </c>
      <c r="D59" s="15" t="s">
        <v>55</v>
      </c>
      <c r="E59" s="15" t="s">
        <v>56</v>
      </c>
      <c r="F59" s="55" t="s">
        <v>57</v>
      </c>
      <c r="G59" s="28">
        <f>I59</f>
        <v>891887.72</v>
      </c>
      <c r="H59" s="32"/>
      <c r="I59" s="33">
        <v>891887.72</v>
      </c>
      <c r="J59" s="28">
        <f>L59</f>
        <v>891887.72</v>
      </c>
      <c r="K59" s="32"/>
      <c r="L59" s="33">
        <v>891887.72</v>
      </c>
      <c r="M59" s="28">
        <f>O59</f>
        <v>891887.72</v>
      </c>
      <c r="N59" s="32"/>
      <c r="O59" s="33">
        <v>891887.72</v>
      </c>
      <c r="P59" s="28">
        <f>R59</f>
        <v>891887.72</v>
      </c>
      <c r="Q59" s="32"/>
      <c r="R59" s="33">
        <v>891887.72</v>
      </c>
      <c r="S59" s="28">
        <f>U59</f>
        <v>891887.72</v>
      </c>
      <c r="T59" s="32"/>
      <c r="U59" s="33">
        <v>891887.72</v>
      </c>
      <c r="V59" s="47">
        <f t="shared" si="29"/>
        <v>100</v>
      </c>
      <c r="W59" s="48">
        <f t="shared" si="30"/>
        <v>100</v>
      </c>
    </row>
    <row r="60" spans="1:23" ht="150" customHeight="1">
      <c r="A60" s="7" t="s">
        <v>58</v>
      </c>
      <c r="B60" s="5" t="s">
        <v>13</v>
      </c>
      <c r="C60" s="5" t="s">
        <v>13</v>
      </c>
      <c r="D60" s="5" t="s">
        <v>59</v>
      </c>
      <c r="E60" s="5" t="s">
        <v>15</v>
      </c>
      <c r="F60" s="55" t="s">
        <v>25</v>
      </c>
      <c r="G60" s="28">
        <v>74158463.480000004</v>
      </c>
      <c r="H60" s="32">
        <v>74158463.480000004</v>
      </c>
      <c r="I60" s="33"/>
      <c r="J60" s="28">
        <v>74158463.480000004</v>
      </c>
      <c r="K60" s="32">
        <v>74158463.480000004</v>
      </c>
      <c r="L60" s="33"/>
      <c r="M60" s="28">
        <f>N60</f>
        <v>45369746.140000001</v>
      </c>
      <c r="N60" s="26">
        <v>45369746.140000001</v>
      </c>
      <c r="O60" s="33"/>
      <c r="P60" s="28">
        <f>Q60</f>
        <v>44757433.840000004</v>
      </c>
      <c r="Q60" s="26">
        <v>44757433.840000004</v>
      </c>
      <c r="R60" s="33"/>
      <c r="S60" s="28">
        <f>T60</f>
        <v>44757433.840000004</v>
      </c>
      <c r="T60" s="26">
        <v>44757433.840000004</v>
      </c>
      <c r="U60" s="33"/>
      <c r="V60" s="47">
        <f t="shared" si="4"/>
        <v>60.353777222030438</v>
      </c>
      <c r="W60" s="48">
        <f t="shared" si="5"/>
        <v>98.650395137520604</v>
      </c>
    </row>
    <row r="61" spans="1:23" ht="105" customHeight="1">
      <c r="A61" s="8" t="s">
        <v>60</v>
      </c>
      <c r="B61" s="5" t="s">
        <v>13</v>
      </c>
      <c r="C61" s="5" t="s">
        <v>13</v>
      </c>
      <c r="D61" s="5" t="s">
        <v>61</v>
      </c>
      <c r="E61" s="5" t="s">
        <v>62</v>
      </c>
      <c r="F61" s="55" t="s">
        <v>57</v>
      </c>
      <c r="G61" s="28">
        <f>H61+I61</f>
        <v>193482572.81999999</v>
      </c>
      <c r="H61" s="32"/>
      <c r="I61" s="33">
        <v>193482572.81999999</v>
      </c>
      <c r="J61" s="28">
        <f>K61+L61</f>
        <v>193482572.81999999</v>
      </c>
      <c r="K61" s="32"/>
      <c r="L61" s="33">
        <v>193482572.81999999</v>
      </c>
      <c r="M61" s="28">
        <f>N61+O61</f>
        <v>193482572.81999999</v>
      </c>
      <c r="N61" s="32"/>
      <c r="O61" s="33">
        <v>193482572.81999999</v>
      </c>
      <c r="P61" s="28">
        <f>Q61+R61</f>
        <v>174645817.11000001</v>
      </c>
      <c r="Q61" s="32"/>
      <c r="R61" s="33">
        <v>174645817.11000001</v>
      </c>
      <c r="S61" s="28">
        <f>T61+U61</f>
        <v>174645817.11000001</v>
      </c>
      <c r="T61" s="32"/>
      <c r="U61" s="33">
        <v>174645817.11000001</v>
      </c>
      <c r="V61" s="47">
        <f t="shared" si="4"/>
        <v>90.264365707228777</v>
      </c>
      <c r="W61" s="48">
        <f t="shared" si="5"/>
        <v>90.264365707228777</v>
      </c>
    </row>
    <row r="62" spans="1:23" ht="105.75" customHeight="1">
      <c r="A62" s="7" t="s">
        <v>63</v>
      </c>
      <c r="B62" s="5" t="s">
        <v>13</v>
      </c>
      <c r="C62" s="5" t="s">
        <v>13</v>
      </c>
      <c r="D62" s="5" t="s">
        <v>64</v>
      </c>
      <c r="E62" s="5" t="s">
        <v>15</v>
      </c>
      <c r="F62" s="55" t="s">
        <v>25</v>
      </c>
      <c r="G62" s="28">
        <f>H62+I62</f>
        <v>113835500.19</v>
      </c>
      <c r="H62" s="32">
        <v>72164123.129999995</v>
      </c>
      <c r="I62" s="33">
        <v>41671377.060000002</v>
      </c>
      <c r="J62" s="28">
        <f>K62+L62</f>
        <v>113835500.19</v>
      </c>
      <c r="K62" s="32">
        <v>72164123.129999995</v>
      </c>
      <c r="L62" s="33">
        <v>41671377.060000002</v>
      </c>
      <c r="M62" s="28">
        <f>N62+O62</f>
        <v>95979858.010000005</v>
      </c>
      <c r="N62" s="26">
        <v>54308480.950000003</v>
      </c>
      <c r="O62" s="33">
        <v>41671377.060000002</v>
      </c>
      <c r="P62" s="28">
        <f>Q62+R62</f>
        <v>86773233.99000001</v>
      </c>
      <c r="Q62" s="26">
        <v>54308480.950000003</v>
      </c>
      <c r="R62" s="33">
        <v>32464753.039999999</v>
      </c>
      <c r="S62" s="28">
        <f>T62+U62</f>
        <v>75844229.99000001</v>
      </c>
      <c r="T62" s="26">
        <v>43379476.950000003</v>
      </c>
      <c r="U62" s="33">
        <v>32464753.039999999</v>
      </c>
      <c r="V62" s="47">
        <f t="shared" si="4"/>
        <v>66.626166585476668</v>
      </c>
      <c r="W62" s="48">
        <f t="shared" si="5"/>
        <v>79.020985821939746</v>
      </c>
    </row>
    <row r="63" spans="1:23" ht="79.5" customHeight="1">
      <c r="A63" s="8" t="s">
        <v>65</v>
      </c>
      <c r="B63" s="5" t="s">
        <v>13</v>
      </c>
      <c r="C63" s="5" t="s">
        <v>13</v>
      </c>
      <c r="D63" s="5" t="s">
        <v>66</v>
      </c>
      <c r="E63" s="5" t="s">
        <v>67</v>
      </c>
      <c r="F63" s="55" t="s">
        <v>68</v>
      </c>
      <c r="G63" s="28">
        <f>H63+I63</f>
        <v>114013322.45</v>
      </c>
      <c r="H63" s="32">
        <v>111707200</v>
      </c>
      <c r="I63" s="33">
        <f>I64+I65</f>
        <v>2306122.4500000002</v>
      </c>
      <c r="J63" s="28">
        <f>K63+L63</f>
        <v>114013322.45</v>
      </c>
      <c r="K63" s="32">
        <v>111707200</v>
      </c>
      <c r="L63" s="33">
        <f>L64+L65</f>
        <v>2306122.4500000002</v>
      </c>
      <c r="M63" s="28">
        <f>N63+O63</f>
        <v>91820919.989999995</v>
      </c>
      <c r="N63" s="32">
        <f>N64+N65</f>
        <v>89965150.989999995</v>
      </c>
      <c r="O63" s="33">
        <f>O64+O65</f>
        <v>1855769</v>
      </c>
      <c r="P63" s="28">
        <f>Q63+R63</f>
        <v>36463500</v>
      </c>
      <c r="Q63" s="32">
        <f>Q64+Q65</f>
        <v>35734229.93</v>
      </c>
      <c r="R63" s="33">
        <f>R64+R65</f>
        <v>729270.07</v>
      </c>
      <c r="S63" s="28">
        <f>T63+U63</f>
        <v>36463500</v>
      </c>
      <c r="T63" s="32">
        <f>T64</f>
        <v>35734229.93</v>
      </c>
      <c r="U63" s="33">
        <f>U64+U65</f>
        <v>729270.07</v>
      </c>
      <c r="V63" s="47">
        <f t="shared" si="4"/>
        <v>31.981788808927035</v>
      </c>
      <c r="W63" s="48">
        <v>0</v>
      </c>
    </row>
    <row r="64" spans="1:23">
      <c r="A64" s="7" t="s">
        <v>69</v>
      </c>
      <c r="B64" s="5" t="s">
        <v>70</v>
      </c>
      <c r="C64" s="7"/>
      <c r="D64" s="7"/>
      <c r="E64" s="7"/>
      <c r="F64" s="56"/>
      <c r="G64" s="28">
        <f>H64+I64</f>
        <v>113986939</v>
      </c>
      <c r="H64" s="32">
        <v>111707200</v>
      </c>
      <c r="I64" s="33">
        <v>2279739</v>
      </c>
      <c r="J64" s="28">
        <f>K64+L64</f>
        <v>113986939</v>
      </c>
      <c r="K64" s="32">
        <v>111707200</v>
      </c>
      <c r="L64" s="33">
        <v>2279739</v>
      </c>
      <c r="M64" s="28">
        <f>N64+O64</f>
        <v>91801174.659999996</v>
      </c>
      <c r="N64" s="32">
        <v>89965150.989999995</v>
      </c>
      <c r="O64" s="33">
        <v>1836023.67</v>
      </c>
      <c r="P64" s="28">
        <f>Q64+R64</f>
        <v>36463500</v>
      </c>
      <c r="Q64" s="32">
        <v>35734229.93</v>
      </c>
      <c r="R64" s="33">
        <v>729270.07</v>
      </c>
      <c r="S64" s="28">
        <f>T64+U64</f>
        <v>36463500</v>
      </c>
      <c r="T64" s="32">
        <v>35734229.93</v>
      </c>
      <c r="U64" s="33">
        <v>729270.07</v>
      </c>
      <c r="V64" s="47">
        <v>0</v>
      </c>
      <c r="W64" s="48">
        <v>0</v>
      </c>
    </row>
    <row r="65" spans="1:23">
      <c r="A65" s="7" t="s">
        <v>22</v>
      </c>
      <c r="B65" s="5" t="s">
        <v>13</v>
      </c>
      <c r="C65" s="7"/>
      <c r="D65" s="7"/>
      <c r="E65" s="7"/>
      <c r="F65" s="56"/>
      <c r="G65" s="28">
        <v>26383.45</v>
      </c>
      <c r="H65" s="32"/>
      <c r="I65" s="33">
        <v>26383.45</v>
      </c>
      <c r="J65" s="28">
        <v>26383.45</v>
      </c>
      <c r="K65" s="32"/>
      <c r="L65" s="33">
        <v>26383.45</v>
      </c>
      <c r="M65" s="28">
        <f>N65+O65</f>
        <v>19745.330000000002</v>
      </c>
      <c r="N65" s="32"/>
      <c r="O65" s="33">
        <v>19745.330000000002</v>
      </c>
      <c r="P65" s="28">
        <f>Q65+R65</f>
        <v>0</v>
      </c>
      <c r="Q65" s="32"/>
      <c r="R65" s="33">
        <v>0</v>
      </c>
      <c r="S65" s="28">
        <v>0</v>
      </c>
      <c r="T65" s="32"/>
      <c r="U65" s="33"/>
      <c r="V65" s="47">
        <f t="shared" si="4"/>
        <v>0</v>
      </c>
      <c r="W65" s="48">
        <v>0</v>
      </c>
    </row>
    <row r="66" spans="1:23" ht="105" customHeight="1">
      <c r="A66" s="8" t="s">
        <v>71</v>
      </c>
      <c r="B66" s="5" t="s">
        <v>13</v>
      </c>
      <c r="C66" s="5" t="s">
        <v>13</v>
      </c>
      <c r="D66" s="5" t="s">
        <v>72</v>
      </c>
      <c r="E66" s="5" t="s">
        <v>73</v>
      </c>
      <c r="F66" s="55" t="s">
        <v>74</v>
      </c>
      <c r="G66" s="28">
        <f>I66</f>
        <v>67980901.900000006</v>
      </c>
      <c r="H66" s="32"/>
      <c r="I66" s="33">
        <v>67980901.900000006</v>
      </c>
      <c r="J66" s="28">
        <f>L66</f>
        <v>67980901.900000006</v>
      </c>
      <c r="K66" s="32"/>
      <c r="L66" s="33">
        <v>67980901.900000006</v>
      </c>
      <c r="M66" s="28">
        <f>O66</f>
        <v>67980901.900000006</v>
      </c>
      <c r="N66" s="32"/>
      <c r="O66" s="33">
        <v>67980901.900000006</v>
      </c>
      <c r="P66" s="28">
        <f>R66</f>
        <v>48940435.350000001</v>
      </c>
      <c r="Q66" s="32"/>
      <c r="R66" s="33">
        <v>48940435.350000001</v>
      </c>
      <c r="S66" s="28">
        <f>U66</f>
        <v>48940435.350000001</v>
      </c>
      <c r="T66" s="32"/>
      <c r="U66" s="33">
        <v>48940435.350000001</v>
      </c>
      <c r="V66" s="47">
        <f t="shared" si="4"/>
        <v>71.991447571542139</v>
      </c>
      <c r="W66" s="48">
        <f t="shared" si="5"/>
        <v>71.991447571542139</v>
      </c>
    </row>
    <row r="67" spans="1:23" ht="45">
      <c r="A67" s="7" t="s">
        <v>75</v>
      </c>
      <c r="B67" s="5" t="s">
        <v>13</v>
      </c>
      <c r="C67" s="5" t="s">
        <v>13</v>
      </c>
      <c r="D67" s="5" t="s">
        <v>76</v>
      </c>
      <c r="E67" s="5" t="s">
        <v>77</v>
      </c>
      <c r="F67" s="55" t="s">
        <v>78</v>
      </c>
      <c r="G67" s="29"/>
      <c r="H67" s="30"/>
      <c r="I67" s="31"/>
      <c r="J67" s="29"/>
      <c r="K67" s="30"/>
      <c r="L67" s="31"/>
      <c r="M67" s="29"/>
      <c r="N67" s="30"/>
      <c r="O67" s="31"/>
      <c r="P67" s="29"/>
      <c r="Q67" s="30"/>
      <c r="R67" s="31"/>
      <c r="S67" s="29"/>
      <c r="T67" s="30"/>
      <c r="U67" s="31"/>
      <c r="V67" s="47"/>
      <c r="W67" s="48"/>
    </row>
    <row r="68" spans="1:23">
      <c r="A68" s="7" t="s">
        <v>69</v>
      </c>
      <c r="B68" s="5" t="s">
        <v>70</v>
      </c>
      <c r="C68" s="7"/>
      <c r="D68" s="7"/>
      <c r="E68" s="7"/>
      <c r="F68" s="56"/>
      <c r="G68" s="29"/>
      <c r="H68" s="30"/>
      <c r="I68" s="31"/>
      <c r="J68" s="29"/>
      <c r="K68" s="30"/>
      <c r="L68" s="31"/>
      <c r="M68" s="29"/>
      <c r="N68" s="30"/>
      <c r="O68" s="31"/>
      <c r="P68" s="29"/>
      <c r="Q68" s="30"/>
      <c r="R68" s="31"/>
      <c r="S68" s="29"/>
      <c r="T68" s="30"/>
      <c r="U68" s="31"/>
      <c r="V68" s="47"/>
      <c r="W68" s="48"/>
    </row>
    <row r="69" spans="1:23" ht="108" customHeight="1">
      <c r="A69" s="7" t="s">
        <v>79</v>
      </c>
      <c r="B69" s="5" t="s">
        <v>13</v>
      </c>
      <c r="C69" s="5" t="s">
        <v>13</v>
      </c>
      <c r="D69" s="5" t="s">
        <v>80</v>
      </c>
      <c r="E69" s="5" t="s">
        <v>15</v>
      </c>
      <c r="F69" s="55" t="s">
        <v>25</v>
      </c>
      <c r="G69" s="28">
        <f>H69+I69</f>
        <v>1384287347.3600001</v>
      </c>
      <c r="H69" s="32">
        <f>H70</f>
        <v>777834207</v>
      </c>
      <c r="I69" s="33">
        <f>I70+I71</f>
        <v>606453140.36000001</v>
      </c>
      <c r="J69" s="28">
        <f>K69+L69</f>
        <v>1384287347.3600001</v>
      </c>
      <c r="K69" s="32">
        <f>K70</f>
        <v>777834207</v>
      </c>
      <c r="L69" s="33">
        <f>L70+L71</f>
        <v>606453140.36000001</v>
      </c>
      <c r="M69" s="28">
        <f>N69+O69</f>
        <v>1380787347.3600001</v>
      </c>
      <c r="N69" s="32">
        <f>N70</f>
        <v>777834207</v>
      </c>
      <c r="O69" s="33">
        <f>O70+O71</f>
        <v>602953140.36000001</v>
      </c>
      <c r="P69" s="28">
        <f>Q69+R69</f>
        <v>1198849470.05</v>
      </c>
      <c r="Q69" s="32">
        <f>Q70</f>
        <v>777834207</v>
      </c>
      <c r="R69" s="33">
        <f>R70+R71</f>
        <v>421015263.05000001</v>
      </c>
      <c r="S69" s="28">
        <f>T69+U69</f>
        <v>1197547955.3600001</v>
      </c>
      <c r="T69" s="32">
        <f>T70</f>
        <v>777834207</v>
      </c>
      <c r="U69" s="33">
        <f>U70+U71</f>
        <v>419713748.36000001</v>
      </c>
      <c r="V69" s="47">
        <f t="shared" si="4"/>
        <v>86.510070155872327</v>
      </c>
      <c r="W69" s="48">
        <f t="shared" si="5"/>
        <v>86.729354643179121</v>
      </c>
    </row>
    <row r="70" spans="1:23">
      <c r="A70" s="7" t="s">
        <v>69</v>
      </c>
      <c r="B70" s="5" t="s">
        <v>70</v>
      </c>
      <c r="C70" s="7"/>
      <c r="D70" s="7"/>
      <c r="E70" s="7"/>
      <c r="F70" s="56"/>
      <c r="G70" s="28">
        <f>H70+I70</f>
        <v>864260230</v>
      </c>
      <c r="H70" s="32">
        <v>777834207</v>
      </c>
      <c r="I70" s="33">
        <v>86426023</v>
      </c>
      <c r="J70" s="28">
        <f>K70+L70</f>
        <v>864260230</v>
      </c>
      <c r="K70" s="32">
        <v>777834207</v>
      </c>
      <c r="L70" s="33">
        <v>86426023</v>
      </c>
      <c r="M70" s="28">
        <f>N70+O70</f>
        <v>864260230</v>
      </c>
      <c r="N70" s="32">
        <v>777834207</v>
      </c>
      <c r="O70" s="33">
        <v>86426023</v>
      </c>
      <c r="P70" s="28">
        <f>Q70+R70</f>
        <v>864260230</v>
      </c>
      <c r="Q70" s="32">
        <v>777834207</v>
      </c>
      <c r="R70" s="33">
        <v>86426023</v>
      </c>
      <c r="S70" s="28">
        <f>T70+U70</f>
        <v>864260230</v>
      </c>
      <c r="T70" s="32">
        <v>777834207</v>
      </c>
      <c r="U70" s="33">
        <v>86426023</v>
      </c>
      <c r="V70" s="47">
        <f t="shared" si="4"/>
        <v>100</v>
      </c>
      <c r="W70" s="48">
        <f t="shared" si="5"/>
        <v>100</v>
      </c>
    </row>
    <row r="71" spans="1:23">
      <c r="A71" s="7" t="s">
        <v>22</v>
      </c>
      <c r="B71" s="5" t="s">
        <v>13</v>
      </c>
      <c r="C71" s="7"/>
      <c r="D71" s="7"/>
      <c r="E71" s="7"/>
      <c r="F71" s="56"/>
      <c r="G71" s="28">
        <f>I71</f>
        <v>520027117.36000001</v>
      </c>
      <c r="H71" s="32"/>
      <c r="I71" s="33">
        <v>520027117.36000001</v>
      </c>
      <c r="J71" s="28">
        <f>L71</f>
        <v>520027117.36000001</v>
      </c>
      <c r="K71" s="32"/>
      <c r="L71" s="33">
        <v>520027117.36000001</v>
      </c>
      <c r="M71" s="28">
        <f>O71</f>
        <v>516527117.36000001</v>
      </c>
      <c r="N71" s="32"/>
      <c r="O71" s="33">
        <v>516527117.36000001</v>
      </c>
      <c r="P71" s="28">
        <f>R71</f>
        <v>334589240.05000001</v>
      </c>
      <c r="Q71" s="32"/>
      <c r="R71" s="33">
        <v>334589240.05000001</v>
      </c>
      <c r="S71" s="28">
        <f>U71</f>
        <v>333287725.36000001</v>
      </c>
      <c r="T71" s="32"/>
      <c r="U71" s="33">
        <v>333287725.36000001</v>
      </c>
      <c r="V71" s="47">
        <f t="shared" si="4"/>
        <v>64.09045110031721</v>
      </c>
      <c r="W71" s="48">
        <f t="shared" si="5"/>
        <v>64.52472951729095</v>
      </c>
    </row>
    <row r="72" spans="1:23" ht="45">
      <c r="A72" s="8" t="s">
        <v>81</v>
      </c>
      <c r="B72" s="5" t="s">
        <v>13</v>
      </c>
      <c r="C72" s="5" t="s">
        <v>13</v>
      </c>
      <c r="D72" s="5" t="s">
        <v>82</v>
      </c>
      <c r="E72" s="5" t="s">
        <v>77</v>
      </c>
      <c r="F72" s="55" t="s">
        <v>83</v>
      </c>
      <c r="G72" s="28">
        <f t="shared" ref="G72:G77" si="31">H72+I72</f>
        <v>76040432.219999999</v>
      </c>
      <c r="H72" s="32">
        <f>H73</f>
        <v>34218200</v>
      </c>
      <c r="I72" s="33">
        <f>I73+I74</f>
        <v>41822232.219999999</v>
      </c>
      <c r="J72" s="28">
        <f t="shared" ref="J72:J77" si="32">K72+L72</f>
        <v>76040432.219999999</v>
      </c>
      <c r="K72" s="32">
        <f>K73</f>
        <v>34218200</v>
      </c>
      <c r="L72" s="33">
        <f>L73+L74</f>
        <v>41822232.219999999</v>
      </c>
      <c r="M72" s="28">
        <f>N72+O72</f>
        <v>76040432.219999999</v>
      </c>
      <c r="N72" s="32">
        <f>N73</f>
        <v>34218200</v>
      </c>
      <c r="O72" s="33">
        <f>O73+O74</f>
        <v>41822232.219999999</v>
      </c>
      <c r="P72" s="28">
        <f>R72</f>
        <v>37198063.310000002</v>
      </c>
      <c r="Q72" s="32"/>
      <c r="R72" s="33">
        <v>37198063.310000002</v>
      </c>
      <c r="S72" s="28">
        <f>U72</f>
        <v>37198063.310000002</v>
      </c>
      <c r="T72" s="32"/>
      <c r="U72" s="33">
        <f>U73+U74</f>
        <v>37198063.310000002</v>
      </c>
      <c r="V72" s="47">
        <f t="shared" si="4"/>
        <v>48.918795204081235</v>
      </c>
      <c r="W72" s="48">
        <f t="shared" si="5"/>
        <v>48.918795204081235</v>
      </c>
    </row>
    <row r="73" spans="1:23">
      <c r="A73" s="60" t="s">
        <v>69</v>
      </c>
      <c r="B73" s="61" t="s">
        <v>70</v>
      </c>
      <c r="C73" s="61"/>
      <c r="D73" s="61"/>
      <c r="E73" s="61"/>
      <c r="F73" s="62"/>
      <c r="G73" s="28">
        <f t="shared" si="31"/>
        <v>38020222.219999999</v>
      </c>
      <c r="H73" s="32">
        <v>34218200</v>
      </c>
      <c r="I73" s="33">
        <v>3802022.22</v>
      </c>
      <c r="J73" s="28">
        <f t="shared" si="32"/>
        <v>38020222.219999999</v>
      </c>
      <c r="K73" s="32">
        <v>34218200</v>
      </c>
      <c r="L73" s="33">
        <v>3802022.22</v>
      </c>
      <c r="M73" s="28">
        <f>N73+O73</f>
        <v>38020222.219999999</v>
      </c>
      <c r="N73" s="32">
        <v>34218200</v>
      </c>
      <c r="O73" s="33">
        <v>3802022.22</v>
      </c>
      <c r="P73" s="28"/>
      <c r="Q73" s="32"/>
      <c r="R73" s="33"/>
      <c r="S73" s="28"/>
      <c r="T73" s="32"/>
      <c r="U73" s="33"/>
      <c r="V73" s="47"/>
      <c r="W73" s="48"/>
    </row>
    <row r="74" spans="1:23">
      <c r="A74" s="60" t="s">
        <v>22</v>
      </c>
      <c r="B74" s="61" t="s">
        <v>13</v>
      </c>
      <c r="C74" s="61"/>
      <c r="D74" s="61"/>
      <c r="E74" s="61"/>
      <c r="F74" s="62"/>
      <c r="G74" s="28">
        <f t="shared" si="31"/>
        <v>38020210</v>
      </c>
      <c r="H74" s="32"/>
      <c r="I74" s="33">
        <v>38020210</v>
      </c>
      <c r="J74" s="28">
        <f t="shared" si="32"/>
        <v>38020210</v>
      </c>
      <c r="K74" s="32"/>
      <c r="L74" s="33">
        <v>38020210</v>
      </c>
      <c r="M74" s="28">
        <f>O74</f>
        <v>38020210</v>
      </c>
      <c r="N74" s="32"/>
      <c r="O74" s="33">
        <v>38020210</v>
      </c>
      <c r="P74" s="28">
        <f>R74</f>
        <v>37198063.310000002</v>
      </c>
      <c r="Q74" s="32"/>
      <c r="R74" s="33">
        <v>37198063.310000002</v>
      </c>
      <c r="S74" s="28">
        <f>U74</f>
        <v>37198063.310000002</v>
      </c>
      <c r="T74" s="32"/>
      <c r="U74" s="33">
        <v>37198063.310000002</v>
      </c>
      <c r="V74" s="47"/>
      <c r="W74" s="48"/>
    </row>
    <row r="75" spans="1:23" ht="75">
      <c r="A75" s="8" t="s">
        <v>84</v>
      </c>
      <c r="B75" s="5" t="s">
        <v>13</v>
      </c>
      <c r="C75" s="5" t="s">
        <v>13</v>
      </c>
      <c r="D75" s="5" t="s">
        <v>85</v>
      </c>
      <c r="E75" s="5" t="s">
        <v>86</v>
      </c>
      <c r="F75" s="55" t="s">
        <v>87</v>
      </c>
      <c r="G75" s="28">
        <f t="shared" si="31"/>
        <v>126716004.73</v>
      </c>
      <c r="H75" s="32">
        <f>H76</f>
        <v>43666993</v>
      </c>
      <c r="I75" s="33">
        <f>I76+I77</f>
        <v>83049011.730000004</v>
      </c>
      <c r="J75" s="28">
        <f t="shared" si="32"/>
        <v>126716004.73</v>
      </c>
      <c r="K75" s="32">
        <f>K76</f>
        <v>43666993</v>
      </c>
      <c r="L75" s="33">
        <f>L76+L77</f>
        <v>83049011.730000004</v>
      </c>
      <c r="M75" s="28">
        <f>N75+O75</f>
        <v>126037382.59999999</v>
      </c>
      <c r="N75" s="32">
        <f>N76</f>
        <v>43666993</v>
      </c>
      <c r="O75" s="33">
        <f>O76+O77</f>
        <v>82370389.599999994</v>
      </c>
      <c r="P75" s="28">
        <f>Q75+R75</f>
        <v>100875546.47999999</v>
      </c>
      <c r="Q75" s="32">
        <f>Q76</f>
        <v>43666993</v>
      </c>
      <c r="R75" s="33">
        <f>R76+R77</f>
        <v>57208553.479999997</v>
      </c>
      <c r="S75" s="28">
        <f>T75+U75</f>
        <v>100875546.47999999</v>
      </c>
      <c r="T75" s="32">
        <f>T76</f>
        <v>43666993</v>
      </c>
      <c r="U75" s="33">
        <f>U76+U77</f>
        <v>57208553.479999997</v>
      </c>
      <c r="V75" s="47">
        <f t="shared" si="4"/>
        <v>79.607581295622794</v>
      </c>
      <c r="W75" s="48">
        <f t="shared" si="5"/>
        <v>80.036211796102464</v>
      </c>
    </row>
    <row r="76" spans="1:23" ht="32.25" customHeight="1">
      <c r="A76" s="7" t="s">
        <v>69</v>
      </c>
      <c r="B76" s="5" t="s">
        <v>70</v>
      </c>
      <c r="C76" s="5"/>
      <c r="D76" s="5"/>
      <c r="E76" s="5"/>
      <c r="F76" s="55"/>
      <c r="G76" s="28">
        <f t="shared" si="31"/>
        <v>48518881.109999999</v>
      </c>
      <c r="H76" s="32">
        <v>43666993</v>
      </c>
      <c r="I76" s="33">
        <v>4851888.1100000003</v>
      </c>
      <c r="J76" s="28">
        <f t="shared" si="32"/>
        <v>48518881.109999999</v>
      </c>
      <c r="K76" s="32">
        <v>43666993</v>
      </c>
      <c r="L76" s="33">
        <v>4851888.1100000003</v>
      </c>
      <c r="M76" s="28">
        <f>N76+O76</f>
        <v>48518881.109999999</v>
      </c>
      <c r="N76" s="32">
        <v>43666993</v>
      </c>
      <c r="O76" s="33">
        <v>4851888.1100000003</v>
      </c>
      <c r="P76" s="28">
        <f>Q76+R76</f>
        <v>48518881.109999999</v>
      </c>
      <c r="Q76" s="32">
        <v>43666993</v>
      </c>
      <c r="R76" s="33">
        <v>4851888.1100000003</v>
      </c>
      <c r="S76" s="28">
        <f>T76+U76</f>
        <v>48518881.109999999</v>
      </c>
      <c r="T76" s="32">
        <v>43666993</v>
      </c>
      <c r="U76" s="33">
        <v>4851888.1100000003</v>
      </c>
      <c r="V76" s="47">
        <f t="shared" ref="V76:V77" si="33">S76/J76*100</f>
        <v>100</v>
      </c>
      <c r="W76" s="48">
        <f t="shared" ref="W76:W77" si="34">S76/M76*100</f>
        <v>100</v>
      </c>
    </row>
    <row r="77" spans="1:23" ht="24.75" customHeight="1">
      <c r="A77" s="7" t="s">
        <v>22</v>
      </c>
      <c r="B77" s="5"/>
      <c r="C77" s="5"/>
      <c r="D77" s="5"/>
      <c r="E77" s="5"/>
      <c r="F77" s="55"/>
      <c r="G77" s="28">
        <f t="shared" si="31"/>
        <v>78197123.620000005</v>
      </c>
      <c r="H77" s="32"/>
      <c r="I77" s="33">
        <v>78197123.620000005</v>
      </c>
      <c r="J77" s="28">
        <f t="shared" si="32"/>
        <v>78197123.620000005</v>
      </c>
      <c r="K77" s="32"/>
      <c r="L77" s="33">
        <v>78197123.620000005</v>
      </c>
      <c r="M77" s="28">
        <f>N77+O77</f>
        <v>77518501.489999995</v>
      </c>
      <c r="N77" s="32"/>
      <c r="O77" s="33">
        <v>77518501.489999995</v>
      </c>
      <c r="P77" s="28">
        <f>Q77+R77</f>
        <v>52356665.369999997</v>
      </c>
      <c r="Q77" s="32"/>
      <c r="R77" s="33">
        <v>52356665.369999997</v>
      </c>
      <c r="S77" s="28">
        <f>T77+U77</f>
        <v>52356665.369999997</v>
      </c>
      <c r="T77" s="32"/>
      <c r="U77" s="33">
        <v>52356665.369999997</v>
      </c>
      <c r="V77" s="47">
        <f t="shared" si="33"/>
        <v>66.954720258545493</v>
      </c>
      <c r="W77" s="48">
        <f t="shared" si="34"/>
        <v>67.540863617899134</v>
      </c>
    </row>
    <row r="78" spans="1:23" s="13" customFormat="1" hidden="1">
      <c r="A78" s="101" t="s">
        <v>88</v>
      </c>
      <c r="B78" s="101"/>
      <c r="C78" s="101"/>
      <c r="D78" s="101"/>
      <c r="E78" s="101"/>
      <c r="F78" s="102"/>
      <c r="G78" s="65"/>
      <c r="H78" s="37"/>
      <c r="I78" s="38"/>
      <c r="J78" s="65"/>
      <c r="K78" s="37"/>
      <c r="L78" s="38"/>
      <c r="M78" s="65"/>
      <c r="N78" s="37"/>
      <c r="O78" s="38"/>
      <c r="P78" s="65"/>
      <c r="Q78" s="37"/>
      <c r="R78" s="38"/>
      <c r="S78" s="65"/>
      <c r="T78" s="37"/>
      <c r="U78" s="38"/>
      <c r="V78" s="50"/>
      <c r="W78" s="51"/>
    </row>
    <row r="79" spans="1:23" ht="83.25" hidden="1" customHeight="1">
      <c r="A79" s="7" t="s">
        <v>89</v>
      </c>
      <c r="B79" s="5" t="s">
        <v>13</v>
      </c>
      <c r="C79" s="5" t="s">
        <v>13</v>
      </c>
      <c r="D79" s="5" t="s">
        <v>82</v>
      </c>
      <c r="E79" s="5" t="s">
        <v>88</v>
      </c>
      <c r="F79" s="55" t="s">
        <v>78</v>
      </c>
      <c r="G79" s="29"/>
      <c r="H79" s="30"/>
      <c r="I79" s="31"/>
      <c r="J79" s="29"/>
      <c r="K79" s="30"/>
      <c r="L79" s="31"/>
      <c r="M79" s="29"/>
      <c r="N79" s="30"/>
      <c r="O79" s="31"/>
      <c r="P79" s="29"/>
      <c r="Q79" s="30"/>
      <c r="R79" s="31"/>
      <c r="S79" s="29"/>
      <c r="T79" s="30"/>
      <c r="U79" s="31"/>
      <c r="V79" s="47"/>
      <c r="W79" s="48"/>
    </row>
    <row r="80" spans="1:23" hidden="1">
      <c r="A80" s="7" t="s">
        <v>69</v>
      </c>
      <c r="B80" s="5" t="s">
        <v>70</v>
      </c>
      <c r="C80" s="7"/>
      <c r="D80" s="7"/>
      <c r="E80" s="7"/>
      <c r="F80" s="56"/>
      <c r="G80" s="29"/>
      <c r="H80" s="30"/>
      <c r="I80" s="31"/>
      <c r="J80" s="29"/>
      <c r="K80" s="30"/>
      <c r="L80" s="31"/>
      <c r="M80" s="29"/>
      <c r="N80" s="30"/>
      <c r="O80" s="31"/>
      <c r="P80" s="29"/>
      <c r="Q80" s="30"/>
      <c r="R80" s="31"/>
      <c r="S80" s="29"/>
      <c r="T80" s="30"/>
      <c r="U80" s="31"/>
      <c r="V80" s="47"/>
      <c r="W80" s="48"/>
    </row>
    <row r="81" spans="1:23" s="13" customFormat="1">
      <c r="A81" s="105" t="s">
        <v>90</v>
      </c>
      <c r="B81" s="105"/>
      <c r="C81" s="105"/>
      <c r="D81" s="105"/>
      <c r="E81" s="105"/>
      <c r="F81" s="106"/>
      <c r="G81" s="34">
        <f>H81+I81</f>
        <v>132712435.56</v>
      </c>
      <c r="H81" s="35">
        <f>H84+H91</f>
        <v>105061192</v>
      </c>
      <c r="I81" s="36">
        <f>I84+I91</f>
        <v>27651243.559999999</v>
      </c>
      <c r="J81" s="34">
        <f>K81+L81</f>
        <v>132712443.56</v>
      </c>
      <c r="K81" s="35">
        <f>K84+K91</f>
        <v>105061200</v>
      </c>
      <c r="L81" s="36">
        <f>L84+L91</f>
        <v>27651243.559999999</v>
      </c>
      <c r="M81" s="34">
        <f>N81+O81</f>
        <v>75190657.420000002</v>
      </c>
      <c r="N81" s="35">
        <f>N84+N91</f>
        <v>60439999.990000002</v>
      </c>
      <c r="O81" s="36">
        <f>O84+O91</f>
        <v>14750657.43</v>
      </c>
      <c r="P81" s="34">
        <f>Q81+R81</f>
        <v>21988558.200000003</v>
      </c>
      <c r="Q81" s="35">
        <f>Q84+Q91</f>
        <v>19789702.920000002</v>
      </c>
      <c r="R81" s="36">
        <f>R84+R91</f>
        <v>2198855.2799999998</v>
      </c>
      <c r="S81" s="34">
        <f>T81+U81</f>
        <v>21966569.649999999</v>
      </c>
      <c r="T81" s="35">
        <f>T84+T91</f>
        <v>19769913.219999999</v>
      </c>
      <c r="U81" s="36">
        <f>U84+U91</f>
        <v>2196656.4300000002</v>
      </c>
      <c r="V81" s="50">
        <f t="shared" ref="V81:V141" si="35">S81/J81*100</f>
        <v>16.552004514986415</v>
      </c>
      <c r="W81" s="51">
        <f t="shared" ref="W81:W90" si="36">S81/M81*100</f>
        <v>29.21449340082123</v>
      </c>
    </row>
    <row r="82" spans="1:23">
      <c r="A82" s="103" t="s">
        <v>7</v>
      </c>
      <c r="B82" s="103"/>
      <c r="C82" s="103"/>
      <c r="D82" s="103"/>
      <c r="E82" s="103"/>
      <c r="F82" s="104"/>
      <c r="G82" s="28">
        <f>H82+I82</f>
        <v>32512435.559999999</v>
      </c>
      <c r="H82" s="32">
        <f>H81-H83</f>
        <v>29261192</v>
      </c>
      <c r="I82" s="33">
        <f>I81-I83</f>
        <v>3251243.5599999987</v>
      </c>
      <c r="J82" s="28">
        <f>K82+L82</f>
        <v>32512443.559999999</v>
      </c>
      <c r="K82" s="32">
        <f>K81-K83</f>
        <v>29261200</v>
      </c>
      <c r="L82" s="33">
        <f>L81-L83</f>
        <v>3251243.5599999987</v>
      </c>
      <c r="M82" s="28">
        <f>N82+O82</f>
        <v>25089657.43</v>
      </c>
      <c r="N82" s="32">
        <f>N81-N83</f>
        <v>22540000</v>
      </c>
      <c r="O82" s="33">
        <f>O81-O83</f>
        <v>2549657.4299999997</v>
      </c>
      <c r="P82" s="28">
        <f>Q82+R82</f>
        <v>21988558.200000003</v>
      </c>
      <c r="Q82" s="32">
        <f>Q81-Q83</f>
        <v>19789702.920000002</v>
      </c>
      <c r="R82" s="33">
        <f>R81-R83</f>
        <v>2198855.2799999998</v>
      </c>
      <c r="S82" s="28">
        <f>T82+U82</f>
        <v>21966569.649999999</v>
      </c>
      <c r="T82" s="32">
        <f>T81-T83</f>
        <v>19769913.219999999</v>
      </c>
      <c r="U82" s="33">
        <f>U81-U83</f>
        <v>2196656.4300000002</v>
      </c>
      <c r="V82" s="47">
        <f t="shared" si="35"/>
        <v>67.563576417939345</v>
      </c>
      <c r="W82" s="48">
        <f t="shared" si="36"/>
        <v>87.552290067278122</v>
      </c>
    </row>
    <row r="83" spans="1:23">
      <c r="A83" s="103" t="s">
        <v>8</v>
      </c>
      <c r="B83" s="103"/>
      <c r="C83" s="103"/>
      <c r="D83" s="103"/>
      <c r="E83" s="103"/>
      <c r="F83" s="104"/>
      <c r="G83" s="28">
        <f>H83+I83</f>
        <v>100200000</v>
      </c>
      <c r="H83" s="32">
        <f>H85</f>
        <v>75800000</v>
      </c>
      <c r="I83" s="33">
        <f>I85</f>
        <v>24400000</v>
      </c>
      <c r="J83" s="28">
        <f>K83+L83</f>
        <v>100200000</v>
      </c>
      <c r="K83" s="32">
        <f>K85</f>
        <v>75800000</v>
      </c>
      <c r="L83" s="33">
        <f>L85</f>
        <v>24400000</v>
      </c>
      <c r="M83" s="28">
        <f>N83+O83</f>
        <v>50100999.990000002</v>
      </c>
      <c r="N83" s="32">
        <f>N85</f>
        <v>37899999.990000002</v>
      </c>
      <c r="O83" s="33">
        <f>O85</f>
        <v>12201000</v>
      </c>
      <c r="P83" s="28">
        <f>Q83+R83</f>
        <v>0</v>
      </c>
      <c r="Q83" s="32">
        <f>Q85</f>
        <v>0</v>
      </c>
      <c r="R83" s="33">
        <f>R85</f>
        <v>0</v>
      </c>
      <c r="S83" s="28">
        <f>T83+U83</f>
        <v>0</v>
      </c>
      <c r="T83" s="32">
        <f>T85</f>
        <v>0</v>
      </c>
      <c r="U83" s="33">
        <f>U85</f>
        <v>0</v>
      </c>
      <c r="V83" s="47">
        <f t="shared" si="35"/>
        <v>0</v>
      </c>
      <c r="W83" s="48">
        <v>0</v>
      </c>
    </row>
    <row r="84" spans="1:23" s="13" customFormat="1">
      <c r="A84" s="101" t="s">
        <v>11</v>
      </c>
      <c r="B84" s="101"/>
      <c r="C84" s="101"/>
      <c r="D84" s="101"/>
      <c r="E84" s="101"/>
      <c r="F84" s="102"/>
      <c r="G84" s="34">
        <f t="shared" ref="G84:I84" si="37">G85+G87</f>
        <v>132712435.56</v>
      </c>
      <c r="H84" s="35">
        <f t="shared" si="37"/>
        <v>105061192</v>
      </c>
      <c r="I84" s="36">
        <f t="shared" si="37"/>
        <v>27651243.559999999</v>
      </c>
      <c r="J84" s="34">
        <f t="shared" ref="J84:L84" si="38">J85+J87</f>
        <v>132712443.56</v>
      </c>
      <c r="K84" s="35">
        <f t="shared" si="38"/>
        <v>105061200</v>
      </c>
      <c r="L84" s="36">
        <f t="shared" si="38"/>
        <v>27651243.559999999</v>
      </c>
      <c r="M84" s="34">
        <f t="shared" ref="M84:U84" si="39">M85+M87</f>
        <v>75190657.420000002</v>
      </c>
      <c r="N84" s="35">
        <f t="shared" si="39"/>
        <v>60439999.990000002</v>
      </c>
      <c r="O84" s="36">
        <f t="shared" si="39"/>
        <v>14750657.43</v>
      </c>
      <c r="P84" s="34">
        <f t="shared" si="39"/>
        <v>21988558.200000003</v>
      </c>
      <c r="Q84" s="35">
        <f t="shared" si="39"/>
        <v>19789702.920000002</v>
      </c>
      <c r="R84" s="36">
        <f t="shared" si="39"/>
        <v>2198855.2799999998</v>
      </c>
      <c r="S84" s="34">
        <f t="shared" si="39"/>
        <v>21966569.649999999</v>
      </c>
      <c r="T84" s="35">
        <f t="shared" si="39"/>
        <v>19769913.219999999</v>
      </c>
      <c r="U84" s="36">
        <f t="shared" si="39"/>
        <v>2196656.4300000002</v>
      </c>
      <c r="V84" s="50">
        <f t="shared" si="35"/>
        <v>16.552004514986415</v>
      </c>
      <c r="W84" s="51">
        <f t="shared" si="36"/>
        <v>29.21449340082123</v>
      </c>
    </row>
    <row r="85" spans="1:23" ht="105" customHeight="1">
      <c r="A85" s="103" t="s">
        <v>91</v>
      </c>
      <c r="B85" s="124" t="s">
        <v>13</v>
      </c>
      <c r="C85" s="124" t="s">
        <v>13</v>
      </c>
      <c r="D85" s="113" t="s">
        <v>297</v>
      </c>
      <c r="E85" s="124" t="s">
        <v>15</v>
      </c>
      <c r="F85" s="125" t="s">
        <v>31</v>
      </c>
      <c r="G85" s="89">
        <f>H85+I85</f>
        <v>100200000</v>
      </c>
      <c r="H85" s="91">
        <v>75800000</v>
      </c>
      <c r="I85" s="93">
        <v>24400000</v>
      </c>
      <c r="J85" s="129">
        <f>K85+L85</f>
        <v>100200000</v>
      </c>
      <c r="K85" s="136">
        <v>75800000</v>
      </c>
      <c r="L85" s="131">
        <v>24400000</v>
      </c>
      <c r="M85" s="129">
        <f>N85+O85</f>
        <v>50100999.990000002</v>
      </c>
      <c r="N85" s="136">
        <v>37899999.990000002</v>
      </c>
      <c r="O85" s="131">
        <f>7950000+4251000</f>
        <v>12201000</v>
      </c>
      <c r="P85" s="129">
        <f>Q85+R85</f>
        <v>0</v>
      </c>
      <c r="Q85" s="136"/>
      <c r="R85" s="131"/>
      <c r="S85" s="129">
        <f>T85+U85</f>
        <v>0</v>
      </c>
      <c r="T85" s="136"/>
      <c r="U85" s="131"/>
      <c r="V85" s="154">
        <f t="shared" si="35"/>
        <v>0</v>
      </c>
      <c r="W85" s="156">
        <v>0</v>
      </c>
    </row>
    <row r="86" spans="1:23">
      <c r="A86" s="103"/>
      <c r="B86" s="124"/>
      <c r="C86" s="124"/>
      <c r="D86" s="115"/>
      <c r="E86" s="124"/>
      <c r="F86" s="125"/>
      <c r="G86" s="90"/>
      <c r="H86" s="92"/>
      <c r="I86" s="94"/>
      <c r="J86" s="130"/>
      <c r="K86" s="137"/>
      <c r="L86" s="132"/>
      <c r="M86" s="130"/>
      <c r="N86" s="137"/>
      <c r="O86" s="132"/>
      <c r="P86" s="130"/>
      <c r="Q86" s="137"/>
      <c r="R86" s="132"/>
      <c r="S86" s="130"/>
      <c r="T86" s="137"/>
      <c r="U86" s="132"/>
      <c r="V86" s="155"/>
      <c r="W86" s="157"/>
    </row>
    <row r="87" spans="1:23" ht="59.25" customHeight="1">
      <c r="A87" s="103" t="s">
        <v>92</v>
      </c>
      <c r="B87" s="124" t="s">
        <v>13</v>
      </c>
      <c r="C87" s="124" t="s">
        <v>13</v>
      </c>
      <c r="D87" s="113" t="s">
        <v>298</v>
      </c>
      <c r="E87" s="124" t="s">
        <v>93</v>
      </c>
      <c r="F87" s="125" t="s">
        <v>68</v>
      </c>
      <c r="G87" s="89">
        <f>H87+I87</f>
        <v>32512435.559999999</v>
      </c>
      <c r="H87" s="91">
        <v>29261192</v>
      </c>
      <c r="I87" s="93">
        <v>3251243.56</v>
      </c>
      <c r="J87" s="129">
        <f>K87+L87</f>
        <v>32512443.559999999</v>
      </c>
      <c r="K87" s="136">
        <v>29261200</v>
      </c>
      <c r="L87" s="131">
        <v>3251243.56</v>
      </c>
      <c r="M87" s="129">
        <f>N87+O87</f>
        <v>25089657.43</v>
      </c>
      <c r="N87" s="136">
        <f>N90</f>
        <v>22540000</v>
      </c>
      <c r="O87" s="131">
        <f>O90</f>
        <v>2549657.4300000002</v>
      </c>
      <c r="P87" s="129">
        <f>Q87+R87</f>
        <v>21988558.200000003</v>
      </c>
      <c r="Q87" s="136">
        <f>Q90</f>
        <v>19789702.920000002</v>
      </c>
      <c r="R87" s="131">
        <f>R90</f>
        <v>2198855.2799999998</v>
      </c>
      <c r="S87" s="129">
        <f>T87+U87</f>
        <v>21966569.649999999</v>
      </c>
      <c r="T87" s="136">
        <f>T90</f>
        <v>19769913.219999999</v>
      </c>
      <c r="U87" s="131">
        <f>U90</f>
        <v>2196656.4300000002</v>
      </c>
      <c r="V87" s="154">
        <f t="shared" si="35"/>
        <v>67.563576417939345</v>
      </c>
      <c r="W87" s="156">
        <f t="shared" si="36"/>
        <v>87.552290067278122</v>
      </c>
    </row>
    <row r="88" spans="1:23">
      <c r="A88" s="103"/>
      <c r="B88" s="124"/>
      <c r="C88" s="124"/>
      <c r="D88" s="114"/>
      <c r="E88" s="124"/>
      <c r="F88" s="125"/>
      <c r="G88" s="133"/>
      <c r="H88" s="134"/>
      <c r="I88" s="135"/>
      <c r="J88" s="138"/>
      <c r="K88" s="139"/>
      <c r="L88" s="140"/>
      <c r="M88" s="138"/>
      <c r="N88" s="139"/>
      <c r="O88" s="140"/>
      <c r="P88" s="138"/>
      <c r="Q88" s="139"/>
      <c r="R88" s="140"/>
      <c r="S88" s="138"/>
      <c r="T88" s="139"/>
      <c r="U88" s="140"/>
      <c r="V88" s="158"/>
      <c r="W88" s="159"/>
    </row>
    <row r="89" spans="1:23" ht="14.25" customHeight="1">
      <c r="A89" s="103"/>
      <c r="B89" s="124"/>
      <c r="C89" s="124"/>
      <c r="D89" s="115"/>
      <c r="E89" s="124"/>
      <c r="F89" s="125"/>
      <c r="G89" s="90"/>
      <c r="H89" s="92"/>
      <c r="I89" s="94"/>
      <c r="J89" s="130"/>
      <c r="K89" s="137"/>
      <c r="L89" s="132"/>
      <c r="M89" s="130"/>
      <c r="N89" s="137"/>
      <c r="O89" s="132"/>
      <c r="P89" s="130"/>
      <c r="Q89" s="137"/>
      <c r="R89" s="132"/>
      <c r="S89" s="130"/>
      <c r="T89" s="137"/>
      <c r="U89" s="132"/>
      <c r="V89" s="155"/>
      <c r="W89" s="157"/>
    </row>
    <row r="90" spans="1:23" ht="30">
      <c r="A90" s="7" t="s">
        <v>94</v>
      </c>
      <c r="B90" s="5" t="s">
        <v>95</v>
      </c>
      <c r="C90" s="7"/>
      <c r="D90" s="7"/>
      <c r="E90" s="7"/>
      <c r="F90" s="56"/>
      <c r="G90" s="28">
        <f>H90+I90</f>
        <v>32512435.559999999</v>
      </c>
      <c r="H90" s="32">
        <v>29261192</v>
      </c>
      <c r="I90" s="33">
        <v>3251243.56</v>
      </c>
      <c r="J90" s="28">
        <f>K90+L90</f>
        <v>32512435.559999999</v>
      </c>
      <c r="K90" s="32">
        <v>29261192</v>
      </c>
      <c r="L90" s="33">
        <v>3251243.56</v>
      </c>
      <c r="M90" s="28">
        <f>N90+O90</f>
        <v>25089657.43</v>
      </c>
      <c r="N90" s="32">
        <v>22540000</v>
      </c>
      <c r="O90" s="33">
        <v>2549657.4300000002</v>
      </c>
      <c r="P90" s="28">
        <f>Q90+R90</f>
        <v>21988558.200000003</v>
      </c>
      <c r="Q90" s="32">
        <v>19789702.920000002</v>
      </c>
      <c r="R90" s="33">
        <v>2198855.2799999998</v>
      </c>
      <c r="S90" s="28">
        <f>T90+U90</f>
        <v>21966569.649999999</v>
      </c>
      <c r="T90" s="32">
        <v>19769913.219999999</v>
      </c>
      <c r="U90" s="33">
        <v>2196656.4300000002</v>
      </c>
      <c r="V90" s="47">
        <f t="shared" si="35"/>
        <v>67.563593042612396</v>
      </c>
      <c r="W90" s="48">
        <f t="shared" si="36"/>
        <v>87.552290067278122</v>
      </c>
    </row>
    <row r="91" spans="1:23" s="13" customFormat="1" hidden="1">
      <c r="A91" s="101" t="s">
        <v>96</v>
      </c>
      <c r="B91" s="101"/>
      <c r="C91" s="101"/>
      <c r="D91" s="101"/>
      <c r="E91" s="101"/>
      <c r="F91" s="102"/>
      <c r="G91" s="34"/>
      <c r="H91" s="35"/>
      <c r="I91" s="36"/>
      <c r="J91" s="34"/>
      <c r="K91" s="35"/>
      <c r="L91" s="36"/>
      <c r="M91" s="34"/>
      <c r="N91" s="35"/>
      <c r="O91" s="36"/>
      <c r="P91" s="34"/>
      <c r="Q91" s="35"/>
      <c r="R91" s="36"/>
      <c r="S91" s="34"/>
      <c r="T91" s="35"/>
      <c r="U91" s="36"/>
      <c r="V91" s="50"/>
      <c r="W91" s="51"/>
    </row>
    <row r="92" spans="1:23" ht="78.75" hidden="1" customHeight="1">
      <c r="A92" s="7" t="s">
        <v>97</v>
      </c>
      <c r="B92" s="5" t="s">
        <v>13</v>
      </c>
      <c r="C92" s="5" t="s">
        <v>98</v>
      </c>
      <c r="D92" s="5" t="s">
        <v>99</v>
      </c>
      <c r="E92" s="5" t="s">
        <v>100</v>
      </c>
      <c r="F92" s="55" t="s">
        <v>68</v>
      </c>
      <c r="G92" s="28"/>
      <c r="H92" s="32"/>
      <c r="I92" s="33"/>
      <c r="J92" s="28"/>
      <c r="K92" s="32"/>
      <c r="L92" s="33"/>
      <c r="M92" s="28"/>
      <c r="N92" s="32"/>
      <c r="O92" s="33"/>
      <c r="P92" s="28"/>
      <c r="Q92" s="32"/>
      <c r="R92" s="33"/>
      <c r="S92" s="28"/>
      <c r="T92" s="32"/>
      <c r="U92" s="33"/>
      <c r="V92" s="47"/>
      <c r="W92" s="48"/>
    </row>
    <row r="93" spans="1:23" ht="30" hidden="1">
      <c r="A93" s="7" t="s">
        <v>101</v>
      </c>
      <c r="B93" s="5" t="s">
        <v>102</v>
      </c>
      <c r="C93" s="7"/>
      <c r="D93" s="7"/>
      <c r="E93" s="7"/>
      <c r="F93" s="56"/>
      <c r="G93" s="28"/>
      <c r="H93" s="32"/>
      <c r="I93" s="33"/>
      <c r="J93" s="28"/>
      <c r="K93" s="32"/>
      <c r="L93" s="33"/>
      <c r="M93" s="28"/>
      <c r="N93" s="32"/>
      <c r="O93" s="33"/>
      <c r="P93" s="28"/>
      <c r="Q93" s="32"/>
      <c r="R93" s="33"/>
      <c r="S93" s="28"/>
      <c r="T93" s="32"/>
      <c r="U93" s="33"/>
      <c r="V93" s="47">
        <v>0</v>
      </c>
      <c r="W93" s="48">
        <v>0</v>
      </c>
    </row>
    <row r="94" spans="1:23" s="13" customFormat="1" ht="33.75" customHeight="1">
      <c r="A94" s="105" t="s">
        <v>103</v>
      </c>
      <c r="B94" s="105"/>
      <c r="C94" s="105"/>
      <c r="D94" s="105"/>
      <c r="E94" s="105"/>
      <c r="F94" s="106"/>
      <c r="G94" s="34">
        <f>G95+G96</f>
        <v>1109142454.28</v>
      </c>
      <c r="H94" s="35">
        <f t="shared" ref="H94:I94" si="40">H95+H96</f>
        <v>970093718.57000005</v>
      </c>
      <c r="I94" s="36">
        <f t="shared" si="40"/>
        <v>139048735.70999998</v>
      </c>
      <c r="J94" s="34">
        <f>J95+J96</f>
        <v>1109142454.28</v>
      </c>
      <c r="K94" s="35">
        <f t="shared" ref="K94:L94" si="41">K95+K96</f>
        <v>970093718.57000005</v>
      </c>
      <c r="L94" s="36">
        <f t="shared" si="41"/>
        <v>139048735.70999998</v>
      </c>
      <c r="M94" s="34">
        <f>M95+M96</f>
        <v>508787203.06</v>
      </c>
      <c r="N94" s="35">
        <f t="shared" ref="N94:O94" si="42">N95+N96</f>
        <v>389049200</v>
      </c>
      <c r="O94" s="36">
        <f t="shared" si="42"/>
        <v>119738003.06</v>
      </c>
      <c r="P94" s="34">
        <f>P95+P96</f>
        <v>389345421.86000001</v>
      </c>
      <c r="Q94" s="35">
        <f t="shared" ref="Q94:R94" si="43">Q95+Q96</f>
        <v>316049453.07999998</v>
      </c>
      <c r="R94" s="36">
        <f t="shared" si="43"/>
        <v>73295968.780000001</v>
      </c>
      <c r="S94" s="34">
        <f>S95+S96</f>
        <v>389345421.83999997</v>
      </c>
      <c r="T94" s="35">
        <f t="shared" ref="T94:U94" si="44">T95+T96</f>
        <v>316049453.06999999</v>
      </c>
      <c r="U94" s="36">
        <f t="shared" si="44"/>
        <v>73295968.769999996</v>
      </c>
      <c r="V94" s="50">
        <f t="shared" si="35"/>
        <v>35.103283652841839</v>
      </c>
      <c r="W94" s="51">
        <f>S94/M94*100</f>
        <v>76.524216705600878</v>
      </c>
    </row>
    <row r="95" spans="1:23">
      <c r="A95" s="103" t="s">
        <v>7</v>
      </c>
      <c r="B95" s="103"/>
      <c r="C95" s="103"/>
      <c r="D95" s="103"/>
      <c r="E95" s="103"/>
      <c r="F95" s="104"/>
      <c r="G95" s="28">
        <f>H95+I95</f>
        <v>431666080</v>
      </c>
      <c r="H95" s="32">
        <f>H108</f>
        <v>388456200</v>
      </c>
      <c r="I95" s="33">
        <f>I108</f>
        <v>43209880</v>
      </c>
      <c r="J95" s="28">
        <f>K95+L95</f>
        <v>431666080</v>
      </c>
      <c r="K95" s="32">
        <f>K108</f>
        <v>388456200</v>
      </c>
      <c r="L95" s="33">
        <f>L108</f>
        <v>43209880</v>
      </c>
      <c r="M95" s="28">
        <f>N95+O95</f>
        <v>431666080</v>
      </c>
      <c r="N95" s="32">
        <f>N108</f>
        <v>388456200</v>
      </c>
      <c r="O95" s="33">
        <f>O108</f>
        <v>43209880</v>
      </c>
      <c r="P95" s="28">
        <f>Q95+R95</f>
        <v>351205177.06</v>
      </c>
      <c r="Q95" s="32">
        <f>Q108</f>
        <v>316049453.07999998</v>
      </c>
      <c r="R95" s="33">
        <f>R108</f>
        <v>35155723.979999997</v>
      </c>
      <c r="S95" s="28">
        <f>T95+U95</f>
        <v>351205177.03999996</v>
      </c>
      <c r="T95" s="32">
        <f>T108</f>
        <v>316049453.06999999</v>
      </c>
      <c r="U95" s="33">
        <f>U108</f>
        <v>35155723.969999999</v>
      </c>
      <c r="V95" s="47">
        <f t="shared" si="35"/>
        <v>81.360383248088425</v>
      </c>
      <c r="W95" s="48">
        <f>S95/M95*100</f>
        <v>81.360383248088425</v>
      </c>
    </row>
    <row r="96" spans="1:23">
      <c r="A96" s="103" t="s">
        <v>8</v>
      </c>
      <c r="B96" s="103"/>
      <c r="C96" s="103"/>
      <c r="D96" s="103"/>
      <c r="E96" s="103"/>
      <c r="F96" s="104"/>
      <c r="G96" s="28">
        <f>H96+I96</f>
        <v>677476374.27999997</v>
      </c>
      <c r="H96" s="32">
        <f>H97-H95</f>
        <v>581637518.57000005</v>
      </c>
      <c r="I96" s="33">
        <f>I97-I95</f>
        <v>95838855.709999979</v>
      </c>
      <c r="J96" s="28">
        <f>K96+L96</f>
        <v>677476374.27999997</v>
      </c>
      <c r="K96" s="32">
        <f>K97-K95</f>
        <v>581637518.57000005</v>
      </c>
      <c r="L96" s="33">
        <f>L97-L95</f>
        <v>95838855.709999979</v>
      </c>
      <c r="M96" s="28">
        <f>N96+O96</f>
        <v>77121123.060000002</v>
      </c>
      <c r="N96" s="32">
        <f>N97-N95</f>
        <v>593000</v>
      </c>
      <c r="O96" s="33">
        <f>O97-O95</f>
        <v>76528123.060000002</v>
      </c>
      <c r="P96" s="28">
        <f>Q96+R96</f>
        <v>38140244.800000004</v>
      </c>
      <c r="Q96" s="32">
        <f>Q97-Q95</f>
        <v>0</v>
      </c>
      <c r="R96" s="33">
        <f>R97-R95</f>
        <v>38140244.800000004</v>
      </c>
      <c r="S96" s="28">
        <f>T96+U96</f>
        <v>38140244.799999997</v>
      </c>
      <c r="T96" s="32">
        <f>T97-T95</f>
        <v>0</v>
      </c>
      <c r="U96" s="33">
        <f>U97-U95</f>
        <v>38140244.799999997</v>
      </c>
      <c r="V96" s="47">
        <f t="shared" si="35"/>
        <v>5.6297527482835426</v>
      </c>
      <c r="W96" s="48">
        <v>0</v>
      </c>
    </row>
    <row r="97" spans="1:23" ht="33.75" customHeight="1">
      <c r="A97" s="103" t="s">
        <v>104</v>
      </c>
      <c r="B97" s="103"/>
      <c r="C97" s="103"/>
      <c r="D97" s="103"/>
      <c r="E97" s="103"/>
      <c r="F97" s="104"/>
      <c r="G97" s="28">
        <f>H97+I97</f>
        <v>1109142454.28</v>
      </c>
      <c r="H97" s="32">
        <f>H98+H110+H113</f>
        <v>970093718.57000005</v>
      </c>
      <c r="I97" s="33">
        <f>I98+I110+I113</f>
        <v>139048735.70999998</v>
      </c>
      <c r="J97" s="28">
        <f>K97+L97</f>
        <v>1109142454.28</v>
      </c>
      <c r="K97" s="32">
        <f>K98+K110+K113</f>
        <v>970093718.57000005</v>
      </c>
      <c r="L97" s="33">
        <f>L98+L110+L113</f>
        <v>139048735.70999998</v>
      </c>
      <c r="M97" s="28">
        <f>N97+O97</f>
        <v>508787203.06</v>
      </c>
      <c r="N97" s="32">
        <f>N98+N110+N113</f>
        <v>389049200</v>
      </c>
      <c r="O97" s="33">
        <f>O98+O110+O113</f>
        <v>119738003.06</v>
      </c>
      <c r="P97" s="28">
        <f>Q97+R97</f>
        <v>389345421.86000001</v>
      </c>
      <c r="Q97" s="32">
        <f>Q98+Q110+Q113</f>
        <v>316049453.07999998</v>
      </c>
      <c r="R97" s="33">
        <f>R98+R110+R113</f>
        <v>73295968.780000001</v>
      </c>
      <c r="S97" s="28">
        <f>T97+U97</f>
        <v>389345421.83999997</v>
      </c>
      <c r="T97" s="32">
        <f>T98+T110+T113</f>
        <v>316049453.06999999</v>
      </c>
      <c r="U97" s="33">
        <f>U98+U110+U113</f>
        <v>73295968.769999996</v>
      </c>
      <c r="V97" s="47">
        <f t="shared" si="35"/>
        <v>35.103283652841839</v>
      </c>
      <c r="W97" s="48">
        <f>S97/M97*100</f>
        <v>76.524216705600878</v>
      </c>
    </row>
    <row r="98" spans="1:23" s="13" customFormat="1">
      <c r="A98" s="101" t="s">
        <v>11</v>
      </c>
      <c r="B98" s="101"/>
      <c r="C98" s="101"/>
      <c r="D98" s="101"/>
      <c r="E98" s="101"/>
      <c r="F98" s="102"/>
      <c r="G98" s="34">
        <f>H98+I98</f>
        <v>1056495646.96</v>
      </c>
      <c r="H98" s="35">
        <f>H101+H107</f>
        <v>970093718.57000005</v>
      </c>
      <c r="I98" s="36">
        <f>I99+I100+I101+I102+I103+I104+I107</f>
        <v>86401928.389999986</v>
      </c>
      <c r="J98" s="34">
        <f>K98+L98</f>
        <v>1056495646.96</v>
      </c>
      <c r="K98" s="35">
        <f>K99+K100+K101+K102+K103+K104+K107</f>
        <v>970093718.57000005</v>
      </c>
      <c r="L98" s="36">
        <f>L99+L100+L101+L102+L103+L104+L107</f>
        <v>86401928.389999986</v>
      </c>
      <c r="M98" s="34">
        <f>N98+O98</f>
        <v>470464099.88999999</v>
      </c>
      <c r="N98" s="35">
        <f>N99+N100+N101+N102+N103+N104+N107</f>
        <v>389049200</v>
      </c>
      <c r="O98" s="36">
        <f>O99+O100+O101+O102+O103+O104+O107</f>
        <v>81414899.890000001</v>
      </c>
      <c r="P98" s="34">
        <f>Q98+R98</f>
        <v>370689318.69</v>
      </c>
      <c r="Q98" s="35">
        <f>Q99+Q100+Q101+Q102+Q103+Q104+Q107</f>
        <v>316049453.07999998</v>
      </c>
      <c r="R98" s="36">
        <f>R99+R100+R101+R102+R103+R104+R107</f>
        <v>54639865.609999999</v>
      </c>
      <c r="S98" s="34">
        <f>T98+U98</f>
        <v>370689318.66999996</v>
      </c>
      <c r="T98" s="35">
        <f>T99+T100+T101+T102+T103+T104+T107</f>
        <v>316049453.06999999</v>
      </c>
      <c r="U98" s="36">
        <f>U99+U100+U101+U102+U103+U104+U107</f>
        <v>54639865.599999994</v>
      </c>
      <c r="V98" s="50">
        <f t="shared" si="35"/>
        <v>35.086686796735528</v>
      </c>
      <c r="W98" s="51">
        <f>S98/M98*100</f>
        <v>78.792264650304119</v>
      </c>
    </row>
    <row r="99" spans="1:23" ht="135.75" customHeight="1">
      <c r="A99" s="80" t="s">
        <v>105</v>
      </c>
      <c r="B99" s="5" t="s">
        <v>13</v>
      </c>
      <c r="C99" s="5" t="s">
        <v>13</v>
      </c>
      <c r="D99" s="5" t="s">
        <v>106</v>
      </c>
      <c r="E99" s="5" t="s">
        <v>15</v>
      </c>
      <c r="F99" s="55">
        <v>2022</v>
      </c>
      <c r="G99" s="28">
        <f>I99</f>
        <v>34085.379999999997</v>
      </c>
      <c r="H99" s="32"/>
      <c r="I99" s="33">
        <v>34085.379999999997</v>
      </c>
      <c r="J99" s="28">
        <f>L99</f>
        <v>34085.379999999997</v>
      </c>
      <c r="K99" s="32"/>
      <c r="L99" s="33">
        <v>34085.379999999997</v>
      </c>
      <c r="M99" s="28">
        <f>O99</f>
        <v>34085.379999999997</v>
      </c>
      <c r="N99" s="32"/>
      <c r="O99" s="33">
        <v>34085.379999999997</v>
      </c>
      <c r="P99" s="28">
        <f>R99</f>
        <v>34084.269999999997</v>
      </c>
      <c r="Q99" s="32"/>
      <c r="R99" s="33">
        <v>34084.269999999997</v>
      </c>
      <c r="S99" s="28">
        <f>U99</f>
        <v>34084.269999999997</v>
      </c>
      <c r="T99" s="32"/>
      <c r="U99" s="33">
        <v>34084.269999999997</v>
      </c>
      <c r="V99" s="47">
        <f t="shared" si="35"/>
        <v>99.996743471834549</v>
      </c>
      <c r="W99" s="48">
        <f>S99/M99*100</f>
        <v>99.996743471834549</v>
      </c>
    </row>
    <row r="100" spans="1:23" ht="147" customHeight="1">
      <c r="A100" s="80" t="s">
        <v>107</v>
      </c>
      <c r="B100" s="5" t="s">
        <v>13</v>
      </c>
      <c r="C100" s="5" t="s">
        <v>13</v>
      </c>
      <c r="D100" s="5" t="s">
        <v>108</v>
      </c>
      <c r="E100" s="5" t="s">
        <v>62</v>
      </c>
      <c r="F100" s="55" t="s">
        <v>68</v>
      </c>
      <c r="G100" s="28">
        <v>20000000</v>
      </c>
      <c r="H100" s="32"/>
      <c r="I100" s="33">
        <v>20000000</v>
      </c>
      <c r="J100" s="28">
        <f>L100</f>
        <v>20000000</v>
      </c>
      <c r="K100" s="32"/>
      <c r="L100" s="33">
        <v>20000000</v>
      </c>
      <c r="M100" s="28">
        <f>O100</f>
        <v>18095240</v>
      </c>
      <c r="N100" s="32"/>
      <c r="O100" s="33">
        <v>18095240</v>
      </c>
      <c r="P100" s="28">
        <f>R100</f>
        <v>4426362.8499999996</v>
      </c>
      <c r="Q100" s="32"/>
      <c r="R100" s="33">
        <v>4426362.8499999996</v>
      </c>
      <c r="S100" s="28">
        <f>U100</f>
        <v>4426362.8499999996</v>
      </c>
      <c r="T100" s="32"/>
      <c r="U100" s="33">
        <v>4426362.8499999996</v>
      </c>
      <c r="V100" s="47">
        <f t="shared" si="35"/>
        <v>22.131814249999998</v>
      </c>
      <c r="W100" s="48">
        <v>0</v>
      </c>
    </row>
    <row r="101" spans="1:23" ht="150" customHeight="1">
      <c r="A101" s="7" t="s">
        <v>109</v>
      </c>
      <c r="B101" s="5" t="s">
        <v>13</v>
      </c>
      <c r="C101" s="5" t="s">
        <v>13</v>
      </c>
      <c r="D101" s="5" t="s">
        <v>110</v>
      </c>
      <c r="E101" s="5" t="s">
        <v>15</v>
      </c>
      <c r="F101" s="55" t="s">
        <v>31</v>
      </c>
      <c r="G101" s="28">
        <v>582230518.57000005</v>
      </c>
      <c r="H101" s="32">
        <v>581637518.57000005</v>
      </c>
      <c r="I101" s="33"/>
      <c r="J101" s="28">
        <f>K101</f>
        <v>581637518.57000005</v>
      </c>
      <c r="K101" s="32">
        <v>581637518.57000005</v>
      </c>
      <c r="L101" s="33"/>
      <c r="M101" s="28">
        <f>N101+O101</f>
        <v>593000</v>
      </c>
      <c r="N101" s="32">
        <v>593000</v>
      </c>
      <c r="O101" s="33"/>
      <c r="P101" s="28">
        <f>Q101+R101</f>
        <v>0</v>
      </c>
      <c r="Q101" s="32">
        <v>0</v>
      </c>
      <c r="R101" s="33"/>
      <c r="S101" s="28">
        <f>T101+U101</f>
        <v>0</v>
      </c>
      <c r="T101" s="32">
        <v>0</v>
      </c>
      <c r="U101" s="33"/>
      <c r="V101" s="47">
        <f t="shared" si="35"/>
        <v>0</v>
      </c>
      <c r="W101" s="48">
        <f>S101/M101*100</f>
        <v>0</v>
      </c>
    </row>
    <row r="102" spans="1:23" ht="60" hidden="1">
      <c r="A102" s="7" t="s">
        <v>111</v>
      </c>
      <c r="B102" s="5" t="s">
        <v>13</v>
      </c>
      <c r="C102" s="5" t="s">
        <v>13</v>
      </c>
      <c r="D102" s="5" t="s">
        <v>112</v>
      </c>
      <c r="E102" s="5" t="s">
        <v>113</v>
      </c>
      <c r="F102" s="55" t="s">
        <v>114</v>
      </c>
      <c r="G102" s="28"/>
      <c r="H102" s="32"/>
      <c r="I102" s="33"/>
      <c r="J102" s="28"/>
      <c r="K102" s="32"/>
      <c r="L102" s="33"/>
      <c r="M102" s="28"/>
      <c r="N102" s="32"/>
      <c r="O102" s="33"/>
      <c r="P102" s="28"/>
      <c r="Q102" s="32"/>
      <c r="R102" s="33"/>
      <c r="S102" s="28"/>
      <c r="T102" s="32"/>
      <c r="U102" s="33"/>
      <c r="V102" s="47"/>
      <c r="W102" s="48"/>
    </row>
    <row r="103" spans="1:23" ht="88.5" hidden="1" customHeight="1">
      <c r="A103" s="7" t="s">
        <v>115</v>
      </c>
      <c r="B103" s="5" t="s">
        <v>13</v>
      </c>
      <c r="C103" s="5" t="s">
        <v>13</v>
      </c>
      <c r="D103" s="5" t="s">
        <v>116</v>
      </c>
      <c r="E103" s="5" t="s">
        <v>117</v>
      </c>
      <c r="F103" s="55" t="s">
        <v>31</v>
      </c>
      <c r="G103" s="28"/>
      <c r="H103" s="32"/>
      <c r="I103" s="33"/>
      <c r="J103" s="28"/>
      <c r="K103" s="32"/>
      <c r="L103" s="33"/>
      <c r="M103" s="28"/>
      <c r="N103" s="32"/>
      <c r="O103" s="33"/>
      <c r="P103" s="28"/>
      <c r="Q103" s="32"/>
      <c r="R103" s="33"/>
      <c r="S103" s="28"/>
      <c r="T103" s="32"/>
      <c r="U103" s="33"/>
      <c r="V103" s="47"/>
      <c r="W103" s="48"/>
    </row>
    <row r="104" spans="1:23" ht="45">
      <c r="A104" s="80" t="s">
        <v>308</v>
      </c>
      <c r="B104" s="124" t="s">
        <v>13</v>
      </c>
      <c r="C104" s="124" t="s">
        <v>13</v>
      </c>
      <c r="D104" s="124" t="s">
        <v>119</v>
      </c>
      <c r="E104" s="124" t="s">
        <v>120</v>
      </c>
      <c r="F104" s="125" t="s">
        <v>68</v>
      </c>
      <c r="G104" s="89">
        <v>18050895</v>
      </c>
      <c r="H104" s="91"/>
      <c r="I104" s="93">
        <v>18050895</v>
      </c>
      <c r="J104" s="129">
        <v>18050895</v>
      </c>
      <c r="K104" s="136"/>
      <c r="L104" s="131">
        <v>18050895</v>
      </c>
      <c r="M104" s="129">
        <f>O104</f>
        <v>15023694.51</v>
      </c>
      <c r="N104" s="136"/>
      <c r="O104" s="131">
        <v>15023694.51</v>
      </c>
      <c r="P104" s="129">
        <f>R104</f>
        <v>15023694.51</v>
      </c>
      <c r="Q104" s="136"/>
      <c r="R104" s="131">
        <v>15023694.51</v>
      </c>
      <c r="S104" s="129">
        <f>U104</f>
        <v>15023694.51</v>
      </c>
      <c r="T104" s="136"/>
      <c r="U104" s="131">
        <v>15023694.51</v>
      </c>
      <c r="V104" s="154">
        <f t="shared" si="35"/>
        <v>83.229637699404933</v>
      </c>
      <c r="W104" s="156">
        <v>0</v>
      </c>
    </row>
    <row r="105" spans="1:23">
      <c r="A105" s="8" t="s">
        <v>118</v>
      </c>
      <c r="B105" s="124"/>
      <c r="C105" s="124"/>
      <c r="D105" s="124"/>
      <c r="E105" s="124"/>
      <c r="F105" s="125"/>
      <c r="G105" s="90"/>
      <c r="H105" s="92"/>
      <c r="I105" s="94"/>
      <c r="J105" s="130"/>
      <c r="K105" s="137"/>
      <c r="L105" s="132"/>
      <c r="M105" s="130"/>
      <c r="N105" s="137"/>
      <c r="O105" s="132"/>
      <c r="P105" s="130"/>
      <c r="Q105" s="137"/>
      <c r="R105" s="132"/>
      <c r="S105" s="130"/>
      <c r="T105" s="137"/>
      <c r="U105" s="132"/>
      <c r="V105" s="155"/>
      <c r="W105" s="157"/>
    </row>
    <row r="106" spans="1:23" ht="105.75" hidden="1" customHeight="1">
      <c r="A106" s="7" t="s">
        <v>121</v>
      </c>
      <c r="B106" s="5" t="s">
        <v>13</v>
      </c>
      <c r="C106" s="5" t="s">
        <v>13</v>
      </c>
      <c r="D106" s="5" t="s">
        <v>122</v>
      </c>
      <c r="E106" s="5" t="s">
        <v>15</v>
      </c>
      <c r="F106" s="55">
        <v>2023</v>
      </c>
      <c r="G106" s="28"/>
      <c r="H106" s="32"/>
      <c r="I106" s="33"/>
      <c r="J106" s="28"/>
      <c r="K106" s="32"/>
      <c r="L106" s="33"/>
      <c r="M106" s="28"/>
      <c r="N106" s="32"/>
      <c r="O106" s="33"/>
      <c r="P106" s="28"/>
      <c r="Q106" s="32"/>
      <c r="R106" s="33"/>
      <c r="S106" s="28"/>
      <c r="T106" s="32"/>
      <c r="U106" s="33"/>
      <c r="V106" s="47"/>
      <c r="W106" s="48"/>
    </row>
    <row r="107" spans="1:23" ht="63" customHeight="1">
      <c r="A107" s="8" t="s">
        <v>123</v>
      </c>
      <c r="B107" s="5" t="s">
        <v>13</v>
      </c>
      <c r="C107" s="5" t="s">
        <v>13</v>
      </c>
      <c r="D107" s="5" t="s">
        <v>82</v>
      </c>
      <c r="E107" s="5" t="s">
        <v>120</v>
      </c>
      <c r="F107" s="55" t="s">
        <v>83</v>
      </c>
      <c r="G107" s="28">
        <f>H107+I107</f>
        <v>436773148.00999999</v>
      </c>
      <c r="H107" s="32">
        <v>388456200</v>
      </c>
      <c r="I107" s="33">
        <f>I108+I109</f>
        <v>48316948.009999998</v>
      </c>
      <c r="J107" s="28">
        <f>K107+L107</f>
        <v>436773148.00999999</v>
      </c>
      <c r="K107" s="32">
        <v>388456200</v>
      </c>
      <c r="L107" s="33">
        <f>L108+L109</f>
        <v>48316948.009999998</v>
      </c>
      <c r="M107" s="28">
        <f>N107+O107</f>
        <v>436718080</v>
      </c>
      <c r="N107" s="32">
        <f>N108</f>
        <v>388456200</v>
      </c>
      <c r="O107" s="33">
        <f>O108+O109</f>
        <v>48261880</v>
      </c>
      <c r="P107" s="28">
        <f>Q107+R107</f>
        <v>351205177.06</v>
      </c>
      <c r="Q107" s="32">
        <f>Q108</f>
        <v>316049453.07999998</v>
      </c>
      <c r="R107" s="33">
        <f>R108+R109</f>
        <v>35155723.979999997</v>
      </c>
      <c r="S107" s="28">
        <f>T107+U107</f>
        <v>351205177.03999996</v>
      </c>
      <c r="T107" s="32">
        <f>T108</f>
        <v>316049453.06999999</v>
      </c>
      <c r="U107" s="33">
        <f>U108+U109</f>
        <v>35155723.969999999</v>
      </c>
      <c r="V107" s="47">
        <f t="shared" si="35"/>
        <v>80.409058716210055</v>
      </c>
      <c r="W107" s="48">
        <f>S107/M107*100</f>
        <v>80.419197904515414</v>
      </c>
    </row>
    <row r="108" spans="1:23">
      <c r="A108" s="7" t="s">
        <v>124</v>
      </c>
      <c r="B108" s="5" t="s">
        <v>125</v>
      </c>
      <c r="C108" s="7"/>
      <c r="D108" s="7"/>
      <c r="E108" s="7"/>
      <c r="F108" s="56"/>
      <c r="G108" s="28">
        <f>H108+I108</f>
        <v>431666080</v>
      </c>
      <c r="H108" s="32">
        <v>388456200</v>
      </c>
      <c r="I108" s="33">
        <v>43209880</v>
      </c>
      <c r="J108" s="28">
        <f>K108+L108</f>
        <v>431666080</v>
      </c>
      <c r="K108" s="32">
        <v>388456200</v>
      </c>
      <c r="L108" s="33">
        <v>43209880</v>
      </c>
      <c r="M108" s="28">
        <f>N108+O108</f>
        <v>431666080</v>
      </c>
      <c r="N108" s="32">
        <v>388456200</v>
      </c>
      <c r="O108" s="33">
        <v>43209880</v>
      </c>
      <c r="P108" s="28">
        <f>Q108+R108</f>
        <v>351205177.06</v>
      </c>
      <c r="Q108" s="26">
        <v>316049453.07999998</v>
      </c>
      <c r="R108" s="33">
        <v>35155723.979999997</v>
      </c>
      <c r="S108" s="28">
        <f>T108+U108</f>
        <v>351205177.03999996</v>
      </c>
      <c r="T108" s="26">
        <v>316049453.06999999</v>
      </c>
      <c r="U108" s="33">
        <v>35155723.969999999</v>
      </c>
      <c r="V108" s="47">
        <f t="shared" si="35"/>
        <v>81.360383248088425</v>
      </c>
      <c r="W108" s="48">
        <f>S108/M108*100</f>
        <v>81.360383248088425</v>
      </c>
    </row>
    <row r="109" spans="1:23">
      <c r="A109" s="7" t="s">
        <v>22</v>
      </c>
      <c r="B109" s="5" t="s">
        <v>13</v>
      </c>
      <c r="C109" s="7"/>
      <c r="D109" s="7"/>
      <c r="E109" s="7"/>
      <c r="F109" s="56"/>
      <c r="G109" s="28">
        <v>5107068.01</v>
      </c>
      <c r="H109" s="32"/>
      <c r="I109" s="33">
        <v>5107068.01</v>
      </c>
      <c r="J109" s="28">
        <v>5107068.01</v>
      </c>
      <c r="K109" s="32"/>
      <c r="L109" s="33">
        <v>5107068.01</v>
      </c>
      <c r="M109" s="28">
        <f>O109</f>
        <v>5052000</v>
      </c>
      <c r="N109" s="32"/>
      <c r="O109" s="33">
        <v>5052000</v>
      </c>
      <c r="P109" s="28">
        <f>R109</f>
        <v>0</v>
      </c>
      <c r="Q109" s="32"/>
      <c r="R109" s="33">
        <v>0</v>
      </c>
      <c r="S109" s="28">
        <f>U109</f>
        <v>0</v>
      </c>
      <c r="T109" s="32"/>
      <c r="U109" s="33">
        <v>0</v>
      </c>
      <c r="V109" s="47">
        <f t="shared" si="35"/>
        <v>0</v>
      </c>
      <c r="W109" s="48">
        <v>0</v>
      </c>
    </row>
    <row r="110" spans="1:23" s="13" customFormat="1" ht="28.5" customHeight="1">
      <c r="A110" s="101" t="s">
        <v>126</v>
      </c>
      <c r="B110" s="101"/>
      <c r="C110" s="101"/>
      <c r="D110" s="101"/>
      <c r="E110" s="101"/>
      <c r="F110" s="102"/>
      <c r="G110" s="34">
        <f>G111+G112</f>
        <v>22382307.32</v>
      </c>
      <c r="H110" s="35">
        <f t="shared" ref="H110:I110" si="45">H111+H112</f>
        <v>0</v>
      </c>
      <c r="I110" s="36">
        <f t="shared" si="45"/>
        <v>22382307.32</v>
      </c>
      <c r="J110" s="34">
        <f>J111+J112</f>
        <v>22382307.32</v>
      </c>
      <c r="K110" s="35">
        <f t="shared" ref="K110:L110" si="46">K111+K112</f>
        <v>0</v>
      </c>
      <c r="L110" s="36">
        <f t="shared" si="46"/>
        <v>22382307.32</v>
      </c>
      <c r="M110" s="34">
        <f>O110</f>
        <v>8058603.1699999999</v>
      </c>
      <c r="N110" s="35">
        <f t="shared" ref="N110:O110" si="47">N111+N112</f>
        <v>0</v>
      </c>
      <c r="O110" s="36">
        <f t="shared" si="47"/>
        <v>8058603.1699999999</v>
      </c>
      <c r="P110" s="34">
        <f>R110</f>
        <v>8058603.1699999999</v>
      </c>
      <c r="Q110" s="35">
        <f t="shared" ref="Q110:R110" si="48">Q111+Q112</f>
        <v>0</v>
      </c>
      <c r="R110" s="36">
        <f t="shared" si="48"/>
        <v>8058603.1699999999</v>
      </c>
      <c r="S110" s="34">
        <f>U110</f>
        <v>8058603.1699999999</v>
      </c>
      <c r="T110" s="35">
        <f t="shared" ref="T110:U110" si="49">T111+T112</f>
        <v>0</v>
      </c>
      <c r="U110" s="36">
        <f t="shared" si="49"/>
        <v>8058603.1699999999</v>
      </c>
      <c r="V110" s="50">
        <f t="shared" si="35"/>
        <v>36.004345105203392</v>
      </c>
      <c r="W110" s="51">
        <f>S110/M110*100</f>
        <v>100</v>
      </c>
    </row>
    <row r="111" spans="1:23" ht="75" customHeight="1">
      <c r="A111" s="80" t="s">
        <v>127</v>
      </c>
      <c r="B111" s="5" t="s">
        <v>13</v>
      </c>
      <c r="C111" s="5" t="s">
        <v>13</v>
      </c>
      <c r="D111" s="5" t="s">
        <v>128</v>
      </c>
      <c r="E111" s="5" t="s">
        <v>129</v>
      </c>
      <c r="F111" s="55">
        <v>2022</v>
      </c>
      <c r="G111" s="28">
        <v>13591080</v>
      </c>
      <c r="H111" s="32">
        <v>0</v>
      </c>
      <c r="I111" s="33">
        <v>13591080</v>
      </c>
      <c r="J111" s="28">
        <v>13591080</v>
      </c>
      <c r="K111" s="32">
        <v>0</v>
      </c>
      <c r="L111" s="33">
        <v>13591080</v>
      </c>
      <c r="M111" s="28">
        <f>O111</f>
        <v>1671208.2</v>
      </c>
      <c r="N111" s="32">
        <v>0</v>
      </c>
      <c r="O111" s="33">
        <v>1671208.2</v>
      </c>
      <c r="P111" s="28">
        <f>R111</f>
        <v>1671208.2</v>
      </c>
      <c r="Q111" s="32">
        <v>0</v>
      </c>
      <c r="R111" s="33">
        <v>1671208.2</v>
      </c>
      <c r="S111" s="28">
        <f>U111</f>
        <v>1671208.2</v>
      </c>
      <c r="T111" s="32">
        <v>0</v>
      </c>
      <c r="U111" s="33">
        <v>1671208.2</v>
      </c>
      <c r="V111" s="47">
        <f t="shared" si="35"/>
        <v>12.296360554128148</v>
      </c>
      <c r="W111" s="48">
        <v>0</v>
      </c>
    </row>
    <row r="112" spans="1:23" ht="75">
      <c r="A112" s="7" t="s">
        <v>130</v>
      </c>
      <c r="B112" s="5" t="s">
        <v>13</v>
      </c>
      <c r="C112" s="5" t="s">
        <v>13</v>
      </c>
      <c r="D112" s="5" t="s">
        <v>131</v>
      </c>
      <c r="E112" s="5" t="s">
        <v>56</v>
      </c>
      <c r="F112" s="55">
        <v>2022</v>
      </c>
      <c r="G112" s="28">
        <v>8791227.3200000003</v>
      </c>
      <c r="H112" s="32">
        <v>0</v>
      </c>
      <c r="I112" s="33">
        <v>8791227.3200000003</v>
      </c>
      <c r="J112" s="28">
        <v>8791227.3200000003</v>
      </c>
      <c r="K112" s="32">
        <v>0</v>
      </c>
      <c r="L112" s="33">
        <v>8791227.3200000003</v>
      </c>
      <c r="M112" s="28">
        <f>O112</f>
        <v>6387394.9699999997</v>
      </c>
      <c r="N112" s="32">
        <v>0</v>
      </c>
      <c r="O112" s="33">
        <v>6387394.9699999997</v>
      </c>
      <c r="P112" s="28">
        <f>R112</f>
        <v>6387394.9699999997</v>
      </c>
      <c r="Q112" s="32">
        <v>0</v>
      </c>
      <c r="R112" s="33">
        <v>6387394.9699999997</v>
      </c>
      <c r="S112" s="28">
        <f>U112</f>
        <v>6387394.9699999997</v>
      </c>
      <c r="T112" s="32">
        <v>0</v>
      </c>
      <c r="U112" s="33">
        <v>6387394.9699999997</v>
      </c>
      <c r="V112" s="47">
        <f t="shared" si="35"/>
        <v>72.656464649352287</v>
      </c>
      <c r="W112" s="48">
        <f>S112/M112*100</f>
        <v>100</v>
      </c>
    </row>
    <row r="113" spans="1:23" s="13" customFormat="1">
      <c r="A113" s="101" t="s">
        <v>132</v>
      </c>
      <c r="B113" s="101"/>
      <c r="C113" s="101"/>
      <c r="D113" s="101"/>
      <c r="E113" s="101"/>
      <c r="F113" s="102"/>
      <c r="G113" s="34">
        <f>SUM(G114:G134)</f>
        <v>30264500</v>
      </c>
      <c r="H113" s="35"/>
      <c r="I113" s="36">
        <f>SUM(I114:I134)</f>
        <v>30264500</v>
      </c>
      <c r="J113" s="34">
        <f>SUM(J114:J134)</f>
        <v>30264500</v>
      </c>
      <c r="K113" s="35"/>
      <c r="L113" s="36">
        <f>SUM(L114:L134)</f>
        <v>30264500</v>
      </c>
      <c r="M113" s="34">
        <f>SUM(M114:M134)</f>
        <v>30264500</v>
      </c>
      <c r="N113" s="35"/>
      <c r="O113" s="36">
        <f>SUM(O114:O134)</f>
        <v>30264500</v>
      </c>
      <c r="P113" s="34">
        <f>SUM(P114:P134)</f>
        <v>10597500</v>
      </c>
      <c r="Q113" s="35"/>
      <c r="R113" s="36">
        <f>SUM(R114:R134)</f>
        <v>10597500</v>
      </c>
      <c r="S113" s="34">
        <f>SUM(S114:S134)</f>
        <v>10597500</v>
      </c>
      <c r="T113" s="35"/>
      <c r="U113" s="36">
        <f>SUM(U114:U134)</f>
        <v>10597500</v>
      </c>
      <c r="V113" s="50">
        <f t="shared" si="35"/>
        <v>35.016273191362821</v>
      </c>
      <c r="W113" s="51">
        <v>0</v>
      </c>
    </row>
    <row r="114" spans="1:23" ht="120" hidden="1" customHeight="1">
      <c r="A114" s="7" t="s">
        <v>133</v>
      </c>
      <c r="B114" s="5" t="s">
        <v>13</v>
      </c>
      <c r="C114" s="5" t="s">
        <v>13</v>
      </c>
      <c r="D114" s="5" t="s">
        <v>134</v>
      </c>
      <c r="E114" s="5" t="s">
        <v>135</v>
      </c>
      <c r="F114" s="55" t="s">
        <v>31</v>
      </c>
      <c r="G114" s="28"/>
      <c r="H114" s="32"/>
      <c r="I114" s="33"/>
      <c r="J114" s="28"/>
      <c r="K114" s="32"/>
      <c r="L114" s="33"/>
      <c r="M114" s="28"/>
      <c r="N114" s="32"/>
      <c r="O114" s="33"/>
      <c r="P114" s="28"/>
      <c r="Q114" s="32"/>
      <c r="R114" s="33"/>
      <c r="S114" s="28"/>
      <c r="T114" s="32"/>
      <c r="U114" s="33"/>
      <c r="V114" s="47">
        <v>0</v>
      </c>
      <c r="W114" s="48">
        <v>0</v>
      </c>
    </row>
    <row r="115" spans="1:23" ht="120.75" customHeight="1">
      <c r="A115" s="7" t="s">
        <v>133</v>
      </c>
      <c r="B115" s="5" t="s">
        <v>13</v>
      </c>
      <c r="C115" s="5" t="s">
        <v>13</v>
      </c>
      <c r="D115" s="5" t="s">
        <v>134</v>
      </c>
      <c r="E115" s="5" t="s">
        <v>136</v>
      </c>
      <c r="F115" s="55" t="s">
        <v>31</v>
      </c>
      <c r="G115" s="28">
        <v>1517250</v>
      </c>
      <c r="H115" s="32"/>
      <c r="I115" s="33">
        <v>1517250</v>
      </c>
      <c r="J115" s="28">
        <v>1517250</v>
      </c>
      <c r="K115" s="32"/>
      <c r="L115" s="33">
        <v>1517250</v>
      </c>
      <c r="M115" s="28">
        <v>1517250</v>
      </c>
      <c r="N115" s="32"/>
      <c r="O115" s="33">
        <v>1517250</v>
      </c>
      <c r="P115" s="28">
        <f>R115</f>
        <v>0</v>
      </c>
      <c r="Q115" s="32"/>
      <c r="R115" s="33">
        <v>0</v>
      </c>
      <c r="S115" s="28">
        <f>U115</f>
        <v>0</v>
      </c>
      <c r="T115" s="32"/>
      <c r="U115" s="33">
        <v>0</v>
      </c>
      <c r="V115" s="47">
        <f t="shared" si="35"/>
        <v>0</v>
      </c>
      <c r="W115" s="48">
        <v>0</v>
      </c>
    </row>
    <row r="116" spans="1:23" ht="178.5" hidden="1" customHeight="1">
      <c r="A116" s="7" t="s">
        <v>133</v>
      </c>
      <c r="B116" s="5" t="s">
        <v>13</v>
      </c>
      <c r="C116" s="5" t="s">
        <v>13</v>
      </c>
      <c r="D116" s="5" t="s">
        <v>134</v>
      </c>
      <c r="E116" s="5" t="s">
        <v>137</v>
      </c>
      <c r="F116" s="55" t="s">
        <v>31</v>
      </c>
      <c r="G116" s="28"/>
      <c r="H116" s="32"/>
      <c r="I116" s="33"/>
      <c r="J116" s="28"/>
      <c r="K116" s="32"/>
      <c r="L116" s="33"/>
      <c r="M116" s="28"/>
      <c r="N116" s="32"/>
      <c r="O116" s="33"/>
      <c r="P116" s="28"/>
      <c r="Q116" s="32"/>
      <c r="R116" s="33"/>
      <c r="S116" s="28"/>
      <c r="T116" s="32"/>
      <c r="U116" s="33"/>
      <c r="V116" s="47">
        <v>0</v>
      </c>
      <c r="W116" s="48">
        <v>0</v>
      </c>
    </row>
    <row r="117" spans="1:23" ht="150" hidden="1" customHeight="1">
      <c r="A117" s="7" t="s">
        <v>133</v>
      </c>
      <c r="B117" s="5" t="s">
        <v>13</v>
      </c>
      <c r="C117" s="5" t="s">
        <v>13</v>
      </c>
      <c r="D117" s="5" t="s">
        <v>134</v>
      </c>
      <c r="E117" s="5" t="s">
        <v>138</v>
      </c>
      <c r="F117" s="55" t="s">
        <v>31</v>
      </c>
      <c r="G117" s="28"/>
      <c r="H117" s="32"/>
      <c r="I117" s="33"/>
      <c r="J117" s="28"/>
      <c r="K117" s="32"/>
      <c r="L117" s="33"/>
      <c r="M117" s="28"/>
      <c r="N117" s="32"/>
      <c r="O117" s="33"/>
      <c r="P117" s="28"/>
      <c r="Q117" s="32"/>
      <c r="R117" s="33"/>
      <c r="S117" s="28"/>
      <c r="T117" s="32"/>
      <c r="U117" s="33"/>
      <c r="V117" s="47">
        <v>0</v>
      </c>
      <c r="W117" s="48">
        <v>0</v>
      </c>
    </row>
    <row r="118" spans="1:23" ht="120" hidden="1" customHeight="1">
      <c r="A118" s="7" t="s">
        <v>133</v>
      </c>
      <c r="B118" s="5" t="s">
        <v>13</v>
      </c>
      <c r="C118" s="5" t="s">
        <v>13</v>
      </c>
      <c r="D118" s="5" t="s">
        <v>134</v>
      </c>
      <c r="E118" s="5" t="s">
        <v>139</v>
      </c>
      <c r="F118" s="55" t="s">
        <v>31</v>
      </c>
      <c r="G118" s="28"/>
      <c r="H118" s="32"/>
      <c r="I118" s="33"/>
      <c r="J118" s="28"/>
      <c r="K118" s="32"/>
      <c r="L118" s="33"/>
      <c r="M118" s="28"/>
      <c r="N118" s="32"/>
      <c r="O118" s="33"/>
      <c r="P118" s="28"/>
      <c r="Q118" s="32"/>
      <c r="R118" s="33"/>
      <c r="S118" s="28"/>
      <c r="T118" s="32"/>
      <c r="U118" s="33"/>
      <c r="V118" s="47">
        <v>0</v>
      </c>
      <c r="W118" s="48">
        <v>0</v>
      </c>
    </row>
    <row r="119" spans="1:23" ht="148.5" customHeight="1">
      <c r="A119" s="7" t="s">
        <v>133</v>
      </c>
      <c r="B119" s="5" t="s">
        <v>13</v>
      </c>
      <c r="C119" s="5" t="s">
        <v>13</v>
      </c>
      <c r="D119" s="5" t="s">
        <v>134</v>
      </c>
      <c r="E119" s="5" t="s">
        <v>140</v>
      </c>
      <c r="F119" s="55" t="s">
        <v>31</v>
      </c>
      <c r="G119" s="28">
        <v>1312000</v>
      </c>
      <c r="H119" s="32"/>
      <c r="I119" s="33">
        <v>1312000</v>
      </c>
      <c r="J119" s="28">
        <v>1312000</v>
      </c>
      <c r="K119" s="32"/>
      <c r="L119" s="33">
        <v>1312000</v>
      </c>
      <c r="M119" s="28">
        <f>O119</f>
        <v>1312000</v>
      </c>
      <c r="N119" s="32"/>
      <c r="O119" s="33">
        <v>1312000</v>
      </c>
      <c r="P119" s="28">
        <f>R119</f>
        <v>0</v>
      </c>
      <c r="Q119" s="32"/>
      <c r="R119" s="33">
        <v>0</v>
      </c>
      <c r="S119" s="28">
        <f>U119</f>
        <v>0</v>
      </c>
      <c r="T119" s="32"/>
      <c r="U119" s="33">
        <v>0</v>
      </c>
      <c r="V119" s="47">
        <f t="shared" si="35"/>
        <v>0</v>
      </c>
      <c r="W119" s="48">
        <v>0</v>
      </c>
    </row>
    <row r="120" spans="1:23" ht="138" hidden="1" customHeight="1">
      <c r="A120" s="7" t="s">
        <v>133</v>
      </c>
      <c r="B120" s="5" t="s">
        <v>13</v>
      </c>
      <c r="C120" s="5" t="s">
        <v>13</v>
      </c>
      <c r="D120" s="5" t="s">
        <v>134</v>
      </c>
      <c r="E120" s="5" t="s">
        <v>141</v>
      </c>
      <c r="F120" s="55" t="s">
        <v>31</v>
      </c>
      <c r="G120" s="28"/>
      <c r="H120" s="32"/>
      <c r="I120" s="33"/>
      <c r="J120" s="28"/>
      <c r="K120" s="32"/>
      <c r="L120" s="33"/>
      <c r="M120" s="28"/>
      <c r="N120" s="32"/>
      <c r="O120" s="33"/>
      <c r="P120" s="28"/>
      <c r="Q120" s="32"/>
      <c r="R120" s="33"/>
      <c r="S120" s="28"/>
      <c r="T120" s="32"/>
      <c r="U120" s="33"/>
      <c r="V120" s="47">
        <v>0</v>
      </c>
      <c r="W120" s="48">
        <v>0</v>
      </c>
    </row>
    <row r="121" spans="1:23" ht="136.5" customHeight="1">
      <c r="A121" s="7" t="s">
        <v>133</v>
      </c>
      <c r="B121" s="5" t="s">
        <v>13</v>
      </c>
      <c r="C121" s="5" t="s">
        <v>13</v>
      </c>
      <c r="D121" s="5" t="s">
        <v>142</v>
      </c>
      <c r="E121" s="5" t="s">
        <v>143</v>
      </c>
      <c r="F121" s="55" t="s">
        <v>31</v>
      </c>
      <c r="G121" s="28">
        <v>1924500</v>
      </c>
      <c r="H121" s="32"/>
      <c r="I121" s="33">
        <v>1924500</v>
      </c>
      <c r="J121" s="28">
        <v>1924500</v>
      </c>
      <c r="K121" s="32"/>
      <c r="L121" s="33">
        <v>1924500</v>
      </c>
      <c r="M121" s="28">
        <v>1924500</v>
      </c>
      <c r="N121" s="32"/>
      <c r="O121" s="33">
        <v>1924500</v>
      </c>
      <c r="P121" s="28">
        <f t="shared" ref="P121:P123" si="50">R121</f>
        <v>0</v>
      </c>
      <c r="Q121" s="32"/>
      <c r="R121" s="33">
        <v>0</v>
      </c>
      <c r="S121" s="28">
        <f t="shared" ref="S121:S123" si="51">U121</f>
        <v>0</v>
      </c>
      <c r="T121" s="32"/>
      <c r="U121" s="33">
        <v>0</v>
      </c>
      <c r="V121" s="47">
        <f t="shared" si="35"/>
        <v>0</v>
      </c>
      <c r="W121" s="48">
        <v>0</v>
      </c>
    </row>
    <row r="122" spans="1:23" ht="152.25" customHeight="1">
      <c r="A122" s="7" t="s">
        <v>133</v>
      </c>
      <c r="B122" s="5" t="s">
        <v>13</v>
      </c>
      <c r="C122" s="5" t="s">
        <v>13</v>
      </c>
      <c r="D122" s="5" t="s">
        <v>142</v>
      </c>
      <c r="E122" s="5" t="s">
        <v>144</v>
      </c>
      <c r="F122" s="55" t="s">
        <v>31</v>
      </c>
      <c r="G122" s="28">
        <v>1924500</v>
      </c>
      <c r="H122" s="32"/>
      <c r="I122" s="33">
        <v>1924500</v>
      </c>
      <c r="J122" s="28">
        <v>1924500</v>
      </c>
      <c r="K122" s="32"/>
      <c r="L122" s="33">
        <v>1924500</v>
      </c>
      <c r="M122" s="28">
        <v>1924500</v>
      </c>
      <c r="N122" s="32"/>
      <c r="O122" s="33">
        <v>1924500</v>
      </c>
      <c r="P122" s="28">
        <f t="shared" si="50"/>
        <v>0</v>
      </c>
      <c r="Q122" s="32"/>
      <c r="R122" s="33">
        <v>0</v>
      </c>
      <c r="S122" s="28">
        <f t="shared" si="51"/>
        <v>0</v>
      </c>
      <c r="T122" s="32"/>
      <c r="U122" s="33">
        <v>0</v>
      </c>
      <c r="V122" s="47">
        <f t="shared" si="35"/>
        <v>0</v>
      </c>
      <c r="W122" s="48">
        <v>0</v>
      </c>
    </row>
    <row r="123" spans="1:23" ht="153.75" customHeight="1">
      <c r="A123" s="7" t="s">
        <v>133</v>
      </c>
      <c r="B123" s="5" t="s">
        <v>13</v>
      </c>
      <c r="C123" s="5" t="s">
        <v>13</v>
      </c>
      <c r="D123" s="5" t="s">
        <v>142</v>
      </c>
      <c r="E123" s="5" t="s">
        <v>299</v>
      </c>
      <c r="F123" s="55" t="s">
        <v>31</v>
      </c>
      <c r="G123" s="28">
        <v>2045000</v>
      </c>
      <c r="H123" s="32"/>
      <c r="I123" s="33">
        <v>2045000</v>
      </c>
      <c r="J123" s="28">
        <v>2045000</v>
      </c>
      <c r="K123" s="32"/>
      <c r="L123" s="33">
        <v>2045000</v>
      </c>
      <c r="M123" s="28">
        <v>2045000</v>
      </c>
      <c r="N123" s="32"/>
      <c r="O123" s="33">
        <v>2045000</v>
      </c>
      <c r="P123" s="28">
        <f t="shared" si="50"/>
        <v>1627500</v>
      </c>
      <c r="Q123" s="32"/>
      <c r="R123" s="33">
        <v>1627500</v>
      </c>
      <c r="S123" s="28">
        <f t="shared" si="51"/>
        <v>1627500</v>
      </c>
      <c r="T123" s="32"/>
      <c r="U123" s="33">
        <v>1627500</v>
      </c>
      <c r="V123" s="47">
        <f t="shared" si="35"/>
        <v>79.584352078239604</v>
      </c>
      <c r="W123" s="48">
        <v>0</v>
      </c>
    </row>
    <row r="124" spans="1:23" ht="123" hidden="1" customHeight="1">
      <c r="A124" s="7" t="s">
        <v>133</v>
      </c>
      <c r="B124" s="5" t="s">
        <v>13</v>
      </c>
      <c r="C124" s="5" t="s">
        <v>13</v>
      </c>
      <c r="D124" s="5" t="s">
        <v>142</v>
      </c>
      <c r="E124" s="5" t="s">
        <v>145</v>
      </c>
      <c r="F124" s="55" t="s">
        <v>31</v>
      </c>
      <c r="G124" s="28"/>
      <c r="H124" s="32"/>
      <c r="I124" s="33"/>
      <c r="J124" s="28"/>
      <c r="K124" s="32"/>
      <c r="L124" s="33"/>
      <c r="M124" s="28"/>
      <c r="N124" s="32"/>
      <c r="O124" s="33"/>
      <c r="P124" s="28"/>
      <c r="Q124" s="32"/>
      <c r="R124" s="33"/>
      <c r="S124" s="28"/>
      <c r="T124" s="32"/>
      <c r="U124" s="33"/>
      <c r="V124" s="47">
        <v>0</v>
      </c>
      <c r="W124" s="48">
        <v>0</v>
      </c>
    </row>
    <row r="125" spans="1:23" ht="150.75" customHeight="1">
      <c r="A125" s="7" t="s">
        <v>133</v>
      </c>
      <c r="B125" s="5" t="s">
        <v>13</v>
      </c>
      <c r="C125" s="5" t="s">
        <v>13</v>
      </c>
      <c r="D125" s="5" t="s">
        <v>142</v>
      </c>
      <c r="E125" s="5" t="s">
        <v>146</v>
      </c>
      <c r="F125" s="55" t="s">
        <v>31</v>
      </c>
      <c r="G125" s="28">
        <v>2450000</v>
      </c>
      <c r="H125" s="32"/>
      <c r="I125" s="33">
        <v>2450000</v>
      </c>
      <c r="J125" s="28">
        <v>2450000</v>
      </c>
      <c r="K125" s="32"/>
      <c r="L125" s="33">
        <v>2450000</v>
      </c>
      <c r="M125" s="28">
        <f t="shared" ref="M125:M127" si="52">O125</f>
        <v>2450000</v>
      </c>
      <c r="N125" s="32"/>
      <c r="O125" s="33">
        <v>2450000</v>
      </c>
      <c r="P125" s="28">
        <f t="shared" ref="P125:P126" si="53">R125</f>
        <v>0</v>
      </c>
      <c r="Q125" s="32"/>
      <c r="R125" s="33">
        <v>0</v>
      </c>
      <c r="S125" s="28">
        <f t="shared" ref="S125:S126" si="54">U125</f>
        <v>0</v>
      </c>
      <c r="T125" s="32"/>
      <c r="U125" s="33">
        <v>0</v>
      </c>
      <c r="V125" s="47">
        <f t="shared" si="35"/>
        <v>0</v>
      </c>
      <c r="W125" s="48">
        <v>0</v>
      </c>
    </row>
    <row r="126" spans="1:23" ht="137.25" customHeight="1">
      <c r="A126" s="7" t="s">
        <v>133</v>
      </c>
      <c r="B126" s="5" t="s">
        <v>13</v>
      </c>
      <c r="C126" s="5" t="s">
        <v>13</v>
      </c>
      <c r="D126" s="5" t="s">
        <v>142</v>
      </c>
      <c r="E126" s="5" t="s">
        <v>147</v>
      </c>
      <c r="F126" s="55" t="s">
        <v>31</v>
      </c>
      <c r="G126" s="28">
        <v>2450000</v>
      </c>
      <c r="H126" s="32"/>
      <c r="I126" s="33">
        <v>2450000</v>
      </c>
      <c r="J126" s="28">
        <v>2450000</v>
      </c>
      <c r="K126" s="32"/>
      <c r="L126" s="33">
        <v>2450000</v>
      </c>
      <c r="M126" s="28">
        <f t="shared" si="52"/>
        <v>2450000</v>
      </c>
      <c r="N126" s="32"/>
      <c r="O126" s="33">
        <v>2450000</v>
      </c>
      <c r="P126" s="28">
        <f t="shared" si="53"/>
        <v>0</v>
      </c>
      <c r="Q126" s="32"/>
      <c r="R126" s="33">
        <v>0</v>
      </c>
      <c r="S126" s="28">
        <f t="shared" si="54"/>
        <v>0</v>
      </c>
      <c r="T126" s="32"/>
      <c r="U126" s="33">
        <v>0</v>
      </c>
      <c r="V126" s="47">
        <f t="shared" si="35"/>
        <v>0</v>
      </c>
      <c r="W126" s="48">
        <v>0</v>
      </c>
    </row>
    <row r="127" spans="1:23" ht="120.75" customHeight="1">
      <c r="A127" s="7" t="s">
        <v>133</v>
      </c>
      <c r="B127" s="5" t="s">
        <v>13</v>
      </c>
      <c r="C127" s="5" t="s">
        <v>13</v>
      </c>
      <c r="D127" s="5" t="s">
        <v>148</v>
      </c>
      <c r="E127" s="5" t="s">
        <v>149</v>
      </c>
      <c r="F127" s="55" t="s">
        <v>31</v>
      </c>
      <c r="G127" s="28">
        <v>1700000</v>
      </c>
      <c r="H127" s="32"/>
      <c r="I127" s="33">
        <v>1700000</v>
      </c>
      <c r="J127" s="28">
        <v>1700000</v>
      </c>
      <c r="K127" s="32"/>
      <c r="L127" s="33">
        <v>1700000</v>
      </c>
      <c r="M127" s="28">
        <f t="shared" si="52"/>
        <v>1700000</v>
      </c>
      <c r="N127" s="32"/>
      <c r="O127" s="33">
        <v>1700000</v>
      </c>
      <c r="P127" s="28">
        <f>R127</f>
        <v>1700000</v>
      </c>
      <c r="Q127" s="32"/>
      <c r="R127" s="33">
        <v>1700000</v>
      </c>
      <c r="S127" s="28">
        <f>U127</f>
        <v>1700000</v>
      </c>
      <c r="T127" s="32"/>
      <c r="U127" s="33">
        <v>1700000</v>
      </c>
      <c r="V127" s="47">
        <f t="shared" si="35"/>
        <v>100</v>
      </c>
      <c r="W127" s="48">
        <v>0</v>
      </c>
    </row>
    <row r="128" spans="1:23" ht="120.75" hidden="1" customHeight="1">
      <c r="A128" s="7" t="s">
        <v>133</v>
      </c>
      <c r="B128" s="5" t="s">
        <v>13</v>
      </c>
      <c r="C128" s="5" t="s">
        <v>13</v>
      </c>
      <c r="D128" s="5" t="s">
        <v>148</v>
      </c>
      <c r="E128" s="5" t="s">
        <v>150</v>
      </c>
      <c r="F128" s="55" t="s">
        <v>31</v>
      </c>
      <c r="G128" s="28"/>
      <c r="H128" s="32"/>
      <c r="I128" s="33"/>
      <c r="J128" s="28"/>
      <c r="K128" s="32"/>
      <c r="L128" s="33"/>
      <c r="M128" s="28"/>
      <c r="N128" s="32"/>
      <c r="O128" s="33"/>
      <c r="P128" s="28"/>
      <c r="Q128" s="32"/>
      <c r="R128" s="33"/>
      <c r="S128" s="28"/>
      <c r="T128" s="32"/>
      <c r="U128" s="33"/>
      <c r="V128" s="47">
        <v>0</v>
      </c>
      <c r="W128" s="48">
        <v>0</v>
      </c>
    </row>
    <row r="129" spans="1:23" ht="120" customHeight="1">
      <c r="A129" s="7" t="s">
        <v>133</v>
      </c>
      <c r="B129" s="5" t="s">
        <v>13</v>
      </c>
      <c r="C129" s="5" t="s">
        <v>13</v>
      </c>
      <c r="D129" s="5" t="s">
        <v>148</v>
      </c>
      <c r="E129" s="5" t="s">
        <v>151</v>
      </c>
      <c r="F129" s="55" t="s">
        <v>31</v>
      </c>
      <c r="G129" s="28">
        <v>1700000</v>
      </c>
      <c r="H129" s="32"/>
      <c r="I129" s="33">
        <v>1700000</v>
      </c>
      <c r="J129" s="28">
        <v>1700000</v>
      </c>
      <c r="K129" s="32"/>
      <c r="L129" s="33">
        <v>1700000</v>
      </c>
      <c r="M129" s="28">
        <v>1700000</v>
      </c>
      <c r="N129" s="32"/>
      <c r="O129" s="33">
        <v>1700000</v>
      </c>
      <c r="P129" s="28">
        <f t="shared" ref="P129:P133" si="55">R129</f>
        <v>0</v>
      </c>
      <c r="Q129" s="32"/>
      <c r="R129" s="33">
        <v>0</v>
      </c>
      <c r="S129" s="28">
        <f t="shared" ref="S129:S133" si="56">U129</f>
        <v>0</v>
      </c>
      <c r="T129" s="32"/>
      <c r="U129" s="33">
        <v>0</v>
      </c>
      <c r="V129" s="47">
        <f t="shared" si="35"/>
        <v>0</v>
      </c>
      <c r="W129" s="48">
        <v>0</v>
      </c>
    </row>
    <row r="130" spans="1:23" ht="139.5" customHeight="1">
      <c r="A130" s="7" t="s">
        <v>133</v>
      </c>
      <c r="B130" s="5" t="s">
        <v>13</v>
      </c>
      <c r="C130" s="5" t="s">
        <v>13</v>
      </c>
      <c r="D130" s="5" t="s">
        <v>152</v>
      </c>
      <c r="E130" s="5" t="s">
        <v>153</v>
      </c>
      <c r="F130" s="55" t="s">
        <v>31</v>
      </c>
      <c r="G130" s="28">
        <v>1517250</v>
      </c>
      <c r="H130" s="32"/>
      <c r="I130" s="33">
        <v>1517250</v>
      </c>
      <c r="J130" s="28">
        <v>1517250</v>
      </c>
      <c r="K130" s="32"/>
      <c r="L130" s="33">
        <v>1517250</v>
      </c>
      <c r="M130" s="28">
        <v>1517250</v>
      </c>
      <c r="N130" s="32"/>
      <c r="O130" s="33">
        <v>1517250</v>
      </c>
      <c r="P130" s="28">
        <f t="shared" si="55"/>
        <v>0</v>
      </c>
      <c r="Q130" s="32"/>
      <c r="R130" s="33">
        <v>0</v>
      </c>
      <c r="S130" s="28">
        <f t="shared" si="56"/>
        <v>0</v>
      </c>
      <c r="T130" s="32"/>
      <c r="U130" s="33">
        <v>0</v>
      </c>
      <c r="V130" s="47">
        <f t="shared" si="35"/>
        <v>0</v>
      </c>
      <c r="W130" s="48">
        <v>0</v>
      </c>
    </row>
    <row r="131" spans="1:23" ht="123" customHeight="1">
      <c r="A131" s="7" t="s">
        <v>133</v>
      </c>
      <c r="B131" s="5" t="s">
        <v>13</v>
      </c>
      <c r="C131" s="5" t="s">
        <v>13</v>
      </c>
      <c r="D131" s="5" t="s">
        <v>152</v>
      </c>
      <c r="E131" s="5" t="s">
        <v>154</v>
      </c>
      <c r="F131" s="55" t="s">
        <v>31</v>
      </c>
      <c r="G131" s="28">
        <v>1100000</v>
      </c>
      <c r="H131" s="32"/>
      <c r="I131" s="33">
        <v>1100000</v>
      </c>
      <c r="J131" s="28">
        <v>1100000</v>
      </c>
      <c r="K131" s="32"/>
      <c r="L131" s="33">
        <v>1100000</v>
      </c>
      <c r="M131" s="28">
        <f t="shared" ref="M131" si="57">O131</f>
        <v>1100000</v>
      </c>
      <c r="N131" s="32"/>
      <c r="O131" s="33">
        <v>1100000</v>
      </c>
      <c r="P131" s="28">
        <f t="shared" si="55"/>
        <v>0</v>
      </c>
      <c r="Q131" s="32"/>
      <c r="R131" s="33">
        <v>0</v>
      </c>
      <c r="S131" s="28">
        <f t="shared" si="56"/>
        <v>0</v>
      </c>
      <c r="T131" s="32"/>
      <c r="U131" s="33">
        <v>0</v>
      </c>
      <c r="V131" s="47">
        <f t="shared" si="35"/>
        <v>0</v>
      </c>
      <c r="W131" s="48">
        <v>0</v>
      </c>
    </row>
    <row r="132" spans="1:23" ht="137.25" customHeight="1">
      <c r="A132" s="7" t="s">
        <v>133</v>
      </c>
      <c r="B132" s="5" t="s">
        <v>13</v>
      </c>
      <c r="C132" s="5" t="s">
        <v>13</v>
      </c>
      <c r="D132" s="5" t="s">
        <v>152</v>
      </c>
      <c r="E132" s="5" t="s">
        <v>155</v>
      </c>
      <c r="F132" s="55" t="s">
        <v>31</v>
      </c>
      <c r="G132" s="28">
        <v>3000000</v>
      </c>
      <c r="H132" s="32"/>
      <c r="I132" s="33">
        <v>3000000</v>
      </c>
      <c r="J132" s="28">
        <v>3000000</v>
      </c>
      <c r="K132" s="32"/>
      <c r="L132" s="33">
        <v>3000000</v>
      </c>
      <c r="M132" s="28">
        <v>3000000</v>
      </c>
      <c r="N132" s="32"/>
      <c r="O132" s="33">
        <v>3000000</v>
      </c>
      <c r="P132" s="28">
        <f t="shared" si="55"/>
        <v>0</v>
      </c>
      <c r="Q132" s="32"/>
      <c r="R132" s="33">
        <v>0</v>
      </c>
      <c r="S132" s="28">
        <f t="shared" si="56"/>
        <v>0</v>
      </c>
      <c r="T132" s="32"/>
      <c r="U132" s="33">
        <v>0</v>
      </c>
      <c r="V132" s="47">
        <f t="shared" si="35"/>
        <v>0</v>
      </c>
      <c r="W132" s="48">
        <v>0</v>
      </c>
    </row>
    <row r="133" spans="1:23" ht="121.5" customHeight="1">
      <c r="A133" s="7" t="s">
        <v>133</v>
      </c>
      <c r="B133" s="5" t="s">
        <v>13</v>
      </c>
      <c r="C133" s="5" t="s">
        <v>13</v>
      </c>
      <c r="D133" s="5" t="s">
        <v>152</v>
      </c>
      <c r="E133" s="5" t="s">
        <v>156</v>
      </c>
      <c r="F133" s="55" t="s">
        <v>31</v>
      </c>
      <c r="G133" s="28">
        <v>2854000</v>
      </c>
      <c r="H133" s="32"/>
      <c r="I133" s="33">
        <v>2854000</v>
      </c>
      <c r="J133" s="28">
        <v>2854000</v>
      </c>
      <c r="K133" s="32"/>
      <c r="L133" s="33">
        <v>2854000</v>
      </c>
      <c r="M133" s="28">
        <f t="shared" ref="M133" si="58">O133</f>
        <v>2854000</v>
      </c>
      <c r="N133" s="32"/>
      <c r="O133" s="33">
        <v>2854000</v>
      </c>
      <c r="P133" s="28">
        <f t="shared" si="55"/>
        <v>2500000</v>
      </c>
      <c r="Q133" s="32"/>
      <c r="R133" s="33">
        <v>2500000</v>
      </c>
      <c r="S133" s="28">
        <f t="shared" si="56"/>
        <v>2500000</v>
      </c>
      <c r="T133" s="32"/>
      <c r="U133" s="33">
        <v>2500000</v>
      </c>
      <c r="V133" s="47">
        <f t="shared" si="35"/>
        <v>87.596355991590741</v>
      </c>
      <c r="W133" s="48">
        <v>0</v>
      </c>
    </row>
    <row r="134" spans="1:23" ht="122.25" customHeight="1">
      <c r="A134" s="7" t="s">
        <v>133</v>
      </c>
      <c r="B134" s="5" t="s">
        <v>13</v>
      </c>
      <c r="C134" s="5" t="s">
        <v>13</v>
      </c>
      <c r="D134" s="5" t="s">
        <v>157</v>
      </c>
      <c r="E134" s="5" t="s">
        <v>158</v>
      </c>
      <c r="F134" s="55" t="s">
        <v>31</v>
      </c>
      <c r="G134" s="28">
        <v>4770000</v>
      </c>
      <c r="H134" s="32"/>
      <c r="I134" s="33">
        <v>4770000</v>
      </c>
      <c r="J134" s="28">
        <v>4770000</v>
      </c>
      <c r="K134" s="32"/>
      <c r="L134" s="33">
        <v>4770000</v>
      </c>
      <c r="M134" s="28">
        <v>4770000</v>
      </c>
      <c r="N134" s="32"/>
      <c r="O134" s="33">
        <v>4770000</v>
      </c>
      <c r="P134" s="28">
        <v>4770000</v>
      </c>
      <c r="Q134" s="32"/>
      <c r="R134" s="33">
        <v>4770000</v>
      </c>
      <c r="S134" s="28">
        <v>4770000</v>
      </c>
      <c r="T134" s="32"/>
      <c r="U134" s="33">
        <v>4770000</v>
      </c>
      <c r="V134" s="47">
        <f t="shared" si="35"/>
        <v>100</v>
      </c>
      <c r="W134" s="48">
        <f>S134/M134*100</f>
        <v>100</v>
      </c>
    </row>
    <row r="135" spans="1:23" s="1" customFormat="1" ht="47.25" customHeight="1">
      <c r="A135" s="105" t="s">
        <v>159</v>
      </c>
      <c r="B135" s="105"/>
      <c r="C135" s="105"/>
      <c r="D135" s="105"/>
      <c r="E135" s="105"/>
      <c r="F135" s="106"/>
      <c r="G135" s="34">
        <f>I135</f>
        <v>81769874.219999999</v>
      </c>
      <c r="H135" s="35"/>
      <c r="I135" s="36">
        <f>I137</f>
        <v>81769874.219999999</v>
      </c>
      <c r="J135" s="34">
        <f>L135</f>
        <v>81769874.219999999</v>
      </c>
      <c r="K135" s="35"/>
      <c r="L135" s="36">
        <f>L137</f>
        <v>81769874.219999999</v>
      </c>
      <c r="M135" s="34">
        <f>O135</f>
        <v>81769874.219999999</v>
      </c>
      <c r="N135" s="35"/>
      <c r="O135" s="36">
        <f>O137</f>
        <v>81769874.219999999</v>
      </c>
      <c r="P135" s="34">
        <f>R135</f>
        <v>77084590.230000004</v>
      </c>
      <c r="Q135" s="35"/>
      <c r="R135" s="36">
        <f>R137</f>
        <v>77084590.230000004</v>
      </c>
      <c r="S135" s="34">
        <f t="shared" ref="S135:S139" si="59">U135</f>
        <v>77084590.230000004</v>
      </c>
      <c r="T135" s="35"/>
      <c r="U135" s="36">
        <f>U137</f>
        <v>77084590.230000004</v>
      </c>
      <c r="V135" s="50">
        <f t="shared" si="35"/>
        <v>94.270158741599204</v>
      </c>
      <c r="W135" s="51">
        <f>S135/M135*100</f>
        <v>94.270158741599204</v>
      </c>
    </row>
    <row r="136" spans="1:23">
      <c r="A136" s="103" t="s">
        <v>7</v>
      </c>
      <c r="B136" s="103"/>
      <c r="C136" s="103"/>
      <c r="D136" s="103"/>
      <c r="E136" s="103"/>
      <c r="F136" s="104"/>
      <c r="G136" s="28"/>
      <c r="H136" s="32"/>
      <c r="I136" s="33"/>
      <c r="J136" s="28"/>
      <c r="K136" s="32"/>
      <c r="L136" s="33"/>
      <c r="M136" s="28"/>
      <c r="N136" s="32"/>
      <c r="O136" s="33"/>
      <c r="P136" s="28"/>
      <c r="Q136" s="32"/>
      <c r="R136" s="33"/>
      <c r="S136" s="28"/>
      <c r="T136" s="32"/>
      <c r="U136" s="33"/>
      <c r="V136" s="47"/>
      <c r="W136" s="48"/>
    </row>
    <row r="137" spans="1:23">
      <c r="A137" s="103" t="s">
        <v>8</v>
      </c>
      <c r="B137" s="103"/>
      <c r="C137" s="103"/>
      <c r="D137" s="103"/>
      <c r="E137" s="103"/>
      <c r="F137" s="104"/>
      <c r="G137" s="28">
        <f t="shared" ref="G137:G138" si="60">I137</f>
        <v>81769874.219999999</v>
      </c>
      <c r="H137" s="32"/>
      <c r="I137" s="33">
        <f>I138</f>
        <v>81769874.219999999</v>
      </c>
      <c r="J137" s="28">
        <f t="shared" ref="J137:J138" si="61">L137</f>
        <v>81769874.219999999</v>
      </c>
      <c r="K137" s="32"/>
      <c r="L137" s="33">
        <f>L138</f>
        <v>81769874.219999999</v>
      </c>
      <c r="M137" s="28">
        <f t="shared" ref="M137:M138" si="62">O137</f>
        <v>81769874.219999999</v>
      </c>
      <c r="N137" s="32"/>
      <c r="O137" s="33">
        <f>O138</f>
        <v>81769874.219999999</v>
      </c>
      <c r="P137" s="28">
        <f t="shared" ref="P137:P138" si="63">R137</f>
        <v>77084590.230000004</v>
      </c>
      <c r="Q137" s="32"/>
      <c r="R137" s="33">
        <f>R138</f>
        <v>77084590.230000004</v>
      </c>
      <c r="S137" s="28">
        <f t="shared" si="59"/>
        <v>77084590.230000004</v>
      </c>
      <c r="T137" s="32"/>
      <c r="U137" s="33">
        <f>U138</f>
        <v>77084590.230000004</v>
      </c>
      <c r="V137" s="47">
        <f t="shared" si="35"/>
        <v>94.270158741599204</v>
      </c>
      <c r="W137" s="48">
        <f>S137/M137*100</f>
        <v>94.270158741599204</v>
      </c>
    </row>
    <row r="138" spans="1:23">
      <c r="A138" s="103" t="s">
        <v>160</v>
      </c>
      <c r="B138" s="103"/>
      <c r="C138" s="103"/>
      <c r="D138" s="103"/>
      <c r="E138" s="103"/>
      <c r="F138" s="104"/>
      <c r="G138" s="28">
        <f t="shared" si="60"/>
        <v>81769874.219999999</v>
      </c>
      <c r="H138" s="32"/>
      <c r="I138" s="33">
        <f>I139</f>
        <v>81769874.219999999</v>
      </c>
      <c r="J138" s="28">
        <f t="shared" si="61"/>
        <v>81769874.219999999</v>
      </c>
      <c r="K138" s="32"/>
      <c r="L138" s="33">
        <f>L139</f>
        <v>81769874.219999999</v>
      </c>
      <c r="M138" s="28">
        <f t="shared" si="62"/>
        <v>81769874.219999999</v>
      </c>
      <c r="N138" s="32"/>
      <c r="O138" s="33">
        <f>O139</f>
        <v>81769874.219999999</v>
      </c>
      <c r="P138" s="28">
        <f t="shared" si="63"/>
        <v>77084590.230000004</v>
      </c>
      <c r="Q138" s="32"/>
      <c r="R138" s="33">
        <f>R139</f>
        <v>77084590.230000004</v>
      </c>
      <c r="S138" s="28">
        <f t="shared" si="59"/>
        <v>77084590.230000004</v>
      </c>
      <c r="T138" s="32"/>
      <c r="U138" s="33">
        <f>U139</f>
        <v>77084590.230000004</v>
      </c>
      <c r="V138" s="47">
        <f t="shared" si="35"/>
        <v>94.270158741599204</v>
      </c>
      <c r="W138" s="48">
        <f>S138/M138*100</f>
        <v>94.270158741599204</v>
      </c>
    </row>
    <row r="139" spans="1:23" s="13" customFormat="1">
      <c r="A139" s="101" t="s">
        <v>11</v>
      </c>
      <c r="B139" s="101"/>
      <c r="C139" s="101"/>
      <c r="D139" s="101"/>
      <c r="E139" s="101"/>
      <c r="F139" s="102"/>
      <c r="G139" s="34">
        <f>I139</f>
        <v>81769874.219999999</v>
      </c>
      <c r="H139" s="35"/>
      <c r="I139" s="36">
        <f>I140</f>
        <v>81769874.219999999</v>
      </c>
      <c r="J139" s="34">
        <f>L139</f>
        <v>81769874.219999999</v>
      </c>
      <c r="K139" s="35"/>
      <c r="L139" s="36">
        <f>L140</f>
        <v>81769874.219999999</v>
      </c>
      <c r="M139" s="34">
        <f>O139</f>
        <v>81769874.219999999</v>
      </c>
      <c r="N139" s="35"/>
      <c r="O139" s="36">
        <f>O140</f>
        <v>81769874.219999999</v>
      </c>
      <c r="P139" s="34">
        <f>R139</f>
        <v>77084590.230000004</v>
      </c>
      <c r="Q139" s="35"/>
      <c r="R139" s="36">
        <f>R140</f>
        <v>77084590.230000004</v>
      </c>
      <c r="S139" s="34">
        <f t="shared" si="59"/>
        <v>77084590.230000004</v>
      </c>
      <c r="T139" s="35"/>
      <c r="U139" s="36">
        <f>U140</f>
        <v>77084590.230000004</v>
      </c>
      <c r="V139" s="50">
        <f t="shared" si="35"/>
        <v>94.270158741599204</v>
      </c>
      <c r="W139" s="51">
        <f>S139/M139*100</f>
        <v>94.270158741599204</v>
      </c>
    </row>
    <row r="140" spans="1:23" ht="111.75" customHeight="1">
      <c r="A140" s="7" t="s">
        <v>161</v>
      </c>
      <c r="B140" s="5" t="s">
        <v>13</v>
      </c>
      <c r="C140" s="5" t="s">
        <v>13</v>
      </c>
      <c r="D140" s="5" t="s">
        <v>162</v>
      </c>
      <c r="E140" s="5" t="s">
        <v>15</v>
      </c>
      <c r="F140" s="55" t="s">
        <v>163</v>
      </c>
      <c r="G140" s="28">
        <f>I140</f>
        <v>81769874.219999999</v>
      </c>
      <c r="H140" s="32"/>
      <c r="I140" s="33">
        <v>81769874.219999999</v>
      </c>
      <c r="J140" s="28">
        <f>L140</f>
        <v>81769874.219999999</v>
      </c>
      <c r="K140" s="32"/>
      <c r="L140" s="33">
        <v>81769874.219999999</v>
      </c>
      <c r="M140" s="28">
        <f>O140</f>
        <v>81769874.219999999</v>
      </c>
      <c r="N140" s="32"/>
      <c r="O140" s="33">
        <v>81769874.219999999</v>
      </c>
      <c r="P140" s="28">
        <f>R140</f>
        <v>77084590.230000004</v>
      </c>
      <c r="Q140" s="32"/>
      <c r="R140" s="33">
        <v>77084590.230000004</v>
      </c>
      <c r="S140" s="28">
        <f>U140</f>
        <v>77084590.230000004</v>
      </c>
      <c r="T140" s="32"/>
      <c r="U140" s="33">
        <v>77084590.230000004</v>
      </c>
      <c r="V140" s="47">
        <f t="shared" si="35"/>
        <v>94.270158741599204</v>
      </c>
      <c r="W140" s="48">
        <f>S140/M140*100</f>
        <v>94.270158741599204</v>
      </c>
    </row>
    <row r="141" spans="1:23" s="13" customFormat="1" ht="45" customHeight="1">
      <c r="A141" s="105" t="s">
        <v>164</v>
      </c>
      <c r="B141" s="105"/>
      <c r="C141" s="105"/>
      <c r="D141" s="105"/>
      <c r="E141" s="105"/>
      <c r="F141" s="106"/>
      <c r="G141" s="34">
        <f>G143</f>
        <v>12077900</v>
      </c>
      <c r="H141" s="35"/>
      <c r="I141" s="36">
        <f>I143</f>
        <v>12077900</v>
      </c>
      <c r="J141" s="34">
        <f>J143</f>
        <v>12077900</v>
      </c>
      <c r="K141" s="35"/>
      <c r="L141" s="36">
        <f>L143</f>
        <v>12077900</v>
      </c>
      <c r="M141" s="34">
        <f>M143</f>
        <v>12077900</v>
      </c>
      <c r="N141" s="35"/>
      <c r="O141" s="36">
        <f>O143</f>
        <v>12077900</v>
      </c>
      <c r="P141" s="34">
        <f>P143</f>
        <v>8586000</v>
      </c>
      <c r="Q141" s="35"/>
      <c r="R141" s="36">
        <f>R143</f>
        <v>8586000</v>
      </c>
      <c r="S141" s="34">
        <f>S143</f>
        <v>3100000</v>
      </c>
      <c r="T141" s="35"/>
      <c r="U141" s="36">
        <f>U143</f>
        <v>3100000</v>
      </c>
      <c r="V141" s="50">
        <f t="shared" si="35"/>
        <v>25.666713584315154</v>
      </c>
      <c r="W141" s="51">
        <f>S141/M141*100</f>
        <v>25.666713584315154</v>
      </c>
    </row>
    <row r="142" spans="1:23">
      <c r="A142" s="103" t="s">
        <v>7</v>
      </c>
      <c r="B142" s="103"/>
      <c r="C142" s="103"/>
      <c r="D142" s="103"/>
      <c r="E142" s="103"/>
      <c r="F142" s="104"/>
      <c r="G142" s="28"/>
      <c r="H142" s="32"/>
      <c r="I142" s="33"/>
      <c r="J142" s="28"/>
      <c r="K142" s="32"/>
      <c r="L142" s="33"/>
      <c r="M142" s="28"/>
      <c r="N142" s="32"/>
      <c r="O142" s="33"/>
      <c r="P142" s="28"/>
      <c r="Q142" s="32"/>
      <c r="R142" s="33"/>
      <c r="S142" s="28"/>
      <c r="T142" s="32"/>
      <c r="U142" s="33"/>
      <c r="V142" s="47"/>
      <c r="W142" s="48"/>
    </row>
    <row r="143" spans="1:23">
      <c r="A143" s="103" t="s">
        <v>8</v>
      </c>
      <c r="B143" s="103"/>
      <c r="C143" s="103"/>
      <c r="D143" s="103"/>
      <c r="E143" s="103"/>
      <c r="F143" s="104"/>
      <c r="G143" s="28">
        <f>3100000+G149</f>
        <v>12077900</v>
      </c>
      <c r="H143" s="32"/>
      <c r="I143" s="33">
        <f>3100000+I149</f>
        <v>12077900</v>
      </c>
      <c r="J143" s="28">
        <f>3100000+J149</f>
        <v>12077900</v>
      </c>
      <c r="K143" s="32"/>
      <c r="L143" s="33">
        <f>3100000+L149</f>
        <v>12077900</v>
      </c>
      <c r="M143" s="28">
        <f>3100000+M149</f>
        <v>12077900</v>
      </c>
      <c r="N143" s="32"/>
      <c r="O143" s="33">
        <f>3100000+O149</f>
        <v>12077900</v>
      </c>
      <c r="P143" s="28">
        <f>3100000+P149</f>
        <v>8586000</v>
      </c>
      <c r="Q143" s="32"/>
      <c r="R143" s="33">
        <f>3100000+R149</f>
        <v>8586000</v>
      </c>
      <c r="S143" s="28">
        <f>3100000+S149</f>
        <v>3100000</v>
      </c>
      <c r="T143" s="32"/>
      <c r="U143" s="33">
        <f>3100000+U149</f>
        <v>3100000</v>
      </c>
      <c r="V143" s="47">
        <f t="shared" ref="V143:V214" si="64">S143/J143*100</f>
        <v>25.666713584315154</v>
      </c>
      <c r="W143" s="48">
        <f t="shared" ref="W143:W208" si="65">S143/M143*100</f>
        <v>25.666713584315154</v>
      </c>
    </row>
    <row r="144" spans="1:23">
      <c r="A144" s="103" t="s">
        <v>165</v>
      </c>
      <c r="B144" s="103"/>
      <c r="C144" s="103"/>
      <c r="D144" s="103"/>
      <c r="E144" s="103"/>
      <c r="F144" s="104"/>
      <c r="G144" s="28">
        <v>3100000</v>
      </c>
      <c r="H144" s="32"/>
      <c r="I144" s="33">
        <v>3100000</v>
      </c>
      <c r="J144" s="28">
        <v>3100000</v>
      </c>
      <c r="K144" s="32"/>
      <c r="L144" s="33">
        <v>3100000</v>
      </c>
      <c r="M144" s="28">
        <v>3100000</v>
      </c>
      <c r="N144" s="32"/>
      <c r="O144" s="33">
        <v>3100000</v>
      </c>
      <c r="P144" s="28">
        <v>3100000</v>
      </c>
      <c r="Q144" s="32"/>
      <c r="R144" s="33">
        <v>3100000</v>
      </c>
      <c r="S144" s="28">
        <v>3100000</v>
      </c>
      <c r="T144" s="32"/>
      <c r="U144" s="33">
        <v>3100000</v>
      </c>
      <c r="V144" s="47">
        <f t="shared" si="64"/>
        <v>100</v>
      </c>
      <c r="W144" s="48">
        <f t="shared" si="65"/>
        <v>100</v>
      </c>
    </row>
    <row r="145" spans="1:23" s="13" customFormat="1">
      <c r="A145" s="101" t="s">
        <v>11</v>
      </c>
      <c r="B145" s="101"/>
      <c r="C145" s="101"/>
      <c r="D145" s="101"/>
      <c r="E145" s="101"/>
      <c r="F145" s="102"/>
      <c r="G145" s="34">
        <v>3100000</v>
      </c>
      <c r="H145" s="35"/>
      <c r="I145" s="36">
        <v>3100000</v>
      </c>
      <c r="J145" s="34">
        <v>3100000</v>
      </c>
      <c r="K145" s="35"/>
      <c r="L145" s="36">
        <v>3100000</v>
      </c>
      <c r="M145" s="34">
        <v>3100000</v>
      </c>
      <c r="N145" s="35"/>
      <c r="O145" s="36">
        <v>3100000</v>
      </c>
      <c r="P145" s="34">
        <v>3100000</v>
      </c>
      <c r="Q145" s="35"/>
      <c r="R145" s="36">
        <v>3100000</v>
      </c>
      <c r="S145" s="34">
        <v>3100000</v>
      </c>
      <c r="T145" s="35"/>
      <c r="U145" s="36">
        <v>3100000</v>
      </c>
      <c r="V145" s="50">
        <f t="shared" si="64"/>
        <v>100</v>
      </c>
      <c r="W145" s="51">
        <f t="shared" si="65"/>
        <v>100</v>
      </c>
    </row>
    <row r="146" spans="1:23" ht="111" customHeight="1">
      <c r="A146" s="7" t="s">
        <v>166</v>
      </c>
      <c r="B146" s="5" t="s">
        <v>13</v>
      </c>
      <c r="C146" s="5" t="s">
        <v>13</v>
      </c>
      <c r="D146" s="5" t="s">
        <v>167</v>
      </c>
      <c r="E146" s="5" t="s">
        <v>15</v>
      </c>
      <c r="F146" s="55" t="s">
        <v>168</v>
      </c>
      <c r="G146" s="28">
        <v>3100000</v>
      </c>
      <c r="H146" s="32"/>
      <c r="I146" s="33">
        <v>3100000</v>
      </c>
      <c r="J146" s="28">
        <v>3100000</v>
      </c>
      <c r="K146" s="32"/>
      <c r="L146" s="33">
        <v>3100000</v>
      </c>
      <c r="M146" s="28">
        <v>3100000</v>
      </c>
      <c r="N146" s="32"/>
      <c r="O146" s="33">
        <v>3100000</v>
      </c>
      <c r="P146" s="28">
        <v>3100000</v>
      </c>
      <c r="Q146" s="32"/>
      <c r="R146" s="33">
        <v>3100000</v>
      </c>
      <c r="S146" s="28">
        <v>3100000</v>
      </c>
      <c r="T146" s="32"/>
      <c r="U146" s="33">
        <v>3100000</v>
      </c>
      <c r="V146" s="47">
        <f t="shared" si="64"/>
        <v>100</v>
      </c>
      <c r="W146" s="48">
        <f t="shared" si="65"/>
        <v>100</v>
      </c>
    </row>
    <row r="147" spans="1:23" ht="45" customHeight="1">
      <c r="A147" s="95" t="s">
        <v>311</v>
      </c>
      <c r="B147" s="96"/>
      <c r="C147" s="96"/>
      <c r="D147" s="96"/>
      <c r="E147" s="96"/>
      <c r="F147" s="96"/>
      <c r="G147" s="28">
        <f>G148</f>
        <v>8977900</v>
      </c>
      <c r="H147" s="32"/>
      <c r="I147" s="33">
        <f>I148</f>
        <v>8977900</v>
      </c>
      <c r="J147" s="28">
        <f>J148</f>
        <v>8977900</v>
      </c>
      <c r="K147" s="32"/>
      <c r="L147" s="33">
        <f>L148</f>
        <v>8977900</v>
      </c>
      <c r="M147" s="28">
        <f>M148</f>
        <v>8977900</v>
      </c>
      <c r="N147" s="32"/>
      <c r="O147" s="33">
        <f>O148</f>
        <v>8977900</v>
      </c>
      <c r="P147" s="28">
        <f>P148</f>
        <v>5486000</v>
      </c>
      <c r="Q147" s="32"/>
      <c r="R147" s="33">
        <f>R148</f>
        <v>5486000</v>
      </c>
      <c r="S147" s="28">
        <f>S148</f>
        <v>0</v>
      </c>
      <c r="T147" s="32"/>
      <c r="U147" s="33">
        <f>U148</f>
        <v>0</v>
      </c>
      <c r="V147" s="47">
        <v>0</v>
      </c>
      <c r="W147" s="48">
        <v>0</v>
      </c>
    </row>
    <row r="148" spans="1:23" ht="33.75" customHeight="1">
      <c r="A148" s="97" t="s">
        <v>309</v>
      </c>
      <c r="B148" s="98"/>
      <c r="C148" s="98"/>
      <c r="D148" s="98"/>
      <c r="E148" s="98"/>
      <c r="F148" s="98"/>
      <c r="G148" s="28">
        <f>G149</f>
        <v>8977900</v>
      </c>
      <c r="H148" s="32"/>
      <c r="I148" s="33">
        <f>I149</f>
        <v>8977900</v>
      </c>
      <c r="J148" s="34">
        <f>J149</f>
        <v>8977900</v>
      </c>
      <c r="K148" s="35"/>
      <c r="L148" s="36">
        <f>L149</f>
        <v>8977900</v>
      </c>
      <c r="M148" s="34">
        <f>M149</f>
        <v>8977900</v>
      </c>
      <c r="N148" s="35"/>
      <c r="O148" s="36">
        <f>O149</f>
        <v>8977900</v>
      </c>
      <c r="P148" s="34">
        <f>P149</f>
        <v>5486000</v>
      </c>
      <c r="Q148" s="35"/>
      <c r="R148" s="36">
        <f>R149</f>
        <v>5486000</v>
      </c>
      <c r="S148" s="34">
        <f>S149</f>
        <v>0</v>
      </c>
      <c r="T148" s="35"/>
      <c r="U148" s="36">
        <f>U149</f>
        <v>0</v>
      </c>
      <c r="V148" s="50">
        <f t="shared" ref="V148:V149" si="66">S148/J148*100</f>
        <v>0</v>
      </c>
      <c r="W148" s="51">
        <f t="shared" ref="W148:W149" si="67">S148/M148*100</f>
        <v>0</v>
      </c>
    </row>
    <row r="149" spans="1:23" ht="45" customHeight="1">
      <c r="A149" s="16" t="s">
        <v>310</v>
      </c>
      <c r="B149" s="15" t="s">
        <v>13</v>
      </c>
      <c r="C149" s="15" t="s">
        <v>13</v>
      </c>
      <c r="D149" s="15" t="s">
        <v>224</v>
      </c>
      <c r="E149" s="15"/>
      <c r="F149" s="55">
        <v>2022</v>
      </c>
      <c r="G149" s="28">
        <f>I149</f>
        <v>8977900</v>
      </c>
      <c r="H149" s="32"/>
      <c r="I149" s="33">
        <v>8977900</v>
      </c>
      <c r="J149" s="28">
        <f>L149</f>
        <v>8977900</v>
      </c>
      <c r="K149" s="32"/>
      <c r="L149" s="33">
        <v>8977900</v>
      </c>
      <c r="M149" s="28">
        <f>O149</f>
        <v>8977900</v>
      </c>
      <c r="N149" s="32"/>
      <c r="O149" s="33">
        <v>8977900</v>
      </c>
      <c r="P149" s="28">
        <f>R149</f>
        <v>5486000</v>
      </c>
      <c r="Q149" s="32"/>
      <c r="R149" s="33">
        <v>5486000</v>
      </c>
      <c r="S149" s="28">
        <f>U149</f>
        <v>0</v>
      </c>
      <c r="T149" s="32"/>
      <c r="U149" s="33"/>
      <c r="V149" s="47">
        <f t="shared" si="66"/>
        <v>0</v>
      </c>
      <c r="W149" s="48">
        <f t="shared" si="67"/>
        <v>0</v>
      </c>
    </row>
    <row r="150" spans="1:23" s="13" customFormat="1" ht="29.25" customHeight="1">
      <c r="A150" s="101" t="s">
        <v>169</v>
      </c>
      <c r="B150" s="101"/>
      <c r="C150" s="101"/>
      <c r="D150" s="101"/>
      <c r="E150" s="101"/>
      <c r="F150" s="102"/>
      <c r="G150" s="34">
        <f>G152</f>
        <v>74058500</v>
      </c>
      <c r="H150" s="35">
        <v>0</v>
      </c>
      <c r="I150" s="36">
        <f>I152</f>
        <v>74058500</v>
      </c>
      <c r="J150" s="34">
        <f>J152</f>
        <v>74058500</v>
      </c>
      <c r="K150" s="35">
        <v>0</v>
      </c>
      <c r="L150" s="36">
        <f>L152</f>
        <v>74058500</v>
      </c>
      <c r="M150" s="34">
        <f>M152</f>
        <v>989291.5</v>
      </c>
      <c r="N150" s="35">
        <v>0</v>
      </c>
      <c r="O150" s="36">
        <f>O152</f>
        <v>989291.5</v>
      </c>
      <c r="P150" s="34">
        <f>P152</f>
        <v>989291.5</v>
      </c>
      <c r="Q150" s="35">
        <v>0</v>
      </c>
      <c r="R150" s="36">
        <f>R152</f>
        <v>989291.5</v>
      </c>
      <c r="S150" s="34">
        <f>S152</f>
        <v>989291.5</v>
      </c>
      <c r="T150" s="35">
        <v>0</v>
      </c>
      <c r="U150" s="36">
        <f>U152</f>
        <v>989291.5</v>
      </c>
      <c r="V150" s="50">
        <f t="shared" si="64"/>
        <v>1.3358243820763316</v>
      </c>
      <c r="W150" s="51">
        <v>0</v>
      </c>
    </row>
    <row r="151" spans="1:23">
      <c r="A151" s="103" t="s">
        <v>7</v>
      </c>
      <c r="B151" s="103"/>
      <c r="C151" s="103"/>
      <c r="D151" s="103"/>
      <c r="E151" s="103"/>
      <c r="F151" s="104"/>
      <c r="G151" s="29"/>
      <c r="H151" s="30"/>
      <c r="I151" s="31"/>
      <c r="J151" s="29"/>
      <c r="K151" s="30"/>
      <c r="L151" s="31"/>
      <c r="M151" s="29"/>
      <c r="N151" s="30"/>
      <c r="O151" s="31"/>
      <c r="P151" s="29"/>
      <c r="Q151" s="30"/>
      <c r="R151" s="31"/>
      <c r="S151" s="29"/>
      <c r="T151" s="30"/>
      <c r="U151" s="31"/>
      <c r="V151" s="47">
        <v>0</v>
      </c>
      <c r="W151" s="48">
        <v>0</v>
      </c>
    </row>
    <row r="152" spans="1:23">
      <c r="A152" s="103" t="s">
        <v>8</v>
      </c>
      <c r="B152" s="103"/>
      <c r="C152" s="103"/>
      <c r="D152" s="103"/>
      <c r="E152" s="103"/>
      <c r="F152" s="104"/>
      <c r="G152" s="28">
        <f t="shared" ref="G152" si="68">H152+I152</f>
        <v>74058500</v>
      </c>
      <c r="H152" s="32">
        <v>0</v>
      </c>
      <c r="I152" s="33">
        <f>I155+I158</f>
        <v>74058500</v>
      </c>
      <c r="J152" s="28">
        <f t="shared" ref="J152" si="69">K152+L152</f>
        <v>74058500</v>
      </c>
      <c r="K152" s="32">
        <v>0</v>
      </c>
      <c r="L152" s="33">
        <f>L155+L158</f>
        <v>74058500</v>
      </c>
      <c r="M152" s="28">
        <f t="shared" ref="M152" si="70">N152+O152</f>
        <v>989291.5</v>
      </c>
      <c r="N152" s="32">
        <v>0</v>
      </c>
      <c r="O152" s="33">
        <f>O155+O158</f>
        <v>989291.5</v>
      </c>
      <c r="P152" s="28">
        <f t="shared" ref="P152" si="71">Q152+R152</f>
        <v>989291.5</v>
      </c>
      <c r="Q152" s="32">
        <v>0</v>
      </c>
      <c r="R152" s="33">
        <f>R155+R158</f>
        <v>989291.5</v>
      </c>
      <c r="S152" s="28">
        <f t="shared" ref="S152" si="72">T152+U152</f>
        <v>989291.5</v>
      </c>
      <c r="T152" s="32">
        <v>0</v>
      </c>
      <c r="U152" s="33">
        <f>U155+U158</f>
        <v>989291.5</v>
      </c>
      <c r="V152" s="47">
        <f t="shared" si="64"/>
        <v>1.3358243820763316</v>
      </c>
      <c r="W152" s="48">
        <v>0</v>
      </c>
    </row>
    <row r="153" spans="1:23" ht="30" customHeight="1">
      <c r="A153" s="103" t="s">
        <v>170</v>
      </c>
      <c r="B153" s="103"/>
      <c r="C153" s="103"/>
      <c r="D153" s="103"/>
      <c r="E153" s="103"/>
      <c r="F153" s="104"/>
      <c r="G153" s="28">
        <v>73749500</v>
      </c>
      <c r="H153" s="32">
        <v>0</v>
      </c>
      <c r="I153" s="33">
        <v>73749500</v>
      </c>
      <c r="J153" s="28">
        <v>73749500</v>
      </c>
      <c r="K153" s="32">
        <v>0</v>
      </c>
      <c r="L153" s="33">
        <v>73749500</v>
      </c>
      <c r="M153" s="28">
        <f>O153</f>
        <v>680291.5</v>
      </c>
      <c r="N153" s="32">
        <v>0</v>
      </c>
      <c r="O153" s="33">
        <f>O154</f>
        <v>680291.5</v>
      </c>
      <c r="P153" s="28">
        <f>R153</f>
        <v>680291.5</v>
      </c>
      <c r="Q153" s="32">
        <v>0</v>
      </c>
      <c r="R153" s="33">
        <f>R154</f>
        <v>680291.5</v>
      </c>
      <c r="S153" s="28">
        <f>U153</f>
        <v>680291.5</v>
      </c>
      <c r="T153" s="32">
        <v>0</v>
      </c>
      <c r="U153" s="33">
        <f>U154</f>
        <v>680291.5</v>
      </c>
      <c r="V153" s="47">
        <f t="shared" si="64"/>
        <v>0.92243540634173793</v>
      </c>
      <c r="W153" s="48">
        <v>0</v>
      </c>
    </row>
    <row r="154" spans="1:23" s="13" customFormat="1" ht="33" customHeight="1">
      <c r="A154" s="101" t="s">
        <v>126</v>
      </c>
      <c r="B154" s="101"/>
      <c r="C154" s="101"/>
      <c r="D154" s="101"/>
      <c r="E154" s="101"/>
      <c r="F154" s="102"/>
      <c r="G154" s="34">
        <v>73749500</v>
      </c>
      <c r="H154" s="35">
        <v>0</v>
      </c>
      <c r="I154" s="36">
        <v>73749500</v>
      </c>
      <c r="J154" s="34">
        <v>73749500</v>
      </c>
      <c r="K154" s="35">
        <v>0</v>
      </c>
      <c r="L154" s="36">
        <v>73749500</v>
      </c>
      <c r="M154" s="34">
        <f>O154</f>
        <v>680291.5</v>
      </c>
      <c r="N154" s="35">
        <v>0</v>
      </c>
      <c r="O154" s="36">
        <f>O155</f>
        <v>680291.5</v>
      </c>
      <c r="P154" s="34">
        <f>R154</f>
        <v>680291.5</v>
      </c>
      <c r="Q154" s="35">
        <v>0</v>
      </c>
      <c r="R154" s="36">
        <f>R155</f>
        <v>680291.5</v>
      </c>
      <c r="S154" s="34">
        <f>U154</f>
        <v>680291.5</v>
      </c>
      <c r="T154" s="35">
        <v>0</v>
      </c>
      <c r="U154" s="36">
        <f>U155</f>
        <v>680291.5</v>
      </c>
      <c r="V154" s="50">
        <f t="shared" si="64"/>
        <v>0.92243540634173793</v>
      </c>
      <c r="W154" s="51">
        <v>0</v>
      </c>
    </row>
    <row r="155" spans="1:23" ht="54.75" customHeight="1">
      <c r="A155" s="7" t="s">
        <v>171</v>
      </c>
      <c r="B155" s="5" t="s">
        <v>13</v>
      </c>
      <c r="C155" s="5" t="s">
        <v>13</v>
      </c>
      <c r="D155" s="5" t="s">
        <v>172</v>
      </c>
      <c r="E155" s="5" t="s">
        <v>77</v>
      </c>
      <c r="F155" s="55" t="s">
        <v>173</v>
      </c>
      <c r="G155" s="28">
        <v>73749500</v>
      </c>
      <c r="H155" s="32">
        <v>0</v>
      </c>
      <c r="I155" s="33">
        <v>73749500</v>
      </c>
      <c r="J155" s="28">
        <v>73749500</v>
      </c>
      <c r="K155" s="32">
        <v>0</v>
      </c>
      <c r="L155" s="33">
        <v>73749500</v>
      </c>
      <c r="M155" s="28">
        <f>O155</f>
        <v>680291.5</v>
      </c>
      <c r="N155" s="32">
        <v>0</v>
      </c>
      <c r="O155" s="33">
        <v>680291.5</v>
      </c>
      <c r="P155" s="28">
        <f>R155</f>
        <v>680291.5</v>
      </c>
      <c r="Q155" s="32">
        <v>0</v>
      </c>
      <c r="R155" s="33">
        <v>680291.5</v>
      </c>
      <c r="S155" s="28">
        <f>U155</f>
        <v>680291.5</v>
      </c>
      <c r="T155" s="32">
        <v>0</v>
      </c>
      <c r="U155" s="33">
        <v>680291.5</v>
      </c>
      <c r="V155" s="47">
        <f t="shared" si="64"/>
        <v>0.92243540634173793</v>
      </c>
      <c r="W155" s="48">
        <v>0</v>
      </c>
    </row>
    <row r="156" spans="1:23">
      <c r="A156" s="95" t="s">
        <v>313</v>
      </c>
      <c r="B156" s="96"/>
      <c r="C156" s="96"/>
      <c r="D156" s="96"/>
      <c r="E156" s="96"/>
      <c r="F156" s="96"/>
      <c r="G156" s="28">
        <f>H156+I156</f>
        <v>309000</v>
      </c>
      <c r="H156" s="32"/>
      <c r="I156" s="33">
        <f>I157</f>
        <v>309000</v>
      </c>
      <c r="J156" s="28">
        <f>K156+L156</f>
        <v>309000</v>
      </c>
      <c r="K156" s="32"/>
      <c r="L156" s="33">
        <f>L157</f>
        <v>309000</v>
      </c>
      <c r="M156" s="28">
        <f>N156+O156</f>
        <v>309000</v>
      </c>
      <c r="N156" s="32"/>
      <c r="O156" s="33">
        <f>O157</f>
        <v>309000</v>
      </c>
      <c r="P156" s="28">
        <f>Q156+R156</f>
        <v>309000</v>
      </c>
      <c r="Q156" s="32"/>
      <c r="R156" s="33">
        <f>R157</f>
        <v>309000</v>
      </c>
      <c r="S156" s="28">
        <f>T156+U156</f>
        <v>309000</v>
      </c>
      <c r="T156" s="32"/>
      <c r="U156" s="33">
        <f>U157</f>
        <v>309000</v>
      </c>
      <c r="V156" s="47">
        <f t="shared" ref="V156:V158" si="73">S156/J156*100</f>
        <v>100</v>
      </c>
      <c r="W156" s="48">
        <v>0</v>
      </c>
    </row>
    <row r="157" spans="1:23">
      <c r="A157" s="97" t="s">
        <v>11</v>
      </c>
      <c r="B157" s="96"/>
      <c r="C157" s="96"/>
      <c r="D157" s="96"/>
      <c r="E157" s="96"/>
      <c r="F157" s="96"/>
      <c r="G157" s="34">
        <f t="shared" ref="G157:G158" si="74">H157+I157</f>
        <v>309000</v>
      </c>
      <c r="H157" s="35"/>
      <c r="I157" s="36">
        <f>I158</f>
        <v>309000</v>
      </c>
      <c r="J157" s="34">
        <f t="shared" ref="J157:J158" si="75">K157+L157</f>
        <v>309000</v>
      </c>
      <c r="K157" s="35"/>
      <c r="L157" s="36">
        <f>L158</f>
        <v>309000</v>
      </c>
      <c r="M157" s="34">
        <f t="shared" ref="M157:M158" si="76">N157+O157</f>
        <v>309000</v>
      </c>
      <c r="N157" s="35"/>
      <c r="O157" s="36">
        <f>O158</f>
        <v>309000</v>
      </c>
      <c r="P157" s="34">
        <f t="shared" ref="P157:P158" si="77">Q157+R157</f>
        <v>309000</v>
      </c>
      <c r="Q157" s="35"/>
      <c r="R157" s="36">
        <f>R158</f>
        <v>309000</v>
      </c>
      <c r="S157" s="34">
        <f t="shared" ref="S157:S158" si="78">T157+U157</f>
        <v>309000</v>
      </c>
      <c r="T157" s="35"/>
      <c r="U157" s="36">
        <f>U158</f>
        <v>309000</v>
      </c>
      <c r="V157" s="50">
        <f t="shared" si="73"/>
        <v>100</v>
      </c>
      <c r="W157" s="51">
        <v>0</v>
      </c>
    </row>
    <row r="158" spans="1:23" ht="112.5" customHeight="1">
      <c r="A158" s="80" t="s">
        <v>312</v>
      </c>
      <c r="B158" s="15" t="s">
        <v>13</v>
      </c>
      <c r="C158" s="15" t="s">
        <v>13</v>
      </c>
      <c r="D158" s="15">
        <v>0.85</v>
      </c>
      <c r="E158" s="15" t="s">
        <v>15</v>
      </c>
      <c r="F158" s="55">
        <v>2022</v>
      </c>
      <c r="G158" s="28">
        <f t="shared" si="74"/>
        <v>309000</v>
      </c>
      <c r="H158" s="32"/>
      <c r="I158" s="33">
        <v>309000</v>
      </c>
      <c r="J158" s="28">
        <f t="shared" si="75"/>
        <v>309000</v>
      </c>
      <c r="K158" s="32"/>
      <c r="L158" s="33">
        <v>309000</v>
      </c>
      <c r="M158" s="28">
        <f t="shared" si="76"/>
        <v>309000</v>
      </c>
      <c r="N158" s="32"/>
      <c r="O158" s="33">
        <v>309000</v>
      </c>
      <c r="P158" s="28">
        <f t="shared" si="77"/>
        <v>309000</v>
      </c>
      <c r="Q158" s="32"/>
      <c r="R158" s="33">
        <v>309000</v>
      </c>
      <c r="S158" s="28">
        <f t="shared" si="78"/>
        <v>309000</v>
      </c>
      <c r="T158" s="32"/>
      <c r="U158" s="33">
        <v>309000</v>
      </c>
      <c r="V158" s="47">
        <f t="shared" si="73"/>
        <v>100</v>
      </c>
      <c r="W158" s="48">
        <v>0</v>
      </c>
    </row>
    <row r="159" spans="1:23" s="13" customFormat="1" ht="43.5" customHeight="1">
      <c r="A159" s="105" t="s">
        <v>174</v>
      </c>
      <c r="B159" s="105"/>
      <c r="C159" s="105"/>
      <c r="D159" s="105"/>
      <c r="E159" s="105"/>
      <c r="F159" s="106"/>
      <c r="G159" s="34">
        <v>53943727.280000001</v>
      </c>
      <c r="H159" s="35"/>
      <c r="I159" s="36">
        <v>53943727.280000001</v>
      </c>
      <c r="J159" s="34">
        <v>53943727.280000001</v>
      </c>
      <c r="K159" s="35"/>
      <c r="L159" s="36">
        <v>53943727.280000001</v>
      </c>
      <c r="M159" s="34">
        <f>O159</f>
        <v>13500000</v>
      </c>
      <c r="N159" s="35"/>
      <c r="O159" s="36">
        <f>O161</f>
        <v>13500000</v>
      </c>
      <c r="P159" s="34">
        <f>R159</f>
        <v>0</v>
      </c>
      <c r="Q159" s="35"/>
      <c r="R159" s="36">
        <f>R161</f>
        <v>0</v>
      </c>
      <c r="S159" s="34">
        <f>U159</f>
        <v>0</v>
      </c>
      <c r="T159" s="35"/>
      <c r="U159" s="36">
        <f>U161</f>
        <v>0</v>
      </c>
      <c r="V159" s="50">
        <f t="shared" si="64"/>
        <v>0</v>
      </c>
      <c r="W159" s="51">
        <v>0</v>
      </c>
    </row>
    <row r="160" spans="1:23">
      <c r="A160" s="103" t="s">
        <v>7</v>
      </c>
      <c r="B160" s="103"/>
      <c r="C160" s="103"/>
      <c r="D160" s="103"/>
      <c r="E160" s="103"/>
      <c r="F160" s="104"/>
      <c r="G160" s="28"/>
      <c r="H160" s="32"/>
      <c r="I160" s="33"/>
      <c r="J160" s="28"/>
      <c r="K160" s="32"/>
      <c r="L160" s="33"/>
      <c r="M160" s="28"/>
      <c r="N160" s="32"/>
      <c r="O160" s="33"/>
      <c r="P160" s="28"/>
      <c r="Q160" s="32"/>
      <c r="R160" s="33"/>
      <c r="S160" s="28"/>
      <c r="T160" s="32"/>
      <c r="U160" s="33"/>
      <c r="V160" s="47">
        <v>0</v>
      </c>
      <c r="W160" s="48">
        <v>0</v>
      </c>
    </row>
    <row r="161" spans="1:23">
      <c r="A161" s="103" t="s">
        <v>8</v>
      </c>
      <c r="B161" s="103"/>
      <c r="C161" s="103"/>
      <c r="D161" s="103"/>
      <c r="E161" s="103"/>
      <c r="F161" s="104"/>
      <c r="G161" s="28">
        <v>53943727.280000001</v>
      </c>
      <c r="H161" s="32"/>
      <c r="I161" s="33">
        <v>53943727.280000001</v>
      </c>
      <c r="J161" s="28">
        <v>53943727.280000001</v>
      </c>
      <c r="K161" s="32"/>
      <c r="L161" s="33">
        <v>53943727.280000001</v>
      </c>
      <c r="M161" s="28">
        <f>O161</f>
        <v>13500000</v>
      </c>
      <c r="N161" s="32"/>
      <c r="O161" s="33">
        <f>O162</f>
        <v>13500000</v>
      </c>
      <c r="P161" s="28">
        <f>R161</f>
        <v>0</v>
      </c>
      <c r="Q161" s="32"/>
      <c r="R161" s="33">
        <f>R162</f>
        <v>0</v>
      </c>
      <c r="S161" s="28">
        <f>U161</f>
        <v>0</v>
      </c>
      <c r="T161" s="32"/>
      <c r="U161" s="33">
        <f>U162</f>
        <v>0</v>
      </c>
      <c r="V161" s="47">
        <f t="shared" si="64"/>
        <v>0</v>
      </c>
      <c r="W161" s="48">
        <v>0</v>
      </c>
    </row>
    <row r="162" spans="1:23" ht="33" customHeight="1">
      <c r="A162" s="103" t="s">
        <v>175</v>
      </c>
      <c r="B162" s="103"/>
      <c r="C162" s="103"/>
      <c r="D162" s="103"/>
      <c r="E162" s="103"/>
      <c r="F162" s="104"/>
      <c r="G162" s="28">
        <v>53943727.280000001</v>
      </c>
      <c r="H162" s="32"/>
      <c r="I162" s="33">
        <v>53943727.280000001</v>
      </c>
      <c r="J162" s="28">
        <v>53943727.280000001</v>
      </c>
      <c r="K162" s="32"/>
      <c r="L162" s="33">
        <v>53943727.280000001</v>
      </c>
      <c r="M162" s="28">
        <f>O162</f>
        <v>13500000</v>
      </c>
      <c r="N162" s="32"/>
      <c r="O162" s="33">
        <f>O163</f>
        <v>13500000</v>
      </c>
      <c r="P162" s="28">
        <f>R162</f>
        <v>0</v>
      </c>
      <c r="Q162" s="32"/>
      <c r="R162" s="33">
        <f>R163</f>
        <v>0</v>
      </c>
      <c r="S162" s="28">
        <f>U162</f>
        <v>0</v>
      </c>
      <c r="T162" s="32"/>
      <c r="U162" s="33">
        <f>U163</f>
        <v>0</v>
      </c>
      <c r="V162" s="47">
        <f t="shared" si="64"/>
        <v>0</v>
      </c>
      <c r="W162" s="48">
        <v>0</v>
      </c>
    </row>
    <row r="163" spans="1:23" s="13" customFormat="1" ht="15" customHeight="1">
      <c r="A163" s="101" t="s">
        <v>176</v>
      </c>
      <c r="B163" s="101"/>
      <c r="C163" s="101"/>
      <c r="D163" s="101"/>
      <c r="E163" s="101"/>
      <c r="F163" s="102"/>
      <c r="G163" s="34">
        <v>53943727.280000001</v>
      </c>
      <c r="H163" s="35"/>
      <c r="I163" s="36">
        <v>53943727.280000001</v>
      </c>
      <c r="J163" s="34">
        <v>53943727.280000001</v>
      </c>
      <c r="K163" s="35"/>
      <c r="L163" s="36">
        <v>53943727.280000001</v>
      </c>
      <c r="M163" s="34">
        <f>O163</f>
        <v>13500000</v>
      </c>
      <c r="N163" s="35"/>
      <c r="O163" s="36">
        <f>O164</f>
        <v>13500000</v>
      </c>
      <c r="P163" s="34">
        <f>R163</f>
        <v>0</v>
      </c>
      <c r="Q163" s="35"/>
      <c r="R163" s="36">
        <f>R164</f>
        <v>0</v>
      </c>
      <c r="S163" s="34">
        <f>U163</f>
        <v>0</v>
      </c>
      <c r="T163" s="35"/>
      <c r="U163" s="36">
        <f>U164</f>
        <v>0</v>
      </c>
      <c r="V163" s="50">
        <f t="shared" si="64"/>
        <v>0</v>
      </c>
      <c r="W163" s="51">
        <v>0</v>
      </c>
    </row>
    <row r="164" spans="1:23" ht="77.25" customHeight="1">
      <c r="A164" s="7" t="s">
        <v>177</v>
      </c>
      <c r="B164" s="5" t="s">
        <v>13</v>
      </c>
      <c r="C164" s="5" t="s">
        <v>13</v>
      </c>
      <c r="D164" s="5" t="s">
        <v>178</v>
      </c>
      <c r="E164" s="5" t="s">
        <v>179</v>
      </c>
      <c r="F164" s="55">
        <v>2022</v>
      </c>
      <c r="G164" s="28">
        <v>53943727.280000001</v>
      </c>
      <c r="H164" s="32"/>
      <c r="I164" s="33">
        <v>53943727.280000001</v>
      </c>
      <c r="J164" s="28">
        <v>53943727.280000001</v>
      </c>
      <c r="K164" s="32"/>
      <c r="L164" s="33">
        <v>53943727.280000001</v>
      </c>
      <c r="M164" s="28">
        <f>O164</f>
        <v>13500000</v>
      </c>
      <c r="N164" s="32"/>
      <c r="O164" s="33">
        <v>13500000</v>
      </c>
      <c r="P164" s="28">
        <f>R164</f>
        <v>0</v>
      </c>
      <c r="Q164" s="32"/>
      <c r="R164" s="33">
        <v>0</v>
      </c>
      <c r="S164" s="28">
        <f>U164</f>
        <v>0</v>
      </c>
      <c r="T164" s="32"/>
      <c r="U164" s="33">
        <v>0</v>
      </c>
      <c r="V164" s="47">
        <f t="shared" si="64"/>
        <v>0</v>
      </c>
      <c r="W164" s="48">
        <v>0</v>
      </c>
    </row>
    <row r="165" spans="1:23" s="13" customFormat="1" ht="29.25" customHeight="1">
      <c r="A165" s="101" t="s">
        <v>180</v>
      </c>
      <c r="B165" s="101"/>
      <c r="C165" s="101"/>
      <c r="D165" s="101"/>
      <c r="E165" s="101"/>
      <c r="F165" s="102"/>
      <c r="G165" s="34">
        <f>H165+I165</f>
        <v>781338410.04999995</v>
      </c>
      <c r="H165" s="35">
        <f t="shared" ref="H165:I165" si="79">H166+H167</f>
        <v>704777500</v>
      </c>
      <c r="I165" s="36">
        <f t="shared" si="79"/>
        <v>76560910.049999997</v>
      </c>
      <c r="J165" s="34">
        <f>K165+L165</f>
        <v>781338410.04999995</v>
      </c>
      <c r="K165" s="35">
        <f t="shared" ref="K165:L165" si="80">K166+K167</f>
        <v>704777499.99000001</v>
      </c>
      <c r="L165" s="36">
        <f t="shared" si="80"/>
        <v>76560910.060000002</v>
      </c>
      <c r="M165" s="34">
        <f>N165+O165</f>
        <v>447413771.70999998</v>
      </c>
      <c r="N165" s="35">
        <f t="shared" ref="N165:O165" si="81">N166+N167</f>
        <v>396564119.33999997</v>
      </c>
      <c r="O165" s="36">
        <f t="shared" si="81"/>
        <v>50849652.369999997</v>
      </c>
      <c r="P165" s="34">
        <f>Q165+R165</f>
        <v>447413771.70999998</v>
      </c>
      <c r="Q165" s="35">
        <f t="shared" ref="Q165:R165" si="82">Q166+Q167</f>
        <v>396564119.33999997</v>
      </c>
      <c r="R165" s="36">
        <f t="shared" si="82"/>
        <v>50849652.369999997</v>
      </c>
      <c r="S165" s="34">
        <f>T165+U165</f>
        <v>447413771.71000004</v>
      </c>
      <c r="T165" s="35">
        <f t="shared" ref="T165:U165" si="83">T166+T167</f>
        <v>396564119.31000006</v>
      </c>
      <c r="U165" s="36">
        <f t="shared" si="83"/>
        <v>50849652.399999999</v>
      </c>
      <c r="V165" s="50">
        <f t="shared" si="64"/>
        <v>57.262482677815477</v>
      </c>
      <c r="W165" s="51">
        <f t="shared" si="65"/>
        <v>100.00000000000003</v>
      </c>
    </row>
    <row r="166" spans="1:23">
      <c r="A166" s="103" t="s">
        <v>7</v>
      </c>
      <c r="B166" s="103"/>
      <c r="C166" s="103"/>
      <c r="D166" s="103"/>
      <c r="E166" s="103"/>
      <c r="F166" s="104"/>
      <c r="G166" s="28">
        <f t="shared" ref="G166:G168" si="84">H166+I166</f>
        <v>719160714.30999994</v>
      </c>
      <c r="H166" s="32">
        <f>H171+H173+H175+H177+H180+H184+H182+H186+H188+H190+H192+H194+H197</f>
        <v>704777500</v>
      </c>
      <c r="I166" s="33">
        <f>I171+I173+I175+I177+I180+I184+I182+I186+I188+I190+I192+I194+I197</f>
        <v>14383214.310000001</v>
      </c>
      <c r="J166" s="28">
        <f>K166+L166</f>
        <v>719160714.31000006</v>
      </c>
      <c r="K166" s="32">
        <f>K171+K173+K175+K177+K180+K184+K182+K186+K188+K190+K192+K194+K197</f>
        <v>704777499.99000001</v>
      </c>
      <c r="L166" s="33">
        <f>L171+L173+L175+L177+L180+L184+L182+L186+L188+L190+L192+L194+L197</f>
        <v>14383214.32</v>
      </c>
      <c r="M166" s="28">
        <f>N166+O166</f>
        <v>404657264.63999999</v>
      </c>
      <c r="N166" s="32">
        <f>N171+N173+N175+N177+N180+N184+N182+N186+N188+N190+N192+N194+N197</f>
        <v>396564119.33999997</v>
      </c>
      <c r="O166" s="33">
        <f>O171+O173+O175+O177+O180+O184+O182+O186+O188+O190+O192+O194+O197</f>
        <v>8093145.2999999989</v>
      </c>
      <c r="P166" s="28">
        <f>Q166+R166</f>
        <v>404657264.63999999</v>
      </c>
      <c r="Q166" s="32">
        <f>Q171+Q173+Q175+Q177+Q180+Q184+Q182+Q186+Q188+Q190+Q192+Q194+Q197</f>
        <v>396564119.33999997</v>
      </c>
      <c r="R166" s="33">
        <f>R171+R173+R175+R177+R180+R184+R182+R186+R188+R190+R192+R194+R197</f>
        <v>8093145.2999999989</v>
      </c>
      <c r="S166" s="28">
        <f>T166+U166</f>
        <v>404657264.64000005</v>
      </c>
      <c r="T166" s="32">
        <f>T171+T173+T175+T177+T180+T184+T182+T186+T188+T190+T192+T194+T197</f>
        <v>396564119.31000006</v>
      </c>
      <c r="U166" s="33">
        <f>U171+U173+U175+U177+U180+U184+U182+U186+U188+U190+U192+U194+U197</f>
        <v>8093145.3300000001</v>
      </c>
      <c r="V166" s="47">
        <f t="shared" si="64"/>
        <v>56.267988029386331</v>
      </c>
      <c r="W166" s="48">
        <f t="shared" si="65"/>
        <v>100.00000000000003</v>
      </c>
    </row>
    <row r="167" spans="1:23">
      <c r="A167" s="103" t="s">
        <v>8</v>
      </c>
      <c r="B167" s="103"/>
      <c r="C167" s="103"/>
      <c r="D167" s="103"/>
      <c r="E167" s="103"/>
      <c r="F167" s="104"/>
      <c r="G167" s="28">
        <f t="shared" si="84"/>
        <v>62177695.739999995</v>
      </c>
      <c r="H167" s="32">
        <f t="shared" ref="H167:I167" si="85">H178+H195</f>
        <v>0</v>
      </c>
      <c r="I167" s="33">
        <f t="shared" si="85"/>
        <v>62177695.739999995</v>
      </c>
      <c r="J167" s="28">
        <f t="shared" ref="J167:J168" si="86">K167+L167</f>
        <v>62177695.739999995</v>
      </c>
      <c r="K167" s="32">
        <f t="shared" ref="K167:L167" si="87">K178+K195</f>
        <v>0</v>
      </c>
      <c r="L167" s="33">
        <f t="shared" si="87"/>
        <v>62177695.739999995</v>
      </c>
      <c r="M167" s="28">
        <f t="shared" ref="M167:M168" si="88">N167+O167</f>
        <v>42756507.07</v>
      </c>
      <c r="N167" s="32">
        <f t="shared" ref="N167:O167" si="89">N178+N195</f>
        <v>0</v>
      </c>
      <c r="O167" s="33">
        <f t="shared" si="89"/>
        <v>42756507.07</v>
      </c>
      <c r="P167" s="28">
        <f t="shared" ref="P167:P168" si="90">Q167+R167</f>
        <v>42756507.07</v>
      </c>
      <c r="Q167" s="32">
        <f t="shared" ref="Q167:R167" si="91">Q178+Q195</f>
        <v>0</v>
      </c>
      <c r="R167" s="33">
        <f t="shared" si="91"/>
        <v>42756507.07</v>
      </c>
      <c r="S167" s="28">
        <f t="shared" ref="S167:S168" si="92">T167+U167</f>
        <v>42756507.07</v>
      </c>
      <c r="T167" s="32">
        <f t="shared" ref="T167:U167" si="93">T178+T195</f>
        <v>0</v>
      </c>
      <c r="U167" s="33">
        <f t="shared" si="93"/>
        <v>42756507.07</v>
      </c>
      <c r="V167" s="47">
        <f t="shared" si="64"/>
        <v>68.76502347206474</v>
      </c>
      <c r="W167" s="48">
        <f t="shared" si="65"/>
        <v>100</v>
      </c>
    </row>
    <row r="168" spans="1:23">
      <c r="A168" s="103" t="s">
        <v>181</v>
      </c>
      <c r="B168" s="103"/>
      <c r="C168" s="103"/>
      <c r="D168" s="103"/>
      <c r="E168" s="103"/>
      <c r="F168" s="104"/>
      <c r="G168" s="28">
        <f t="shared" si="84"/>
        <v>781338410.04999995</v>
      </c>
      <c r="H168" s="32">
        <f t="shared" ref="H168:I168" si="94">H165</f>
        <v>704777500</v>
      </c>
      <c r="I168" s="33">
        <f t="shared" si="94"/>
        <v>76560910.049999997</v>
      </c>
      <c r="J168" s="28">
        <f t="shared" si="86"/>
        <v>781338410.04999995</v>
      </c>
      <c r="K168" s="32">
        <f t="shared" ref="K168:L168" si="95">K165</f>
        <v>704777499.99000001</v>
      </c>
      <c r="L168" s="33">
        <f t="shared" si="95"/>
        <v>76560910.060000002</v>
      </c>
      <c r="M168" s="28">
        <f t="shared" si="88"/>
        <v>447413771.70999998</v>
      </c>
      <c r="N168" s="32">
        <f t="shared" ref="N168:O168" si="96">N165</f>
        <v>396564119.33999997</v>
      </c>
      <c r="O168" s="33">
        <f t="shared" si="96"/>
        <v>50849652.369999997</v>
      </c>
      <c r="P168" s="28">
        <f t="shared" si="90"/>
        <v>447413771.70999998</v>
      </c>
      <c r="Q168" s="32">
        <f t="shared" ref="Q168:R168" si="97">Q165</f>
        <v>396564119.33999997</v>
      </c>
      <c r="R168" s="33">
        <f t="shared" si="97"/>
        <v>50849652.369999997</v>
      </c>
      <c r="S168" s="28">
        <f t="shared" si="92"/>
        <v>447413771.71000004</v>
      </c>
      <c r="T168" s="32">
        <f t="shared" ref="T168:U168" si="98">T165</f>
        <v>396564119.31000006</v>
      </c>
      <c r="U168" s="33">
        <f t="shared" si="98"/>
        <v>50849652.399999999</v>
      </c>
      <c r="V168" s="47">
        <f t="shared" si="64"/>
        <v>57.262482677815477</v>
      </c>
      <c r="W168" s="48">
        <f t="shared" si="65"/>
        <v>100.00000000000003</v>
      </c>
    </row>
    <row r="169" spans="1:23" s="13" customFormat="1" ht="33" customHeight="1">
      <c r="A169" s="141" t="s">
        <v>126</v>
      </c>
      <c r="B169" s="141"/>
      <c r="C169" s="141"/>
      <c r="D169" s="141"/>
      <c r="E169" s="141"/>
      <c r="F169" s="142"/>
      <c r="G169" s="34">
        <f>H169+I169</f>
        <v>781338410.04999995</v>
      </c>
      <c r="H169" s="35">
        <f>H170+H172+H174+H176+H179+H183+H185+H187+H189+H191+H193+H196</f>
        <v>704777500</v>
      </c>
      <c r="I169" s="36">
        <f>I170+I172+I174+I176+I178+I179+I183+I185+I187+I189+I191+I193+I196+I195</f>
        <v>76560910.050000012</v>
      </c>
      <c r="J169" s="34">
        <f>K169+L169</f>
        <v>781338410.04999995</v>
      </c>
      <c r="K169" s="35">
        <f>K170+K172+K174+K176+K179+K183+K185+K187+K189+K191+K193+K196</f>
        <v>704777499.99000001</v>
      </c>
      <c r="L169" s="36">
        <f>L170+L172+L174+L176+L178+L179+L183+L185+L187+L189+L191+L193+L196+L195</f>
        <v>76560910.060000002</v>
      </c>
      <c r="M169" s="34">
        <f>N169+O169</f>
        <v>447413771.70999998</v>
      </c>
      <c r="N169" s="35">
        <f>N170+N172+N174+N176+N179+N183+N185+N187+N189+N191+N193+N196</f>
        <v>396564119.33999997</v>
      </c>
      <c r="O169" s="36">
        <f>O170+O172+O174+O176+O178+O179+O183+O185+O187+O189+O191+O193+O196+O195</f>
        <v>50849652.36999999</v>
      </c>
      <c r="P169" s="34">
        <f>Q169+R169</f>
        <v>447413771.70999998</v>
      </c>
      <c r="Q169" s="35">
        <f>Q170+Q172+Q174+Q176+Q179+Q183+Q185+Q187+Q189+Q191+Q193+Q196</f>
        <v>396564119.33999997</v>
      </c>
      <c r="R169" s="36">
        <f>R170+R172+R174+R176+R178+R179+R183+R185+R187+R189+R191+R193+R196+R195</f>
        <v>50849652.36999999</v>
      </c>
      <c r="S169" s="34">
        <f>T169+U169</f>
        <v>447413771.71000004</v>
      </c>
      <c r="T169" s="35">
        <f>T170+T172+T174+T176+T179+T183+T185+T187+T189+T191+T193+T196</f>
        <v>396564119.31000006</v>
      </c>
      <c r="U169" s="36">
        <f>U170+U172+U174+U176+U178+U179+U183+U185+U187+U189+U191+U193+U196+U195</f>
        <v>50849652.400000006</v>
      </c>
      <c r="V169" s="50">
        <f t="shared" si="64"/>
        <v>57.262482677815477</v>
      </c>
      <c r="W169" s="51">
        <f t="shared" si="65"/>
        <v>100.00000000000003</v>
      </c>
    </row>
    <row r="170" spans="1:23" ht="75.75" customHeight="1">
      <c r="A170" s="7" t="s">
        <v>182</v>
      </c>
      <c r="B170" s="5" t="s">
        <v>13</v>
      </c>
      <c r="C170" s="5" t="s">
        <v>13</v>
      </c>
      <c r="D170" s="5" t="s">
        <v>183</v>
      </c>
      <c r="E170" s="5" t="s">
        <v>93</v>
      </c>
      <c r="F170" s="55" t="s">
        <v>21</v>
      </c>
      <c r="G170" s="28">
        <v>56228061.229999997</v>
      </c>
      <c r="H170" s="32">
        <v>55103500</v>
      </c>
      <c r="I170" s="33">
        <v>1124561.23</v>
      </c>
      <c r="J170" s="28">
        <f>K170+L170</f>
        <v>56228061.229999997</v>
      </c>
      <c r="K170" s="32">
        <f>K171</f>
        <v>55103500</v>
      </c>
      <c r="L170" s="33">
        <f>L171</f>
        <v>1124561.23</v>
      </c>
      <c r="M170" s="28">
        <f t="shared" ref="M170:M186" si="99">N170+O170</f>
        <v>16227477.42</v>
      </c>
      <c r="N170" s="32">
        <f>N171</f>
        <v>15902927.880000001</v>
      </c>
      <c r="O170" s="33">
        <f>O171</f>
        <v>324549.53999999998</v>
      </c>
      <c r="P170" s="28">
        <f>Q170+R170</f>
        <v>16227477.42</v>
      </c>
      <c r="Q170" s="32">
        <f>Q171</f>
        <v>15902927.880000001</v>
      </c>
      <c r="R170" s="33">
        <f>R171</f>
        <v>324549.53999999998</v>
      </c>
      <c r="S170" s="28">
        <f>T170+U170</f>
        <v>16227477.42</v>
      </c>
      <c r="T170" s="32">
        <f>T171</f>
        <v>15902927.869999999</v>
      </c>
      <c r="U170" s="33">
        <f>U171</f>
        <v>324549.55</v>
      </c>
      <c r="V170" s="47">
        <f t="shared" si="64"/>
        <v>28.860104839150967</v>
      </c>
      <c r="W170" s="48">
        <f t="shared" si="65"/>
        <v>100</v>
      </c>
    </row>
    <row r="171" spans="1:23">
      <c r="A171" s="7" t="s">
        <v>184</v>
      </c>
      <c r="B171" s="5" t="s">
        <v>185</v>
      </c>
      <c r="C171" s="7"/>
      <c r="D171" s="7"/>
      <c r="E171" s="7"/>
      <c r="F171" s="56"/>
      <c r="G171" s="28">
        <v>56228061.229999997</v>
      </c>
      <c r="H171" s="32">
        <v>55103500</v>
      </c>
      <c r="I171" s="33">
        <v>1124561.23</v>
      </c>
      <c r="J171" s="28">
        <f t="shared" ref="J171:J197" si="100">K171+L171</f>
        <v>56228061.229999997</v>
      </c>
      <c r="K171" s="32">
        <v>55103500</v>
      </c>
      <c r="L171" s="33">
        <v>1124561.23</v>
      </c>
      <c r="M171" s="28">
        <f t="shared" si="99"/>
        <v>16227477.42</v>
      </c>
      <c r="N171" s="32">
        <v>15902927.880000001</v>
      </c>
      <c r="O171" s="33">
        <v>324549.53999999998</v>
      </c>
      <c r="P171" s="28">
        <f t="shared" ref="P171:P197" si="101">Q171+R171</f>
        <v>16227477.42</v>
      </c>
      <c r="Q171" s="32">
        <v>15902927.880000001</v>
      </c>
      <c r="R171" s="33">
        <v>324549.53999999998</v>
      </c>
      <c r="S171" s="28">
        <f t="shared" ref="S171:S197" si="102">T171+U171</f>
        <v>16227477.42</v>
      </c>
      <c r="T171" s="32">
        <v>15902927.869999999</v>
      </c>
      <c r="U171" s="33">
        <v>324549.55</v>
      </c>
      <c r="V171" s="47">
        <f t="shared" si="64"/>
        <v>28.860104839150967</v>
      </c>
      <c r="W171" s="48">
        <f t="shared" si="65"/>
        <v>100</v>
      </c>
    </row>
    <row r="172" spans="1:23" ht="105">
      <c r="A172" s="7" t="s">
        <v>186</v>
      </c>
      <c r="B172" s="5" t="s">
        <v>13</v>
      </c>
      <c r="C172" s="5" t="s">
        <v>13</v>
      </c>
      <c r="D172" s="5" t="s">
        <v>106</v>
      </c>
      <c r="E172" s="5" t="s">
        <v>187</v>
      </c>
      <c r="F172" s="55">
        <v>2022</v>
      </c>
      <c r="G172" s="28">
        <v>22634183.68</v>
      </c>
      <c r="H172" s="32">
        <v>22181500</v>
      </c>
      <c r="I172" s="33">
        <v>452683.68</v>
      </c>
      <c r="J172" s="28">
        <f t="shared" si="100"/>
        <v>22634183.68</v>
      </c>
      <c r="K172" s="32">
        <f>K173</f>
        <v>22181500</v>
      </c>
      <c r="L172" s="33">
        <f>L173</f>
        <v>452683.68</v>
      </c>
      <c r="M172" s="28">
        <f t="shared" si="99"/>
        <v>8714645.6799999997</v>
      </c>
      <c r="N172" s="32">
        <f>N173</f>
        <v>8540352.75</v>
      </c>
      <c r="O172" s="33">
        <f>O173</f>
        <v>174292.93</v>
      </c>
      <c r="P172" s="28">
        <f t="shared" si="101"/>
        <v>8714645.6799999997</v>
      </c>
      <c r="Q172" s="32">
        <f>Q173</f>
        <v>8540352.75</v>
      </c>
      <c r="R172" s="33">
        <f>R173</f>
        <v>174292.93</v>
      </c>
      <c r="S172" s="28">
        <f t="shared" si="102"/>
        <v>8714645.6799999997</v>
      </c>
      <c r="T172" s="32">
        <f>T173</f>
        <v>8540352.7599999998</v>
      </c>
      <c r="U172" s="33">
        <f>U173</f>
        <v>174292.92</v>
      </c>
      <c r="V172" s="47">
        <f t="shared" si="64"/>
        <v>38.502142614051635</v>
      </c>
      <c r="W172" s="48">
        <f t="shared" si="65"/>
        <v>100</v>
      </c>
    </row>
    <row r="173" spans="1:23">
      <c r="A173" s="7" t="s">
        <v>184</v>
      </c>
      <c r="B173" s="5" t="s">
        <v>185</v>
      </c>
      <c r="C173" s="7"/>
      <c r="D173" s="7"/>
      <c r="E173" s="7"/>
      <c r="F173" s="56"/>
      <c r="G173" s="28">
        <v>22634183.68</v>
      </c>
      <c r="H173" s="32">
        <v>22181500</v>
      </c>
      <c r="I173" s="33">
        <v>452683.68</v>
      </c>
      <c r="J173" s="28">
        <f t="shared" si="100"/>
        <v>22634183.68</v>
      </c>
      <c r="K173" s="32">
        <v>22181500</v>
      </c>
      <c r="L173" s="33">
        <v>452683.68</v>
      </c>
      <c r="M173" s="28">
        <f t="shared" si="99"/>
        <v>8714645.6799999997</v>
      </c>
      <c r="N173" s="32">
        <v>8540352.75</v>
      </c>
      <c r="O173" s="33">
        <v>174292.93</v>
      </c>
      <c r="P173" s="28">
        <f t="shared" si="101"/>
        <v>8714645.6799999997</v>
      </c>
      <c r="Q173" s="32">
        <v>8540352.75</v>
      </c>
      <c r="R173" s="33">
        <v>174292.93</v>
      </c>
      <c r="S173" s="28">
        <f t="shared" si="102"/>
        <v>8714645.6799999997</v>
      </c>
      <c r="T173" s="32">
        <v>8540352.7599999998</v>
      </c>
      <c r="U173" s="33">
        <v>174292.92</v>
      </c>
      <c r="V173" s="47">
        <f t="shared" si="64"/>
        <v>38.502142614051635</v>
      </c>
      <c r="W173" s="48">
        <f t="shared" si="65"/>
        <v>100</v>
      </c>
    </row>
    <row r="174" spans="1:23" ht="88.5" customHeight="1">
      <c r="A174" s="7" t="s">
        <v>188</v>
      </c>
      <c r="B174" s="5" t="s">
        <v>13</v>
      </c>
      <c r="C174" s="5" t="s">
        <v>13</v>
      </c>
      <c r="D174" s="5" t="s">
        <v>189</v>
      </c>
      <c r="E174" s="5" t="s">
        <v>187</v>
      </c>
      <c r="F174" s="55" t="s">
        <v>21</v>
      </c>
      <c r="G174" s="28">
        <f>H174+I174</f>
        <v>32276428.57</v>
      </c>
      <c r="H174" s="32">
        <f>H175</f>
        <v>31630900</v>
      </c>
      <c r="I174" s="32">
        <f>I175</f>
        <v>645528.56999999995</v>
      </c>
      <c r="J174" s="28">
        <f t="shared" si="100"/>
        <v>32276428.57</v>
      </c>
      <c r="K174" s="32">
        <f>K175</f>
        <v>31630900</v>
      </c>
      <c r="L174" s="33">
        <f>L175</f>
        <v>645528.56999999995</v>
      </c>
      <c r="M174" s="28">
        <f t="shared" si="99"/>
        <v>21202220.710000001</v>
      </c>
      <c r="N174" s="32">
        <f>N175</f>
        <v>20778176.32</v>
      </c>
      <c r="O174" s="33">
        <f>O175</f>
        <v>424044.39</v>
      </c>
      <c r="P174" s="28">
        <f t="shared" si="101"/>
        <v>21202220.710000001</v>
      </c>
      <c r="Q174" s="32">
        <f>Q175</f>
        <v>20778176.32</v>
      </c>
      <c r="R174" s="33">
        <f>R175</f>
        <v>424044.39</v>
      </c>
      <c r="S174" s="28">
        <f t="shared" si="102"/>
        <v>21202220.710000001</v>
      </c>
      <c r="T174" s="32">
        <f>T175</f>
        <v>20778176.280000001</v>
      </c>
      <c r="U174" s="33">
        <f>U175</f>
        <v>424044.43</v>
      </c>
      <c r="V174" s="47">
        <f t="shared" si="64"/>
        <v>65.689488116745508</v>
      </c>
      <c r="W174" s="48">
        <f t="shared" si="65"/>
        <v>100</v>
      </c>
    </row>
    <row r="175" spans="1:23">
      <c r="A175" s="7" t="s">
        <v>184</v>
      </c>
      <c r="B175" s="5" t="s">
        <v>185</v>
      </c>
      <c r="C175" s="7"/>
      <c r="D175" s="7"/>
      <c r="E175" s="7"/>
      <c r="F175" s="56"/>
      <c r="G175" s="28">
        <f>H175+I175</f>
        <v>32276428.57</v>
      </c>
      <c r="H175" s="32">
        <v>31630900</v>
      </c>
      <c r="I175" s="33">
        <v>645528.56999999995</v>
      </c>
      <c r="J175" s="28">
        <f t="shared" si="100"/>
        <v>32276428.57</v>
      </c>
      <c r="K175" s="32">
        <v>31630900</v>
      </c>
      <c r="L175" s="33">
        <v>645528.56999999995</v>
      </c>
      <c r="M175" s="28">
        <f t="shared" si="99"/>
        <v>21202220.710000001</v>
      </c>
      <c r="N175" s="32">
        <v>20778176.32</v>
      </c>
      <c r="O175" s="33">
        <v>424044.39</v>
      </c>
      <c r="P175" s="28">
        <f t="shared" si="101"/>
        <v>21202220.710000001</v>
      </c>
      <c r="Q175" s="32">
        <v>20778176.32</v>
      </c>
      <c r="R175" s="33">
        <v>424044.39</v>
      </c>
      <c r="S175" s="28">
        <f t="shared" si="102"/>
        <v>21202220.710000001</v>
      </c>
      <c r="T175" s="32">
        <v>20778176.280000001</v>
      </c>
      <c r="U175" s="33">
        <v>424044.43</v>
      </c>
      <c r="V175" s="47">
        <f t="shared" si="64"/>
        <v>65.689488116745508</v>
      </c>
      <c r="W175" s="48">
        <f t="shared" si="65"/>
        <v>100</v>
      </c>
    </row>
    <row r="176" spans="1:23" ht="105">
      <c r="A176" s="7" t="s">
        <v>190</v>
      </c>
      <c r="B176" s="5" t="s">
        <v>13</v>
      </c>
      <c r="C176" s="5" t="s">
        <v>13</v>
      </c>
      <c r="D176" s="5" t="s">
        <v>191</v>
      </c>
      <c r="E176" s="5" t="s">
        <v>187</v>
      </c>
      <c r="F176" s="55" t="s">
        <v>21</v>
      </c>
      <c r="G176" s="28">
        <f>H176+I176</f>
        <v>29968775.510000002</v>
      </c>
      <c r="H176" s="32">
        <f>H177</f>
        <v>29369400</v>
      </c>
      <c r="I176" s="33">
        <f>I177</f>
        <v>599375.51</v>
      </c>
      <c r="J176" s="28">
        <f t="shared" si="100"/>
        <v>29968775.510000002</v>
      </c>
      <c r="K176" s="32">
        <f>K177</f>
        <v>29369400</v>
      </c>
      <c r="L176" s="33">
        <f>L177</f>
        <v>599375.51</v>
      </c>
      <c r="M176" s="28">
        <f t="shared" si="99"/>
        <v>13443102.069999998</v>
      </c>
      <c r="N176" s="32">
        <f>N177</f>
        <v>13174240.029999999</v>
      </c>
      <c r="O176" s="33">
        <f>O177</f>
        <v>268862.03999999998</v>
      </c>
      <c r="P176" s="28">
        <f t="shared" si="101"/>
        <v>13443102.069999998</v>
      </c>
      <c r="Q176" s="32">
        <f>Q177</f>
        <v>13174240.029999999</v>
      </c>
      <c r="R176" s="33">
        <f>R177</f>
        <v>268862.03999999998</v>
      </c>
      <c r="S176" s="28">
        <f t="shared" si="102"/>
        <v>13443102.069999998</v>
      </c>
      <c r="T176" s="32">
        <f>T177</f>
        <v>13174240.029999999</v>
      </c>
      <c r="U176" s="33">
        <f>U177</f>
        <v>268862.03999999998</v>
      </c>
      <c r="V176" s="47">
        <f t="shared" si="64"/>
        <v>44.857028160907994</v>
      </c>
      <c r="W176" s="48">
        <f t="shared" si="65"/>
        <v>100</v>
      </c>
    </row>
    <row r="177" spans="1:23">
      <c r="A177" s="7" t="s">
        <v>184</v>
      </c>
      <c r="B177" s="5" t="s">
        <v>185</v>
      </c>
      <c r="C177" s="7"/>
      <c r="D177" s="7"/>
      <c r="E177" s="7"/>
      <c r="F177" s="56"/>
      <c r="G177" s="28">
        <f>H177+I177</f>
        <v>29968775.510000002</v>
      </c>
      <c r="H177" s="32">
        <v>29369400</v>
      </c>
      <c r="I177" s="33">
        <v>599375.51</v>
      </c>
      <c r="J177" s="28">
        <f t="shared" si="100"/>
        <v>29968775.510000002</v>
      </c>
      <c r="K177" s="32">
        <v>29369400</v>
      </c>
      <c r="L177" s="33">
        <v>599375.51</v>
      </c>
      <c r="M177" s="28">
        <f t="shared" si="99"/>
        <v>13443102.069999998</v>
      </c>
      <c r="N177" s="32">
        <v>13174240.029999999</v>
      </c>
      <c r="O177" s="33">
        <v>268862.03999999998</v>
      </c>
      <c r="P177" s="28">
        <f t="shared" si="101"/>
        <v>13443102.069999998</v>
      </c>
      <c r="Q177" s="32">
        <v>13174240.029999999</v>
      </c>
      <c r="R177" s="33">
        <v>268862.03999999998</v>
      </c>
      <c r="S177" s="28">
        <f t="shared" si="102"/>
        <v>13443102.069999998</v>
      </c>
      <c r="T177" s="32">
        <v>13174240.029999999</v>
      </c>
      <c r="U177" s="33">
        <v>268862.03999999998</v>
      </c>
      <c r="V177" s="47">
        <f t="shared" si="64"/>
        <v>44.857028160907994</v>
      </c>
      <c r="W177" s="48">
        <f t="shared" si="65"/>
        <v>100</v>
      </c>
    </row>
    <row r="178" spans="1:23" s="3" customFormat="1" ht="75.75" customHeight="1">
      <c r="A178" s="9" t="s">
        <v>192</v>
      </c>
      <c r="B178" s="10" t="s">
        <v>13</v>
      </c>
      <c r="C178" s="10" t="s">
        <v>13</v>
      </c>
      <c r="D178" s="10" t="s">
        <v>193</v>
      </c>
      <c r="E178" s="10" t="s">
        <v>194</v>
      </c>
      <c r="F178" s="57">
        <v>2022</v>
      </c>
      <c r="G178" s="28">
        <f>I178</f>
        <v>26613426.84</v>
      </c>
      <c r="H178" s="32"/>
      <c r="I178" s="33">
        <v>26613426.84</v>
      </c>
      <c r="J178" s="28">
        <f t="shared" si="100"/>
        <v>26613426.84</v>
      </c>
      <c r="K178" s="32"/>
      <c r="L178" s="52">
        <v>26613426.84</v>
      </c>
      <c r="M178" s="28">
        <f t="shared" si="99"/>
        <v>26613426.84</v>
      </c>
      <c r="N178" s="32"/>
      <c r="O178" s="52">
        <v>26613426.84</v>
      </c>
      <c r="P178" s="28">
        <f t="shared" si="101"/>
        <v>26613426.84</v>
      </c>
      <c r="Q178" s="32"/>
      <c r="R178" s="52">
        <v>26613426.84</v>
      </c>
      <c r="S178" s="28">
        <f t="shared" si="102"/>
        <v>26613426.84</v>
      </c>
      <c r="T178" s="32"/>
      <c r="U178" s="53">
        <v>26613426.84</v>
      </c>
      <c r="V178" s="47">
        <f t="shared" si="64"/>
        <v>100</v>
      </c>
      <c r="W178" s="48">
        <f t="shared" si="65"/>
        <v>100</v>
      </c>
    </row>
    <row r="179" spans="1:23" ht="75">
      <c r="A179" s="7" t="s">
        <v>195</v>
      </c>
      <c r="B179" s="5" t="s">
        <v>13</v>
      </c>
      <c r="C179" s="5" t="s">
        <v>13</v>
      </c>
      <c r="D179" s="5" t="s">
        <v>196</v>
      </c>
      <c r="E179" s="5" t="s">
        <v>197</v>
      </c>
      <c r="F179" s="55" t="s">
        <v>68</v>
      </c>
      <c r="G179" s="28">
        <f>H179+I179</f>
        <v>159704693.87</v>
      </c>
      <c r="H179" s="32">
        <f>H180</f>
        <v>156510600</v>
      </c>
      <c r="I179" s="33">
        <f>I180</f>
        <v>3194093.87</v>
      </c>
      <c r="J179" s="28">
        <f t="shared" si="100"/>
        <v>159704693.87</v>
      </c>
      <c r="K179" s="32">
        <f>K180</f>
        <v>156510600</v>
      </c>
      <c r="L179" s="33">
        <f>L180</f>
        <v>3194093.87</v>
      </c>
      <c r="M179" s="28">
        <f t="shared" si="99"/>
        <v>104132535.92999999</v>
      </c>
      <c r="N179" s="32">
        <f>N180</f>
        <v>102049885.22</v>
      </c>
      <c r="O179" s="33">
        <f>O180</f>
        <v>2082650.71</v>
      </c>
      <c r="P179" s="28">
        <f t="shared" si="101"/>
        <v>104132535.92999999</v>
      </c>
      <c r="Q179" s="32">
        <f>Q180</f>
        <v>102049885.22</v>
      </c>
      <c r="R179" s="33">
        <f>R180</f>
        <v>2082650.71</v>
      </c>
      <c r="S179" s="28">
        <f t="shared" si="102"/>
        <v>104132535.92999999</v>
      </c>
      <c r="T179" s="32">
        <f>T180</f>
        <v>102049885.20999999</v>
      </c>
      <c r="U179" s="54">
        <f>U180</f>
        <v>2082650.72</v>
      </c>
      <c r="V179" s="47">
        <f t="shared" si="64"/>
        <v>65.203178069871953</v>
      </c>
      <c r="W179" s="48">
        <f t="shared" si="65"/>
        <v>100</v>
      </c>
    </row>
    <row r="180" spans="1:23">
      <c r="A180" s="7" t="s">
        <v>184</v>
      </c>
      <c r="B180" s="5" t="s">
        <v>185</v>
      </c>
      <c r="C180" s="7"/>
      <c r="D180" s="7"/>
      <c r="E180" s="7"/>
      <c r="F180" s="56"/>
      <c r="G180" s="28">
        <f>H180+I180</f>
        <v>159704693.87</v>
      </c>
      <c r="H180" s="32">
        <v>156510600</v>
      </c>
      <c r="I180" s="33">
        <v>3194093.87</v>
      </c>
      <c r="J180" s="28">
        <f t="shared" si="100"/>
        <v>159704693.87</v>
      </c>
      <c r="K180" s="32">
        <v>156510600</v>
      </c>
      <c r="L180" s="33">
        <v>3194093.87</v>
      </c>
      <c r="M180" s="28">
        <f t="shared" si="99"/>
        <v>104132535.92999999</v>
      </c>
      <c r="N180" s="32">
        <v>102049885.22</v>
      </c>
      <c r="O180" s="33">
        <v>2082650.71</v>
      </c>
      <c r="P180" s="28">
        <f t="shared" si="101"/>
        <v>104132535.92999999</v>
      </c>
      <c r="Q180" s="32">
        <v>102049885.22</v>
      </c>
      <c r="R180" s="33">
        <v>2082650.71</v>
      </c>
      <c r="S180" s="28">
        <f t="shared" si="102"/>
        <v>104132535.92999999</v>
      </c>
      <c r="T180" s="32">
        <v>102049885.20999999</v>
      </c>
      <c r="U180" s="33">
        <v>2082650.72</v>
      </c>
      <c r="V180" s="47">
        <f t="shared" si="64"/>
        <v>65.203178069871953</v>
      </c>
      <c r="W180" s="48">
        <f t="shared" si="65"/>
        <v>100</v>
      </c>
    </row>
    <row r="181" spans="1:23" ht="61.5" customHeight="1">
      <c r="A181" s="7" t="s">
        <v>198</v>
      </c>
      <c r="B181" s="5" t="s">
        <v>13</v>
      </c>
      <c r="C181" s="5" t="s">
        <v>13</v>
      </c>
      <c r="D181" s="5" t="s">
        <v>199</v>
      </c>
      <c r="E181" s="5" t="s">
        <v>120</v>
      </c>
      <c r="F181" s="55" t="s">
        <v>21</v>
      </c>
      <c r="G181" s="28"/>
      <c r="H181" s="32"/>
      <c r="I181" s="33"/>
      <c r="J181" s="28">
        <f t="shared" si="100"/>
        <v>0</v>
      </c>
      <c r="K181" s="32"/>
      <c r="L181" s="33"/>
      <c r="M181" s="28">
        <f t="shared" si="99"/>
        <v>0</v>
      </c>
      <c r="N181" s="32"/>
      <c r="O181" s="33"/>
      <c r="P181" s="28">
        <f t="shared" si="101"/>
        <v>0</v>
      </c>
      <c r="Q181" s="32"/>
      <c r="R181" s="33"/>
      <c r="S181" s="28">
        <f t="shared" si="102"/>
        <v>0</v>
      </c>
      <c r="T181" s="32"/>
      <c r="U181" s="33"/>
      <c r="V181" s="47">
        <v>0</v>
      </c>
      <c r="W181" s="48">
        <v>0</v>
      </c>
    </row>
    <row r="182" spans="1:23">
      <c r="A182" s="7" t="s">
        <v>184</v>
      </c>
      <c r="B182" s="5" t="s">
        <v>185</v>
      </c>
      <c r="C182" s="7"/>
      <c r="D182" s="7"/>
      <c r="E182" s="7"/>
      <c r="F182" s="56"/>
      <c r="G182" s="28"/>
      <c r="H182" s="32"/>
      <c r="I182" s="33"/>
      <c r="J182" s="28">
        <f t="shared" si="100"/>
        <v>0</v>
      </c>
      <c r="K182" s="32"/>
      <c r="L182" s="33"/>
      <c r="M182" s="28">
        <f t="shared" si="99"/>
        <v>0</v>
      </c>
      <c r="N182" s="32"/>
      <c r="O182" s="33"/>
      <c r="P182" s="28">
        <f t="shared" si="101"/>
        <v>0</v>
      </c>
      <c r="Q182" s="32"/>
      <c r="R182" s="33"/>
      <c r="S182" s="28">
        <f t="shared" si="102"/>
        <v>0</v>
      </c>
      <c r="T182" s="32"/>
      <c r="U182" s="33"/>
      <c r="V182" s="47">
        <v>0</v>
      </c>
      <c r="W182" s="48">
        <v>0</v>
      </c>
    </row>
    <row r="183" spans="1:23" ht="90" customHeight="1">
      <c r="A183" s="7" t="s">
        <v>200</v>
      </c>
      <c r="B183" s="5" t="s">
        <v>13</v>
      </c>
      <c r="C183" s="5" t="s">
        <v>13</v>
      </c>
      <c r="D183" s="5" t="s">
        <v>201</v>
      </c>
      <c r="E183" s="5" t="s">
        <v>93</v>
      </c>
      <c r="F183" s="55" t="s">
        <v>68</v>
      </c>
      <c r="G183" s="28">
        <f t="shared" ref="G183:G188" si="103">H183+I183</f>
        <v>49836530.619999997</v>
      </c>
      <c r="H183" s="32">
        <v>48839800</v>
      </c>
      <c r="I183" s="33">
        <v>996730.62</v>
      </c>
      <c r="J183" s="28">
        <f t="shared" si="100"/>
        <v>49836530.619999997</v>
      </c>
      <c r="K183" s="32">
        <f>K184</f>
        <v>48839800</v>
      </c>
      <c r="L183" s="33">
        <f>L184</f>
        <v>996730.62</v>
      </c>
      <c r="M183" s="28">
        <f t="shared" si="99"/>
        <v>47742288.520000003</v>
      </c>
      <c r="N183" s="32">
        <f>N184</f>
        <v>46787442.75</v>
      </c>
      <c r="O183" s="33">
        <f>O184</f>
        <v>954845.77</v>
      </c>
      <c r="P183" s="28">
        <f t="shared" si="101"/>
        <v>47742288.520000003</v>
      </c>
      <c r="Q183" s="32">
        <f>Q184</f>
        <v>46787442.75</v>
      </c>
      <c r="R183" s="33">
        <f>R184</f>
        <v>954845.77</v>
      </c>
      <c r="S183" s="28">
        <f t="shared" si="102"/>
        <v>47742288.520000003</v>
      </c>
      <c r="T183" s="32">
        <f>T184</f>
        <v>46787442.740000002</v>
      </c>
      <c r="U183" s="33">
        <f>U184</f>
        <v>954845.78</v>
      </c>
      <c r="V183" s="47">
        <f t="shared" si="64"/>
        <v>95.797777104573271</v>
      </c>
      <c r="W183" s="48">
        <f t="shared" si="65"/>
        <v>100</v>
      </c>
    </row>
    <row r="184" spans="1:23">
      <c r="A184" s="7" t="s">
        <v>184</v>
      </c>
      <c r="B184" s="5" t="s">
        <v>185</v>
      </c>
      <c r="C184" s="7"/>
      <c r="D184" s="7"/>
      <c r="E184" s="7"/>
      <c r="F184" s="56"/>
      <c r="G184" s="28">
        <f t="shared" si="103"/>
        <v>49836530.619999997</v>
      </c>
      <c r="H184" s="32">
        <v>48839800</v>
      </c>
      <c r="I184" s="33">
        <v>996730.62</v>
      </c>
      <c r="J184" s="28">
        <f t="shared" si="100"/>
        <v>49836530.619999997</v>
      </c>
      <c r="K184" s="32">
        <v>48839800</v>
      </c>
      <c r="L184" s="33">
        <v>996730.62</v>
      </c>
      <c r="M184" s="28">
        <f t="shared" si="99"/>
        <v>47742288.520000003</v>
      </c>
      <c r="N184" s="32">
        <v>46787442.75</v>
      </c>
      <c r="O184" s="33">
        <v>954845.77</v>
      </c>
      <c r="P184" s="28">
        <f t="shared" si="101"/>
        <v>47742288.520000003</v>
      </c>
      <c r="Q184" s="32">
        <v>46787442.75</v>
      </c>
      <c r="R184" s="33">
        <v>954845.77</v>
      </c>
      <c r="S184" s="28">
        <f t="shared" si="102"/>
        <v>47742288.520000003</v>
      </c>
      <c r="T184" s="32">
        <v>46787442.740000002</v>
      </c>
      <c r="U184" s="33">
        <v>954845.78</v>
      </c>
      <c r="V184" s="47">
        <f t="shared" si="64"/>
        <v>95.797777104573271</v>
      </c>
      <c r="W184" s="48">
        <f t="shared" si="65"/>
        <v>100</v>
      </c>
    </row>
    <row r="185" spans="1:23" ht="75">
      <c r="A185" s="7" t="s">
        <v>202</v>
      </c>
      <c r="B185" s="5" t="s">
        <v>13</v>
      </c>
      <c r="C185" s="5" t="s">
        <v>13</v>
      </c>
      <c r="D185" s="5" t="s">
        <v>203</v>
      </c>
      <c r="E185" s="5" t="s">
        <v>204</v>
      </c>
      <c r="F185" s="55" t="s">
        <v>68</v>
      </c>
      <c r="G185" s="28">
        <f t="shared" si="103"/>
        <v>95591938.780000001</v>
      </c>
      <c r="H185" s="32">
        <f>H186</f>
        <v>93680100</v>
      </c>
      <c r="I185" s="33">
        <f>I186</f>
        <v>1911838.78</v>
      </c>
      <c r="J185" s="28">
        <f t="shared" si="100"/>
        <v>95591938.780000001</v>
      </c>
      <c r="K185" s="32">
        <f>K186</f>
        <v>93680100</v>
      </c>
      <c r="L185" s="33">
        <f>L186</f>
        <v>1911838.78</v>
      </c>
      <c r="M185" s="28">
        <f t="shared" si="99"/>
        <v>42838799.240000002</v>
      </c>
      <c r="N185" s="32">
        <f>N186</f>
        <v>41982023.25</v>
      </c>
      <c r="O185" s="33">
        <f>O186</f>
        <v>856775.99</v>
      </c>
      <c r="P185" s="28">
        <f t="shared" si="101"/>
        <v>42838799.240000002</v>
      </c>
      <c r="Q185" s="32">
        <f>Q186</f>
        <v>41982023.25</v>
      </c>
      <c r="R185" s="33">
        <f>R186</f>
        <v>856775.99</v>
      </c>
      <c r="S185" s="28">
        <f t="shared" si="102"/>
        <v>42838799.240000002</v>
      </c>
      <c r="T185" s="32">
        <f>T186</f>
        <v>41982023.25</v>
      </c>
      <c r="U185" s="33">
        <f>U186</f>
        <v>856775.99</v>
      </c>
      <c r="V185" s="47">
        <f t="shared" si="64"/>
        <v>44.814238299519509</v>
      </c>
      <c r="W185" s="48">
        <f t="shared" si="65"/>
        <v>100</v>
      </c>
    </row>
    <row r="186" spans="1:23">
      <c r="A186" s="7" t="s">
        <v>184</v>
      </c>
      <c r="B186" s="5" t="s">
        <v>185</v>
      </c>
      <c r="C186" s="7"/>
      <c r="D186" s="7"/>
      <c r="E186" s="7"/>
      <c r="F186" s="56"/>
      <c r="G186" s="28">
        <f t="shared" si="103"/>
        <v>95591938.780000001</v>
      </c>
      <c r="H186" s="32">
        <v>93680100</v>
      </c>
      <c r="I186" s="33">
        <v>1911838.78</v>
      </c>
      <c r="J186" s="28">
        <f t="shared" si="100"/>
        <v>95591938.780000001</v>
      </c>
      <c r="K186" s="32">
        <v>93680100</v>
      </c>
      <c r="L186" s="33">
        <v>1911838.78</v>
      </c>
      <c r="M186" s="28">
        <f t="shared" si="99"/>
        <v>42838799.240000002</v>
      </c>
      <c r="N186" s="32">
        <v>41982023.25</v>
      </c>
      <c r="O186" s="33">
        <v>856775.99</v>
      </c>
      <c r="P186" s="28">
        <f t="shared" si="101"/>
        <v>42838799.240000002</v>
      </c>
      <c r="Q186" s="32">
        <v>41982023.25</v>
      </c>
      <c r="R186" s="33">
        <v>856775.99</v>
      </c>
      <c r="S186" s="28">
        <f t="shared" si="102"/>
        <v>42838799.240000002</v>
      </c>
      <c r="T186" s="32">
        <v>41982023.25</v>
      </c>
      <c r="U186" s="33">
        <v>856775.99</v>
      </c>
      <c r="V186" s="47">
        <f t="shared" si="64"/>
        <v>44.814238299519509</v>
      </c>
      <c r="W186" s="48">
        <f t="shared" si="65"/>
        <v>100</v>
      </c>
    </row>
    <row r="187" spans="1:23" ht="77.25" customHeight="1">
      <c r="A187" s="7" t="s">
        <v>205</v>
      </c>
      <c r="B187" s="5" t="s">
        <v>13</v>
      </c>
      <c r="C187" s="5" t="s">
        <v>13</v>
      </c>
      <c r="D187" s="5" t="s">
        <v>206</v>
      </c>
      <c r="E187" s="5" t="s">
        <v>207</v>
      </c>
      <c r="F187" s="55" t="s">
        <v>68</v>
      </c>
      <c r="G187" s="28">
        <f t="shared" si="103"/>
        <v>66923265.310000002</v>
      </c>
      <c r="H187" s="32">
        <f>H188</f>
        <v>65584800</v>
      </c>
      <c r="I187" s="33">
        <f>I188</f>
        <v>1338465.31</v>
      </c>
      <c r="J187" s="28">
        <f t="shared" si="100"/>
        <v>66923265.310000002</v>
      </c>
      <c r="K187" s="32">
        <f>K188</f>
        <v>65584800</v>
      </c>
      <c r="L187" s="33">
        <f>L188</f>
        <v>1338465.31</v>
      </c>
      <c r="M187" s="28">
        <f>N187+O187</f>
        <v>34107702.469999999</v>
      </c>
      <c r="N187" s="32">
        <f>N188</f>
        <v>33425548.420000002</v>
      </c>
      <c r="O187" s="33">
        <f>O188</f>
        <v>682154.05</v>
      </c>
      <c r="P187" s="28">
        <f t="shared" si="101"/>
        <v>34107702.469999999</v>
      </c>
      <c r="Q187" s="32">
        <f>Q188</f>
        <v>33425548.420000002</v>
      </c>
      <c r="R187" s="33">
        <f>R188</f>
        <v>682154.05</v>
      </c>
      <c r="S187" s="28">
        <f t="shared" si="102"/>
        <v>34107702.469999999</v>
      </c>
      <c r="T187" s="32">
        <f>T188</f>
        <v>33425548.420000002</v>
      </c>
      <c r="U187" s="33">
        <f>U188</f>
        <v>682154.05</v>
      </c>
      <c r="V187" s="47">
        <f t="shared" si="64"/>
        <v>50.965388960038474</v>
      </c>
      <c r="W187" s="48">
        <f t="shared" si="65"/>
        <v>100</v>
      </c>
    </row>
    <row r="188" spans="1:23">
      <c r="A188" s="7" t="s">
        <v>184</v>
      </c>
      <c r="B188" s="5" t="s">
        <v>185</v>
      </c>
      <c r="C188" s="7"/>
      <c r="D188" s="7"/>
      <c r="E188" s="7"/>
      <c r="F188" s="56"/>
      <c r="G188" s="28">
        <f t="shared" si="103"/>
        <v>66923265.310000002</v>
      </c>
      <c r="H188" s="32">
        <v>65584800</v>
      </c>
      <c r="I188" s="33">
        <v>1338465.31</v>
      </c>
      <c r="J188" s="28">
        <f t="shared" si="100"/>
        <v>66923265.310000002</v>
      </c>
      <c r="K188" s="32">
        <v>65584800</v>
      </c>
      <c r="L188" s="33">
        <v>1338465.31</v>
      </c>
      <c r="M188" s="28">
        <f t="shared" ref="M188:M197" si="104">N188+O188</f>
        <v>34107702.469999999</v>
      </c>
      <c r="N188" s="32">
        <v>33425548.420000002</v>
      </c>
      <c r="O188" s="33">
        <v>682154.05</v>
      </c>
      <c r="P188" s="28">
        <f t="shared" si="101"/>
        <v>34107702.469999999</v>
      </c>
      <c r="Q188" s="32">
        <v>33425548.420000002</v>
      </c>
      <c r="R188" s="33">
        <v>682154.05</v>
      </c>
      <c r="S188" s="28">
        <f t="shared" si="102"/>
        <v>34107702.469999999</v>
      </c>
      <c r="T188" s="32">
        <v>33425548.420000002</v>
      </c>
      <c r="U188" s="33">
        <v>682154.05</v>
      </c>
      <c r="V188" s="47">
        <f t="shared" si="64"/>
        <v>50.965388960038474</v>
      </c>
      <c r="W188" s="48">
        <f t="shared" si="65"/>
        <v>100</v>
      </c>
    </row>
    <row r="189" spans="1:23" ht="75">
      <c r="A189" s="7" t="s">
        <v>208</v>
      </c>
      <c r="B189" s="5" t="s">
        <v>13</v>
      </c>
      <c r="C189" s="5" t="s">
        <v>13</v>
      </c>
      <c r="D189" s="5" t="s">
        <v>209</v>
      </c>
      <c r="E189" s="5" t="s">
        <v>210</v>
      </c>
      <c r="F189" s="55" t="s">
        <v>68</v>
      </c>
      <c r="G189" s="28">
        <v>37428571.43</v>
      </c>
      <c r="H189" s="32">
        <v>36680000</v>
      </c>
      <c r="I189" s="33">
        <v>748571.43</v>
      </c>
      <c r="J189" s="28">
        <f t="shared" si="100"/>
        <v>37428571.43</v>
      </c>
      <c r="K189" s="32">
        <f>K190</f>
        <v>36680000</v>
      </c>
      <c r="L189" s="33">
        <f>L190</f>
        <v>748571.43</v>
      </c>
      <c r="M189" s="28">
        <f t="shared" si="104"/>
        <v>28182539.640000001</v>
      </c>
      <c r="N189" s="32">
        <f>N190</f>
        <v>27618888.84</v>
      </c>
      <c r="O189" s="33">
        <f>O190</f>
        <v>563650.80000000005</v>
      </c>
      <c r="P189" s="28">
        <f t="shared" si="101"/>
        <v>28182539.640000001</v>
      </c>
      <c r="Q189" s="32">
        <f>Q190</f>
        <v>27618888.84</v>
      </c>
      <c r="R189" s="33">
        <f>R190</f>
        <v>563650.80000000005</v>
      </c>
      <c r="S189" s="28">
        <f t="shared" si="102"/>
        <v>28182539.640000001</v>
      </c>
      <c r="T189" s="32">
        <f>T190</f>
        <v>27618888.850000001</v>
      </c>
      <c r="U189" s="33">
        <f>U190</f>
        <v>563650.79</v>
      </c>
      <c r="V189" s="47">
        <f t="shared" si="64"/>
        <v>75.296861630713863</v>
      </c>
      <c r="W189" s="48">
        <f t="shared" si="65"/>
        <v>100</v>
      </c>
    </row>
    <row r="190" spans="1:23">
      <c r="A190" s="7" t="s">
        <v>184</v>
      </c>
      <c r="B190" s="5" t="s">
        <v>185</v>
      </c>
      <c r="C190" s="7"/>
      <c r="D190" s="7"/>
      <c r="E190" s="7"/>
      <c r="F190" s="56"/>
      <c r="G190" s="28">
        <v>37428571.43</v>
      </c>
      <c r="H190" s="32">
        <v>36680000</v>
      </c>
      <c r="I190" s="33">
        <v>748571.43</v>
      </c>
      <c r="J190" s="28">
        <f t="shared" si="100"/>
        <v>37428571.43</v>
      </c>
      <c r="K190" s="32">
        <v>36680000</v>
      </c>
      <c r="L190" s="33">
        <v>748571.43</v>
      </c>
      <c r="M190" s="28">
        <f t="shared" si="104"/>
        <v>28182539.640000001</v>
      </c>
      <c r="N190" s="32">
        <v>27618888.84</v>
      </c>
      <c r="O190" s="33">
        <v>563650.80000000005</v>
      </c>
      <c r="P190" s="28">
        <f t="shared" si="101"/>
        <v>28182539.640000001</v>
      </c>
      <c r="Q190" s="32">
        <v>27618888.84</v>
      </c>
      <c r="R190" s="33">
        <v>563650.80000000005</v>
      </c>
      <c r="S190" s="28">
        <f t="shared" si="102"/>
        <v>28182539.640000001</v>
      </c>
      <c r="T190" s="32">
        <v>27618888.850000001</v>
      </c>
      <c r="U190" s="33">
        <v>563650.79</v>
      </c>
      <c r="V190" s="47">
        <f t="shared" si="64"/>
        <v>75.296861630713863</v>
      </c>
      <c r="W190" s="48">
        <f t="shared" si="65"/>
        <v>100</v>
      </c>
    </row>
    <row r="191" spans="1:23" ht="105.75" customHeight="1">
      <c r="A191" s="7" t="s">
        <v>211</v>
      </c>
      <c r="B191" s="5" t="s">
        <v>13</v>
      </c>
      <c r="C191" s="5" t="s">
        <v>13</v>
      </c>
      <c r="D191" s="5" t="s">
        <v>212</v>
      </c>
      <c r="E191" s="5" t="s">
        <v>213</v>
      </c>
      <c r="F191" s="55" t="s">
        <v>21</v>
      </c>
      <c r="G191" s="28">
        <f t="shared" ref="G191:G197" si="105">H191+I191</f>
        <v>108053265.31</v>
      </c>
      <c r="H191" s="32">
        <f>H192</f>
        <v>105892200</v>
      </c>
      <c r="I191" s="33">
        <f>I192</f>
        <v>2161065.31</v>
      </c>
      <c r="J191" s="28">
        <f t="shared" si="100"/>
        <v>108053265.31</v>
      </c>
      <c r="K191" s="32">
        <f>K192</f>
        <v>105892200</v>
      </c>
      <c r="L191" s="33">
        <f>L192</f>
        <v>2161065.31</v>
      </c>
      <c r="M191" s="28">
        <f t="shared" si="104"/>
        <v>50933792.240000002</v>
      </c>
      <c r="N191" s="32">
        <f>N192</f>
        <v>49915116.390000001</v>
      </c>
      <c r="O191" s="33">
        <f>O192</f>
        <v>1018675.85</v>
      </c>
      <c r="P191" s="28">
        <f t="shared" si="101"/>
        <v>50933792.240000002</v>
      </c>
      <c r="Q191" s="32">
        <f>Q192</f>
        <v>49915116.390000001</v>
      </c>
      <c r="R191" s="33">
        <f>R192</f>
        <v>1018675.85</v>
      </c>
      <c r="S191" s="28">
        <f t="shared" si="102"/>
        <v>50933792.240000002</v>
      </c>
      <c r="T191" s="32">
        <f>T192</f>
        <v>49915116.390000001</v>
      </c>
      <c r="U191" s="33">
        <f>U192</f>
        <v>1018675.85</v>
      </c>
      <c r="V191" s="47">
        <f t="shared" si="64"/>
        <v>47.13767056818989</v>
      </c>
      <c r="W191" s="48">
        <f t="shared" si="65"/>
        <v>100</v>
      </c>
    </row>
    <row r="192" spans="1:23">
      <c r="A192" s="7" t="s">
        <v>184</v>
      </c>
      <c r="B192" s="5" t="s">
        <v>185</v>
      </c>
      <c r="C192" s="7"/>
      <c r="D192" s="7"/>
      <c r="E192" s="7"/>
      <c r="F192" s="56"/>
      <c r="G192" s="28">
        <f t="shared" si="105"/>
        <v>108053265.31</v>
      </c>
      <c r="H192" s="32">
        <v>105892200</v>
      </c>
      <c r="I192" s="33">
        <v>2161065.31</v>
      </c>
      <c r="J192" s="28">
        <f t="shared" si="100"/>
        <v>108053265.31</v>
      </c>
      <c r="K192" s="32">
        <v>105892200</v>
      </c>
      <c r="L192" s="33">
        <v>2161065.31</v>
      </c>
      <c r="M192" s="28">
        <f t="shared" si="104"/>
        <v>50933792.240000002</v>
      </c>
      <c r="N192" s="32">
        <v>49915116.390000001</v>
      </c>
      <c r="O192" s="33">
        <v>1018675.85</v>
      </c>
      <c r="P192" s="28">
        <f t="shared" si="101"/>
        <v>50933792.240000002</v>
      </c>
      <c r="Q192" s="32">
        <v>49915116.390000001</v>
      </c>
      <c r="R192" s="33">
        <v>1018675.85</v>
      </c>
      <c r="S192" s="28">
        <f t="shared" si="102"/>
        <v>50933792.240000002</v>
      </c>
      <c r="T192" s="32">
        <v>49915116.390000001</v>
      </c>
      <c r="U192" s="33">
        <v>1018675.85</v>
      </c>
      <c r="V192" s="47">
        <f t="shared" si="64"/>
        <v>47.13767056818989</v>
      </c>
      <c r="W192" s="48">
        <f t="shared" si="65"/>
        <v>100</v>
      </c>
    </row>
    <row r="193" spans="1:23" ht="82.5" customHeight="1">
      <c r="A193" s="7" t="s">
        <v>214</v>
      </c>
      <c r="B193" s="5" t="s">
        <v>13</v>
      </c>
      <c r="C193" s="5" t="s">
        <v>13</v>
      </c>
      <c r="D193" s="5" t="s">
        <v>215</v>
      </c>
      <c r="E193" s="5" t="s">
        <v>216</v>
      </c>
      <c r="F193" s="55" t="s">
        <v>68</v>
      </c>
      <c r="G193" s="28">
        <f t="shared" si="105"/>
        <v>28173877.550000001</v>
      </c>
      <c r="H193" s="32">
        <f>H194</f>
        <v>27610400</v>
      </c>
      <c r="I193" s="33">
        <f>I194</f>
        <v>563477.55000000005</v>
      </c>
      <c r="J193" s="28">
        <f t="shared" si="100"/>
        <v>28173877.549999997</v>
      </c>
      <c r="K193" s="32">
        <f>K194</f>
        <v>27610399.989999998</v>
      </c>
      <c r="L193" s="33">
        <f>L194</f>
        <v>563477.56000000006</v>
      </c>
      <c r="M193" s="28">
        <f t="shared" si="104"/>
        <v>27465223.120000001</v>
      </c>
      <c r="N193" s="32">
        <f>N194</f>
        <v>26915918.640000001</v>
      </c>
      <c r="O193" s="33">
        <f>O194</f>
        <v>549304.48</v>
      </c>
      <c r="P193" s="28">
        <f t="shared" si="101"/>
        <v>27465223.120000001</v>
      </c>
      <c r="Q193" s="32">
        <f>Q194</f>
        <v>26915918.640000001</v>
      </c>
      <c r="R193" s="33">
        <f>R194</f>
        <v>549304.48</v>
      </c>
      <c r="S193" s="28">
        <f t="shared" si="102"/>
        <v>27465223.120000001</v>
      </c>
      <c r="T193" s="32">
        <f>T194</f>
        <v>26915918.66</v>
      </c>
      <c r="U193" s="33">
        <f>U194</f>
        <v>549304.46</v>
      </c>
      <c r="V193" s="47">
        <f t="shared" si="64"/>
        <v>97.484711045746721</v>
      </c>
      <c r="W193" s="48">
        <v>0</v>
      </c>
    </row>
    <row r="194" spans="1:23">
      <c r="C194" s="7"/>
      <c r="D194" s="7"/>
      <c r="E194" s="7"/>
      <c r="F194" s="56"/>
      <c r="G194" s="28">
        <f t="shared" si="105"/>
        <v>28173877.550000001</v>
      </c>
      <c r="H194" s="32">
        <v>27610400</v>
      </c>
      <c r="I194" s="33">
        <v>563477.55000000005</v>
      </c>
      <c r="J194" s="28">
        <f t="shared" si="100"/>
        <v>28173877.549999997</v>
      </c>
      <c r="K194" s="32">
        <v>27610399.989999998</v>
      </c>
      <c r="L194" s="33">
        <v>563477.56000000006</v>
      </c>
      <c r="M194" s="28">
        <f t="shared" si="104"/>
        <v>27465223.120000001</v>
      </c>
      <c r="N194" s="32">
        <v>26915918.640000001</v>
      </c>
      <c r="O194" s="33">
        <v>549304.48</v>
      </c>
      <c r="P194" s="28">
        <f t="shared" si="101"/>
        <v>27465223.120000001</v>
      </c>
      <c r="Q194" s="32">
        <v>26915918.640000001</v>
      </c>
      <c r="R194" s="33">
        <v>549304.48</v>
      </c>
      <c r="S194" s="28">
        <f t="shared" si="102"/>
        <v>27465223.120000001</v>
      </c>
      <c r="T194" s="32">
        <v>26915918.66</v>
      </c>
      <c r="U194" s="33">
        <v>549304.46</v>
      </c>
      <c r="V194" s="47">
        <f t="shared" si="64"/>
        <v>97.484711045746721</v>
      </c>
      <c r="W194" s="48">
        <v>0</v>
      </c>
    </row>
    <row r="195" spans="1:23" s="3" customFormat="1" ht="78" customHeight="1">
      <c r="A195" s="9" t="s">
        <v>217</v>
      </c>
      <c r="B195" s="10" t="s">
        <v>13</v>
      </c>
      <c r="C195" s="10" t="s">
        <v>13</v>
      </c>
      <c r="D195" s="10" t="s">
        <v>218</v>
      </c>
      <c r="E195" s="10" t="s">
        <v>129</v>
      </c>
      <c r="F195" s="57">
        <v>2022</v>
      </c>
      <c r="G195" s="28">
        <f>I195</f>
        <v>35564268.899999999</v>
      </c>
      <c r="H195" s="32"/>
      <c r="I195" s="33">
        <v>35564268.899999999</v>
      </c>
      <c r="J195" s="28">
        <f t="shared" si="100"/>
        <v>35564268.899999999</v>
      </c>
      <c r="K195" s="39"/>
      <c r="L195" s="33">
        <v>35564268.899999999</v>
      </c>
      <c r="M195" s="28">
        <f t="shared" si="104"/>
        <v>16143080.23</v>
      </c>
      <c r="N195" s="39"/>
      <c r="O195" s="33">
        <v>16143080.23</v>
      </c>
      <c r="P195" s="28">
        <f t="shared" si="101"/>
        <v>16143080.23</v>
      </c>
      <c r="Q195" s="39"/>
      <c r="R195" s="33">
        <v>16143080.23</v>
      </c>
      <c r="S195" s="28">
        <f t="shared" si="102"/>
        <v>16143080.23</v>
      </c>
      <c r="T195" s="39"/>
      <c r="U195" s="33">
        <v>16143080.23</v>
      </c>
      <c r="V195" s="47">
        <f t="shared" si="64"/>
        <v>45.391289429824326</v>
      </c>
      <c r="W195" s="48">
        <v>0</v>
      </c>
    </row>
    <row r="196" spans="1:23" s="3" customFormat="1" ht="78" customHeight="1">
      <c r="A196" s="9" t="s">
        <v>314</v>
      </c>
      <c r="B196" s="10" t="s">
        <v>13</v>
      </c>
      <c r="C196" s="10" t="s">
        <v>13</v>
      </c>
      <c r="D196" s="10" t="s">
        <v>315</v>
      </c>
      <c r="E196" s="10" t="s">
        <v>129</v>
      </c>
      <c r="F196" s="55" t="s">
        <v>43</v>
      </c>
      <c r="G196" s="28">
        <f t="shared" si="105"/>
        <v>32341122.449999999</v>
      </c>
      <c r="H196" s="32">
        <f>H197</f>
        <v>31694300</v>
      </c>
      <c r="I196" s="33">
        <f>I197</f>
        <v>646822.44999999995</v>
      </c>
      <c r="J196" s="28">
        <f t="shared" si="100"/>
        <v>32341122.449999999</v>
      </c>
      <c r="K196" s="32">
        <f>K197</f>
        <v>31694300</v>
      </c>
      <c r="L196" s="33">
        <f>L197</f>
        <v>646822.44999999995</v>
      </c>
      <c r="M196" s="28">
        <f t="shared" si="104"/>
        <v>9666937.5999999996</v>
      </c>
      <c r="N196" s="32">
        <f>N197</f>
        <v>9473598.8499999996</v>
      </c>
      <c r="O196" s="33">
        <f>O197</f>
        <v>193338.75</v>
      </c>
      <c r="P196" s="28">
        <f t="shared" si="101"/>
        <v>9666937.5999999996</v>
      </c>
      <c r="Q196" s="32">
        <f>Q197</f>
        <v>9473598.8499999996</v>
      </c>
      <c r="R196" s="33">
        <f>R197</f>
        <v>193338.75</v>
      </c>
      <c r="S196" s="28">
        <f t="shared" si="102"/>
        <v>9666937.5999999996</v>
      </c>
      <c r="T196" s="32">
        <f>T197</f>
        <v>9473598.8499999996</v>
      </c>
      <c r="U196" s="33">
        <f>U197</f>
        <v>193338.75</v>
      </c>
      <c r="V196" s="47">
        <v>0</v>
      </c>
      <c r="W196" s="48">
        <v>0</v>
      </c>
    </row>
    <row r="197" spans="1:23" s="3" customFormat="1" ht="36.75" customHeight="1">
      <c r="A197" s="7" t="s">
        <v>184</v>
      </c>
      <c r="B197" s="5" t="s">
        <v>185</v>
      </c>
      <c r="C197" s="10"/>
      <c r="D197" s="10"/>
      <c r="E197" s="10"/>
      <c r="F197" s="57"/>
      <c r="G197" s="28">
        <f t="shared" si="105"/>
        <v>32341122.449999999</v>
      </c>
      <c r="H197" s="32">
        <v>31694300</v>
      </c>
      <c r="I197" s="33">
        <v>646822.44999999995</v>
      </c>
      <c r="J197" s="28">
        <f t="shared" si="100"/>
        <v>32341122.449999999</v>
      </c>
      <c r="K197" s="39">
        <v>31694300</v>
      </c>
      <c r="L197" s="33">
        <v>646822.44999999995</v>
      </c>
      <c r="M197" s="28">
        <f t="shared" si="104"/>
        <v>9666937.5999999996</v>
      </c>
      <c r="N197" s="39">
        <v>9473598.8499999996</v>
      </c>
      <c r="O197" s="33">
        <v>193338.75</v>
      </c>
      <c r="P197" s="28">
        <f t="shared" si="101"/>
        <v>9666937.5999999996</v>
      </c>
      <c r="Q197" s="39">
        <v>9473598.8499999996</v>
      </c>
      <c r="R197" s="33">
        <v>193338.75</v>
      </c>
      <c r="S197" s="28">
        <f t="shared" si="102"/>
        <v>9666937.5999999996</v>
      </c>
      <c r="T197" s="39">
        <v>9473598.8499999996</v>
      </c>
      <c r="U197" s="33">
        <v>193338.75</v>
      </c>
      <c r="V197" s="47">
        <v>0</v>
      </c>
      <c r="W197" s="48">
        <v>0</v>
      </c>
    </row>
    <row r="198" spans="1:23" s="13" customFormat="1" ht="30" customHeight="1">
      <c r="A198" s="101" t="s">
        <v>219</v>
      </c>
      <c r="B198" s="101"/>
      <c r="C198" s="101"/>
      <c r="D198" s="101"/>
      <c r="E198" s="101"/>
      <c r="F198" s="102"/>
      <c r="G198" s="34">
        <f t="shared" ref="G198:I198" si="106">G201+G220</f>
        <v>1865859586.27</v>
      </c>
      <c r="H198" s="35">
        <f t="shared" si="106"/>
        <v>1322696600</v>
      </c>
      <c r="I198" s="36">
        <f t="shared" si="106"/>
        <v>543162986.26999998</v>
      </c>
      <c r="J198" s="34">
        <f t="shared" ref="J198:L198" si="107">J201+J220</f>
        <v>1865859586.27</v>
      </c>
      <c r="K198" s="35">
        <f t="shared" si="107"/>
        <v>1322696600</v>
      </c>
      <c r="L198" s="36">
        <f t="shared" si="107"/>
        <v>543162986.26999998</v>
      </c>
      <c r="M198" s="34">
        <f t="shared" ref="M198:U198" si="108">M201+M220</f>
        <v>1119056416.8999999</v>
      </c>
      <c r="N198" s="35">
        <f t="shared" si="108"/>
        <v>855818889.27999985</v>
      </c>
      <c r="O198" s="36">
        <f t="shared" si="108"/>
        <v>263237527.62</v>
      </c>
      <c r="P198" s="34">
        <f t="shared" si="108"/>
        <v>1119056416.8999999</v>
      </c>
      <c r="Q198" s="35">
        <f t="shared" si="108"/>
        <v>855818889.27999985</v>
      </c>
      <c r="R198" s="36">
        <f t="shared" si="108"/>
        <v>263237527.62</v>
      </c>
      <c r="S198" s="34">
        <f t="shared" si="108"/>
        <v>1117543591.1099999</v>
      </c>
      <c r="T198" s="35">
        <f t="shared" si="108"/>
        <v>854457498.39999986</v>
      </c>
      <c r="U198" s="36">
        <f t="shared" si="108"/>
        <v>263086092.71000001</v>
      </c>
      <c r="V198" s="50">
        <f t="shared" si="64"/>
        <v>59.894302836799064</v>
      </c>
      <c r="W198" s="51">
        <f t="shared" si="65"/>
        <v>99.864812375216005</v>
      </c>
    </row>
    <row r="199" spans="1:23">
      <c r="A199" s="103" t="s">
        <v>7</v>
      </c>
      <c r="B199" s="103"/>
      <c r="C199" s="103"/>
      <c r="D199" s="103"/>
      <c r="E199" s="103"/>
      <c r="F199" s="104"/>
      <c r="G199" s="28">
        <f t="shared" ref="G199:H199" si="109">G207+G212+G214+G216+G219</f>
        <v>1152717660</v>
      </c>
      <c r="H199" s="32">
        <f t="shared" si="109"/>
        <v>1126898600</v>
      </c>
      <c r="I199" s="32">
        <f>I214+I212+I216+I219+I223</f>
        <v>293084116</v>
      </c>
      <c r="J199" s="28">
        <f t="shared" ref="J199:K199" si="110">J207+J212+J214+J216+J219</f>
        <v>1152717660</v>
      </c>
      <c r="K199" s="32">
        <f t="shared" si="110"/>
        <v>1126898600</v>
      </c>
      <c r="L199" s="32">
        <f>L214+L212+L216+L219+L223</f>
        <v>293084116</v>
      </c>
      <c r="M199" s="28">
        <f t="shared" ref="M199:T199" si="111">M207+M212+M214+M216+M219</f>
        <v>731626465.11999989</v>
      </c>
      <c r="N199" s="32">
        <f t="shared" si="111"/>
        <v>724766548.4799999</v>
      </c>
      <c r="O199" s="32">
        <f>O214+O212+O216+O219+O223</f>
        <v>236740378.63999999</v>
      </c>
      <c r="P199" s="28">
        <f t="shared" si="111"/>
        <v>731626465.11999989</v>
      </c>
      <c r="Q199" s="32">
        <f t="shared" si="111"/>
        <v>724766548.4799999</v>
      </c>
      <c r="R199" s="32">
        <f>R214+R212+R216+R219+R223</f>
        <v>236740378.63999999</v>
      </c>
      <c r="S199" s="28">
        <f t="shared" si="111"/>
        <v>730113640.32999992</v>
      </c>
      <c r="T199" s="32">
        <f t="shared" si="111"/>
        <v>723405157.5999999</v>
      </c>
      <c r="U199" s="33">
        <f>U214+U212+U216+U219+U223</f>
        <v>236588944.72999999</v>
      </c>
      <c r="V199" s="47">
        <f t="shared" si="64"/>
        <v>63.338462284858196</v>
      </c>
      <c r="W199" s="48">
        <f t="shared" si="65"/>
        <v>99.793224430481501</v>
      </c>
    </row>
    <row r="200" spans="1:23">
      <c r="A200" s="103" t="s">
        <v>8</v>
      </c>
      <c r="B200" s="103"/>
      <c r="C200" s="103"/>
      <c r="D200" s="103"/>
      <c r="E200" s="103"/>
      <c r="F200" s="104"/>
      <c r="G200" s="28">
        <f t="shared" ref="G200:H200" si="112">G198-G199</f>
        <v>713141926.26999998</v>
      </c>
      <c r="H200" s="32">
        <f t="shared" si="112"/>
        <v>195798000</v>
      </c>
      <c r="I200" s="33">
        <f>I198-I199</f>
        <v>250078870.26999998</v>
      </c>
      <c r="J200" s="28">
        <f t="shared" ref="J200:K200" si="113">J198-J199</f>
        <v>713141926.26999998</v>
      </c>
      <c r="K200" s="32">
        <f t="shared" si="113"/>
        <v>195798000</v>
      </c>
      <c r="L200" s="33">
        <f>L198-L199</f>
        <v>250078870.26999998</v>
      </c>
      <c r="M200" s="28">
        <f t="shared" ref="M200:T200" si="114">M198-M199</f>
        <v>387429951.77999997</v>
      </c>
      <c r="N200" s="32">
        <f t="shared" si="114"/>
        <v>131052340.79999995</v>
      </c>
      <c r="O200" s="33">
        <f>O198-O199</f>
        <v>26497148.980000019</v>
      </c>
      <c r="P200" s="28">
        <f t="shared" si="114"/>
        <v>387429951.77999997</v>
      </c>
      <c r="Q200" s="32">
        <f t="shared" si="114"/>
        <v>131052340.79999995</v>
      </c>
      <c r="R200" s="33">
        <f>R198-R199</f>
        <v>26497148.980000019</v>
      </c>
      <c r="S200" s="28">
        <f t="shared" si="114"/>
        <v>387429950.77999997</v>
      </c>
      <c r="T200" s="32">
        <f t="shared" si="114"/>
        <v>131052340.79999995</v>
      </c>
      <c r="U200" s="33">
        <f>U198-U199</f>
        <v>26497147.980000019</v>
      </c>
      <c r="V200" s="47">
        <f t="shared" si="64"/>
        <v>54.327187409440938</v>
      </c>
      <c r="W200" s="48">
        <f t="shared" si="65"/>
        <v>99.999999741888828</v>
      </c>
    </row>
    <row r="201" spans="1:23" ht="30.75" customHeight="1">
      <c r="A201" s="103" t="s">
        <v>220</v>
      </c>
      <c r="B201" s="103"/>
      <c r="C201" s="103"/>
      <c r="D201" s="103"/>
      <c r="E201" s="103"/>
      <c r="F201" s="104"/>
      <c r="G201" s="28">
        <f t="shared" ref="G201:I201" si="115">G203+G204+G205+G206+G209+G210+G211+G213+G215+G218</f>
        <v>1598594530.27</v>
      </c>
      <c r="H201" s="32">
        <f t="shared" si="115"/>
        <v>1322696600</v>
      </c>
      <c r="I201" s="33">
        <f t="shared" si="115"/>
        <v>275897930.26999998</v>
      </c>
      <c r="J201" s="28">
        <f t="shared" ref="J201:L201" si="116">J203+J204+J205+J206+J209+J210+J211+J213+J215+J218</f>
        <v>1598594530.27</v>
      </c>
      <c r="K201" s="32">
        <f t="shared" si="116"/>
        <v>1322696600</v>
      </c>
      <c r="L201" s="33">
        <f t="shared" si="116"/>
        <v>275897930.26999998</v>
      </c>
      <c r="M201" s="28">
        <f t="shared" ref="M201:U201" si="117">M203+M204+M205+M206+M209+M210+M211+M213+M215+M218</f>
        <v>889175954.89999986</v>
      </c>
      <c r="N201" s="32">
        <f t="shared" si="117"/>
        <v>855818889.27999985</v>
      </c>
      <c r="O201" s="33">
        <f t="shared" si="117"/>
        <v>33357065.620000001</v>
      </c>
      <c r="P201" s="28">
        <f t="shared" si="117"/>
        <v>889175954.89999986</v>
      </c>
      <c r="Q201" s="32">
        <f t="shared" si="117"/>
        <v>855818889.27999985</v>
      </c>
      <c r="R201" s="33">
        <f t="shared" si="117"/>
        <v>33357065.620000001</v>
      </c>
      <c r="S201" s="28">
        <f t="shared" si="117"/>
        <v>887663129.1099999</v>
      </c>
      <c r="T201" s="32">
        <f t="shared" si="117"/>
        <v>854457498.39999986</v>
      </c>
      <c r="U201" s="33">
        <f t="shared" si="117"/>
        <v>33205630.710000001</v>
      </c>
      <c r="V201" s="47">
        <f t="shared" si="64"/>
        <v>55.52772215228805</v>
      </c>
      <c r="W201" s="48">
        <f t="shared" si="65"/>
        <v>99.829862044552243</v>
      </c>
    </row>
    <row r="202" spans="1:23" s="13" customFormat="1">
      <c r="A202" s="101" t="s">
        <v>96</v>
      </c>
      <c r="B202" s="101"/>
      <c r="C202" s="101"/>
      <c r="D202" s="101"/>
      <c r="E202" s="101"/>
      <c r="F202" s="102"/>
      <c r="G202" s="34">
        <f t="shared" ref="G202:I202" si="118">G203+G204+G205+G206+G209+G210+G211+G213+G215+G218</f>
        <v>1598594530.27</v>
      </c>
      <c r="H202" s="35">
        <f t="shared" si="118"/>
        <v>1322696600</v>
      </c>
      <c r="I202" s="36">
        <f t="shared" si="118"/>
        <v>275897930.26999998</v>
      </c>
      <c r="J202" s="34">
        <f>J203+J204+J205+J206+J209+J210+J211+J213+J215+J218</f>
        <v>1598594530.27</v>
      </c>
      <c r="K202" s="35">
        <f t="shared" ref="K202" si="119">K203+K204+K205+K206+K209+K210+K211+K213+K215+K218</f>
        <v>1322696600</v>
      </c>
      <c r="L202" s="36">
        <f>L203+L204+L205+L206+L209+L210+L211+L213+L215+L218</f>
        <v>275897930.26999998</v>
      </c>
      <c r="M202" s="34">
        <f>M203+M204+M205+M206+M209+M210+M211+M213+M215+M218</f>
        <v>889175954.89999986</v>
      </c>
      <c r="N202" s="35">
        <f>N203+N204+N205+N206+N209+N210+N211+N213+N215+N218</f>
        <v>855818889.27999985</v>
      </c>
      <c r="O202" s="36">
        <f t="shared" ref="O202:S202" si="120">O203+O204+O205+O206+O209+O210+O211+O213+O215+O218</f>
        <v>33357065.620000001</v>
      </c>
      <c r="P202" s="34">
        <f t="shared" si="120"/>
        <v>889175954.89999986</v>
      </c>
      <c r="Q202" s="35">
        <f t="shared" si="120"/>
        <v>855818889.27999985</v>
      </c>
      <c r="R202" s="36">
        <f t="shared" si="120"/>
        <v>33357065.620000001</v>
      </c>
      <c r="S202" s="34">
        <f t="shared" si="120"/>
        <v>887663129.1099999</v>
      </c>
      <c r="T202" s="35">
        <f>T203+T204+T205+T206+T209+T210+T211+T213+T215+T218</f>
        <v>854457498.39999986</v>
      </c>
      <c r="U202" s="36">
        <f>U203+U204+U205+U206+U209+U210+U211+U213+U215+U218</f>
        <v>33205630.710000001</v>
      </c>
      <c r="V202" s="50">
        <f t="shared" si="64"/>
        <v>55.52772215228805</v>
      </c>
      <c r="W202" s="51">
        <f t="shared" si="65"/>
        <v>99.829862044552243</v>
      </c>
    </row>
    <row r="203" spans="1:23" ht="45">
      <c r="A203" s="7" t="s">
        <v>221</v>
      </c>
      <c r="B203" s="5" t="s">
        <v>13</v>
      </c>
      <c r="C203" s="5" t="s">
        <v>13</v>
      </c>
      <c r="D203" s="5" t="s">
        <v>222</v>
      </c>
      <c r="E203" s="5" t="s">
        <v>77</v>
      </c>
      <c r="F203" s="55">
        <v>2022</v>
      </c>
      <c r="G203" s="28"/>
      <c r="H203" s="32"/>
      <c r="I203" s="33"/>
      <c r="J203" s="28"/>
      <c r="K203" s="39"/>
      <c r="L203" s="33"/>
      <c r="M203" s="28">
        <f>N203+O203</f>
        <v>0</v>
      </c>
      <c r="N203" s="39"/>
      <c r="O203" s="33">
        <v>0</v>
      </c>
      <c r="P203" s="28">
        <f>Q203+R203</f>
        <v>0</v>
      </c>
      <c r="Q203" s="39"/>
      <c r="R203" s="33">
        <v>0</v>
      </c>
      <c r="S203" s="28">
        <f>T203+U203</f>
        <v>0</v>
      </c>
      <c r="T203" s="39"/>
      <c r="U203" s="33">
        <v>0</v>
      </c>
      <c r="V203" s="47" t="e">
        <f t="shared" si="64"/>
        <v>#DIV/0!</v>
      </c>
      <c r="W203" s="48">
        <v>0</v>
      </c>
    </row>
    <row r="204" spans="1:23" ht="93.75" customHeight="1">
      <c r="A204" s="7" t="s">
        <v>223</v>
      </c>
      <c r="B204" s="5" t="s">
        <v>13</v>
      </c>
      <c r="C204" s="5" t="s">
        <v>13</v>
      </c>
      <c r="D204" s="5" t="s">
        <v>224</v>
      </c>
      <c r="E204" s="5" t="s">
        <v>225</v>
      </c>
      <c r="F204" s="55">
        <v>2022</v>
      </c>
      <c r="G204" s="28">
        <v>26000000</v>
      </c>
      <c r="H204" s="32"/>
      <c r="I204" s="33">
        <v>26000000</v>
      </c>
      <c r="J204" s="28">
        <v>26000000</v>
      </c>
      <c r="K204" s="39"/>
      <c r="L204" s="33">
        <v>26000000</v>
      </c>
      <c r="M204" s="28">
        <f t="shared" ref="M204:M220" si="121">N204+O204</f>
        <v>26000000</v>
      </c>
      <c r="N204" s="39"/>
      <c r="O204" s="33">
        <v>26000000</v>
      </c>
      <c r="P204" s="28">
        <f t="shared" ref="P204:P220" si="122">Q204+R204</f>
        <v>26000000</v>
      </c>
      <c r="Q204" s="39"/>
      <c r="R204" s="33">
        <v>26000000</v>
      </c>
      <c r="S204" s="28">
        <f t="shared" ref="S204:S220" si="123">T204+U204</f>
        <v>26000000</v>
      </c>
      <c r="T204" s="39"/>
      <c r="U204" s="33">
        <v>26000000</v>
      </c>
      <c r="V204" s="47">
        <f>S204/J204*100</f>
        <v>100</v>
      </c>
      <c r="W204" s="48">
        <f>S204/M204*100</f>
        <v>100</v>
      </c>
    </row>
    <row r="205" spans="1:23" ht="76.5" customHeight="1">
      <c r="A205" s="7" t="s">
        <v>226</v>
      </c>
      <c r="B205" s="5" t="s">
        <v>13</v>
      </c>
      <c r="C205" s="5" t="s">
        <v>13</v>
      </c>
      <c r="D205" s="5" t="s">
        <v>227</v>
      </c>
      <c r="E205" s="5" t="s">
        <v>187</v>
      </c>
      <c r="F205" s="55">
        <v>2022</v>
      </c>
      <c r="G205" s="28">
        <v>10836000</v>
      </c>
      <c r="H205" s="32"/>
      <c r="I205" s="33">
        <v>10836000</v>
      </c>
      <c r="J205" s="28">
        <f t="shared" ref="J205:J214" si="124">K205+L205</f>
        <v>10836000</v>
      </c>
      <c r="K205" s="39"/>
      <c r="L205" s="33">
        <v>10836000</v>
      </c>
      <c r="M205" s="28">
        <f t="shared" si="121"/>
        <v>497148.98</v>
      </c>
      <c r="N205" s="39"/>
      <c r="O205" s="33">
        <v>497148.98</v>
      </c>
      <c r="P205" s="28">
        <f t="shared" si="122"/>
        <v>497148.98</v>
      </c>
      <c r="Q205" s="39"/>
      <c r="R205" s="33">
        <v>497148.98</v>
      </c>
      <c r="S205" s="28">
        <f t="shared" si="123"/>
        <v>497147.98</v>
      </c>
      <c r="T205" s="39"/>
      <c r="U205" s="33">
        <v>497147.98</v>
      </c>
      <c r="V205" s="47">
        <f t="shared" si="64"/>
        <v>4.5879289405684753</v>
      </c>
      <c r="W205" s="48">
        <f>S205/M205*100</f>
        <v>99.999798853052056</v>
      </c>
    </row>
    <row r="206" spans="1:23" ht="92.25" customHeight="1">
      <c r="A206" s="7" t="s">
        <v>228</v>
      </c>
      <c r="B206" s="5" t="s">
        <v>13</v>
      </c>
      <c r="C206" s="5" t="s">
        <v>98</v>
      </c>
      <c r="D206" s="5" t="s">
        <v>229</v>
      </c>
      <c r="E206" s="5" t="s">
        <v>230</v>
      </c>
      <c r="F206" s="55" t="s">
        <v>231</v>
      </c>
      <c r="G206" s="28">
        <v>799999500</v>
      </c>
      <c r="H206" s="32">
        <v>799999500</v>
      </c>
      <c r="I206" s="33"/>
      <c r="J206" s="28">
        <f t="shared" si="124"/>
        <v>799999500</v>
      </c>
      <c r="K206" s="32">
        <f>K207+K208</f>
        <v>799999500</v>
      </c>
      <c r="L206" s="33"/>
      <c r="M206" s="28">
        <f t="shared" si="121"/>
        <v>726538911.5999999</v>
      </c>
      <c r="N206" s="32">
        <f>N207+N208</f>
        <v>726538911.5999999</v>
      </c>
      <c r="O206" s="33"/>
      <c r="P206" s="28">
        <f t="shared" si="122"/>
        <v>726538911.5999999</v>
      </c>
      <c r="Q206" s="32">
        <f>Q207+Q208</f>
        <v>726538911.5999999</v>
      </c>
      <c r="R206" s="33"/>
      <c r="S206" s="28">
        <f t="shared" si="123"/>
        <v>726538911.5999999</v>
      </c>
      <c r="T206" s="32">
        <f>T207+T208</f>
        <v>726538911.5999999</v>
      </c>
      <c r="U206" s="33"/>
      <c r="V206" s="47">
        <f t="shared" si="64"/>
        <v>90.81742071088793</v>
      </c>
      <c r="W206" s="48">
        <f t="shared" si="65"/>
        <v>100</v>
      </c>
    </row>
    <row r="207" spans="1:23" ht="30">
      <c r="A207" s="7" t="s">
        <v>232</v>
      </c>
      <c r="B207" s="5" t="s">
        <v>233</v>
      </c>
      <c r="C207" s="7"/>
      <c r="D207" s="7"/>
      <c r="E207" s="7"/>
      <c r="F207" s="56"/>
      <c r="G207" s="28">
        <v>604201500</v>
      </c>
      <c r="H207" s="32">
        <v>604201500</v>
      </c>
      <c r="I207" s="33"/>
      <c r="J207" s="28">
        <f t="shared" si="124"/>
        <v>604201500</v>
      </c>
      <c r="K207" s="32">
        <v>604201500</v>
      </c>
      <c r="L207" s="33"/>
      <c r="M207" s="28">
        <f t="shared" si="121"/>
        <v>595486570.79999995</v>
      </c>
      <c r="N207" s="32">
        <v>595486570.79999995</v>
      </c>
      <c r="O207" s="33"/>
      <c r="P207" s="28">
        <f t="shared" si="122"/>
        <v>595486570.79999995</v>
      </c>
      <c r="Q207" s="32">
        <v>595486570.79999995</v>
      </c>
      <c r="R207" s="33"/>
      <c r="S207" s="28">
        <f t="shared" si="123"/>
        <v>595486570.79999995</v>
      </c>
      <c r="T207" s="32">
        <v>595486570.79999995</v>
      </c>
      <c r="U207" s="33"/>
      <c r="V207" s="47">
        <f t="shared" si="64"/>
        <v>98.557612121121835</v>
      </c>
      <c r="W207" s="48">
        <f t="shared" si="65"/>
        <v>100</v>
      </c>
    </row>
    <row r="208" spans="1:23">
      <c r="A208" s="7" t="s">
        <v>22</v>
      </c>
      <c r="B208" s="5" t="s">
        <v>13</v>
      </c>
      <c r="C208" s="7"/>
      <c r="D208" s="7"/>
      <c r="E208" s="7"/>
      <c r="F208" s="56"/>
      <c r="G208" s="28">
        <v>195798000</v>
      </c>
      <c r="H208" s="32">
        <v>195798000</v>
      </c>
      <c r="I208" s="33"/>
      <c r="J208" s="28">
        <f t="shared" si="124"/>
        <v>195798000</v>
      </c>
      <c r="K208" s="32">
        <v>195798000</v>
      </c>
      <c r="L208" s="33"/>
      <c r="M208" s="28">
        <f t="shared" si="121"/>
        <v>131052340.8</v>
      </c>
      <c r="N208" s="32">
        <v>131052340.8</v>
      </c>
      <c r="O208" s="33"/>
      <c r="P208" s="28">
        <f t="shared" si="122"/>
        <v>131052340.8</v>
      </c>
      <c r="Q208" s="32">
        <v>131052340.8</v>
      </c>
      <c r="R208" s="33"/>
      <c r="S208" s="28">
        <f t="shared" si="123"/>
        <v>131052340.8</v>
      </c>
      <c r="T208" s="32">
        <v>131052340.8</v>
      </c>
      <c r="U208" s="33"/>
      <c r="V208" s="47">
        <f t="shared" si="64"/>
        <v>66.93242055587902</v>
      </c>
      <c r="W208" s="48">
        <f t="shared" si="65"/>
        <v>100</v>
      </c>
    </row>
    <row r="209" spans="1:23" ht="45">
      <c r="A209" s="7" t="s">
        <v>234</v>
      </c>
      <c r="B209" s="5" t="s">
        <v>13</v>
      </c>
      <c r="C209" s="5" t="s">
        <v>13</v>
      </c>
      <c r="D209" s="5" t="s">
        <v>235</v>
      </c>
      <c r="E209" s="5" t="s">
        <v>77</v>
      </c>
      <c r="F209" s="55" t="s">
        <v>68</v>
      </c>
      <c r="G209" s="28">
        <v>175000000</v>
      </c>
      <c r="H209" s="32"/>
      <c r="I209" s="33">
        <v>175000000</v>
      </c>
      <c r="J209" s="28">
        <f t="shared" si="124"/>
        <v>175000000</v>
      </c>
      <c r="K209" s="39"/>
      <c r="L209" s="33">
        <v>175000000</v>
      </c>
      <c r="M209" s="28">
        <f t="shared" si="121"/>
        <v>0</v>
      </c>
      <c r="N209" s="39"/>
      <c r="O209" s="33">
        <v>0</v>
      </c>
      <c r="P209" s="28">
        <f t="shared" si="122"/>
        <v>0</v>
      </c>
      <c r="Q209" s="39"/>
      <c r="R209" s="33">
        <v>0</v>
      </c>
      <c r="S209" s="28">
        <f t="shared" si="123"/>
        <v>0</v>
      </c>
      <c r="T209" s="39"/>
      <c r="U209" s="33">
        <v>0</v>
      </c>
      <c r="V209" s="47">
        <f t="shared" si="64"/>
        <v>0</v>
      </c>
      <c r="W209" s="48">
        <v>0</v>
      </c>
    </row>
    <row r="210" spans="1:23" ht="78" customHeight="1">
      <c r="A210" s="7" t="s">
        <v>236</v>
      </c>
      <c r="B210" s="5" t="s">
        <v>13</v>
      </c>
      <c r="C210" s="5" t="s">
        <v>13</v>
      </c>
      <c r="D210" s="5" t="s">
        <v>237</v>
      </c>
      <c r="E210" s="5" t="s">
        <v>230</v>
      </c>
      <c r="F210" s="55" t="s">
        <v>68</v>
      </c>
      <c r="G210" s="28">
        <v>27000000</v>
      </c>
      <c r="H210" s="32"/>
      <c r="I210" s="33">
        <v>27000000</v>
      </c>
      <c r="J210" s="28">
        <f t="shared" si="124"/>
        <v>27000000</v>
      </c>
      <c r="K210" s="39"/>
      <c r="L210" s="33">
        <v>27000000</v>
      </c>
      <c r="M210" s="28">
        <f t="shared" si="121"/>
        <v>0</v>
      </c>
      <c r="N210" s="39"/>
      <c r="O210" s="33">
        <v>0</v>
      </c>
      <c r="P210" s="28">
        <f t="shared" si="122"/>
        <v>0</v>
      </c>
      <c r="Q210" s="39"/>
      <c r="R210" s="33">
        <v>0</v>
      </c>
      <c r="S210" s="28">
        <f t="shared" si="123"/>
        <v>0</v>
      </c>
      <c r="T210" s="39"/>
      <c r="U210" s="33">
        <v>0</v>
      </c>
      <c r="V210" s="47">
        <f t="shared" si="64"/>
        <v>0</v>
      </c>
      <c r="W210" s="48">
        <v>0</v>
      </c>
    </row>
    <row r="211" spans="1:23" ht="78.75" customHeight="1">
      <c r="A211" s="7" t="s">
        <v>238</v>
      </c>
      <c r="B211" s="5" t="s">
        <v>13</v>
      </c>
      <c r="C211" s="5" t="s">
        <v>13</v>
      </c>
      <c r="D211" s="5" t="s">
        <v>239</v>
      </c>
      <c r="E211" s="5" t="s">
        <v>120</v>
      </c>
      <c r="F211" s="55" t="s">
        <v>21</v>
      </c>
      <c r="G211" s="28">
        <v>110773320</v>
      </c>
      <c r="H211" s="32">
        <v>99684900</v>
      </c>
      <c r="I211" s="33">
        <v>11088420</v>
      </c>
      <c r="J211" s="28">
        <f t="shared" si="124"/>
        <v>110773320</v>
      </c>
      <c r="K211" s="32">
        <v>99684900</v>
      </c>
      <c r="L211" s="33">
        <v>11088420</v>
      </c>
      <c r="M211" s="28">
        <f t="shared" si="121"/>
        <v>28198283.219999999</v>
      </c>
      <c r="N211" s="32">
        <f>N212</f>
        <v>25375632.359999999</v>
      </c>
      <c r="O211" s="33">
        <f>O212</f>
        <v>2822650.86</v>
      </c>
      <c r="P211" s="28">
        <f t="shared" si="122"/>
        <v>28198283.219999999</v>
      </c>
      <c r="Q211" s="32">
        <f>Q212</f>
        <v>25375632.359999999</v>
      </c>
      <c r="R211" s="33">
        <f>R212</f>
        <v>2822650.86</v>
      </c>
      <c r="S211" s="28">
        <f t="shared" si="123"/>
        <v>26685458.440000001</v>
      </c>
      <c r="T211" s="32">
        <f>T212</f>
        <v>24014241.48</v>
      </c>
      <c r="U211" s="33">
        <f>U212</f>
        <v>2671216.96</v>
      </c>
      <c r="V211" s="47">
        <f t="shared" si="64"/>
        <v>24.090149541423873</v>
      </c>
      <c r="W211" s="48">
        <v>0</v>
      </c>
    </row>
    <row r="212" spans="1:23">
      <c r="A212" s="7" t="s">
        <v>124</v>
      </c>
      <c r="B212" s="5" t="s">
        <v>125</v>
      </c>
      <c r="C212" s="7"/>
      <c r="D212" s="7"/>
      <c r="E212" s="7"/>
      <c r="F212" s="56"/>
      <c r="G212" s="28">
        <v>110773320</v>
      </c>
      <c r="H212" s="32">
        <v>99684900</v>
      </c>
      <c r="I212" s="33">
        <v>11088420</v>
      </c>
      <c r="J212" s="28">
        <f t="shared" si="124"/>
        <v>110773320</v>
      </c>
      <c r="K212" s="32">
        <v>99684900</v>
      </c>
      <c r="L212" s="33">
        <v>11088420</v>
      </c>
      <c r="M212" s="28">
        <f t="shared" si="121"/>
        <v>28198283.219999999</v>
      </c>
      <c r="N212" s="32">
        <v>25375632.359999999</v>
      </c>
      <c r="O212" s="33">
        <v>2822650.86</v>
      </c>
      <c r="P212" s="28">
        <f t="shared" si="122"/>
        <v>28198283.219999999</v>
      </c>
      <c r="Q212" s="32">
        <v>25375632.359999999</v>
      </c>
      <c r="R212" s="33">
        <v>2822650.86</v>
      </c>
      <c r="S212" s="28">
        <f t="shared" si="123"/>
        <v>26685458.440000001</v>
      </c>
      <c r="T212" s="32">
        <v>24014241.48</v>
      </c>
      <c r="U212" s="33">
        <v>2671216.96</v>
      </c>
      <c r="V212" s="47">
        <f t="shared" si="64"/>
        <v>24.090149541423873</v>
      </c>
      <c r="W212" s="48">
        <v>0</v>
      </c>
    </row>
    <row r="213" spans="1:23" ht="80.25" customHeight="1">
      <c r="A213" s="7" t="s">
        <v>240</v>
      </c>
      <c r="B213" s="5" t="s">
        <v>13</v>
      </c>
      <c r="C213" s="5" t="s">
        <v>13</v>
      </c>
      <c r="D213" s="5" t="s">
        <v>241</v>
      </c>
      <c r="E213" s="5" t="s">
        <v>120</v>
      </c>
      <c r="F213" s="55" t="s">
        <v>83</v>
      </c>
      <c r="G213" s="28">
        <v>74514840</v>
      </c>
      <c r="H213" s="32">
        <v>67055900</v>
      </c>
      <c r="I213" s="33">
        <v>7458940</v>
      </c>
      <c r="J213" s="28">
        <f t="shared" si="124"/>
        <v>74514840</v>
      </c>
      <c r="K213" s="32">
        <v>67055900</v>
      </c>
      <c r="L213" s="33">
        <v>7458940</v>
      </c>
      <c r="M213" s="32">
        <f>M214</f>
        <v>23430347.02</v>
      </c>
      <c r="N213" s="32">
        <f>N214</f>
        <v>21084967.859999999</v>
      </c>
      <c r="O213" s="53">
        <f>O214</f>
        <v>2345379.16</v>
      </c>
      <c r="P213" s="28">
        <f t="shared" si="122"/>
        <v>23430347.02</v>
      </c>
      <c r="Q213" s="32">
        <f>Q214</f>
        <v>21084967.859999999</v>
      </c>
      <c r="R213" s="33">
        <f>R214</f>
        <v>2345379.16</v>
      </c>
      <c r="S213" s="28">
        <f t="shared" si="123"/>
        <v>23430347.02</v>
      </c>
      <c r="T213" s="32">
        <f>T214</f>
        <v>21084967.859999999</v>
      </c>
      <c r="U213" s="33">
        <f>U214</f>
        <v>2345379.16</v>
      </c>
      <c r="V213" s="47">
        <f t="shared" si="64"/>
        <v>31.443866778751723</v>
      </c>
      <c r="W213" s="48">
        <f t="shared" ref="W213:W216" si="125">S213/M213*100</f>
        <v>100</v>
      </c>
    </row>
    <row r="214" spans="1:23">
      <c r="A214" s="7" t="s">
        <v>124</v>
      </c>
      <c r="B214" s="5" t="s">
        <v>125</v>
      </c>
      <c r="C214" s="7"/>
      <c r="D214" s="7"/>
      <c r="E214" s="7"/>
      <c r="F214" s="56"/>
      <c r="G214" s="28">
        <v>74514840</v>
      </c>
      <c r="H214" s="32">
        <v>67055900</v>
      </c>
      <c r="I214" s="33">
        <v>7458940</v>
      </c>
      <c r="J214" s="28">
        <f t="shared" si="124"/>
        <v>74514840</v>
      </c>
      <c r="K214" s="32">
        <v>67055900</v>
      </c>
      <c r="L214" s="33">
        <v>7458940</v>
      </c>
      <c r="M214" s="28">
        <f t="shared" si="121"/>
        <v>23430347.02</v>
      </c>
      <c r="N214" s="32">
        <v>21084967.859999999</v>
      </c>
      <c r="O214" s="33">
        <v>2345379.16</v>
      </c>
      <c r="P214" s="28">
        <f t="shared" si="122"/>
        <v>23430347.02</v>
      </c>
      <c r="Q214" s="32">
        <v>21084967.859999999</v>
      </c>
      <c r="R214" s="33">
        <v>2345379.16</v>
      </c>
      <c r="S214" s="28">
        <f t="shared" si="123"/>
        <v>23430347.02</v>
      </c>
      <c r="T214" s="32">
        <v>21084967.859999999</v>
      </c>
      <c r="U214" s="33">
        <v>2345379.16</v>
      </c>
      <c r="V214" s="47">
        <f t="shared" si="64"/>
        <v>31.443866778751723</v>
      </c>
      <c r="W214" s="48">
        <f t="shared" si="125"/>
        <v>100</v>
      </c>
    </row>
    <row r="215" spans="1:23" ht="78" customHeight="1">
      <c r="A215" s="7" t="s">
        <v>242</v>
      </c>
      <c r="B215" s="5" t="s">
        <v>13</v>
      </c>
      <c r="C215" s="5" t="s">
        <v>13</v>
      </c>
      <c r="D215" s="5" t="s">
        <v>243</v>
      </c>
      <c r="E215" s="5" t="s">
        <v>230</v>
      </c>
      <c r="F215" s="55" t="s">
        <v>25</v>
      </c>
      <c r="G215" s="28">
        <f>H215+I215</f>
        <v>245647470.27000001</v>
      </c>
      <c r="H215" s="32">
        <v>229711900</v>
      </c>
      <c r="I215" s="33">
        <f>I216+I217</f>
        <v>15935570.27</v>
      </c>
      <c r="J215" s="28">
        <f>K215+L215</f>
        <v>245647470.27000001</v>
      </c>
      <c r="K215" s="32">
        <v>229711900</v>
      </c>
      <c r="L215" s="33">
        <f>L216+L217</f>
        <v>15935570.27</v>
      </c>
      <c r="M215" s="28">
        <f t="shared" si="121"/>
        <v>83146249.420000002</v>
      </c>
      <c r="N215" s="32">
        <f>N216</f>
        <v>81481689.920000002</v>
      </c>
      <c r="O215" s="33">
        <f>O216</f>
        <v>1664559.5</v>
      </c>
      <c r="P215" s="28">
        <f t="shared" si="122"/>
        <v>83146249.420000002</v>
      </c>
      <c r="Q215" s="32">
        <f>Q216</f>
        <v>81481689.920000002</v>
      </c>
      <c r="R215" s="33">
        <f>R216</f>
        <v>1664559.5</v>
      </c>
      <c r="S215" s="28">
        <f t="shared" si="123"/>
        <v>83146249.409999996</v>
      </c>
      <c r="T215" s="32">
        <f>T216</f>
        <v>81481689.920000002</v>
      </c>
      <c r="U215" s="33">
        <f>U216</f>
        <v>1664559.49</v>
      </c>
      <c r="V215" s="47">
        <f t="shared" ref="V215:V269" si="126">S215/J215*100</f>
        <v>33.847793880641611</v>
      </c>
      <c r="W215" s="48">
        <f t="shared" si="125"/>
        <v>99.999999987972998</v>
      </c>
    </row>
    <row r="216" spans="1:23">
      <c r="A216" s="7" t="s">
        <v>124</v>
      </c>
      <c r="B216" s="5" t="s">
        <v>125</v>
      </c>
      <c r="C216" s="7"/>
      <c r="D216" s="7"/>
      <c r="E216" s="7"/>
      <c r="F216" s="56"/>
      <c r="G216" s="28">
        <f t="shared" ref="G216:G217" si="127">H216+I216</f>
        <v>234404600</v>
      </c>
      <c r="H216" s="32">
        <v>229711900</v>
      </c>
      <c r="I216" s="33">
        <v>4692700</v>
      </c>
      <c r="J216" s="28">
        <f t="shared" ref="J216:J220" si="128">K216+L216</f>
        <v>234404600</v>
      </c>
      <c r="K216" s="32">
        <v>229711900</v>
      </c>
      <c r="L216" s="33">
        <v>4692700</v>
      </c>
      <c r="M216" s="28">
        <f t="shared" si="121"/>
        <v>83146249.420000002</v>
      </c>
      <c r="N216" s="32">
        <v>81481689.920000002</v>
      </c>
      <c r="O216" s="33">
        <v>1664559.5</v>
      </c>
      <c r="P216" s="28">
        <f t="shared" si="122"/>
        <v>83146249.420000002</v>
      </c>
      <c r="Q216" s="32">
        <v>81481689.920000002</v>
      </c>
      <c r="R216" s="33">
        <v>1664559.5</v>
      </c>
      <c r="S216" s="28">
        <f t="shared" si="123"/>
        <v>83146249.409999996</v>
      </c>
      <c r="T216" s="32">
        <v>81481689.920000002</v>
      </c>
      <c r="U216" s="33">
        <v>1664559.49</v>
      </c>
      <c r="V216" s="47">
        <f t="shared" si="126"/>
        <v>35.471253298783381</v>
      </c>
      <c r="W216" s="48">
        <f t="shared" si="125"/>
        <v>99.999999987972998</v>
      </c>
    </row>
    <row r="217" spans="1:23">
      <c r="A217" s="17" t="s">
        <v>22</v>
      </c>
      <c r="B217" s="18"/>
      <c r="C217" s="17"/>
      <c r="D217" s="17"/>
      <c r="E217" s="17"/>
      <c r="F217" s="56"/>
      <c r="G217" s="28">
        <f t="shared" si="127"/>
        <v>11242870.27</v>
      </c>
      <c r="H217" s="32"/>
      <c r="I217" s="33">
        <v>11242870.27</v>
      </c>
      <c r="J217" s="28">
        <f t="shared" si="128"/>
        <v>11242870.27</v>
      </c>
      <c r="K217" s="32"/>
      <c r="L217" s="33">
        <v>11242870.27</v>
      </c>
      <c r="M217" s="28">
        <f>O217</f>
        <v>0</v>
      </c>
      <c r="N217" s="32"/>
      <c r="O217" s="33"/>
      <c r="P217" s="28">
        <f>R217</f>
        <v>0</v>
      </c>
      <c r="Q217" s="32"/>
      <c r="R217" s="33"/>
      <c r="S217" s="28">
        <f>U217</f>
        <v>0</v>
      </c>
      <c r="T217" s="32"/>
      <c r="U217" s="33"/>
      <c r="V217" s="47">
        <v>0</v>
      </c>
      <c r="W217" s="48">
        <v>0</v>
      </c>
    </row>
    <row r="218" spans="1:23" ht="75.75" customHeight="1">
      <c r="A218" s="7" t="s">
        <v>244</v>
      </c>
      <c r="B218" s="5" t="s">
        <v>13</v>
      </c>
      <c r="C218" s="5" t="s">
        <v>13</v>
      </c>
      <c r="D218" s="5" t="s">
        <v>245</v>
      </c>
      <c r="E218" s="5" t="s">
        <v>230</v>
      </c>
      <c r="F218" s="55">
        <v>2022</v>
      </c>
      <c r="G218" s="28">
        <v>128823400</v>
      </c>
      <c r="H218" s="32">
        <v>126244400</v>
      </c>
      <c r="I218" s="33">
        <v>2579000</v>
      </c>
      <c r="J218" s="28">
        <f t="shared" si="128"/>
        <v>128823400</v>
      </c>
      <c r="K218" s="32">
        <v>126244400</v>
      </c>
      <c r="L218" s="33">
        <v>2579000</v>
      </c>
      <c r="M218" s="28">
        <f t="shared" si="121"/>
        <v>1365014.6600000001</v>
      </c>
      <c r="N218" s="32">
        <f>N219</f>
        <v>1337687.54</v>
      </c>
      <c r="O218" s="33">
        <f>O219</f>
        <v>27327.119999999999</v>
      </c>
      <c r="P218" s="28">
        <f t="shared" si="122"/>
        <v>1365014.6600000001</v>
      </c>
      <c r="Q218" s="32">
        <f>Q219</f>
        <v>1337687.54</v>
      </c>
      <c r="R218" s="33">
        <f>R219</f>
        <v>27327.119999999999</v>
      </c>
      <c r="S218" s="28">
        <f t="shared" si="123"/>
        <v>1365014.6600000001</v>
      </c>
      <c r="T218" s="32">
        <f>T219</f>
        <v>1337687.54</v>
      </c>
      <c r="U218" s="33">
        <f>U219</f>
        <v>27327.119999999999</v>
      </c>
      <c r="V218" s="47">
        <f t="shared" si="126"/>
        <v>1.0596014854444147</v>
      </c>
      <c r="W218" s="48">
        <v>0</v>
      </c>
    </row>
    <row r="219" spans="1:23">
      <c r="A219" s="7" t="s">
        <v>124</v>
      </c>
      <c r="B219" s="5" t="s">
        <v>125</v>
      </c>
      <c r="C219" s="7"/>
      <c r="D219" s="7"/>
      <c r="E219" s="7"/>
      <c r="F219" s="56"/>
      <c r="G219" s="28">
        <v>128823400</v>
      </c>
      <c r="H219" s="32">
        <v>126244400</v>
      </c>
      <c r="I219" s="33">
        <v>2579000</v>
      </c>
      <c r="J219" s="28">
        <f t="shared" si="128"/>
        <v>128823400</v>
      </c>
      <c r="K219" s="32">
        <v>126244400</v>
      </c>
      <c r="L219" s="33">
        <v>2579000</v>
      </c>
      <c r="M219" s="28">
        <f t="shared" si="121"/>
        <v>1365014.6600000001</v>
      </c>
      <c r="N219" s="32">
        <v>1337687.54</v>
      </c>
      <c r="O219" s="33">
        <v>27327.119999999999</v>
      </c>
      <c r="P219" s="28">
        <f t="shared" si="122"/>
        <v>1365014.6600000001</v>
      </c>
      <c r="Q219" s="32">
        <v>1337687.54</v>
      </c>
      <c r="R219" s="33">
        <v>27327.119999999999</v>
      </c>
      <c r="S219" s="28">
        <f t="shared" si="123"/>
        <v>1365014.6600000001</v>
      </c>
      <c r="T219" s="32">
        <v>1337687.54</v>
      </c>
      <c r="U219" s="33">
        <v>27327.119999999999</v>
      </c>
      <c r="V219" s="47">
        <f t="shared" si="126"/>
        <v>1.0596014854444147</v>
      </c>
      <c r="W219" s="48">
        <v>0</v>
      </c>
    </row>
    <row r="220" spans="1:23" ht="30" customHeight="1">
      <c r="A220" s="103" t="s">
        <v>246</v>
      </c>
      <c r="B220" s="103"/>
      <c r="C220" s="103"/>
      <c r="D220" s="103"/>
      <c r="E220" s="103"/>
      <c r="F220" s="104"/>
      <c r="G220" s="28">
        <v>267265056</v>
      </c>
      <c r="H220" s="32"/>
      <c r="I220" s="33">
        <v>267265056</v>
      </c>
      <c r="J220" s="28">
        <f t="shared" si="128"/>
        <v>267265056</v>
      </c>
      <c r="K220" s="32"/>
      <c r="L220" s="33">
        <v>267265056</v>
      </c>
      <c r="M220" s="28">
        <f t="shared" si="121"/>
        <v>229880462</v>
      </c>
      <c r="N220" s="32"/>
      <c r="O220" s="33">
        <f>O222</f>
        <v>229880462</v>
      </c>
      <c r="P220" s="28">
        <f t="shared" si="122"/>
        <v>229880462</v>
      </c>
      <c r="Q220" s="32"/>
      <c r="R220" s="33">
        <f>R221</f>
        <v>229880462</v>
      </c>
      <c r="S220" s="28">
        <f t="shared" si="123"/>
        <v>229880462</v>
      </c>
      <c r="T220" s="32"/>
      <c r="U220" s="33">
        <f>U221</f>
        <v>229880462</v>
      </c>
      <c r="V220" s="47"/>
      <c r="W220" s="48"/>
    </row>
    <row r="221" spans="1:23" s="13" customFormat="1">
      <c r="A221" s="101" t="s">
        <v>96</v>
      </c>
      <c r="B221" s="101"/>
      <c r="C221" s="101"/>
      <c r="D221" s="101"/>
      <c r="E221" s="101"/>
      <c r="F221" s="102"/>
      <c r="G221" s="34">
        <v>267265056</v>
      </c>
      <c r="H221" s="35"/>
      <c r="I221" s="36">
        <v>267265056</v>
      </c>
      <c r="J221" s="34">
        <v>267265056</v>
      </c>
      <c r="K221" s="35"/>
      <c r="L221" s="36">
        <v>267265056</v>
      </c>
      <c r="M221" s="34">
        <f>N221+O221</f>
        <v>229880462</v>
      </c>
      <c r="N221" s="35"/>
      <c r="O221" s="36">
        <f>O222</f>
        <v>229880462</v>
      </c>
      <c r="P221" s="34">
        <f>Q221+R221</f>
        <v>229880462</v>
      </c>
      <c r="Q221" s="35"/>
      <c r="R221" s="36">
        <f>R222</f>
        <v>229880462</v>
      </c>
      <c r="S221" s="34">
        <f>T221+U221</f>
        <v>229880462</v>
      </c>
      <c r="T221" s="35"/>
      <c r="U221" s="36">
        <f>U222</f>
        <v>229880462</v>
      </c>
      <c r="V221" s="50">
        <f>S221/J221*100</f>
        <v>86.012165391348432</v>
      </c>
      <c r="W221" s="51">
        <f t="shared" ref="W221:W267" si="129">S221/M221*100</f>
        <v>100</v>
      </c>
    </row>
    <row r="222" spans="1:23" ht="90">
      <c r="A222" s="7" t="s">
        <v>247</v>
      </c>
      <c r="B222" s="5" t="s">
        <v>13</v>
      </c>
      <c r="C222" s="5" t="s">
        <v>98</v>
      </c>
      <c r="D222" s="5" t="s">
        <v>248</v>
      </c>
      <c r="E222" s="5" t="s">
        <v>249</v>
      </c>
      <c r="F222" s="55" t="s">
        <v>25</v>
      </c>
      <c r="G222" s="28">
        <v>267265056</v>
      </c>
      <c r="H222" s="32"/>
      <c r="I222" s="33">
        <v>267265056</v>
      </c>
      <c r="J222" s="28">
        <v>267265056</v>
      </c>
      <c r="K222" s="32"/>
      <c r="L222" s="33">
        <v>267265056</v>
      </c>
      <c r="M222" s="28">
        <f>N222+O222</f>
        <v>229880462</v>
      </c>
      <c r="N222" s="32"/>
      <c r="O222" s="33">
        <f>O223</f>
        <v>229880462</v>
      </c>
      <c r="P222" s="28">
        <f>Q222+R222</f>
        <v>229880462</v>
      </c>
      <c r="Q222" s="32"/>
      <c r="R222" s="33">
        <f>R223</f>
        <v>229880462</v>
      </c>
      <c r="S222" s="28">
        <f>T222+U222</f>
        <v>229880462</v>
      </c>
      <c r="T222" s="32"/>
      <c r="U222" s="33">
        <f>U223</f>
        <v>229880462</v>
      </c>
      <c r="V222" s="47">
        <f t="shared" si="126"/>
        <v>86.012165391348432</v>
      </c>
      <c r="W222" s="48">
        <f t="shared" si="129"/>
        <v>100</v>
      </c>
    </row>
    <row r="223" spans="1:23" ht="31.5" customHeight="1">
      <c r="A223" s="60" t="s">
        <v>232</v>
      </c>
      <c r="B223" s="61" t="s">
        <v>233</v>
      </c>
      <c r="C223" s="61"/>
      <c r="D223" s="61"/>
      <c r="E223" s="61"/>
      <c r="F223" s="62"/>
      <c r="G223" s="28">
        <f>I223</f>
        <v>267265056</v>
      </c>
      <c r="H223" s="32"/>
      <c r="I223" s="33">
        <v>267265056</v>
      </c>
      <c r="J223" s="28">
        <f>L223</f>
        <v>267265056</v>
      </c>
      <c r="K223" s="32"/>
      <c r="L223" s="33">
        <v>267265056</v>
      </c>
      <c r="M223" s="28">
        <f>O223</f>
        <v>229880462</v>
      </c>
      <c r="N223" s="32"/>
      <c r="O223" s="33">
        <v>229880462</v>
      </c>
      <c r="P223" s="28">
        <f>R223</f>
        <v>229880462</v>
      </c>
      <c r="Q223" s="32"/>
      <c r="R223" s="33">
        <v>229880462</v>
      </c>
      <c r="S223" s="28">
        <f>U223</f>
        <v>229880462</v>
      </c>
      <c r="T223" s="32"/>
      <c r="U223" s="33">
        <v>229880462</v>
      </c>
      <c r="V223" s="47">
        <f t="shared" ref="V223" si="130">S223/J223*100</f>
        <v>86.012165391348432</v>
      </c>
      <c r="W223" s="48">
        <f t="shared" ref="W223" si="131">S223/M223*100</f>
        <v>100</v>
      </c>
    </row>
    <row r="224" spans="1:23" s="13" customFormat="1" ht="32.25" customHeight="1">
      <c r="A224" s="105" t="s">
        <v>250</v>
      </c>
      <c r="B224" s="105"/>
      <c r="C224" s="105"/>
      <c r="D224" s="105"/>
      <c r="E224" s="105"/>
      <c r="F224" s="106"/>
      <c r="G224" s="34">
        <f>G225+G226</f>
        <v>433026853.5</v>
      </c>
      <c r="H224" s="35">
        <v>299079700</v>
      </c>
      <c r="I224" s="36">
        <f>I225+I226</f>
        <v>133947153.5</v>
      </c>
      <c r="J224" s="34">
        <f>J225+J226</f>
        <v>433026853.5</v>
      </c>
      <c r="K224" s="35">
        <v>299079700</v>
      </c>
      <c r="L224" s="36">
        <f>L225+L226</f>
        <v>133947153.5</v>
      </c>
      <c r="M224" s="34">
        <f>M225+M226</f>
        <v>98407038.409999996</v>
      </c>
      <c r="N224" s="35">
        <f>N225</f>
        <v>0</v>
      </c>
      <c r="O224" s="36">
        <f>O225+O226</f>
        <v>98407038.409999996</v>
      </c>
      <c r="P224" s="34">
        <f>P225+P226</f>
        <v>61081675.82</v>
      </c>
      <c r="Q224" s="35">
        <f>Q225</f>
        <v>0</v>
      </c>
      <c r="R224" s="36">
        <f>R225+R226</f>
        <v>61081675.82</v>
      </c>
      <c r="S224" s="34">
        <f>S225+S226</f>
        <v>61081675.82</v>
      </c>
      <c r="T224" s="35">
        <f>T225</f>
        <v>0</v>
      </c>
      <c r="U224" s="36">
        <f>U225+U226</f>
        <v>61081675.82</v>
      </c>
      <c r="V224" s="50">
        <f t="shared" si="126"/>
        <v>14.105747790535119</v>
      </c>
      <c r="W224" s="51">
        <f t="shared" si="129"/>
        <v>62.070433992242734</v>
      </c>
    </row>
    <row r="225" spans="1:23">
      <c r="A225" s="103" t="s">
        <v>7</v>
      </c>
      <c r="B225" s="103"/>
      <c r="C225" s="103"/>
      <c r="D225" s="103"/>
      <c r="E225" s="103"/>
      <c r="F225" s="104"/>
      <c r="G225" s="28">
        <f>H225+I225</f>
        <v>332310777.77999997</v>
      </c>
      <c r="H225" s="32">
        <v>299079700</v>
      </c>
      <c r="I225" s="33">
        <f>I229</f>
        <v>33231077.780000001</v>
      </c>
      <c r="J225" s="28">
        <f>K225+L225</f>
        <v>332310777.77999997</v>
      </c>
      <c r="K225" s="32">
        <v>299079700</v>
      </c>
      <c r="L225" s="33">
        <f>L229</f>
        <v>33231077.780000001</v>
      </c>
      <c r="M225" s="28">
        <f>N225+O225</f>
        <v>0</v>
      </c>
      <c r="N225" s="32">
        <f>N229</f>
        <v>0</v>
      </c>
      <c r="O225" s="33">
        <f>O229</f>
        <v>0</v>
      </c>
      <c r="P225" s="28">
        <f>Q225+R225</f>
        <v>0</v>
      </c>
      <c r="Q225" s="32">
        <f>Q229</f>
        <v>0</v>
      </c>
      <c r="R225" s="33">
        <f>R229</f>
        <v>0</v>
      </c>
      <c r="S225" s="28">
        <f>T225+U225</f>
        <v>0</v>
      </c>
      <c r="T225" s="32">
        <f>T229</f>
        <v>0</v>
      </c>
      <c r="U225" s="33">
        <f>U229</f>
        <v>0</v>
      </c>
      <c r="V225" s="47">
        <f t="shared" si="126"/>
        <v>0</v>
      </c>
      <c r="W225" s="48">
        <v>0</v>
      </c>
    </row>
    <row r="226" spans="1:23">
      <c r="A226" s="103" t="s">
        <v>8</v>
      </c>
      <c r="B226" s="103"/>
      <c r="C226" s="103"/>
      <c r="D226" s="103"/>
      <c r="E226" s="103"/>
      <c r="F226" s="104"/>
      <c r="G226" s="28">
        <f>G227-G225</f>
        <v>100716075.72000003</v>
      </c>
      <c r="H226" s="32"/>
      <c r="I226" s="33">
        <f>I230+I231+I232</f>
        <v>100716075.72</v>
      </c>
      <c r="J226" s="28">
        <f>J227-J225</f>
        <v>100716075.72000003</v>
      </c>
      <c r="K226" s="32"/>
      <c r="L226" s="33">
        <f>L230+L231+L232</f>
        <v>100716075.72</v>
      </c>
      <c r="M226" s="28">
        <f>M227-M225</f>
        <v>98407038.409999996</v>
      </c>
      <c r="N226" s="32"/>
      <c r="O226" s="33">
        <f>O230+O231+O232</f>
        <v>98407038.409999996</v>
      </c>
      <c r="P226" s="28">
        <f>P227-P225</f>
        <v>61081675.82</v>
      </c>
      <c r="Q226" s="32"/>
      <c r="R226" s="33">
        <f>R230+R231+R232</f>
        <v>61081675.82</v>
      </c>
      <c r="S226" s="28">
        <f>S227-S225</f>
        <v>61081675.82</v>
      </c>
      <c r="T226" s="32"/>
      <c r="U226" s="33">
        <f>U230+U231+U232</f>
        <v>61081675.82</v>
      </c>
      <c r="V226" s="47">
        <f t="shared" si="126"/>
        <v>60.647394552794822</v>
      </c>
      <c r="W226" s="48">
        <f t="shared" si="129"/>
        <v>62.070433992242734</v>
      </c>
    </row>
    <row r="227" spans="1:23" s="13" customFormat="1">
      <c r="A227" s="101" t="s">
        <v>11</v>
      </c>
      <c r="B227" s="101"/>
      <c r="C227" s="101"/>
      <c r="D227" s="101"/>
      <c r="E227" s="101"/>
      <c r="F227" s="102"/>
      <c r="G227" s="34">
        <f>H227+I227</f>
        <v>433026853.5</v>
      </c>
      <c r="H227" s="35">
        <f>H228</f>
        <v>299079700</v>
      </c>
      <c r="I227" s="36">
        <f>I228+I231+I232</f>
        <v>133947153.5</v>
      </c>
      <c r="J227" s="34">
        <f>K227+L227</f>
        <v>433026853.5</v>
      </c>
      <c r="K227" s="35">
        <f>K228</f>
        <v>299079700</v>
      </c>
      <c r="L227" s="36">
        <f>L228+L231+L232</f>
        <v>133947153.5</v>
      </c>
      <c r="M227" s="34">
        <f>N227+O227</f>
        <v>98407038.409999996</v>
      </c>
      <c r="N227" s="35">
        <f>N228</f>
        <v>0</v>
      </c>
      <c r="O227" s="36">
        <f>O228+O231+O232</f>
        <v>98407038.409999996</v>
      </c>
      <c r="P227" s="34">
        <f>Q227+R227</f>
        <v>61081675.82</v>
      </c>
      <c r="Q227" s="35">
        <f>Q228</f>
        <v>0</v>
      </c>
      <c r="R227" s="36">
        <f>R228+R231+R232</f>
        <v>61081675.82</v>
      </c>
      <c r="S227" s="34">
        <f>T227+U227</f>
        <v>61081675.82</v>
      </c>
      <c r="T227" s="35">
        <f>T228</f>
        <v>0</v>
      </c>
      <c r="U227" s="36">
        <f>U228+U231+U232</f>
        <v>61081675.82</v>
      </c>
      <c r="V227" s="50">
        <f t="shared" si="126"/>
        <v>14.105747790535119</v>
      </c>
      <c r="W227" s="51">
        <f t="shared" si="129"/>
        <v>62.070433992242734</v>
      </c>
    </row>
    <row r="228" spans="1:23" ht="109.5" customHeight="1">
      <c r="A228" s="7" t="s">
        <v>251</v>
      </c>
      <c r="B228" s="5" t="s">
        <v>13</v>
      </c>
      <c r="C228" s="5" t="s">
        <v>13</v>
      </c>
      <c r="D228" s="5" t="s">
        <v>252</v>
      </c>
      <c r="E228" s="5" t="s">
        <v>15</v>
      </c>
      <c r="F228" s="55" t="s">
        <v>253</v>
      </c>
      <c r="G228" s="28">
        <f>H228+I228</f>
        <v>332975521.80000001</v>
      </c>
      <c r="H228" s="32">
        <v>299079700</v>
      </c>
      <c r="I228" s="33">
        <f>I229+I230</f>
        <v>33895821.800000004</v>
      </c>
      <c r="J228" s="28">
        <f>K228+L228</f>
        <v>332975521.80000001</v>
      </c>
      <c r="K228" s="32">
        <v>299079700</v>
      </c>
      <c r="L228" s="33">
        <f>L229+L230</f>
        <v>33895821.800000004</v>
      </c>
      <c r="M228" s="28">
        <f>N228+O228</f>
        <v>0</v>
      </c>
      <c r="N228" s="32">
        <f>N229</f>
        <v>0</v>
      </c>
      <c r="O228" s="33">
        <f>O229+O230</f>
        <v>0</v>
      </c>
      <c r="P228" s="28">
        <f>Q228+R228</f>
        <v>0</v>
      </c>
      <c r="Q228" s="32">
        <f>Q229</f>
        <v>0</v>
      </c>
      <c r="R228" s="33">
        <f>R229+R230</f>
        <v>0</v>
      </c>
      <c r="S228" s="28">
        <f>T228+U228</f>
        <v>0</v>
      </c>
      <c r="T228" s="32">
        <f>T229</f>
        <v>0</v>
      </c>
      <c r="U228" s="33">
        <f>U229+U230</f>
        <v>0</v>
      </c>
      <c r="V228" s="47">
        <f t="shared" si="126"/>
        <v>0</v>
      </c>
      <c r="W228" s="48">
        <v>0</v>
      </c>
    </row>
    <row r="229" spans="1:23" ht="30">
      <c r="A229" s="7" t="s">
        <v>254</v>
      </c>
      <c r="B229" s="5" t="s">
        <v>255</v>
      </c>
      <c r="C229" s="7"/>
      <c r="D229" s="7"/>
      <c r="E229" s="7"/>
      <c r="F229" s="56"/>
      <c r="G229" s="28">
        <f>H229+I229</f>
        <v>332310777.77999997</v>
      </c>
      <c r="H229" s="32">
        <v>299079700</v>
      </c>
      <c r="I229" s="33">
        <v>33231077.780000001</v>
      </c>
      <c r="J229" s="28">
        <f>K229+L229</f>
        <v>332310777.77999997</v>
      </c>
      <c r="K229" s="32">
        <v>299079700</v>
      </c>
      <c r="L229" s="33">
        <v>33231077.780000001</v>
      </c>
      <c r="M229" s="28">
        <f t="shared" ref="M229:M232" si="132">N229+O229</f>
        <v>0</v>
      </c>
      <c r="N229" s="32"/>
      <c r="O229" s="33">
        <v>0</v>
      </c>
      <c r="P229" s="28">
        <f>Q229+R229</f>
        <v>0</v>
      </c>
      <c r="Q229" s="32"/>
      <c r="R229" s="33">
        <v>0</v>
      </c>
      <c r="S229" s="28">
        <f>T229+U229</f>
        <v>0</v>
      </c>
      <c r="T229" s="32"/>
      <c r="U229" s="33">
        <v>0</v>
      </c>
      <c r="V229" s="47">
        <f t="shared" si="126"/>
        <v>0</v>
      </c>
      <c r="W229" s="48">
        <v>0</v>
      </c>
    </row>
    <row r="230" spans="1:23">
      <c r="A230" s="7" t="s">
        <v>22</v>
      </c>
      <c r="B230" s="5" t="s">
        <v>13</v>
      </c>
      <c r="C230" s="7"/>
      <c r="D230" s="7"/>
      <c r="E230" s="7"/>
      <c r="F230" s="56"/>
      <c r="G230" s="28">
        <v>664744.02</v>
      </c>
      <c r="H230" s="32"/>
      <c r="I230" s="33">
        <v>664744.02</v>
      </c>
      <c r="J230" s="28">
        <v>664744.02</v>
      </c>
      <c r="K230" s="32"/>
      <c r="L230" s="33">
        <v>664744.02</v>
      </c>
      <c r="M230" s="28">
        <f t="shared" si="132"/>
        <v>0</v>
      </c>
      <c r="N230" s="32"/>
      <c r="O230" s="33"/>
      <c r="P230" s="28">
        <v>0</v>
      </c>
      <c r="Q230" s="32"/>
      <c r="R230" s="33">
        <v>0</v>
      </c>
      <c r="S230" s="28">
        <v>0</v>
      </c>
      <c r="T230" s="32"/>
      <c r="U230" s="33">
        <v>0</v>
      </c>
      <c r="V230" s="47">
        <f t="shared" si="126"/>
        <v>0</v>
      </c>
      <c r="W230" s="48">
        <v>0</v>
      </c>
    </row>
    <row r="231" spans="1:23" ht="123.75" customHeight="1">
      <c r="A231" s="7" t="s">
        <v>256</v>
      </c>
      <c r="B231" s="5" t="s">
        <v>13</v>
      </c>
      <c r="C231" s="5" t="s">
        <v>13</v>
      </c>
      <c r="D231" s="5" t="s">
        <v>257</v>
      </c>
      <c r="E231" s="5" t="s">
        <v>15</v>
      </c>
      <c r="F231" s="55" t="s">
        <v>57</v>
      </c>
      <c r="G231" s="41">
        <f>I231</f>
        <v>95551331.700000003</v>
      </c>
      <c r="H231" s="30"/>
      <c r="I231" s="40">
        <v>95551331.700000003</v>
      </c>
      <c r="J231" s="41">
        <f>L231</f>
        <v>95551331.700000003</v>
      </c>
      <c r="K231" s="30"/>
      <c r="L231" s="40">
        <v>95551331.700000003</v>
      </c>
      <c r="M231" s="28">
        <f t="shared" si="132"/>
        <v>95551331.700000003</v>
      </c>
      <c r="N231" s="30"/>
      <c r="O231" s="40">
        <v>95551331.700000003</v>
      </c>
      <c r="P231" s="41">
        <f>R231</f>
        <v>58225969.109999999</v>
      </c>
      <c r="Q231" s="30"/>
      <c r="R231" s="40">
        <v>58225969.109999999</v>
      </c>
      <c r="S231" s="41">
        <f>U231</f>
        <v>58225969.109999999</v>
      </c>
      <c r="T231" s="30"/>
      <c r="U231" s="40">
        <v>58225969.109999999</v>
      </c>
      <c r="V231" s="47">
        <f t="shared" si="126"/>
        <v>60.936847319732337</v>
      </c>
      <c r="W231" s="48">
        <f t="shared" si="129"/>
        <v>60.936847319732337</v>
      </c>
    </row>
    <row r="232" spans="1:23" ht="106.5" customHeight="1">
      <c r="A232" s="80" t="s">
        <v>258</v>
      </c>
      <c r="B232" s="5" t="s">
        <v>13</v>
      </c>
      <c r="C232" s="5" t="s">
        <v>13</v>
      </c>
      <c r="D232" s="5" t="s">
        <v>259</v>
      </c>
      <c r="E232" s="5" t="s">
        <v>15</v>
      </c>
      <c r="F232" s="55" t="s">
        <v>39</v>
      </c>
      <c r="G232" s="28">
        <f>I232</f>
        <v>4500000</v>
      </c>
      <c r="H232" s="32"/>
      <c r="I232" s="33">
        <v>4500000</v>
      </c>
      <c r="J232" s="28">
        <f>L232</f>
        <v>4500000</v>
      </c>
      <c r="K232" s="32"/>
      <c r="L232" s="33">
        <v>4500000</v>
      </c>
      <c r="M232" s="28">
        <f t="shared" si="132"/>
        <v>2855706.71</v>
      </c>
      <c r="N232" s="32"/>
      <c r="O232" s="33">
        <v>2855706.71</v>
      </c>
      <c r="P232" s="28">
        <f>R232</f>
        <v>2855706.71</v>
      </c>
      <c r="Q232" s="32"/>
      <c r="R232" s="33">
        <v>2855706.71</v>
      </c>
      <c r="S232" s="28">
        <f>U232</f>
        <v>2855706.71</v>
      </c>
      <c r="T232" s="32"/>
      <c r="U232" s="33">
        <v>2855706.71</v>
      </c>
      <c r="V232" s="47">
        <f t="shared" si="126"/>
        <v>63.460149111111107</v>
      </c>
      <c r="W232" s="48">
        <v>0</v>
      </c>
    </row>
    <row r="233" spans="1:23" s="13" customFormat="1" ht="33" customHeight="1">
      <c r="A233" s="105" t="s">
        <v>260</v>
      </c>
      <c r="B233" s="105"/>
      <c r="C233" s="105"/>
      <c r="D233" s="105"/>
      <c r="E233" s="105"/>
      <c r="F233" s="106"/>
      <c r="G233" s="34">
        <f>H233+I233</f>
        <v>434518284.63</v>
      </c>
      <c r="H233" s="35">
        <f>H237+H241</f>
        <v>234718000</v>
      </c>
      <c r="I233" s="36">
        <f>I237+I241</f>
        <v>199800284.63</v>
      </c>
      <c r="J233" s="34">
        <f>K233+L233</f>
        <v>434518284.63</v>
      </c>
      <c r="K233" s="35">
        <f>K237+K241</f>
        <v>234718000</v>
      </c>
      <c r="L233" s="36">
        <f>L237+L241</f>
        <v>199800284.63</v>
      </c>
      <c r="M233" s="34">
        <f>N233+O233</f>
        <v>428610356.26999998</v>
      </c>
      <c r="N233" s="35">
        <f>N237+N241</f>
        <v>234718000</v>
      </c>
      <c r="O233" s="36">
        <f>O237+O241</f>
        <v>193892356.27000001</v>
      </c>
      <c r="P233" s="34">
        <f>Q233+R233</f>
        <v>358563830.11000001</v>
      </c>
      <c r="Q233" s="35">
        <f>Q237+Q241</f>
        <v>187427203.05000001</v>
      </c>
      <c r="R233" s="36">
        <f>R237+R241</f>
        <v>171136627.06</v>
      </c>
      <c r="S233" s="34">
        <f>T233+U233</f>
        <v>353124839.33999997</v>
      </c>
      <c r="T233" s="35">
        <f>T237+T241</f>
        <v>182096947.64999998</v>
      </c>
      <c r="U233" s="36">
        <f>U237+U241</f>
        <v>171027891.69</v>
      </c>
      <c r="V233" s="50">
        <f t="shared" si="126"/>
        <v>81.268119623709751</v>
      </c>
      <c r="W233" s="51">
        <f t="shared" si="129"/>
        <v>82.388312408753734</v>
      </c>
    </row>
    <row r="234" spans="1:23">
      <c r="A234" s="103" t="s">
        <v>7</v>
      </c>
      <c r="B234" s="103"/>
      <c r="C234" s="103"/>
      <c r="D234" s="103"/>
      <c r="E234" s="103"/>
      <c r="F234" s="104"/>
      <c r="G234" s="28"/>
      <c r="H234" s="32"/>
      <c r="I234" s="33"/>
      <c r="J234" s="28"/>
      <c r="K234" s="32"/>
      <c r="L234" s="33"/>
      <c r="M234" s="28"/>
      <c r="N234" s="32"/>
      <c r="O234" s="33"/>
      <c r="P234" s="28"/>
      <c r="Q234" s="32"/>
      <c r="R234" s="33"/>
      <c r="S234" s="28"/>
      <c r="T234" s="32"/>
      <c r="U234" s="33"/>
      <c r="V234" s="47">
        <v>0</v>
      </c>
      <c r="W234" s="48">
        <v>0</v>
      </c>
    </row>
    <row r="235" spans="1:23">
      <c r="A235" s="103" t="s">
        <v>8</v>
      </c>
      <c r="B235" s="103"/>
      <c r="C235" s="103"/>
      <c r="D235" s="103"/>
      <c r="E235" s="103"/>
      <c r="F235" s="104"/>
      <c r="G235" s="28">
        <f>H235+I235</f>
        <v>434518284.63</v>
      </c>
      <c r="H235" s="32">
        <f>H238+H239+H242+H243+H246</f>
        <v>234718000</v>
      </c>
      <c r="I235" s="33">
        <f>I238+I239+I242+I243+I244+I246</f>
        <v>199800284.63</v>
      </c>
      <c r="J235" s="28">
        <f>K235+L235</f>
        <v>434518284.63</v>
      </c>
      <c r="K235" s="32">
        <f>K238+K239+K242+K243+K246</f>
        <v>234718000</v>
      </c>
      <c r="L235" s="33">
        <f>L238+L239+L242+L243+L244+L246</f>
        <v>199800284.63</v>
      </c>
      <c r="M235" s="28">
        <f>N235+O235</f>
        <v>428610356.26999998</v>
      </c>
      <c r="N235" s="32">
        <f>N238+N239+N242+N243+N246</f>
        <v>234718000</v>
      </c>
      <c r="O235" s="33">
        <f>O238+O239+O242+O243+O244+O246</f>
        <v>193892356.27000001</v>
      </c>
      <c r="P235" s="28">
        <f>Q235+R235</f>
        <v>358563830.11000001</v>
      </c>
      <c r="Q235" s="32">
        <f>Q238+Q239+Q242+Q243+Q246</f>
        <v>187427203.05000001</v>
      </c>
      <c r="R235" s="33">
        <f>R238+R239+R242+R243+R244+R246</f>
        <v>171136627.06</v>
      </c>
      <c r="S235" s="28">
        <f>T235+U235</f>
        <v>353124839.33999997</v>
      </c>
      <c r="T235" s="32">
        <f>T238+T239+T242+T243+T246</f>
        <v>182096947.64999998</v>
      </c>
      <c r="U235" s="33">
        <f>U238+U239+U242+U243+U244+U246</f>
        <v>171027891.69</v>
      </c>
      <c r="V235" s="47">
        <f t="shared" si="126"/>
        <v>81.268119623709751</v>
      </c>
      <c r="W235" s="48">
        <f t="shared" si="129"/>
        <v>82.388312408753734</v>
      </c>
    </row>
    <row r="236" spans="1:23">
      <c r="A236" s="103" t="s">
        <v>261</v>
      </c>
      <c r="B236" s="103"/>
      <c r="C236" s="103"/>
      <c r="D236" s="103"/>
      <c r="E236" s="103"/>
      <c r="F236" s="104"/>
      <c r="G236" s="28">
        <v>64310011.109999999</v>
      </c>
      <c r="H236" s="32">
        <v>23450000</v>
      </c>
      <c r="I236" s="33">
        <v>40860011.109999999</v>
      </c>
      <c r="J236" s="28">
        <f>K236+L236</f>
        <v>64310011.109999999</v>
      </c>
      <c r="K236" s="32">
        <v>23450000</v>
      </c>
      <c r="L236" s="33">
        <v>40860011.109999999</v>
      </c>
      <c r="M236" s="28">
        <f>N236+O236</f>
        <v>64310011.109999999</v>
      </c>
      <c r="N236" s="32">
        <v>23450000</v>
      </c>
      <c r="O236" s="33">
        <v>40860011.109999999</v>
      </c>
      <c r="P236" s="28">
        <f>Q236+R236</f>
        <v>64310011.109999999</v>
      </c>
      <c r="Q236" s="32">
        <v>23450000</v>
      </c>
      <c r="R236" s="33">
        <v>40860011.109999999</v>
      </c>
      <c r="S236" s="28">
        <f>T236+U236</f>
        <v>64310011.109999999</v>
      </c>
      <c r="T236" s="32">
        <v>23450000</v>
      </c>
      <c r="U236" s="33">
        <v>40860011.109999999</v>
      </c>
      <c r="V236" s="47">
        <f t="shared" si="126"/>
        <v>100</v>
      </c>
      <c r="W236" s="48">
        <f t="shared" si="129"/>
        <v>100</v>
      </c>
    </row>
    <row r="237" spans="1:23" s="13" customFormat="1">
      <c r="A237" s="101" t="s">
        <v>11</v>
      </c>
      <c r="B237" s="101"/>
      <c r="C237" s="101"/>
      <c r="D237" s="101"/>
      <c r="E237" s="101"/>
      <c r="F237" s="102"/>
      <c r="G237" s="34">
        <f>H237+I237</f>
        <v>71510005.00999999</v>
      </c>
      <c r="H237" s="35">
        <f>H238+H239</f>
        <v>23450000</v>
      </c>
      <c r="I237" s="36">
        <f>I238+I239</f>
        <v>48060005.009999998</v>
      </c>
      <c r="J237" s="34">
        <f>K237+L237</f>
        <v>71510005.00999999</v>
      </c>
      <c r="K237" s="35">
        <f>K238+K239</f>
        <v>23450000</v>
      </c>
      <c r="L237" s="36">
        <f>L238+L239</f>
        <v>48060005.009999998</v>
      </c>
      <c r="M237" s="34">
        <f>N237+O237</f>
        <v>65602076.649999999</v>
      </c>
      <c r="N237" s="35">
        <f>N238+N239</f>
        <v>23450000</v>
      </c>
      <c r="O237" s="36">
        <f>O238+O239</f>
        <v>42152076.649999999</v>
      </c>
      <c r="P237" s="34">
        <f>Q237+R237</f>
        <v>56280233.280000001</v>
      </c>
      <c r="Q237" s="35">
        <f>Q238+Q239</f>
        <v>23450000</v>
      </c>
      <c r="R237" s="36">
        <f>R238+R239</f>
        <v>32830233.280000001</v>
      </c>
      <c r="S237" s="34">
        <f>T237+U237</f>
        <v>56280233.280000001</v>
      </c>
      <c r="T237" s="35">
        <f>T238+T239</f>
        <v>23450000</v>
      </c>
      <c r="U237" s="36">
        <f>U238+U239</f>
        <v>32830233.280000001</v>
      </c>
      <c r="V237" s="50">
        <f t="shared" si="126"/>
        <v>78.702600107676886</v>
      </c>
      <c r="W237" s="51">
        <f t="shared" si="129"/>
        <v>85.790322736681233</v>
      </c>
    </row>
    <row r="238" spans="1:23" ht="135">
      <c r="A238" s="7" t="s">
        <v>262</v>
      </c>
      <c r="B238" s="5" t="s">
        <v>13</v>
      </c>
      <c r="C238" s="5" t="s">
        <v>13</v>
      </c>
      <c r="D238" s="5" t="s">
        <v>263</v>
      </c>
      <c r="E238" s="5" t="s">
        <v>264</v>
      </c>
      <c r="F238" s="55" t="s">
        <v>21</v>
      </c>
      <c r="G238" s="28">
        <f>H238+I238</f>
        <v>16614100</v>
      </c>
      <c r="H238" s="32">
        <v>11725000</v>
      </c>
      <c r="I238" s="33">
        <v>4889100</v>
      </c>
      <c r="J238" s="28">
        <f t="shared" ref="J238:J240" si="133">K238+L238</f>
        <v>16614100</v>
      </c>
      <c r="K238" s="32">
        <v>11725000</v>
      </c>
      <c r="L238" s="33">
        <v>4889100</v>
      </c>
      <c r="M238" s="28">
        <f t="shared" ref="M238:M240" si="134">N238+O238</f>
        <v>13996262.08</v>
      </c>
      <c r="N238" s="32">
        <v>11725000</v>
      </c>
      <c r="O238" s="33">
        <v>2271262.08</v>
      </c>
      <c r="P238" s="28">
        <f t="shared" ref="P238:P240" si="135">Q238+R238</f>
        <v>13996262.08</v>
      </c>
      <c r="Q238" s="32">
        <v>11725000</v>
      </c>
      <c r="R238" s="33">
        <v>2271262.08</v>
      </c>
      <c r="S238" s="28">
        <f t="shared" ref="S238:S240" si="136">T238+U238</f>
        <v>13996262.08</v>
      </c>
      <c r="T238" s="32">
        <v>11725000</v>
      </c>
      <c r="U238" s="33">
        <v>2271262.08</v>
      </c>
      <c r="V238" s="47">
        <f t="shared" si="126"/>
        <v>84.243275771784212</v>
      </c>
      <c r="W238" s="48">
        <f t="shared" si="129"/>
        <v>100</v>
      </c>
    </row>
    <row r="239" spans="1:23" ht="120">
      <c r="A239" s="7" t="s">
        <v>265</v>
      </c>
      <c r="B239" s="5" t="s">
        <v>13</v>
      </c>
      <c r="C239" s="5" t="s">
        <v>13</v>
      </c>
      <c r="D239" s="5" t="s">
        <v>266</v>
      </c>
      <c r="E239" s="5" t="s">
        <v>267</v>
      </c>
      <c r="F239" s="55" t="s">
        <v>21</v>
      </c>
      <c r="G239" s="28">
        <f>H239+I239</f>
        <v>54895905.009999998</v>
      </c>
      <c r="H239" s="32">
        <v>11725000</v>
      </c>
      <c r="I239" s="33">
        <v>43170905.009999998</v>
      </c>
      <c r="J239" s="28">
        <f t="shared" si="133"/>
        <v>54895905.009999998</v>
      </c>
      <c r="K239" s="32">
        <v>11725000</v>
      </c>
      <c r="L239" s="33">
        <v>43170905.009999998</v>
      </c>
      <c r="M239" s="28">
        <f t="shared" si="134"/>
        <v>51605814.57</v>
      </c>
      <c r="N239" s="32">
        <v>11725000</v>
      </c>
      <c r="O239" s="33">
        <v>39880814.57</v>
      </c>
      <c r="P239" s="28">
        <f t="shared" si="135"/>
        <v>42283971.200000003</v>
      </c>
      <c r="Q239" s="32">
        <v>11725000</v>
      </c>
      <c r="R239" s="33">
        <v>30558971.199999999</v>
      </c>
      <c r="S239" s="28">
        <f t="shared" si="136"/>
        <v>42283971.200000003</v>
      </c>
      <c r="T239" s="32">
        <v>11725000</v>
      </c>
      <c r="U239" s="33">
        <v>30558971.199999999</v>
      </c>
      <c r="V239" s="47">
        <f t="shared" si="126"/>
        <v>77.02572931860297</v>
      </c>
      <c r="W239" s="48">
        <f t="shared" si="129"/>
        <v>81.936447573450252</v>
      </c>
    </row>
    <row r="240" spans="1:23">
      <c r="A240" s="103" t="s">
        <v>268</v>
      </c>
      <c r="B240" s="103"/>
      <c r="C240" s="103"/>
      <c r="D240" s="103"/>
      <c r="E240" s="103"/>
      <c r="F240" s="104"/>
      <c r="G240" s="28">
        <v>314441484.97000003</v>
      </c>
      <c r="H240" s="32">
        <v>187197600</v>
      </c>
      <c r="I240" s="33">
        <v>127243884.97</v>
      </c>
      <c r="J240" s="28">
        <f t="shared" si="133"/>
        <v>314441484.97000003</v>
      </c>
      <c r="K240" s="32">
        <v>187197600</v>
      </c>
      <c r="L240" s="33">
        <v>127243884.97</v>
      </c>
      <c r="M240" s="28">
        <f t="shared" si="134"/>
        <v>314441484.97000003</v>
      </c>
      <c r="N240" s="32">
        <v>187197600</v>
      </c>
      <c r="O240" s="33">
        <v>127243884.97</v>
      </c>
      <c r="P240" s="28">
        <f t="shared" si="135"/>
        <v>314441484.97000003</v>
      </c>
      <c r="Q240" s="32">
        <v>187197600</v>
      </c>
      <c r="R240" s="33">
        <v>127243884.97</v>
      </c>
      <c r="S240" s="28">
        <f t="shared" si="136"/>
        <v>314441484.97000003</v>
      </c>
      <c r="T240" s="32">
        <v>187197600</v>
      </c>
      <c r="U240" s="33">
        <v>127243884.97</v>
      </c>
      <c r="V240" s="47">
        <f t="shared" si="126"/>
        <v>100</v>
      </c>
      <c r="W240" s="48">
        <f t="shared" si="129"/>
        <v>100</v>
      </c>
    </row>
    <row r="241" spans="1:23" s="13" customFormat="1">
      <c r="A241" s="101" t="s">
        <v>11</v>
      </c>
      <c r="B241" s="101"/>
      <c r="C241" s="101"/>
      <c r="D241" s="101"/>
      <c r="E241" s="101"/>
      <c r="F241" s="102"/>
      <c r="G241" s="34">
        <f>H241+I241</f>
        <v>363008279.62</v>
      </c>
      <c r="H241" s="35">
        <f>H242+H243+H246</f>
        <v>211268000</v>
      </c>
      <c r="I241" s="36">
        <f>I242+I243+I244+I246</f>
        <v>151740279.62</v>
      </c>
      <c r="J241" s="34">
        <f>K241+L241</f>
        <v>363008279.62</v>
      </c>
      <c r="K241" s="35">
        <f>K242+K243+K246</f>
        <v>211268000</v>
      </c>
      <c r="L241" s="36">
        <f>L242+L243+L244+L246</f>
        <v>151740279.62</v>
      </c>
      <c r="M241" s="34">
        <f>N241+O241</f>
        <v>363008279.62</v>
      </c>
      <c r="N241" s="35">
        <f>N242+N243+N246</f>
        <v>211268000</v>
      </c>
      <c r="O241" s="36">
        <f>O242+O243+O244+O246</f>
        <v>151740279.62</v>
      </c>
      <c r="P241" s="34">
        <f>Q241+R241</f>
        <v>302283596.83000004</v>
      </c>
      <c r="Q241" s="35">
        <f>Q242+Q243+Q246</f>
        <v>163977203.05000001</v>
      </c>
      <c r="R241" s="36">
        <f>R242+R243+R244+R246</f>
        <v>138306393.78</v>
      </c>
      <c r="S241" s="34">
        <f>T241+U241</f>
        <v>296844606.05999994</v>
      </c>
      <c r="T241" s="35">
        <f>T242+T243+T246</f>
        <v>158646947.64999998</v>
      </c>
      <c r="U241" s="36">
        <f>U242+U243+U244+U246</f>
        <v>138197658.41</v>
      </c>
      <c r="V241" s="50">
        <f t="shared" si="126"/>
        <v>81.773508408882378</v>
      </c>
      <c r="W241" s="51">
        <f t="shared" si="129"/>
        <v>81.773508408882378</v>
      </c>
    </row>
    <row r="242" spans="1:23" ht="75" customHeight="1">
      <c r="A242" s="80" t="s">
        <v>269</v>
      </c>
      <c r="B242" s="5" t="s">
        <v>13</v>
      </c>
      <c r="C242" s="5" t="s">
        <v>13</v>
      </c>
      <c r="D242" s="5" t="s">
        <v>85</v>
      </c>
      <c r="E242" s="5" t="s">
        <v>270</v>
      </c>
      <c r="F242" s="55" t="s">
        <v>21</v>
      </c>
      <c r="G242" s="28">
        <f>H242+I242</f>
        <v>128410053.75</v>
      </c>
      <c r="H242" s="32">
        <v>125845700</v>
      </c>
      <c r="I242" s="33">
        <v>2564353.75</v>
      </c>
      <c r="J242" s="28">
        <f t="shared" ref="J242:J246" si="137">K242+L242</f>
        <v>128410053.75</v>
      </c>
      <c r="K242" s="32">
        <v>125845700</v>
      </c>
      <c r="L242" s="33">
        <v>2564353.75</v>
      </c>
      <c r="M242" s="28">
        <f t="shared" ref="M242:M246" si="138">N242+O242</f>
        <v>128410053.75</v>
      </c>
      <c r="N242" s="32">
        <v>125845700</v>
      </c>
      <c r="O242" s="33">
        <v>2564353.75</v>
      </c>
      <c r="P242" s="28">
        <f t="shared" ref="P242:P246" si="139">Q242+R242</f>
        <v>107144605.13</v>
      </c>
      <c r="Q242" s="32">
        <v>105004923.22</v>
      </c>
      <c r="R242" s="33">
        <v>2139681.91</v>
      </c>
      <c r="S242" s="28">
        <f t="shared" ref="S242:S246" si="140">T242+U242</f>
        <v>101706883.31</v>
      </c>
      <c r="T242" s="32">
        <v>99675792.909999996</v>
      </c>
      <c r="U242" s="33">
        <v>2031090.4</v>
      </c>
      <c r="V242" s="47">
        <f t="shared" si="126"/>
        <v>79.204766558241559</v>
      </c>
      <c r="W242" s="48">
        <f t="shared" si="129"/>
        <v>79.204766558241559</v>
      </c>
    </row>
    <row r="243" spans="1:23" ht="80.25" customHeight="1">
      <c r="A243" s="7" t="s">
        <v>271</v>
      </c>
      <c r="B243" s="5" t="s">
        <v>13</v>
      </c>
      <c r="C243" s="5" t="s">
        <v>13</v>
      </c>
      <c r="D243" s="5" t="s">
        <v>272</v>
      </c>
      <c r="E243" s="5" t="s">
        <v>187</v>
      </c>
      <c r="F243" s="55" t="s">
        <v>21</v>
      </c>
      <c r="G243" s="28">
        <f>H243+I243</f>
        <v>52592560</v>
      </c>
      <c r="H243" s="32">
        <v>51540660</v>
      </c>
      <c r="I243" s="33">
        <v>1051900</v>
      </c>
      <c r="J243" s="28">
        <f t="shared" si="137"/>
        <v>52592560</v>
      </c>
      <c r="K243" s="32">
        <v>51540660</v>
      </c>
      <c r="L243" s="33">
        <v>1051900</v>
      </c>
      <c r="M243" s="28">
        <f t="shared" si="138"/>
        <v>52592560</v>
      </c>
      <c r="N243" s="32">
        <v>51540660</v>
      </c>
      <c r="O243" s="33">
        <v>1051900</v>
      </c>
      <c r="P243" s="28">
        <f t="shared" si="139"/>
        <v>34128444.450000003</v>
      </c>
      <c r="Q243" s="68">
        <v>33445843.91</v>
      </c>
      <c r="R243" s="68">
        <v>682600.54</v>
      </c>
      <c r="S243" s="28">
        <f t="shared" si="140"/>
        <v>34127296.420000002</v>
      </c>
      <c r="T243" s="68">
        <v>33444718.82</v>
      </c>
      <c r="U243" s="78">
        <v>682577.6</v>
      </c>
      <c r="V243" s="47">
        <f t="shared" si="126"/>
        <v>64.889970026178617</v>
      </c>
      <c r="W243" s="48">
        <f t="shared" si="129"/>
        <v>64.889970026178617</v>
      </c>
    </row>
    <row r="244" spans="1:23" ht="63" customHeight="1">
      <c r="A244" s="99" t="s">
        <v>302</v>
      </c>
      <c r="B244" s="124" t="s">
        <v>13</v>
      </c>
      <c r="C244" s="124" t="s">
        <v>13</v>
      </c>
      <c r="D244" s="124" t="s">
        <v>273</v>
      </c>
      <c r="E244" s="124" t="s">
        <v>264</v>
      </c>
      <c r="F244" s="125" t="s">
        <v>25</v>
      </c>
      <c r="G244" s="89">
        <f>I244</f>
        <v>147432605.87</v>
      </c>
      <c r="H244" s="91"/>
      <c r="I244" s="93">
        <v>147432605.87</v>
      </c>
      <c r="J244" s="129">
        <f t="shared" si="137"/>
        <v>147432605.87</v>
      </c>
      <c r="K244" s="136"/>
      <c r="L244" s="131">
        <v>147432605.87</v>
      </c>
      <c r="M244" s="129">
        <f t="shared" si="138"/>
        <v>147432605.87</v>
      </c>
      <c r="N244" s="136"/>
      <c r="O244" s="131">
        <v>147432605.87</v>
      </c>
      <c r="P244" s="129">
        <f t="shared" si="139"/>
        <v>134963195.33000001</v>
      </c>
      <c r="Q244" s="136"/>
      <c r="R244" s="131">
        <v>134963195.33000001</v>
      </c>
      <c r="S244" s="129">
        <f t="shared" si="140"/>
        <v>134963074.41</v>
      </c>
      <c r="T244" s="136"/>
      <c r="U244" s="131">
        <v>134963074.41</v>
      </c>
      <c r="V244" s="154">
        <f t="shared" si="126"/>
        <v>91.542215925427556</v>
      </c>
      <c r="W244" s="156">
        <f t="shared" si="129"/>
        <v>91.542215925427556</v>
      </c>
    </row>
    <row r="245" spans="1:23">
      <c r="A245" s="100"/>
      <c r="B245" s="124"/>
      <c r="C245" s="124"/>
      <c r="D245" s="124"/>
      <c r="E245" s="124"/>
      <c r="F245" s="125"/>
      <c r="G245" s="90"/>
      <c r="H245" s="92"/>
      <c r="I245" s="94"/>
      <c r="J245" s="130"/>
      <c r="K245" s="137"/>
      <c r="L245" s="132"/>
      <c r="M245" s="130"/>
      <c r="N245" s="137"/>
      <c r="O245" s="132"/>
      <c r="P245" s="130"/>
      <c r="Q245" s="137"/>
      <c r="R245" s="132"/>
      <c r="S245" s="130"/>
      <c r="T245" s="137"/>
      <c r="U245" s="132"/>
      <c r="V245" s="155"/>
      <c r="W245" s="157"/>
    </row>
    <row r="246" spans="1:23" ht="75">
      <c r="A246" s="7" t="s">
        <v>301</v>
      </c>
      <c r="B246" s="15" t="s">
        <v>13</v>
      </c>
      <c r="C246" s="15" t="s">
        <v>13</v>
      </c>
      <c r="D246" s="15" t="s">
        <v>274</v>
      </c>
      <c r="E246" s="15" t="s">
        <v>187</v>
      </c>
      <c r="F246" s="55" t="s">
        <v>21</v>
      </c>
      <c r="G246" s="28">
        <f>H246+I246</f>
        <v>34573060</v>
      </c>
      <c r="H246" s="32">
        <v>33881640</v>
      </c>
      <c r="I246" s="33">
        <v>691420</v>
      </c>
      <c r="J246" s="28">
        <f t="shared" si="137"/>
        <v>34573060</v>
      </c>
      <c r="K246" s="32">
        <v>33881640</v>
      </c>
      <c r="L246" s="33">
        <v>691420</v>
      </c>
      <c r="M246" s="28">
        <f t="shared" si="138"/>
        <v>34573060</v>
      </c>
      <c r="N246" s="32">
        <v>33881640</v>
      </c>
      <c r="O246" s="33">
        <v>691420</v>
      </c>
      <c r="P246" s="28">
        <f t="shared" si="139"/>
        <v>26047351.920000002</v>
      </c>
      <c r="Q246" s="68">
        <v>25526435.920000002</v>
      </c>
      <c r="R246" s="68">
        <v>520916</v>
      </c>
      <c r="S246" s="28">
        <f t="shared" si="140"/>
        <v>26047351.920000002</v>
      </c>
      <c r="T246" s="68">
        <v>25526435.920000002</v>
      </c>
      <c r="U246" s="78">
        <v>520916</v>
      </c>
      <c r="V246" s="47">
        <f t="shared" si="126"/>
        <v>75.340024631895474</v>
      </c>
      <c r="W246" s="48">
        <f t="shared" si="129"/>
        <v>75.340024631895474</v>
      </c>
    </row>
    <row r="247" spans="1:23" ht="31.5" customHeight="1">
      <c r="A247" s="105" t="s">
        <v>328</v>
      </c>
      <c r="B247" s="105"/>
      <c r="C247" s="105"/>
      <c r="D247" s="105"/>
      <c r="E247" s="105"/>
      <c r="F247" s="106"/>
      <c r="G247" s="34">
        <f>I247</f>
        <v>72178200.659999996</v>
      </c>
      <c r="H247" s="35"/>
      <c r="I247" s="36">
        <f>I249</f>
        <v>72178200.659999996</v>
      </c>
      <c r="J247" s="69">
        <v>72178200.659999996</v>
      </c>
      <c r="K247" s="35"/>
      <c r="L247" s="69">
        <v>72178200.659999996</v>
      </c>
      <c r="M247" s="28">
        <v>0</v>
      </c>
      <c r="N247" s="32"/>
      <c r="O247" s="33">
        <v>0</v>
      </c>
      <c r="P247" s="28">
        <v>0</v>
      </c>
      <c r="Q247" s="32"/>
      <c r="R247" s="33">
        <v>0</v>
      </c>
      <c r="S247" s="28">
        <v>0</v>
      </c>
      <c r="T247" s="32"/>
      <c r="U247" s="33">
        <v>0</v>
      </c>
      <c r="V247" s="47">
        <f>S247/J247*100</f>
        <v>0</v>
      </c>
      <c r="W247" s="48" t="e">
        <f>S247/M247*100</f>
        <v>#DIV/0!</v>
      </c>
    </row>
    <row r="248" spans="1:23">
      <c r="A248" s="103" t="s">
        <v>7</v>
      </c>
      <c r="B248" s="103"/>
      <c r="C248" s="103"/>
      <c r="D248" s="103"/>
      <c r="E248" s="103"/>
      <c r="F248" s="104"/>
      <c r="G248" s="28"/>
      <c r="H248" s="32"/>
      <c r="I248" s="33"/>
      <c r="J248" s="28"/>
      <c r="K248" s="32"/>
      <c r="L248" s="33"/>
      <c r="M248" s="28"/>
      <c r="N248" s="32"/>
      <c r="O248" s="33"/>
      <c r="P248" s="28"/>
      <c r="Q248" s="32"/>
      <c r="R248" s="33"/>
      <c r="S248" s="28"/>
      <c r="T248" s="32"/>
      <c r="U248" s="33"/>
      <c r="V248" s="47"/>
      <c r="W248" s="48"/>
    </row>
    <row r="249" spans="1:23">
      <c r="A249" s="103" t="s">
        <v>8</v>
      </c>
      <c r="B249" s="103"/>
      <c r="C249" s="103"/>
      <c r="D249" s="103"/>
      <c r="E249" s="103"/>
      <c r="F249" s="104"/>
      <c r="G249" s="28">
        <f t="shared" ref="G249:G252" si="141">I249</f>
        <v>72178200.659999996</v>
      </c>
      <c r="H249" s="32"/>
      <c r="I249" s="33">
        <f>I250</f>
        <v>72178200.659999996</v>
      </c>
      <c r="J249" s="70">
        <v>72178200.659999996</v>
      </c>
      <c r="K249" s="32"/>
      <c r="L249" s="70">
        <v>72178200.659999996</v>
      </c>
      <c r="M249" s="28"/>
      <c r="N249" s="32"/>
      <c r="O249" s="33"/>
      <c r="P249" s="28"/>
      <c r="Q249" s="32"/>
      <c r="R249" s="33"/>
      <c r="S249" s="28"/>
      <c r="T249" s="32"/>
      <c r="U249" s="33"/>
      <c r="V249" s="47"/>
      <c r="W249" s="48"/>
    </row>
    <row r="250" spans="1:23" ht="21.75" customHeight="1">
      <c r="A250" s="143" t="s">
        <v>329</v>
      </c>
      <c r="B250" s="143"/>
      <c r="C250" s="143"/>
      <c r="D250" s="143"/>
      <c r="E250" s="143"/>
      <c r="F250" s="144"/>
      <c r="G250" s="28">
        <f t="shared" si="141"/>
        <v>72178200.659999996</v>
      </c>
      <c r="H250" s="32"/>
      <c r="I250" s="33">
        <f>I251</f>
        <v>72178200.659999996</v>
      </c>
      <c r="J250" s="70">
        <v>72178200.659999996</v>
      </c>
      <c r="K250" s="32"/>
      <c r="L250" s="70">
        <v>72178200.659999996</v>
      </c>
      <c r="M250" s="28"/>
      <c r="N250" s="32"/>
      <c r="O250" s="33"/>
      <c r="P250" s="28"/>
      <c r="Q250" s="32"/>
      <c r="R250" s="33"/>
      <c r="S250" s="28"/>
      <c r="T250" s="32"/>
      <c r="U250" s="33"/>
      <c r="V250" s="47"/>
      <c r="W250" s="48"/>
    </row>
    <row r="251" spans="1:23">
      <c r="A251" s="101" t="s">
        <v>96</v>
      </c>
      <c r="B251" s="101"/>
      <c r="C251" s="101"/>
      <c r="D251" s="101"/>
      <c r="E251" s="101"/>
      <c r="F251" s="102"/>
      <c r="G251" s="34">
        <f t="shared" si="141"/>
        <v>72178200.659999996</v>
      </c>
      <c r="H251" s="35"/>
      <c r="I251" s="36">
        <f>I252</f>
        <v>72178200.659999996</v>
      </c>
      <c r="J251" s="70">
        <v>72178200.659999996</v>
      </c>
      <c r="K251" s="32"/>
      <c r="L251" s="70">
        <v>72178200.659999996</v>
      </c>
      <c r="M251" s="28"/>
      <c r="N251" s="32"/>
      <c r="O251" s="33"/>
      <c r="P251" s="28"/>
      <c r="Q251" s="32"/>
      <c r="R251" s="33"/>
      <c r="S251" s="28"/>
      <c r="T251" s="32"/>
      <c r="U251" s="33"/>
      <c r="V251" s="47"/>
      <c r="W251" s="48"/>
    </row>
    <row r="252" spans="1:23" ht="75">
      <c r="A252" s="60" t="s">
        <v>330</v>
      </c>
      <c r="B252" s="61" t="s">
        <v>13</v>
      </c>
      <c r="C252" s="61" t="s">
        <v>98</v>
      </c>
      <c r="D252" s="61" t="s">
        <v>331</v>
      </c>
      <c r="E252" s="61" t="s">
        <v>204</v>
      </c>
      <c r="F252" s="62">
        <v>2022</v>
      </c>
      <c r="G252" s="28">
        <f t="shared" si="141"/>
        <v>72178200.659999996</v>
      </c>
      <c r="H252" s="32"/>
      <c r="I252" s="33">
        <v>72178200.659999996</v>
      </c>
      <c r="J252" s="70">
        <v>72178200.659999996</v>
      </c>
      <c r="K252" s="32"/>
      <c r="L252" s="70">
        <v>72178200.659999996</v>
      </c>
      <c r="M252" s="28">
        <v>0</v>
      </c>
      <c r="N252" s="32"/>
      <c r="O252" s="33">
        <v>0</v>
      </c>
      <c r="P252" s="28">
        <v>0</v>
      </c>
      <c r="Q252" s="32"/>
      <c r="R252" s="33">
        <v>0</v>
      </c>
      <c r="S252" s="28">
        <v>0</v>
      </c>
      <c r="T252" s="32"/>
      <c r="U252" s="33">
        <v>0</v>
      </c>
      <c r="V252" s="47"/>
      <c r="W252" s="48"/>
    </row>
    <row r="253" spans="1:23" s="13" customFormat="1" ht="29.25" customHeight="1">
      <c r="A253" s="105" t="s">
        <v>275</v>
      </c>
      <c r="B253" s="105"/>
      <c r="C253" s="105"/>
      <c r="D253" s="105"/>
      <c r="E253" s="105"/>
      <c r="F253" s="106"/>
      <c r="G253" s="34">
        <f>G257+G258+G261++G264+G267+G269</f>
        <v>444260207.44</v>
      </c>
      <c r="H253" s="35">
        <f t="shared" ref="H253:I253" si="142">H257+H258+H261++H264+H267+H269</f>
        <v>319500300</v>
      </c>
      <c r="I253" s="36">
        <f t="shared" si="142"/>
        <v>124759907.44</v>
      </c>
      <c r="J253" s="34">
        <f>J257+J258+J261++J264+J267+J269</f>
        <v>473250907.44</v>
      </c>
      <c r="K253" s="35">
        <f t="shared" ref="K253:L253" si="143">K257+K258+K261++K264+K267+K269</f>
        <v>348491000</v>
      </c>
      <c r="L253" s="36">
        <f t="shared" si="143"/>
        <v>124759907.44000001</v>
      </c>
      <c r="M253" s="34">
        <f>M257+M258+M261++M264+M267+M269</f>
        <v>432752048.07999998</v>
      </c>
      <c r="N253" s="35">
        <f t="shared" ref="N253:O253" si="144">N257+N258+N261++N264+N267+N269</f>
        <v>337480598.10000002</v>
      </c>
      <c r="O253" s="36">
        <f t="shared" si="144"/>
        <v>95271449.980000004</v>
      </c>
      <c r="P253" s="34">
        <f>P257+P258+P261++P264+P267+P269</f>
        <v>304698181.38999999</v>
      </c>
      <c r="Q253" s="35">
        <f t="shared" ref="Q253:R253" si="145">Q257+Q258+Q261++Q264+Q267+Q269</f>
        <v>275107478.78999996</v>
      </c>
      <c r="R253" s="36">
        <f t="shared" si="145"/>
        <v>29590702.599999998</v>
      </c>
      <c r="S253" s="34">
        <f>S257+S258+S261++S264+S267+S269</f>
        <v>304698181.38999999</v>
      </c>
      <c r="T253" s="35">
        <f t="shared" ref="T253:U253" si="146">T257+T258+T261++T264+T267+T269</f>
        <v>275107478.78999996</v>
      </c>
      <c r="U253" s="36">
        <f t="shared" si="146"/>
        <v>29590702.599999998</v>
      </c>
      <c r="V253" s="50">
        <f t="shared" si="126"/>
        <v>64.384067013887432</v>
      </c>
      <c r="W253" s="51">
        <f t="shared" si="129"/>
        <v>70.409414060975735</v>
      </c>
    </row>
    <row r="254" spans="1:23">
      <c r="A254" s="103" t="s">
        <v>7</v>
      </c>
      <c r="B254" s="103"/>
      <c r="C254" s="103"/>
      <c r="D254" s="103"/>
      <c r="E254" s="103"/>
      <c r="F254" s="104"/>
      <c r="G254" s="28">
        <f t="shared" ref="G254:I254" si="147">G253-G255</f>
        <v>326020714.30000001</v>
      </c>
      <c r="H254" s="32">
        <f t="shared" si="147"/>
        <v>319500300</v>
      </c>
      <c r="I254" s="33">
        <f t="shared" si="147"/>
        <v>6520414.299999997</v>
      </c>
      <c r="J254" s="28">
        <f t="shared" ref="J254:L254" si="148">J253-J255</f>
        <v>355603061.24000001</v>
      </c>
      <c r="K254" s="32">
        <f t="shared" si="148"/>
        <v>348491000</v>
      </c>
      <c r="L254" s="33">
        <f t="shared" si="148"/>
        <v>7112061.2400000095</v>
      </c>
      <c r="M254" s="28">
        <f t="shared" ref="M254:U254" si="149">M253-M255</f>
        <v>344573300.31999999</v>
      </c>
      <c r="N254" s="32">
        <f t="shared" si="149"/>
        <v>337480598.10000002</v>
      </c>
      <c r="O254" s="33">
        <f t="shared" si="149"/>
        <v>7092702.2199999988</v>
      </c>
      <c r="P254" s="28">
        <f t="shared" si="149"/>
        <v>280721917.12</v>
      </c>
      <c r="Q254" s="32">
        <f t="shared" si="149"/>
        <v>275107478.78999996</v>
      </c>
      <c r="R254" s="33">
        <f t="shared" si="149"/>
        <v>5614438.3299999982</v>
      </c>
      <c r="S254" s="28">
        <f t="shared" si="149"/>
        <v>280721917.12</v>
      </c>
      <c r="T254" s="32">
        <f t="shared" si="149"/>
        <v>275107478.78999996</v>
      </c>
      <c r="U254" s="33">
        <f t="shared" si="149"/>
        <v>5614438.3299999982</v>
      </c>
      <c r="V254" s="47">
        <f t="shared" si="126"/>
        <v>78.942491704405782</v>
      </c>
      <c r="W254" s="48">
        <f t="shared" si="129"/>
        <v>81.469433893832701</v>
      </c>
    </row>
    <row r="255" spans="1:23">
      <c r="A255" s="103" t="s">
        <v>8</v>
      </c>
      <c r="B255" s="103"/>
      <c r="C255" s="103"/>
      <c r="D255" s="103"/>
      <c r="E255" s="103"/>
      <c r="F255" s="104"/>
      <c r="G255" s="28">
        <f t="shared" ref="G255:I255" si="150">G260+G257+G263+G266+G269+G267</f>
        <v>118239493.14</v>
      </c>
      <c r="H255" s="32">
        <f t="shared" si="150"/>
        <v>0</v>
      </c>
      <c r="I255" s="33">
        <f t="shared" si="150"/>
        <v>118239493.14</v>
      </c>
      <c r="J255" s="28">
        <f t="shared" ref="J255:L255" si="151">J260+J257+J263+J266+J269+J267</f>
        <v>117647846.2</v>
      </c>
      <c r="K255" s="32">
        <f t="shared" si="151"/>
        <v>0</v>
      </c>
      <c r="L255" s="33">
        <f t="shared" si="151"/>
        <v>117647846.2</v>
      </c>
      <c r="M255" s="28">
        <f t="shared" ref="M255:U255" si="152">M260+M257+M263+M266+M269+M267</f>
        <v>88178747.760000005</v>
      </c>
      <c r="N255" s="32">
        <f t="shared" si="152"/>
        <v>0</v>
      </c>
      <c r="O255" s="33">
        <f t="shared" si="152"/>
        <v>88178747.760000005</v>
      </c>
      <c r="P255" s="28">
        <f t="shared" si="152"/>
        <v>23976264.27</v>
      </c>
      <c r="Q255" s="32">
        <f t="shared" si="152"/>
        <v>0</v>
      </c>
      <c r="R255" s="33">
        <f t="shared" si="152"/>
        <v>23976264.27</v>
      </c>
      <c r="S255" s="28">
        <f t="shared" si="152"/>
        <v>23976264.27</v>
      </c>
      <c r="T255" s="32">
        <f t="shared" si="152"/>
        <v>0</v>
      </c>
      <c r="U255" s="33">
        <f t="shared" si="152"/>
        <v>23976264.27</v>
      </c>
      <c r="V255" s="47">
        <f t="shared" si="126"/>
        <v>20.37968823436055</v>
      </c>
      <c r="W255" s="48">
        <f t="shared" si="129"/>
        <v>27.190524790913628</v>
      </c>
    </row>
    <row r="256" spans="1:23" s="13" customFormat="1">
      <c r="A256" s="101" t="s">
        <v>11</v>
      </c>
      <c r="B256" s="101"/>
      <c r="C256" s="101"/>
      <c r="D256" s="101"/>
      <c r="E256" s="101"/>
      <c r="F256" s="102"/>
      <c r="G256" s="34">
        <f t="shared" ref="G256:I256" si="153">G257+G258+G261+G264+G267</f>
        <v>437260207.44</v>
      </c>
      <c r="H256" s="35">
        <f>H257+H258+H261+H264+H267</f>
        <v>319500300</v>
      </c>
      <c r="I256" s="36">
        <f t="shared" si="153"/>
        <v>117759907.44</v>
      </c>
      <c r="J256" s="34">
        <f t="shared" ref="J256" si="154">J257+J258+J261+J264+J267</f>
        <v>466250907.44</v>
      </c>
      <c r="K256" s="35">
        <f>K257+K258+K261+K264+K267</f>
        <v>348491000</v>
      </c>
      <c r="L256" s="36">
        <f t="shared" ref="L256:M256" si="155">L257+L258+L261+L264+L267</f>
        <v>117759907.44000001</v>
      </c>
      <c r="M256" s="34">
        <f t="shared" si="155"/>
        <v>425752048.07999998</v>
      </c>
      <c r="N256" s="35">
        <f>N257+N258+N261+N264+N267</f>
        <v>337480598.10000002</v>
      </c>
      <c r="O256" s="36">
        <f t="shared" ref="O256:P256" si="156">O257+O258+O261+O264+O267</f>
        <v>88271449.980000004</v>
      </c>
      <c r="P256" s="34">
        <f t="shared" si="156"/>
        <v>304698181.38999999</v>
      </c>
      <c r="Q256" s="35">
        <f>Q257+Q258+Q261+Q264+Q267</f>
        <v>275107478.78999996</v>
      </c>
      <c r="R256" s="36">
        <f t="shared" ref="R256:S256" si="157">R257+R258+R261+R264+R267</f>
        <v>29590702.599999998</v>
      </c>
      <c r="S256" s="34">
        <f t="shared" si="157"/>
        <v>304698181.38999999</v>
      </c>
      <c r="T256" s="35">
        <f>T257+T258+T261+T264+T267</f>
        <v>275107478.78999996</v>
      </c>
      <c r="U256" s="36">
        <f t="shared" ref="U256" si="158">U257+U258+U261+U264+U267</f>
        <v>29590702.599999998</v>
      </c>
      <c r="V256" s="50">
        <f t="shared" si="126"/>
        <v>65.350689195003966</v>
      </c>
      <c r="W256" s="51">
        <f t="shared" si="129"/>
        <v>71.567050062139998</v>
      </c>
    </row>
    <row r="257" spans="1:23" ht="75.75" customHeight="1">
      <c r="A257" s="7" t="s">
        <v>276</v>
      </c>
      <c r="B257" s="5" t="s">
        <v>13</v>
      </c>
      <c r="C257" s="5" t="s">
        <v>13</v>
      </c>
      <c r="D257" s="5" t="s">
        <v>277</v>
      </c>
      <c r="E257" s="5" t="s">
        <v>230</v>
      </c>
      <c r="F257" s="55" t="s">
        <v>68</v>
      </c>
      <c r="G257" s="28">
        <f>H257+I257</f>
        <v>44450000</v>
      </c>
      <c r="H257" s="32">
        <v>0</v>
      </c>
      <c r="I257" s="33">
        <v>44450000</v>
      </c>
      <c r="J257" s="28">
        <f>K257+L257</f>
        <v>44450000</v>
      </c>
      <c r="K257" s="32">
        <v>0</v>
      </c>
      <c r="L257" s="33">
        <v>44450000</v>
      </c>
      <c r="M257" s="28">
        <f>N257+O257</f>
        <v>15000000</v>
      </c>
      <c r="N257" s="32">
        <v>0</v>
      </c>
      <c r="O257" s="70">
        <v>15000000</v>
      </c>
      <c r="P257" s="28">
        <f>Q257+R257</f>
        <v>0</v>
      </c>
      <c r="Q257" s="32">
        <v>0</v>
      </c>
      <c r="R257" s="33">
        <v>0</v>
      </c>
      <c r="S257" s="28">
        <f>T257+U257</f>
        <v>0</v>
      </c>
      <c r="T257" s="32">
        <v>0</v>
      </c>
      <c r="U257" s="33">
        <v>0</v>
      </c>
      <c r="V257" s="47">
        <f t="shared" si="126"/>
        <v>0</v>
      </c>
      <c r="W257" s="48">
        <v>0</v>
      </c>
    </row>
    <row r="258" spans="1:23" ht="105">
      <c r="A258" s="7" t="s">
        <v>278</v>
      </c>
      <c r="B258" s="5" t="s">
        <v>13</v>
      </c>
      <c r="C258" s="5" t="s">
        <v>13</v>
      </c>
      <c r="D258" s="5" t="s">
        <v>279</v>
      </c>
      <c r="E258" s="5" t="s">
        <v>15</v>
      </c>
      <c r="F258" s="55" t="s">
        <v>57</v>
      </c>
      <c r="G258" s="28">
        <f t="shared" ref="G258:G274" si="159">H258+I258</f>
        <v>316646589.40000004</v>
      </c>
      <c r="H258" s="32">
        <f>H259+H260</f>
        <v>275839609.60000002</v>
      </c>
      <c r="I258" s="33">
        <f>I259+I260</f>
        <v>40806979.799999997</v>
      </c>
      <c r="J258" s="28">
        <f t="shared" ref="J258:J260" si="160">K258+L258</f>
        <v>345637289.40000004</v>
      </c>
      <c r="K258" s="32">
        <f>K259+K260</f>
        <v>304830309.60000002</v>
      </c>
      <c r="L258" s="33">
        <f>L259+L260</f>
        <v>40806979.800000004</v>
      </c>
      <c r="M258" s="28">
        <f t="shared" ref="M258:M260" si="161">N258+O258</f>
        <v>335575479.80000001</v>
      </c>
      <c r="N258" s="32">
        <f>N259+N260</f>
        <v>294768500</v>
      </c>
      <c r="O258" s="33">
        <f>O259+O260</f>
        <v>40806979.800000004</v>
      </c>
      <c r="P258" s="28">
        <f t="shared" ref="P258:P260" si="162">Q258+R258</f>
        <v>257178902.33999997</v>
      </c>
      <c r="Q258" s="32">
        <f>Q259+Q260</f>
        <v>243745125.16999999</v>
      </c>
      <c r="R258" s="33">
        <f>R259+R260</f>
        <v>13433777.169999998</v>
      </c>
      <c r="S258" s="28">
        <f t="shared" ref="S258:S260" si="163">T258+U258</f>
        <v>257178902.33999997</v>
      </c>
      <c r="T258" s="32">
        <f>T259+T260</f>
        <v>243745125.16999999</v>
      </c>
      <c r="U258" s="33">
        <f>U259+U260</f>
        <v>13433777.169999998</v>
      </c>
      <c r="V258" s="47">
        <f t="shared" si="126"/>
        <v>74.407163297236508</v>
      </c>
      <c r="W258" s="48">
        <f t="shared" si="129"/>
        <v>76.638168704482311</v>
      </c>
    </row>
    <row r="259" spans="1:23">
      <c r="A259" s="7" t="s">
        <v>280</v>
      </c>
      <c r="B259" s="5" t="s">
        <v>281</v>
      </c>
      <c r="C259" s="7"/>
      <c r="D259" s="7"/>
      <c r="E259" s="7"/>
      <c r="F259" s="56"/>
      <c r="G259" s="28">
        <f t="shared" si="159"/>
        <v>281468989.40000004</v>
      </c>
      <c r="H259" s="32">
        <v>275839609.60000002</v>
      </c>
      <c r="I259" s="33">
        <v>5629379.7999999998</v>
      </c>
      <c r="J259" s="28">
        <f t="shared" si="160"/>
        <v>311051336.34000003</v>
      </c>
      <c r="K259" s="32">
        <v>304830309.60000002</v>
      </c>
      <c r="L259" s="33">
        <v>6221026.7399999993</v>
      </c>
      <c r="M259" s="28">
        <f t="shared" si="161"/>
        <v>300989526.74000001</v>
      </c>
      <c r="N259" s="32">
        <v>294768500</v>
      </c>
      <c r="O259" s="33">
        <v>6221026.7399999993</v>
      </c>
      <c r="P259" s="28">
        <f t="shared" si="162"/>
        <v>248719515.47999999</v>
      </c>
      <c r="Q259" s="32">
        <v>243745125.16999999</v>
      </c>
      <c r="R259" s="33">
        <v>4974390.3099999996</v>
      </c>
      <c r="S259" s="28">
        <f t="shared" si="163"/>
        <v>248719515.47999999</v>
      </c>
      <c r="T259" s="32">
        <v>243745125.16999999</v>
      </c>
      <c r="U259" s="33">
        <v>4974390.3099999996</v>
      </c>
      <c r="V259" s="47">
        <f t="shared" si="126"/>
        <v>79.960921694331773</v>
      </c>
      <c r="W259" s="48">
        <f t="shared" si="129"/>
        <v>82.633943504236356</v>
      </c>
    </row>
    <row r="260" spans="1:23">
      <c r="A260" s="7" t="s">
        <v>22</v>
      </c>
      <c r="B260" s="5" t="s">
        <v>13</v>
      </c>
      <c r="C260" s="7"/>
      <c r="D260" s="7"/>
      <c r="E260" s="7"/>
      <c r="F260" s="56"/>
      <c r="G260" s="28">
        <f t="shared" si="159"/>
        <v>35177600</v>
      </c>
      <c r="H260" s="32"/>
      <c r="I260" s="33">
        <v>35177600</v>
      </c>
      <c r="J260" s="28">
        <f t="shared" si="160"/>
        <v>34585953.060000002</v>
      </c>
      <c r="K260" s="32"/>
      <c r="L260" s="70">
        <v>34585953.060000002</v>
      </c>
      <c r="M260" s="28">
        <f t="shared" si="161"/>
        <v>34585953.060000002</v>
      </c>
      <c r="N260" s="32"/>
      <c r="O260" s="70">
        <v>34585953.060000002</v>
      </c>
      <c r="P260" s="28">
        <f t="shared" si="162"/>
        <v>8459386.8599999994</v>
      </c>
      <c r="Q260" s="32"/>
      <c r="R260" s="70">
        <v>8459386.8599999994</v>
      </c>
      <c r="S260" s="28">
        <f t="shared" si="163"/>
        <v>8459386.8599999994</v>
      </c>
      <c r="T260" s="32"/>
      <c r="U260" s="79">
        <v>8459386.8599999994</v>
      </c>
      <c r="V260" s="47">
        <f t="shared" si="126"/>
        <v>24.459024868635495</v>
      </c>
      <c r="W260" s="48">
        <f t="shared" si="129"/>
        <v>24.459024868635495</v>
      </c>
    </row>
    <row r="261" spans="1:23" ht="123" hidden="1" customHeight="1">
      <c r="A261" s="7" t="s">
        <v>282</v>
      </c>
      <c r="B261" s="5" t="s">
        <v>13</v>
      </c>
      <c r="C261" s="5" t="s">
        <v>13</v>
      </c>
      <c r="D261" s="5" t="s">
        <v>72</v>
      </c>
      <c r="E261" s="5" t="s">
        <v>15</v>
      </c>
      <c r="F261" s="55" t="s">
        <v>37</v>
      </c>
      <c r="G261" s="28"/>
      <c r="H261" s="32"/>
      <c r="I261" s="33"/>
      <c r="J261" s="28"/>
      <c r="K261" s="32"/>
      <c r="L261" s="33"/>
      <c r="M261" s="28"/>
      <c r="N261" s="32"/>
      <c r="O261" s="33"/>
      <c r="P261" s="28"/>
      <c r="Q261" s="32"/>
      <c r="R261" s="33"/>
      <c r="S261" s="28"/>
      <c r="T261" s="32"/>
      <c r="U261" s="33"/>
      <c r="V261" s="47"/>
      <c r="W261" s="48"/>
    </row>
    <row r="262" spans="1:23" hidden="1">
      <c r="A262" s="7" t="s">
        <v>280</v>
      </c>
      <c r="B262" s="5" t="s">
        <v>281</v>
      </c>
      <c r="C262" s="7"/>
      <c r="D262" s="7"/>
      <c r="E262" s="7"/>
      <c r="F262" s="56"/>
      <c r="G262" s="28"/>
      <c r="H262" s="30"/>
      <c r="I262" s="31"/>
      <c r="J262" s="28"/>
      <c r="K262" s="30"/>
      <c r="L262" s="31"/>
      <c r="M262" s="28"/>
      <c r="N262" s="30"/>
      <c r="O262" s="31"/>
      <c r="P262" s="28"/>
      <c r="Q262" s="30"/>
      <c r="R262" s="31"/>
      <c r="S262" s="28"/>
      <c r="T262" s="30"/>
      <c r="U262" s="31"/>
      <c r="V262" s="47"/>
      <c r="W262" s="48"/>
    </row>
    <row r="263" spans="1:23" hidden="1">
      <c r="A263" s="7" t="s">
        <v>22</v>
      </c>
      <c r="B263" s="5" t="s">
        <v>13</v>
      </c>
      <c r="C263" s="7"/>
      <c r="D263" s="7"/>
      <c r="E263" s="7"/>
      <c r="F263" s="56"/>
      <c r="G263" s="28"/>
      <c r="H263" s="32"/>
      <c r="I263" s="33"/>
      <c r="J263" s="28"/>
      <c r="K263" s="32"/>
      <c r="L263" s="33"/>
      <c r="M263" s="28"/>
      <c r="N263" s="32"/>
      <c r="O263" s="33"/>
      <c r="P263" s="28"/>
      <c r="Q263" s="32"/>
      <c r="R263" s="33"/>
      <c r="S263" s="28"/>
      <c r="T263" s="32"/>
      <c r="U263" s="33"/>
      <c r="V263" s="47"/>
      <c r="W263" s="48"/>
    </row>
    <row r="264" spans="1:23" ht="108.75" customHeight="1">
      <c r="A264" s="80" t="s">
        <v>283</v>
      </c>
      <c r="B264" s="5" t="s">
        <v>13</v>
      </c>
      <c r="C264" s="5" t="s">
        <v>13</v>
      </c>
      <c r="D264" s="5" t="s">
        <v>284</v>
      </c>
      <c r="E264" s="5" t="s">
        <v>15</v>
      </c>
      <c r="F264" s="55" t="s">
        <v>285</v>
      </c>
      <c r="G264" s="28">
        <f t="shared" si="159"/>
        <v>44645823.339999996</v>
      </c>
      <c r="H264" s="32">
        <f>H265+H266</f>
        <v>43660690.399999999</v>
      </c>
      <c r="I264" s="33">
        <f>I265+I266</f>
        <v>985132.94</v>
      </c>
      <c r="J264" s="28">
        <f t="shared" ref="J264:J274" si="164">K264+L264</f>
        <v>44645823.339999996</v>
      </c>
      <c r="K264" s="32">
        <f>K265+K266</f>
        <v>43660690.399999999</v>
      </c>
      <c r="L264" s="33">
        <f>L265+L266</f>
        <v>985132.94</v>
      </c>
      <c r="M264" s="28">
        <f t="shared" ref="M264:M274" si="165">N264+O264</f>
        <v>43658773.579999998</v>
      </c>
      <c r="N264" s="32">
        <f>N265+N266</f>
        <v>42712098.100000001</v>
      </c>
      <c r="O264" s="33">
        <f>O265+O266</f>
        <v>946675.48</v>
      </c>
      <c r="P264" s="28">
        <f t="shared" ref="P264:P274" si="166">Q264+R264</f>
        <v>32030525.890000001</v>
      </c>
      <c r="Q264" s="32">
        <f>Q265+Q266</f>
        <v>31362353.620000001</v>
      </c>
      <c r="R264" s="33">
        <f>R265+R266</f>
        <v>668172.27</v>
      </c>
      <c r="S264" s="28">
        <f t="shared" ref="S264:S274" si="167">T264+U264</f>
        <v>32030525.890000001</v>
      </c>
      <c r="T264" s="32">
        <f>T265+T266</f>
        <v>31362353.620000001</v>
      </c>
      <c r="U264" s="33">
        <f>U265+U266</f>
        <v>668172.27</v>
      </c>
      <c r="V264" s="47">
        <f t="shared" si="126"/>
        <v>71.743611146045467</v>
      </c>
      <c r="W264" s="48">
        <f t="shared" si="129"/>
        <v>73.36561076620147</v>
      </c>
    </row>
    <row r="265" spans="1:23">
      <c r="A265" s="7" t="s">
        <v>280</v>
      </c>
      <c r="B265" s="5" t="s">
        <v>281</v>
      </c>
      <c r="C265" s="7"/>
      <c r="D265" s="7"/>
      <c r="E265" s="7"/>
      <c r="F265" s="56"/>
      <c r="G265" s="28">
        <f t="shared" si="159"/>
        <v>44551724.899999999</v>
      </c>
      <c r="H265" s="32">
        <v>43660690.399999999</v>
      </c>
      <c r="I265" s="33">
        <v>891034.5</v>
      </c>
      <c r="J265" s="28">
        <f t="shared" si="164"/>
        <v>44551724.899999999</v>
      </c>
      <c r="K265" s="32">
        <f>37087590.4+6573100</f>
        <v>43660690.399999999</v>
      </c>
      <c r="L265" s="33">
        <f>756889.6+134144.9</f>
        <v>891034.5</v>
      </c>
      <c r="M265" s="28">
        <f t="shared" si="165"/>
        <v>43583773.579999998</v>
      </c>
      <c r="N265" s="32">
        <f>36138998.1+6573100</f>
        <v>42712098.100000001</v>
      </c>
      <c r="O265" s="71">
        <f>737530.58+134144.9</f>
        <v>871675.48</v>
      </c>
      <c r="P265" s="28">
        <f t="shared" si="166"/>
        <v>32002401.640000001</v>
      </c>
      <c r="Q265" s="72">
        <f>24920675.39+6441678.23</f>
        <v>31362353.620000001</v>
      </c>
      <c r="R265" s="72">
        <f>508585.2+131462.82</f>
        <v>640048.02</v>
      </c>
      <c r="S265" s="28">
        <f t="shared" si="167"/>
        <v>32002401.640000001</v>
      </c>
      <c r="T265" s="68">
        <f>24920675.39+6441678.23</f>
        <v>31362353.620000001</v>
      </c>
      <c r="U265" s="78">
        <f>508585.2+131462.82</f>
        <v>640048.02</v>
      </c>
      <c r="V265" s="47">
        <f t="shared" si="126"/>
        <v>71.832014836309966</v>
      </c>
      <c r="W265" s="48">
        <f t="shared" si="129"/>
        <v>73.427330887854708</v>
      </c>
    </row>
    <row r="266" spans="1:23">
      <c r="A266" s="7" t="s">
        <v>22</v>
      </c>
      <c r="B266" s="5" t="s">
        <v>13</v>
      </c>
      <c r="C266" s="7"/>
      <c r="D266" s="7"/>
      <c r="E266" s="7"/>
      <c r="F266" s="56"/>
      <c r="G266" s="28">
        <f t="shared" si="159"/>
        <v>94098.44</v>
      </c>
      <c r="H266" s="32"/>
      <c r="I266" s="33">
        <v>94098.44</v>
      </c>
      <c r="J266" s="28">
        <f t="shared" si="164"/>
        <v>94098.44</v>
      </c>
      <c r="K266" s="39"/>
      <c r="L266" s="33">
        <v>94098.44</v>
      </c>
      <c r="M266" s="28">
        <f t="shared" si="165"/>
        <v>75000</v>
      </c>
      <c r="N266" s="39"/>
      <c r="O266" s="33">
        <v>75000</v>
      </c>
      <c r="P266" s="28">
        <f t="shared" si="166"/>
        <v>28124.25</v>
      </c>
      <c r="Q266" s="39"/>
      <c r="R266" s="70">
        <v>28124.25</v>
      </c>
      <c r="S266" s="28">
        <f t="shared" si="167"/>
        <v>28124.25</v>
      </c>
      <c r="T266" s="39"/>
      <c r="U266" s="79">
        <v>28124.25</v>
      </c>
      <c r="V266" s="47">
        <f t="shared" si="126"/>
        <v>29.888115042077214</v>
      </c>
      <c r="W266" s="48">
        <v>0</v>
      </c>
    </row>
    <row r="267" spans="1:23" ht="107.25" customHeight="1">
      <c r="A267" s="7" t="s">
        <v>286</v>
      </c>
      <c r="B267" s="5" t="s">
        <v>13</v>
      </c>
      <c r="C267" s="5" t="s">
        <v>13</v>
      </c>
      <c r="D267" s="5" t="s">
        <v>287</v>
      </c>
      <c r="E267" s="5" t="s">
        <v>15</v>
      </c>
      <c r="F267" s="55" t="s">
        <v>83</v>
      </c>
      <c r="G267" s="28">
        <f t="shared" si="159"/>
        <v>31517794.699999999</v>
      </c>
      <c r="H267" s="32"/>
      <c r="I267" s="33">
        <v>31517794.699999999</v>
      </c>
      <c r="J267" s="28">
        <f t="shared" si="164"/>
        <v>31517794.699999999</v>
      </c>
      <c r="K267" s="32"/>
      <c r="L267" s="70">
        <v>31517794.699999999</v>
      </c>
      <c r="M267" s="28">
        <f t="shared" si="165"/>
        <v>31517794.699999999</v>
      </c>
      <c r="N267" s="32"/>
      <c r="O267" s="70">
        <v>31517794.699999999</v>
      </c>
      <c r="P267" s="28">
        <f t="shared" si="166"/>
        <v>15488753.16</v>
      </c>
      <c r="Q267" s="32"/>
      <c r="R267" s="70">
        <v>15488753.16</v>
      </c>
      <c r="S267" s="28">
        <f t="shared" si="167"/>
        <v>15488753.16</v>
      </c>
      <c r="T267" s="32"/>
      <c r="U267" s="79">
        <v>15488753.16</v>
      </c>
      <c r="V267" s="47">
        <f t="shared" si="126"/>
        <v>49.142883591408129</v>
      </c>
      <c r="W267" s="48">
        <f t="shared" si="129"/>
        <v>49.142883591408129</v>
      </c>
    </row>
    <row r="268" spans="1:23" s="13" customFormat="1">
      <c r="A268" s="101" t="s">
        <v>332</v>
      </c>
      <c r="B268" s="101"/>
      <c r="C268" s="101"/>
      <c r="D268" s="101"/>
      <c r="E268" s="101"/>
      <c r="F268" s="102"/>
      <c r="G268" s="34">
        <f t="shared" si="159"/>
        <v>7000000</v>
      </c>
      <c r="H268" s="35"/>
      <c r="I268" s="36">
        <v>7000000</v>
      </c>
      <c r="J268" s="34">
        <f t="shared" si="164"/>
        <v>7000000</v>
      </c>
      <c r="K268" s="35"/>
      <c r="L268" s="36">
        <v>7000000</v>
      </c>
      <c r="M268" s="34">
        <f t="shared" si="165"/>
        <v>7000000</v>
      </c>
      <c r="N268" s="35"/>
      <c r="O268" s="36">
        <f>O269</f>
        <v>7000000</v>
      </c>
      <c r="P268" s="34">
        <f t="shared" si="166"/>
        <v>0</v>
      </c>
      <c r="Q268" s="35"/>
      <c r="R268" s="36">
        <f>R269</f>
        <v>0</v>
      </c>
      <c r="S268" s="34">
        <f t="shared" si="167"/>
        <v>0</v>
      </c>
      <c r="T268" s="35"/>
      <c r="U268" s="36">
        <f>U269</f>
        <v>0</v>
      </c>
      <c r="V268" s="50">
        <f t="shared" si="126"/>
        <v>0</v>
      </c>
      <c r="W268" s="51">
        <v>0</v>
      </c>
    </row>
    <row r="269" spans="1:23" ht="136.5" customHeight="1">
      <c r="A269" s="7" t="s">
        <v>288</v>
      </c>
      <c r="B269" s="5" t="s">
        <v>13</v>
      </c>
      <c r="C269" s="5" t="s">
        <v>13</v>
      </c>
      <c r="D269" s="5" t="s">
        <v>289</v>
      </c>
      <c r="E269" s="5" t="s">
        <v>300</v>
      </c>
      <c r="F269" s="55">
        <v>2022</v>
      </c>
      <c r="G269" s="28">
        <f t="shared" si="159"/>
        <v>7000000</v>
      </c>
      <c r="H269" s="32"/>
      <c r="I269" s="33">
        <v>7000000</v>
      </c>
      <c r="J269" s="28">
        <f t="shared" si="164"/>
        <v>7000000</v>
      </c>
      <c r="K269" s="32"/>
      <c r="L269" s="33">
        <v>7000000</v>
      </c>
      <c r="M269" s="28">
        <f t="shared" si="165"/>
        <v>7000000</v>
      </c>
      <c r="N269" s="32"/>
      <c r="O269" s="33">
        <v>7000000</v>
      </c>
      <c r="P269" s="28">
        <f t="shared" si="166"/>
        <v>0</v>
      </c>
      <c r="Q269" s="32"/>
      <c r="R269" s="33">
        <v>0</v>
      </c>
      <c r="S269" s="28">
        <f t="shared" si="167"/>
        <v>0</v>
      </c>
      <c r="T269" s="32"/>
      <c r="U269" s="33">
        <v>0</v>
      </c>
      <c r="V269" s="47">
        <f t="shared" si="126"/>
        <v>0</v>
      </c>
      <c r="W269" s="48">
        <v>0</v>
      </c>
    </row>
    <row r="270" spans="1:23">
      <c r="A270" s="85" t="s">
        <v>316</v>
      </c>
      <c r="B270" s="85"/>
      <c r="C270" s="85"/>
      <c r="D270" s="85"/>
      <c r="E270" s="85"/>
      <c r="F270" s="86"/>
      <c r="G270" s="34">
        <f t="shared" si="159"/>
        <v>9000000</v>
      </c>
      <c r="H270" s="42"/>
      <c r="I270" s="36">
        <f>I272</f>
        <v>9000000</v>
      </c>
      <c r="J270" s="34">
        <f t="shared" si="164"/>
        <v>9000000</v>
      </c>
      <c r="K270" s="42"/>
      <c r="L270" s="36">
        <f>L272</f>
        <v>9000000</v>
      </c>
      <c r="M270" s="34">
        <f t="shared" si="165"/>
        <v>9000000</v>
      </c>
      <c r="N270" s="42"/>
      <c r="O270" s="36">
        <f>O272</f>
        <v>9000000</v>
      </c>
      <c r="P270" s="34">
        <f t="shared" si="166"/>
        <v>0</v>
      </c>
      <c r="Q270" s="42"/>
      <c r="R270" s="36">
        <f>R271</f>
        <v>0</v>
      </c>
      <c r="S270" s="34">
        <f t="shared" si="167"/>
        <v>0</v>
      </c>
      <c r="T270" s="42"/>
      <c r="U270" s="36">
        <f>U271</f>
        <v>0</v>
      </c>
      <c r="V270" s="50">
        <v>0</v>
      </c>
      <c r="W270" s="51">
        <v>0</v>
      </c>
    </row>
    <row r="271" spans="1:23">
      <c r="A271" s="87" t="s">
        <v>7</v>
      </c>
      <c r="B271" s="87"/>
      <c r="C271" s="87"/>
      <c r="D271" s="87"/>
      <c r="E271" s="87"/>
      <c r="F271" s="88"/>
      <c r="G271" s="28"/>
      <c r="H271" s="43"/>
      <c r="I271" s="33"/>
      <c r="J271" s="28"/>
      <c r="K271" s="43"/>
      <c r="L271" s="33"/>
      <c r="M271" s="28"/>
      <c r="N271" s="43"/>
      <c r="O271" s="33"/>
      <c r="P271" s="28"/>
      <c r="Q271" s="43"/>
      <c r="R271" s="33"/>
      <c r="S271" s="28"/>
      <c r="T271" s="43"/>
      <c r="U271" s="33"/>
      <c r="V271" s="47"/>
      <c r="W271" s="48"/>
    </row>
    <row r="272" spans="1:23">
      <c r="A272" s="87" t="s">
        <v>8</v>
      </c>
      <c r="B272" s="87"/>
      <c r="C272" s="87"/>
      <c r="D272" s="87"/>
      <c r="E272" s="87"/>
      <c r="F272" s="88"/>
      <c r="G272" s="28">
        <f t="shared" si="159"/>
        <v>9000000</v>
      </c>
      <c r="H272" s="43"/>
      <c r="I272" s="33">
        <f>I273</f>
        <v>9000000</v>
      </c>
      <c r="J272" s="28">
        <f t="shared" si="164"/>
        <v>9000000</v>
      </c>
      <c r="K272" s="43"/>
      <c r="L272" s="33">
        <f>L273</f>
        <v>9000000</v>
      </c>
      <c r="M272" s="28">
        <f t="shared" si="165"/>
        <v>9000000</v>
      </c>
      <c r="N272" s="43"/>
      <c r="O272" s="33">
        <f>O273</f>
        <v>9000000</v>
      </c>
      <c r="P272" s="28">
        <f t="shared" si="166"/>
        <v>0</v>
      </c>
      <c r="Q272" s="43"/>
      <c r="R272" s="33">
        <f>R273</f>
        <v>0</v>
      </c>
      <c r="S272" s="28">
        <f t="shared" si="167"/>
        <v>0</v>
      </c>
      <c r="T272" s="43"/>
      <c r="U272" s="33">
        <f>U273</f>
        <v>0</v>
      </c>
      <c r="V272" s="47">
        <v>0</v>
      </c>
      <c r="W272" s="48">
        <v>0</v>
      </c>
    </row>
    <row r="273" spans="1:23">
      <c r="A273" s="85" t="s">
        <v>318</v>
      </c>
      <c r="B273" s="85"/>
      <c r="C273" s="85"/>
      <c r="D273" s="85"/>
      <c r="E273" s="85"/>
      <c r="F273" s="86"/>
      <c r="G273" s="34">
        <f t="shared" si="159"/>
        <v>9000000</v>
      </c>
      <c r="H273" s="42"/>
      <c r="I273" s="36">
        <f>I274</f>
        <v>9000000</v>
      </c>
      <c r="J273" s="34">
        <f t="shared" si="164"/>
        <v>9000000</v>
      </c>
      <c r="K273" s="42"/>
      <c r="L273" s="36">
        <f>L274</f>
        <v>9000000</v>
      </c>
      <c r="M273" s="34">
        <f t="shared" si="165"/>
        <v>9000000</v>
      </c>
      <c r="N273" s="42"/>
      <c r="O273" s="36">
        <f>O274</f>
        <v>9000000</v>
      </c>
      <c r="P273" s="34">
        <f t="shared" si="166"/>
        <v>0</v>
      </c>
      <c r="Q273" s="42"/>
      <c r="R273" s="36">
        <f>R274</f>
        <v>0</v>
      </c>
      <c r="S273" s="34">
        <f t="shared" si="167"/>
        <v>0</v>
      </c>
      <c r="T273" s="42"/>
      <c r="U273" s="36">
        <f>U274</f>
        <v>0</v>
      </c>
      <c r="V273" s="50">
        <v>0</v>
      </c>
      <c r="W273" s="51">
        <v>0</v>
      </c>
    </row>
    <row r="274" spans="1:23" ht="87" customHeight="1" thickBot="1">
      <c r="A274" s="73" t="s">
        <v>317</v>
      </c>
      <c r="B274" s="74" t="s">
        <v>13</v>
      </c>
      <c r="C274" s="74" t="s">
        <v>13</v>
      </c>
      <c r="D274" s="74" t="s">
        <v>319</v>
      </c>
      <c r="E274" s="19" t="s">
        <v>320</v>
      </c>
      <c r="F274" s="75">
        <v>2022</v>
      </c>
      <c r="G274" s="44">
        <f t="shared" si="159"/>
        <v>9000000</v>
      </c>
      <c r="H274" s="45"/>
      <c r="I274" s="46">
        <v>9000000</v>
      </c>
      <c r="J274" s="44">
        <f t="shared" si="164"/>
        <v>9000000</v>
      </c>
      <c r="K274" s="45"/>
      <c r="L274" s="46">
        <v>9000000</v>
      </c>
      <c r="M274" s="44">
        <f t="shared" si="165"/>
        <v>9000000</v>
      </c>
      <c r="N274" s="45"/>
      <c r="O274" s="46">
        <v>9000000</v>
      </c>
      <c r="P274" s="44">
        <f t="shared" si="166"/>
        <v>0</v>
      </c>
      <c r="Q274" s="45"/>
      <c r="R274" s="46">
        <v>0</v>
      </c>
      <c r="S274" s="44">
        <f t="shared" si="167"/>
        <v>0</v>
      </c>
      <c r="T274" s="45"/>
      <c r="U274" s="46">
        <v>0</v>
      </c>
      <c r="V274" s="47">
        <v>0</v>
      </c>
      <c r="W274" s="48">
        <v>0</v>
      </c>
    </row>
    <row r="275" spans="1:23" ht="41.25" customHeight="1">
      <c r="G275" s="58"/>
      <c r="H275" s="58"/>
      <c r="I275" s="59"/>
    </row>
  </sheetData>
  <customSheetViews>
    <customSheetView guid="{40F15A73-9550-4519-BD07-5B1306791A2B}" showPageBreaks="1" printArea="1" hiddenRows="1" view="pageBreakPreview" topLeftCell="M1">
      <selection activeCell="W6" sqref="W6"/>
      <pageMargins left="0.70866141732283472" right="0.70866141732283472" top="0.74803149606299213" bottom="0.74803149606299213" header="0.31496062992125984" footer="0.31496062992125984"/>
      <pageSetup paperSize="8" scale="55" orientation="landscape" r:id="rId1"/>
    </customSheetView>
    <customSheetView guid="{F6681789-96F0-4D5A-90BA-C1A8630D3E2C}" scale="85" showPageBreaks="1" printArea="1" hiddenRows="1" view="pageBreakPreview">
      <pane xSplit="16.315789473684209" ySplit="5" topLeftCell="R244" activePane="bottomRight" state="frozen"/>
      <selection pane="bottomRight" activeCell="L9" sqref="L9"/>
      <colBreaks count="1" manualBreakCount="1">
        <brk id="15" max="264" man="1"/>
      </colBreaks>
      <pageMargins left="0.70866141732283472" right="0.70866141732283472" top="0.74803149606299213" bottom="0.74803149606299213" header="0.31496062992125984" footer="0.31496062992125984"/>
      <pageSetup paperSize="8" scale="62" orientation="landscape" horizontalDpi="4294967295" verticalDpi="4294967295" r:id="rId2"/>
    </customSheetView>
    <customSheetView guid="{1B5FFDB8-A1F9-475C-854F-961801845FF2}" scale="64" showPageBreaks="1" hiddenRows="1" view="pageBreakPreview">
      <pane xSplit="6" ySplit="6" topLeftCell="G183" activePane="bottomRight" state="frozen"/>
      <selection pane="bottomRight" activeCell="V188" sqref="V188"/>
      <colBreaks count="2" manualBreakCount="2">
        <brk id="9" max="1048575" man="1"/>
        <brk id="15" max="1048575" man="1"/>
      </colBreaks>
      <pageMargins left="0.70866141732283472" right="0.70866141732283472" top="0.74803149606299213" bottom="0.74803149606299213" header="0.31496062992125984" footer="0.31496062992125984"/>
      <pageSetup paperSize="9" scale="57" orientation="landscape" r:id="rId3"/>
    </customSheetView>
  </customSheetViews>
  <mergeCells count="231">
    <mergeCell ref="Q33:Q34"/>
    <mergeCell ref="T33:T34"/>
    <mergeCell ref="P33:P34"/>
    <mergeCell ref="R33:R34"/>
    <mergeCell ref="S33:S34"/>
    <mergeCell ref="U33:U34"/>
    <mergeCell ref="V33:V34"/>
    <mergeCell ref="W33:W34"/>
    <mergeCell ref="A33:A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B33:B34"/>
    <mergeCell ref="C33:C34"/>
    <mergeCell ref="D33:D34"/>
    <mergeCell ref="E33:E34"/>
    <mergeCell ref="F33:F34"/>
    <mergeCell ref="V85:V86"/>
    <mergeCell ref="W85:W86"/>
    <mergeCell ref="V87:V89"/>
    <mergeCell ref="W87:W89"/>
    <mergeCell ref="V104:V105"/>
    <mergeCell ref="W104:W105"/>
    <mergeCell ref="V244:V245"/>
    <mergeCell ref="W244:W245"/>
    <mergeCell ref="P244:P245"/>
    <mergeCell ref="Q244:Q245"/>
    <mergeCell ref="R244:R245"/>
    <mergeCell ref="S85:S86"/>
    <mergeCell ref="T85:T86"/>
    <mergeCell ref="U85:U86"/>
    <mergeCell ref="S87:S89"/>
    <mergeCell ref="T87:T89"/>
    <mergeCell ref="U87:U89"/>
    <mergeCell ref="S104:S105"/>
    <mergeCell ref="T104:T105"/>
    <mergeCell ref="U104:U105"/>
    <mergeCell ref="S244:S245"/>
    <mergeCell ref="T244:T245"/>
    <mergeCell ref="U244:U245"/>
    <mergeCell ref="P85:P86"/>
    <mergeCell ref="Q85:Q86"/>
    <mergeCell ref="R85:R86"/>
    <mergeCell ref="P87:P89"/>
    <mergeCell ref="Q87:Q89"/>
    <mergeCell ref="R87:R89"/>
    <mergeCell ref="P104:P105"/>
    <mergeCell ref="Q104:Q105"/>
    <mergeCell ref="R104:R105"/>
    <mergeCell ref="J104:J105"/>
    <mergeCell ref="K104:K105"/>
    <mergeCell ref="L104:L105"/>
    <mergeCell ref="J244:J245"/>
    <mergeCell ref="K244:K245"/>
    <mergeCell ref="L244:L245"/>
    <mergeCell ref="M85:M86"/>
    <mergeCell ref="N85:N86"/>
    <mergeCell ref="O85:O86"/>
    <mergeCell ref="M87:M89"/>
    <mergeCell ref="N87:N89"/>
    <mergeCell ref="O87:O89"/>
    <mergeCell ref="M104:M105"/>
    <mergeCell ref="N104:N105"/>
    <mergeCell ref="O104:O105"/>
    <mergeCell ref="M244:M245"/>
    <mergeCell ref="N244:N245"/>
    <mergeCell ref="O244:O245"/>
    <mergeCell ref="E28:E29"/>
    <mergeCell ref="F28:F29"/>
    <mergeCell ref="A78:F78"/>
    <mergeCell ref="A81:F81"/>
    <mergeCell ref="A82:F82"/>
    <mergeCell ref="A83:F83"/>
    <mergeCell ref="G3:I3"/>
    <mergeCell ref="H4:I4"/>
    <mergeCell ref="A13:F13"/>
    <mergeCell ref="A14:F14"/>
    <mergeCell ref="A7:F7"/>
    <mergeCell ref="A8:F8"/>
    <mergeCell ref="A9:F9"/>
    <mergeCell ref="A10:F10"/>
    <mergeCell ref="A11:F11"/>
    <mergeCell ref="A12:F12"/>
    <mergeCell ref="A3:A5"/>
    <mergeCell ref="B3:B5"/>
    <mergeCell ref="D3:D5"/>
    <mergeCell ref="G4:G5"/>
    <mergeCell ref="C3:C5"/>
    <mergeCell ref="E3:E5"/>
    <mergeCell ref="F3:F5"/>
    <mergeCell ref="A91:F91"/>
    <mergeCell ref="A94:F94"/>
    <mergeCell ref="A95:F95"/>
    <mergeCell ref="A96:F96"/>
    <mergeCell ref="A87:A89"/>
    <mergeCell ref="B87:B89"/>
    <mergeCell ref="C87:C89"/>
    <mergeCell ref="E87:E89"/>
    <mergeCell ref="F87:F89"/>
    <mergeCell ref="A144:F144"/>
    <mergeCell ref="A135:F135"/>
    <mergeCell ref="A136:F136"/>
    <mergeCell ref="A137:F137"/>
    <mergeCell ref="A110:F110"/>
    <mergeCell ref="A113:F113"/>
    <mergeCell ref="A97:F97"/>
    <mergeCell ref="A98:F98"/>
    <mergeCell ref="B104:B105"/>
    <mergeCell ref="C104:C105"/>
    <mergeCell ref="D104:D105"/>
    <mergeCell ref="E104:E105"/>
    <mergeCell ref="F104:F105"/>
    <mergeCell ref="A253:F253"/>
    <mergeCell ref="A254:F254"/>
    <mergeCell ref="A255:F255"/>
    <mergeCell ref="A236:F236"/>
    <mergeCell ref="A237:F237"/>
    <mergeCell ref="A240:F240"/>
    <mergeCell ref="A241:F241"/>
    <mergeCell ref="B244:B245"/>
    <mergeCell ref="C244:C245"/>
    <mergeCell ref="D244:D245"/>
    <mergeCell ref="E244:E245"/>
    <mergeCell ref="F244:F245"/>
    <mergeCell ref="A247:F247"/>
    <mergeCell ref="A248:F248"/>
    <mergeCell ref="A249:F249"/>
    <mergeCell ref="A251:F251"/>
    <mergeCell ref="A250:F250"/>
    <mergeCell ref="A227:F227"/>
    <mergeCell ref="A233:F233"/>
    <mergeCell ref="A234:F234"/>
    <mergeCell ref="A235:F235"/>
    <mergeCell ref="A200:F200"/>
    <mergeCell ref="A201:F201"/>
    <mergeCell ref="A2:L2"/>
    <mergeCell ref="A85:A86"/>
    <mergeCell ref="H85:H86"/>
    <mergeCell ref="I85:I86"/>
    <mergeCell ref="J85:J86"/>
    <mergeCell ref="L85:L86"/>
    <mergeCell ref="G87:G89"/>
    <mergeCell ref="H87:H89"/>
    <mergeCell ref="I87:I89"/>
    <mergeCell ref="K85:K86"/>
    <mergeCell ref="J87:J89"/>
    <mergeCell ref="K87:K89"/>
    <mergeCell ref="L87:L89"/>
    <mergeCell ref="A169:F169"/>
    <mergeCell ref="A198:F198"/>
    <mergeCell ref="A199:F199"/>
    <mergeCell ref="A159:F159"/>
    <mergeCell ref="A160:F160"/>
    <mergeCell ref="B85:B86"/>
    <mergeCell ref="C85:C86"/>
    <mergeCell ref="E85:E86"/>
    <mergeCell ref="F85:F86"/>
    <mergeCell ref="A56:F56"/>
    <mergeCell ref="D85:D86"/>
    <mergeCell ref="G85:G86"/>
    <mergeCell ref="A225:F225"/>
    <mergeCell ref="A226:F226"/>
    <mergeCell ref="A161:F161"/>
    <mergeCell ref="A162:F162"/>
    <mergeCell ref="A163:F163"/>
    <mergeCell ref="A165:F165"/>
    <mergeCell ref="A145:F145"/>
    <mergeCell ref="A150:F150"/>
    <mergeCell ref="A151:F151"/>
    <mergeCell ref="A152:F152"/>
    <mergeCell ref="A153:F153"/>
    <mergeCell ref="A154:F154"/>
    <mergeCell ref="A138:F138"/>
    <mergeCell ref="A139:F139"/>
    <mergeCell ref="A141:F141"/>
    <mergeCell ref="A142:F142"/>
    <mergeCell ref="A143:F143"/>
    <mergeCell ref="V3:W3"/>
    <mergeCell ref="V4:V5"/>
    <mergeCell ref="W4:W5"/>
    <mergeCell ref="D87:D89"/>
    <mergeCell ref="P3:R3"/>
    <mergeCell ref="P4:P5"/>
    <mergeCell ref="Q4:R4"/>
    <mergeCell ref="S3:U3"/>
    <mergeCell ref="S4:S5"/>
    <mergeCell ref="T4:U4"/>
    <mergeCell ref="J3:L3"/>
    <mergeCell ref="J4:J5"/>
    <mergeCell ref="K4:L4"/>
    <mergeCell ref="M3:O3"/>
    <mergeCell ref="M4:M5"/>
    <mergeCell ref="N4:O4"/>
    <mergeCell ref="A84:F84"/>
    <mergeCell ref="A52:F52"/>
    <mergeCell ref="A53:F53"/>
    <mergeCell ref="A54:F54"/>
    <mergeCell ref="A55:F55"/>
    <mergeCell ref="B28:B29"/>
    <mergeCell ref="C28:C29"/>
    <mergeCell ref="D28:D29"/>
    <mergeCell ref="A270:F270"/>
    <mergeCell ref="A271:F271"/>
    <mergeCell ref="A272:F272"/>
    <mergeCell ref="A273:F273"/>
    <mergeCell ref="G104:G105"/>
    <mergeCell ref="H104:H105"/>
    <mergeCell ref="I104:I105"/>
    <mergeCell ref="A147:F147"/>
    <mergeCell ref="A148:F148"/>
    <mergeCell ref="A156:F156"/>
    <mergeCell ref="A157:F157"/>
    <mergeCell ref="G244:G245"/>
    <mergeCell ref="A244:A245"/>
    <mergeCell ref="H244:H245"/>
    <mergeCell ref="I244:I245"/>
    <mergeCell ref="A256:F256"/>
    <mergeCell ref="A268:F268"/>
    <mergeCell ref="A202:F202"/>
    <mergeCell ref="A220:F220"/>
    <mergeCell ref="A221:F221"/>
    <mergeCell ref="A224:F224"/>
    <mergeCell ref="A166:F166"/>
    <mergeCell ref="A167:F167"/>
    <mergeCell ref="A168:F168"/>
  </mergeCells>
  <hyperlinks>
    <hyperlink ref="A42" location="P3215" display="P3215"/>
    <hyperlink ref="A57" location="P3215" display="P3215"/>
    <hyperlink ref="A61" location="P3215" display="P3215"/>
    <hyperlink ref="A63" location="P3215" display="P3215"/>
    <hyperlink ref="A66" location="P3215" display="P3215"/>
    <hyperlink ref="A72" location="P3215" display="P3215"/>
    <hyperlink ref="A75" location="P3215" display="P3215"/>
    <hyperlink ref="A105" location="P3215" display="P3215"/>
    <hyperlink ref="A107" location="P3215" display="P3215"/>
    <hyperlink ref="A59" location="P3215" display="P3215"/>
  </hyperlinks>
  <pageMargins left="0.70866141732283472" right="0.70866141732283472" top="0.74803149606299213" bottom="0.74803149606299213" header="0.31496062992125984" footer="0.31496062992125984"/>
  <pageSetup paperSize="8" scale="5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40F15A73-9550-4519-BD07-5B1306791A2B}" showPageBreaks="1">
      <pageMargins left="0.7" right="0.7" top="0.75" bottom="0.75" header="0.3" footer="0.3"/>
      <pageSetup paperSize="9" orientation="portrait" r:id="rId1"/>
    </customSheetView>
    <customSheetView guid="{F6681789-96F0-4D5A-90BA-C1A8630D3E2C}" showPageBreaks="1">
      <pageMargins left="0.7" right="0.7" top="0.75" bottom="0.75" header="0.3" footer="0.3"/>
      <pageSetup paperSize="9" orientation="portrait" r:id="rId2"/>
    </customSheetView>
    <customSheetView guid="{1B5FFDB8-A1F9-475C-854F-961801845FF2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40F15A73-9550-4519-BD07-5B1306791A2B}" showPageBreaks="1">
      <pageMargins left="0.7" right="0.7" top="0.75" bottom="0.75" header="0.3" footer="0.3"/>
      <pageSetup paperSize="9" orientation="portrait" r:id="rId1"/>
    </customSheetView>
    <customSheetView guid="{F6681789-96F0-4D5A-90BA-C1A8630D3E2C}" showPageBreaks="1">
      <pageMargins left="0.7" right="0.7" top="0.75" bottom="0.75" header="0.3" footer="0.3"/>
      <pageSetup paperSize="9" orientation="portrait" r:id="rId2"/>
    </customSheetView>
    <customSheetView guid="{1B5FFDB8-A1F9-475C-854F-961801845FF2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2022-10-24T07:30:15Z</cp:lastPrinted>
  <dcterms:created xsi:type="dcterms:W3CDTF">2022-04-11T12:43:08Z</dcterms:created>
  <dcterms:modified xsi:type="dcterms:W3CDTF">2022-10-24T08:16:26Z</dcterms:modified>
</cp:coreProperties>
</file>