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120" windowHeight="13620"/>
  </bookViews>
  <sheets>
    <sheet name="2023" sheetId="1" r:id="rId1"/>
    <sheet name="2024" sheetId="4" r:id="rId2"/>
    <sheet name="2025" sheetId="6" r:id="rId3"/>
  </sheets>
  <definedNames>
    <definedName name="_xlnm._FilterDatabase" localSheetId="0" hidden="1">'2023'!$A$7:$AE$358</definedName>
    <definedName name="_xlnm._FilterDatabase" localSheetId="1" hidden="1">'2024'!$A$5:$AF$364</definedName>
    <definedName name="_xlnm._FilterDatabase" localSheetId="2" hidden="1">'2025'!$A$5:$AE$364</definedName>
    <definedName name="_xlnm.Print_Titles" localSheetId="0">'2023'!$A:$F,'2023'!$5:$6</definedName>
    <definedName name="_xlnm.Print_Titles" localSheetId="1">'2024'!$A:$G,'2024'!$3:$4</definedName>
    <definedName name="_xlnm.Print_Titles" localSheetId="2">'2025'!$A:$F,'2025'!$3:$4</definedName>
    <definedName name="_xlnm.Print_Area" localSheetId="0">'2023'!$A$1:$X$366</definedName>
    <definedName name="_xlnm.Print_Area" localSheetId="1">'2024'!$A$1:$X$364</definedName>
    <definedName name="_xlnm.Print_Area" localSheetId="2">'2025'!$A$1:$X$365</definedName>
  </definedNames>
  <calcPr calcId="125725" calcOnSave="0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8" i="1"/>
  <c r="H327"/>
  <c r="L357"/>
  <c r="E285"/>
  <c r="B128" i="4"/>
  <c r="B128" i="6"/>
  <c r="P356"/>
  <c r="O356"/>
  <c r="N356"/>
  <c r="M356"/>
  <c r="P355"/>
  <c r="O355"/>
  <c r="O354"/>
  <c r="N355"/>
  <c r="M355"/>
  <c r="P356" i="4"/>
  <c r="O356"/>
  <c r="N356"/>
  <c r="M356"/>
  <c r="P355"/>
  <c r="O355"/>
  <c r="N355"/>
  <c r="M355"/>
  <c r="K326" i="6"/>
  <c r="K356"/>
  <c r="J326"/>
  <c r="J356"/>
  <c r="I326"/>
  <c r="I356"/>
  <c r="Z324"/>
  <c r="AD324"/>
  <c r="Y324"/>
  <c r="K326" i="4"/>
  <c r="K356"/>
  <c r="J326"/>
  <c r="J356"/>
  <c r="I326"/>
  <c r="I356"/>
  <c r="Z324"/>
  <c r="AD324"/>
  <c r="Y324"/>
  <c r="AA313" i="6"/>
  <c r="AA313" i="4"/>
  <c r="R319" i="1"/>
  <c r="R320"/>
  <c r="R321"/>
  <c r="R322"/>
  <c r="R323"/>
  <c r="T11"/>
  <c r="T12"/>
  <c r="T13"/>
  <c r="T14"/>
  <c r="T15"/>
  <c r="T16"/>
  <c r="T17"/>
  <c r="T18"/>
  <c r="T19"/>
  <c r="T20"/>
  <c r="T21"/>
  <c r="T22"/>
  <c r="T23"/>
  <c r="T24"/>
  <c r="T25"/>
  <c r="T26"/>
  <c r="T27"/>
  <c r="T29"/>
  <c r="T30"/>
  <c r="T31"/>
  <c r="T33"/>
  <c r="T34"/>
  <c r="T35"/>
  <c r="T36"/>
  <c r="T37"/>
  <c r="T39"/>
  <c r="T40"/>
  <c r="T41"/>
  <c r="T42"/>
  <c r="T43"/>
  <c r="T45"/>
  <c r="T46"/>
  <c r="T47"/>
  <c r="T49"/>
  <c r="T51"/>
  <c r="T53"/>
  <c r="T54"/>
  <c r="T56"/>
  <c r="T57"/>
  <c r="T58"/>
  <c r="T59"/>
  <c r="T60"/>
  <c r="T61"/>
  <c r="T63"/>
  <c r="T64"/>
  <c r="T65"/>
  <c r="T66"/>
  <c r="T67"/>
  <c r="T68"/>
  <c r="T70"/>
  <c r="T71"/>
  <c r="T73"/>
  <c r="T74"/>
  <c r="T75"/>
  <c r="T76"/>
  <c r="T77"/>
  <c r="T78"/>
  <c r="T80"/>
  <c r="T81"/>
  <c r="T82"/>
  <c r="T84"/>
  <c r="T85"/>
  <c r="T86"/>
  <c r="T87"/>
  <c r="T89"/>
  <c r="T91"/>
  <c r="T92"/>
  <c r="T96"/>
  <c r="T97"/>
  <c r="T98"/>
  <c r="T99"/>
  <c r="T100"/>
  <c r="T101"/>
  <c r="T103"/>
  <c r="T104"/>
  <c r="T107"/>
  <c r="T108"/>
  <c r="T109"/>
  <c r="T110"/>
  <c r="T112"/>
  <c r="T113"/>
  <c r="T114"/>
  <c r="T115"/>
  <c r="T116"/>
  <c r="T117"/>
  <c r="T118"/>
  <c r="T120"/>
  <c r="T121"/>
  <c r="T122"/>
  <c r="T123"/>
  <c r="T124"/>
  <c r="T125"/>
  <c r="T126"/>
  <c r="T127"/>
  <c r="T128"/>
  <c r="T132"/>
  <c r="T133"/>
  <c r="T134"/>
  <c r="T135"/>
  <c r="T136"/>
  <c r="T137"/>
  <c r="T138"/>
  <c r="T139"/>
  <c r="T140"/>
  <c r="T141"/>
  <c r="T142"/>
  <c r="T143"/>
  <c r="T145"/>
  <c r="T146"/>
  <c r="T147"/>
  <c r="T148"/>
  <c r="T149"/>
  <c r="T150"/>
  <c r="T151"/>
  <c r="T153"/>
  <c r="T156"/>
  <c r="T157"/>
  <c r="T158"/>
  <c r="T159"/>
  <c r="T160"/>
  <c r="T161"/>
  <c r="T163"/>
  <c r="T164"/>
  <c r="T165"/>
  <c r="T166"/>
  <c r="T168"/>
  <c r="T169"/>
  <c r="T170"/>
  <c r="T171"/>
  <c r="T172"/>
  <c r="T173"/>
  <c r="T174"/>
  <c r="T175"/>
  <c r="T176"/>
  <c r="T178"/>
  <c r="T180"/>
  <c r="T181"/>
  <c r="T183"/>
  <c r="T188"/>
  <c r="T189"/>
  <c r="T190"/>
  <c r="T193"/>
  <c r="T195"/>
  <c r="T196"/>
  <c r="T197"/>
  <c r="T201"/>
  <c r="T202"/>
  <c r="T203"/>
  <c r="T205"/>
  <c r="T206"/>
  <c r="T208"/>
  <c r="T210"/>
  <c r="T212"/>
  <c r="T213"/>
  <c r="T215"/>
  <c r="T216"/>
  <c r="T217"/>
  <c r="T218"/>
  <c r="T219"/>
  <c r="T220"/>
  <c r="T221"/>
  <c r="T222"/>
  <c r="T223"/>
  <c r="T224"/>
  <c r="T225"/>
  <c r="T227"/>
  <c r="T229"/>
  <c r="T230"/>
  <c r="T231"/>
  <c r="T233"/>
  <c r="T234"/>
  <c r="T236"/>
  <c r="T238"/>
  <c r="T240"/>
  <c r="T241"/>
  <c r="T245"/>
  <c r="T246"/>
  <c r="T247"/>
  <c r="T249"/>
  <c r="T250"/>
  <c r="T251"/>
  <c r="T252"/>
  <c r="T253"/>
  <c r="T255"/>
  <c r="T256"/>
  <c r="T257"/>
  <c r="T258"/>
  <c r="T262"/>
  <c r="T264"/>
  <c r="T265"/>
  <c r="T267"/>
  <c r="T268"/>
  <c r="T269"/>
  <c r="T270"/>
  <c r="T272"/>
  <c r="T273"/>
  <c r="T275"/>
  <c r="T276"/>
  <c r="T278"/>
  <c r="T279"/>
  <c r="T280"/>
  <c r="T281"/>
  <c r="T282"/>
  <c r="T283"/>
  <c r="T284"/>
  <c r="T285"/>
  <c r="T287"/>
  <c r="T288"/>
  <c r="T289"/>
  <c r="T290"/>
  <c r="T291"/>
  <c r="T292"/>
  <c r="T293"/>
  <c r="T294"/>
  <c r="T295"/>
  <c r="T296"/>
  <c r="T298"/>
  <c r="T301"/>
  <c r="T302"/>
  <c r="T303"/>
  <c r="T305"/>
  <c r="T306"/>
  <c r="T307"/>
  <c r="T308"/>
  <c r="T309"/>
  <c r="T310"/>
  <c r="T311"/>
  <c r="T312"/>
  <c r="T314"/>
  <c r="T10"/>
  <c r="S10"/>
  <c r="Q10"/>
  <c r="R10"/>
  <c r="R11"/>
  <c r="R13"/>
  <c r="R14"/>
  <c r="R15"/>
  <c r="R16"/>
  <c r="R17"/>
  <c r="R18"/>
  <c r="R19"/>
  <c r="R20"/>
  <c r="R21"/>
  <c r="R22"/>
  <c r="R23"/>
  <c r="R24"/>
  <c r="R25"/>
  <c r="R26"/>
  <c r="R27"/>
  <c r="R29"/>
  <c r="R30"/>
  <c r="R33"/>
  <c r="R34"/>
  <c r="R35"/>
  <c r="R36"/>
  <c r="R37"/>
  <c r="R39"/>
  <c r="R40"/>
  <c r="R41"/>
  <c r="R42"/>
  <c r="R43"/>
  <c r="R45"/>
  <c r="R47"/>
  <c r="R49"/>
  <c r="R53"/>
  <c r="R54"/>
  <c r="R56"/>
  <c r="R57"/>
  <c r="R58"/>
  <c r="R59"/>
  <c r="R60"/>
  <c r="R61"/>
  <c r="R65"/>
  <c r="R66"/>
  <c r="R67"/>
  <c r="R68"/>
  <c r="R70"/>
  <c r="R71"/>
  <c r="R73"/>
  <c r="R74"/>
  <c r="R75"/>
  <c r="R76"/>
  <c r="R77"/>
  <c r="R78"/>
  <c r="R80"/>
  <c r="R81"/>
  <c r="R82"/>
  <c r="R84"/>
  <c r="R85"/>
  <c r="R86"/>
  <c r="R87"/>
  <c r="R89"/>
  <c r="R91"/>
  <c r="R92"/>
  <c r="R96"/>
  <c r="R97"/>
  <c r="R98"/>
  <c r="R99"/>
  <c r="R100"/>
  <c r="R104"/>
  <c r="R105"/>
  <c r="R107"/>
  <c r="R108"/>
  <c r="R109"/>
  <c r="R110"/>
  <c r="R112"/>
  <c r="R113"/>
  <c r="R114"/>
  <c r="R116"/>
  <c r="R117"/>
  <c r="R118"/>
  <c r="R120"/>
  <c r="R121"/>
  <c r="R122"/>
  <c r="R123"/>
  <c r="R124"/>
  <c r="R125"/>
  <c r="R126"/>
  <c r="R127"/>
  <c r="R128"/>
  <c r="R132"/>
  <c r="R134"/>
  <c r="R135"/>
  <c r="R136"/>
  <c r="R137"/>
  <c r="R139"/>
  <c r="R140"/>
  <c r="R141"/>
  <c r="R145"/>
  <c r="R146"/>
  <c r="R147"/>
  <c r="R148"/>
  <c r="R150"/>
  <c r="R151"/>
  <c r="R153"/>
  <c r="R156"/>
  <c r="R157"/>
  <c r="R158"/>
  <c r="R159"/>
  <c r="R160"/>
  <c r="R161"/>
  <c r="R162"/>
  <c r="R163"/>
  <c r="R164"/>
  <c r="R165"/>
  <c r="R166"/>
  <c r="R168"/>
  <c r="R169"/>
  <c r="R170"/>
  <c r="R171"/>
  <c r="R172"/>
  <c r="R173"/>
  <c r="R174"/>
  <c r="R175"/>
  <c r="R178"/>
  <c r="R180"/>
  <c r="R181"/>
  <c r="R183"/>
  <c r="R188"/>
  <c r="R189"/>
  <c r="R190"/>
  <c r="R193"/>
  <c r="R195"/>
  <c r="R196"/>
  <c r="R197"/>
  <c r="R202"/>
  <c r="R203"/>
  <c r="R205"/>
  <c r="R206"/>
  <c r="R210"/>
  <c r="R213"/>
  <c r="R215"/>
  <c r="R216"/>
  <c r="R217"/>
  <c r="R218"/>
  <c r="R219"/>
  <c r="R220"/>
  <c r="R221"/>
  <c r="R222"/>
  <c r="R223"/>
  <c r="R224"/>
  <c r="R225"/>
  <c r="R227"/>
  <c r="R229"/>
  <c r="R230"/>
  <c r="R231"/>
  <c r="R233"/>
  <c r="R234"/>
  <c r="R236"/>
  <c r="R240"/>
  <c r="R241"/>
  <c r="R245"/>
  <c r="R247"/>
  <c r="R249"/>
  <c r="R250"/>
  <c r="R251"/>
  <c r="R252"/>
  <c r="R253"/>
  <c r="R255"/>
  <c r="R257"/>
  <c r="R258"/>
  <c r="R262"/>
  <c r="R264"/>
  <c r="R265"/>
  <c r="R267"/>
  <c r="R268"/>
  <c r="R269"/>
  <c r="R272"/>
  <c r="R275"/>
  <c r="R276"/>
  <c r="R278"/>
  <c r="R279"/>
  <c r="R280"/>
  <c r="R281"/>
  <c r="R282"/>
  <c r="R283"/>
  <c r="R284"/>
  <c r="R285"/>
  <c r="R287"/>
  <c r="R288"/>
  <c r="R289"/>
  <c r="R290"/>
  <c r="R291"/>
  <c r="R292"/>
  <c r="R293"/>
  <c r="R294"/>
  <c r="R296"/>
  <c r="R298"/>
  <c r="R301"/>
  <c r="R302"/>
  <c r="R303"/>
  <c r="R305"/>
  <c r="R306"/>
  <c r="R307"/>
  <c r="R308"/>
  <c r="R309"/>
  <c r="R310"/>
  <c r="R311"/>
  <c r="R312"/>
  <c r="R314"/>
  <c r="Q11"/>
  <c r="Q12"/>
  <c r="Q13"/>
  <c r="Q14"/>
  <c r="Q15"/>
  <c r="Q16"/>
  <c r="Q17"/>
  <c r="Q18"/>
  <c r="Q19"/>
  <c r="Q20"/>
  <c r="Q21"/>
  <c r="Q22"/>
  <c r="Q23"/>
  <c r="Q24"/>
  <c r="Q25"/>
  <c r="Q26"/>
  <c r="Q27"/>
  <c r="Q29"/>
  <c r="Q30"/>
  <c r="Q31"/>
  <c r="Q33"/>
  <c r="Q34"/>
  <c r="Q35"/>
  <c r="Q36"/>
  <c r="Q37"/>
  <c r="Q39"/>
  <c r="Q40"/>
  <c r="Q41"/>
  <c r="Q42"/>
  <c r="Q43"/>
  <c r="Q45"/>
  <c r="Q46"/>
  <c r="Q49"/>
  <c r="Q53"/>
  <c r="Q54"/>
  <c r="Q56"/>
  <c r="Q57"/>
  <c r="Q58"/>
  <c r="Q59"/>
  <c r="Q60"/>
  <c r="Q61"/>
  <c r="Q63"/>
  <c r="Q64"/>
  <c r="Q65"/>
  <c r="Q66"/>
  <c r="Q67"/>
  <c r="Q68"/>
  <c r="Q70"/>
  <c r="Q71"/>
  <c r="Q73"/>
  <c r="Q74"/>
  <c r="Q75"/>
  <c r="Q76"/>
  <c r="Q78"/>
  <c r="Q80"/>
  <c r="Q81"/>
  <c r="Q82"/>
  <c r="Q84"/>
  <c r="Q85"/>
  <c r="Q87"/>
  <c r="Q91"/>
  <c r="Q96"/>
  <c r="Q97"/>
  <c r="Q98"/>
  <c r="Q99"/>
  <c r="Q101"/>
  <c r="Q104"/>
  <c r="Q105"/>
  <c r="Q107"/>
  <c r="Q108"/>
  <c r="Q109"/>
  <c r="Q110"/>
  <c r="Q112"/>
  <c r="Q116"/>
  <c r="Q117"/>
  <c r="Q118"/>
  <c r="Q120"/>
  <c r="Q121"/>
  <c r="Q122"/>
  <c r="Q123"/>
  <c r="Q124"/>
  <c r="Q125"/>
  <c r="Q126"/>
  <c r="Q128"/>
  <c r="Q132"/>
  <c r="Q133"/>
  <c r="Q134"/>
  <c r="Q135"/>
  <c r="Q136"/>
  <c r="Q137"/>
  <c r="Q139"/>
  <c r="Q140"/>
  <c r="Q141"/>
  <c r="Q143"/>
  <c r="Q145"/>
  <c r="Q146"/>
  <c r="Q150"/>
  <c r="Q151"/>
  <c r="Q153"/>
  <c r="Q156"/>
  <c r="Q157"/>
  <c r="Q158"/>
  <c r="Q159"/>
  <c r="Q160"/>
  <c r="Q161"/>
  <c r="Q162"/>
  <c r="Q163"/>
  <c r="Q164"/>
  <c r="Q165"/>
  <c r="Q166"/>
  <c r="Q168"/>
  <c r="Q169"/>
  <c r="Q170"/>
  <c r="Q172"/>
  <c r="Q173"/>
  <c r="Q174"/>
  <c r="Q175"/>
  <c r="Q178"/>
  <c r="Q180"/>
  <c r="Q181"/>
  <c r="Q183"/>
  <c r="Q188"/>
  <c r="Q189"/>
  <c r="Q190"/>
  <c r="Q195"/>
  <c r="Q196"/>
  <c r="Q197"/>
  <c r="Q201"/>
  <c r="Q202"/>
  <c r="Q203"/>
  <c r="Q205"/>
  <c r="Q206"/>
  <c r="Q208"/>
  <c r="Q210"/>
  <c r="Q212"/>
  <c r="Q215"/>
  <c r="Q217"/>
  <c r="Q218"/>
  <c r="Q219"/>
  <c r="Q220"/>
  <c r="Q221"/>
  <c r="Q222"/>
  <c r="Q223"/>
  <c r="Q224"/>
  <c r="Q225"/>
  <c r="Q227"/>
  <c r="Q229"/>
  <c r="Q230"/>
  <c r="Q231"/>
  <c r="Q233"/>
  <c r="Q234"/>
  <c r="Q236"/>
  <c r="Q240"/>
  <c r="Q241"/>
  <c r="Q245"/>
  <c r="Q246"/>
  <c r="Q247"/>
  <c r="Q249"/>
  <c r="Q250"/>
  <c r="Q251"/>
  <c r="Q252"/>
  <c r="Q253"/>
  <c r="Q256"/>
  <c r="Q257"/>
  <c r="Q258"/>
  <c r="Q265"/>
  <c r="Q269"/>
  <c r="Q270"/>
  <c r="Q272"/>
  <c r="Q273"/>
  <c r="Q275"/>
  <c r="Q276"/>
  <c r="Q278"/>
  <c r="Q279"/>
  <c r="Q280"/>
  <c r="Q281"/>
  <c r="Q282"/>
  <c r="Q283"/>
  <c r="Q284"/>
  <c r="Q285"/>
  <c r="Q287"/>
  <c r="Q288"/>
  <c r="Q289"/>
  <c r="Q290"/>
  <c r="Q291"/>
  <c r="Q292"/>
  <c r="Q293"/>
  <c r="Q294"/>
  <c r="Q296"/>
  <c r="Q298"/>
  <c r="Q301"/>
  <c r="Q302"/>
  <c r="Q303"/>
  <c r="Q305"/>
  <c r="Q306"/>
  <c r="Q307"/>
  <c r="Q308"/>
  <c r="Q309"/>
  <c r="Q311"/>
  <c r="Q312"/>
  <c r="Q314"/>
  <c r="M358"/>
  <c r="N358"/>
  <c r="O358"/>
  <c r="P358"/>
  <c r="V358"/>
  <c r="M357"/>
  <c r="N357"/>
  <c r="O357"/>
  <c r="P357"/>
  <c r="V357"/>
  <c r="N354" i="4"/>
  <c r="O354"/>
  <c r="P354"/>
  <c r="N354" i="6"/>
  <c r="P354"/>
  <c r="M354" i="4"/>
  <c r="M354" i="6"/>
  <c r="M356" i="1"/>
  <c r="O356"/>
  <c r="N356"/>
  <c r="P356"/>
  <c r="V326"/>
  <c r="I328"/>
  <c r="I358"/>
  <c r="J328"/>
  <c r="J358"/>
  <c r="K328"/>
  <c r="K358"/>
  <c r="L145"/>
  <c r="AA315"/>
  <c r="O272" i="4"/>
  <c r="H339" i="1"/>
  <c r="I299"/>
  <c r="R299"/>
  <c r="J299"/>
  <c r="K299"/>
  <c r="T299"/>
  <c r="H299"/>
  <c r="Q299"/>
  <c r="I274"/>
  <c r="R274"/>
  <c r="J274"/>
  <c r="K274"/>
  <c r="T274"/>
  <c r="H274"/>
  <c r="Q274"/>
  <c r="I154"/>
  <c r="R154"/>
  <c r="J154"/>
  <c r="K154"/>
  <c r="T154"/>
  <c r="H154"/>
  <c r="Q154"/>
  <c r="I130"/>
  <c r="R130"/>
  <c r="J130"/>
  <c r="K130"/>
  <c r="T130"/>
  <c r="H130"/>
  <c r="Q130"/>
  <c r="I94"/>
  <c r="R94"/>
  <c r="J94"/>
  <c r="K94"/>
  <c r="T94"/>
  <c r="H94"/>
  <c r="Q94"/>
  <c r="I297" i="4"/>
  <c r="I297" i="6"/>
  <c r="H260" i="1"/>
  <c r="I152" i="4"/>
  <c r="I152" i="6"/>
  <c r="I128" i="4"/>
  <c r="I128" i="6"/>
  <c r="J297" i="4"/>
  <c r="J297" i="6"/>
  <c r="K297" i="4"/>
  <c r="K297" i="6"/>
  <c r="H297" i="4"/>
  <c r="H297" i="6"/>
  <c r="I272" i="4"/>
  <c r="I272" i="6"/>
  <c r="J272" i="4"/>
  <c r="J272" i="6"/>
  <c r="K272" i="4"/>
  <c r="K272" i="6"/>
  <c r="H272" i="4"/>
  <c r="H272" i="6"/>
  <c r="J152" i="4"/>
  <c r="J152" i="6"/>
  <c r="K152" i="4"/>
  <c r="K152" i="6"/>
  <c r="H152" i="4"/>
  <c r="H152" i="6"/>
  <c r="J128" i="4"/>
  <c r="J128" i="6"/>
  <c r="K128" i="4"/>
  <c r="K128" i="6"/>
  <c r="H128" i="4"/>
  <c r="H128" i="6"/>
  <c r="J92" i="4"/>
  <c r="J92" i="6"/>
  <c r="K92" i="4"/>
  <c r="K92" i="6"/>
  <c r="H92" i="4"/>
  <c r="H92" i="6"/>
  <c r="I92" i="4"/>
  <c r="I92" i="6"/>
  <c r="I339" i="1"/>
  <c r="J339"/>
  <c r="K339"/>
  <c r="H347"/>
  <c r="I347"/>
  <c r="J347"/>
  <c r="K347"/>
  <c r="H352"/>
  <c r="I352"/>
  <c r="J352"/>
  <c r="K352"/>
  <c r="H353"/>
  <c r="I353"/>
  <c r="J353"/>
  <c r="K353"/>
  <c r="N207" i="6"/>
  <c r="N207" i="4"/>
  <c r="O243" i="6"/>
  <c r="M243"/>
  <c r="J260" i="1"/>
  <c r="J258" i="4"/>
  <c r="J258" i="6"/>
  <c r="Q260" i="1"/>
  <c r="I260"/>
  <c r="H258" i="4"/>
  <c r="H258" i="6"/>
  <c r="K260" i="1"/>
  <c r="K258" i="4"/>
  <c r="K258" i="6"/>
  <c r="O243" i="4"/>
  <c r="M243"/>
  <c r="T243"/>
  <c r="S243"/>
  <c r="L243"/>
  <c r="I258"/>
  <c r="I258" i="6"/>
  <c r="R260" i="1"/>
  <c r="Z243" i="4"/>
  <c r="AD243"/>
  <c r="R243"/>
  <c r="Q243"/>
  <c r="Y243"/>
  <c r="O187" i="6"/>
  <c r="O188"/>
  <c r="M187"/>
  <c r="M188"/>
  <c r="M186"/>
  <c r="U243" i="4"/>
  <c r="M266" i="6"/>
  <c r="M229"/>
  <c r="M111"/>
  <c r="M113"/>
  <c r="M110"/>
  <c r="O32"/>
  <c r="O34"/>
  <c r="M32"/>
  <c r="M31"/>
  <c r="O266" i="4"/>
  <c r="O267"/>
  <c r="O268"/>
  <c r="M266"/>
  <c r="M267"/>
  <c r="M268"/>
  <c r="O265"/>
  <c r="M265"/>
  <c r="O228"/>
  <c r="O229"/>
  <c r="M228"/>
  <c r="M229"/>
  <c r="O227"/>
  <c r="M227"/>
  <c r="O115"/>
  <c r="O116"/>
  <c r="M115"/>
  <c r="M116"/>
  <c r="O111"/>
  <c r="O112"/>
  <c r="O113"/>
  <c r="O114"/>
  <c r="M111"/>
  <c r="M112"/>
  <c r="M113"/>
  <c r="M114"/>
  <c r="O110"/>
  <c r="M110"/>
  <c r="O32"/>
  <c r="O33"/>
  <c r="O34"/>
  <c r="O35"/>
  <c r="O31"/>
  <c r="M32"/>
  <c r="M33"/>
  <c r="M34"/>
  <c r="M35"/>
  <c r="M31"/>
  <c r="P34" i="6"/>
  <c r="P32"/>
  <c r="P112" i="4"/>
  <c r="O112" i="6"/>
  <c r="P110" i="4"/>
  <c r="O110" i="6"/>
  <c r="P115" i="4"/>
  <c r="O115" i="6"/>
  <c r="P33" i="4"/>
  <c r="O33" i="6"/>
  <c r="P114" i="4"/>
  <c r="O114" i="6"/>
  <c r="P229" i="4"/>
  <c r="O229" i="6"/>
  <c r="P267" i="4"/>
  <c r="O267" i="6"/>
  <c r="P35" i="4"/>
  <c r="O35" i="6"/>
  <c r="P116" i="4"/>
  <c r="O116" i="6"/>
  <c r="P111" i="4"/>
  <c r="O111" i="6"/>
  <c r="P265" i="4"/>
  <c r="O265" i="6"/>
  <c r="P268" i="4"/>
  <c r="O268" i="6"/>
  <c r="P31" i="4"/>
  <c r="O31" i="6"/>
  <c r="P113" i="4"/>
  <c r="O113" i="6"/>
  <c r="P227" i="4"/>
  <c r="O227" i="6"/>
  <c r="P228" i="4"/>
  <c r="O228" i="6"/>
  <c r="P266" i="4"/>
  <c r="O266" i="6"/>
  <c r="N33" i="4"/>
  <c r="N114"/>
  <c r="N116"/>
  <c r="N227"/>
  <c r="N268"/>
  <c r="M268" i="6"/>
  <c r="N35" i="4"/>
  <c r="N115"/>
  <c r="N228"/>
  <c r="N267"/>
  <c r="N34"/>
  <c r="N112"/>
  <c r="N265"/>
  <c r="M265" i="6"/>
  <c r="M352"/>
  <c r="O352" i="4"/>
  <c r="M352"/>
  <c r="O351" i="6"/>
  <c r="O348"/>
  <c r="O349" i="4"/>
  <c r="O348"/>
  <c r="O347"/>
  <c r="O346"/>
  <c r="M348"/>
  <c r="N352" i="1"/>
  <c r="O352"/>
  <c r="P352"/>
  <c r="O350" i="4"/>
  <c r="M352" i="1"/>
  <c r="M34" i="6"/>
  <c r="M33"/>
  <c r="M112"/>
  <c r="M115"/>
  <c r="M35"/>
  <c r="M116"/>
  <c r="M114"/>
  <c r="P352" i="4"/>
  <c r="P350"/>
  <c r="P228" i="6"/>
  <c r="P113"/>
  <c r="P111"/>
  <c r="P35"/>
  <c r="P229"/>
  <c r="P110"/>
  <c r="M227"/>
  <c r="M228"/>
  <c r="P268"/>
  <c r="P266"/>
  <c r="P227"/>
  <c r="P31"/>
  <c r="P265"/>
  <c r="P116"/>
  <c r="P267"/>
  <c r="P114"/>
  <c r="P115"/>
  <c r="P112"/>
  <c r="M267"/>
  <c r="N346"/>
  <c r="N347"/>
  <c r="N349"/>
  <c r="P349"/>
  <c r="N349" i="4"/>
  <c r="N347"/>
  <c r="N346"/>
  <c r="M345" i="6"/>
  <c r="M344"/>
  <c r="M343"/>
  <c r="M342"/>
  <c r="M341"/>
  <c r="M340"/>
  <c r="M339"/>
  <c r="M337"/>
  <c r="M336"/>
  <c r="M335"/>
  <c r="M334"/>
  <c r="M333"/>
  <c r="M332"/>
  <c r="M331"/>
  <c r="O345" i="4"/>
  <c r="M345"/>
  <c r="O344"/>
  <c r="M344"/>
  <c r="O343"/>
  <c r="M343"/>
  <c r="O342"/>
  <c r="M342"/>
  <c r="O341"/>
  <c r="M341"/>
  <c r="O340"/>
  <c r="M340"/>
  <c r="O339"/>
  <c r="M339"/>
  <c r="O337"/>
  <c r="M337"/>
  <c r="O336"/>
  <c r="M336"/>
  <c r="O335"/>
  <c r="M335"/>
  <c r="O334"/>
  <c r="M334"/>
  <c r="O333"/>
  <c r="M333"/>
  <c r="O332"/>
  <c r="M332"/>
  <c r="O331"/>
  <c r="M331"/>
  <c r="M330" i="6"/>
  <c r="O330" i="4"/>
  <c r="M330"/>
  <c r="P291"/>
  <c r="M291"/>
  <c r="M291" i="6"/>
  <c r="P291"/>
  <c r="M285"/>
  <c r="P285"/>
  <c r="P285" i="4"/>
  <c r="M285"/>
  <c r="P284" i="6"/>
  <c r="M284"/>
  <c r="P284" i="4"/>
  <c r="M284"/>
  <c r="P282" i="6"/>
  <c r="M282"/>
  <c r="P282" i="4"/>
  <c r="M282"/>
  <c r="P281" i="6"/>
  <c r="M281"/>
  <c r="P281" i="4"/>
  <c r="M281"/>
  <c r="P280" i="6"/>
  <c r="M280"/>
  <c r="P280" i="4"/>
  <c r="M280"/>
  <c r="P234" i="6"/>
  <c r="M234"/>
  <c r="P234" i="4"/>
  <c r="M234"/>
  <c r="N178" i="6"/>
  <c r="O178"/>
  <c r="N179"/>
  <c r="O179"/>
  <c r="O178" i="4"/>
  <c r="N178"/>
  <c r="P149" i="6"/>
  <c r="P148"/>
  <c r="M149"/>
  <c r="M148"/>
  <c r="P149" i="4"/>
  <c r="M149"/>
  <c r="P148"/>
  <c r="M148"/>
  <c r="P144" i="6"/>
  <c r="M144"/>
  <c r="P144" i="4"/>
  <c r="M144"/>
  <c r="P142" i="6"/>
  <c r="M142"/>
  <c r="P142" i="4"/>
  <c r="M142"/>
  <c r="P140" i="6"/>
  <c r="M140"/>
  <c r="P140" i="4"/>
  <c r="M140"/>
  <c r="P131"/>
  <c r="M131"/>
  <c r="P131" i="6"/>
  <c r="M131"/>
  <c r="P47"/>
  <c r="M47"/>
  <c r="P47" i="4"/>
  <c r="M47"/>
  <c r="P214" i="6"/>
  <c r="P215"/>
  <c r="P216"/>
  <c r="P217"/>
  <c r="P218"/>
  <c r="P219"/>
  <c r="P220"/>
  <c r="P221"/>
  <c r="P222"/>
  <c r="P223"/>
  <c r="P213"/>
  <c r="M214"/>
  <c r="M215"/>
  <c r="M216"/>
  <c r="M217"/>
  <c r="M218"/>
  <c r="M219"/>
  <c r="M220"/>
  <c r="M221"/>
  <c r="M222"/>
  <c r="M223"/>
  <c r="M213"/>
  <c r="P214" i="4"/>
  <c r="P215"/>
  <c r="P216"/>
  <c r="P217"/>
  <c r="P218"/>
  <c r="P219"/>
  <c r="P220"/>
  <c r="P221"/>
  <c r="P222"/>
  <c r="P223"/>
  <c r="M214"/>
  <c r="M215"/>
  <c r="M216"/>
  <c r="M217"/>
  <c r="M218"/>
  <c r="M219"/>
  <c r="M220"/>
  <c r="M221"/>
  <c r="M222"/>
  <c r="M223"/>
  <c r="P213"/>
  <c r="M213"/>
  <c r="P9" i="6"/>
  <c r="P10"/>
  <c r="P11"/>
  <c r="P12"/>
  <c r="P13"/>
  <c r="P14"/>
  <c r="P15"/>
  <c r="P16"/>
  <c r="P17"/>
  <c r="P18"/>
  <c r="P19"/>
  <c r="P20"/>
  <c r="P21"/>
  <c r="P22"/>
  <c r="P23"/>
  <c r="P24"/>
  <c r="P25"/>
  <c r="P8"/>
  <c r="P178"/>
  <c r="M9"/>
  <c r="M10"/>
  <c r="M11"/>
  <c r="M12"/>
  <c r="M13"/>
  <c r="M14"/>
  <c r="M15"/>
  <c r="M16"/>
  <c r="M17"/>
  <c r="M18"/>
  <c r="M19"/>
  <c r="M20"/>
  <c r="M21"/>
  <c r="M22"/>
  <c r="M23"/>
  <c r="M24"/>
  <c r="M25"/>
  <c r="M8"/>
  <c r="P8" i="4"/>
  <c r="P9"/>
  <c r="P10"/>
  <c r="P11"/>
  <c r="P12"/>
  <c r="P13"/>
  <c r="P14"/>
  <c r="P15"/>
  <c r="P16"/>
  <c r="P17"/>
  <c r="P18"/>
  <c r="P19"/>
  <c r="M8"/>
  <c r="M9"/>
  <c r="M10"/>
  <c r="M11"/>
  <c r="M12"/>
  <c r="M13"/>
  <c r="M14"/>
  <c r="M15"/>
  <c r="M16"/>
  <c r="M17"/>
  <c r="M18"/>
  <c r="P20"/>
  <c r="P21"/>
  <c r="P22"/>
  <c r="P23"/>
  <c r="P24"/>
  <c r="P25"/>
  <c r="M20"/>
  <c r="M21"/>
  <c r="M22"/>
  <c r="M23"/>
  <c r="M24"/>
  <c r="M25"/>
  <c r="M19"/>
  <c r="P178"/>
  <c r="P179"/>
  <c r="P330"/>
  <c r="O330" i="6"/>
  <c r="P332" i="4"/>
  <c r="O332" i="6"/>
  <c r="P334" i="4"/>
  <c r="O334" i="6"/>
  <c r="P336" i="4"/>
  <c r="O336" i="6"/>
  <c r="O339"/>
  <c r="O341"/>
  <c r="P343" i="4"/>
  <c r="O343" i="6"/>
  <c r="O345"/>
  <c r="O350"/>
  <c r="P331" i="4"/>
  <c r="O331" i="6"/>
  <c r="P333" i="4"/>
  <c r="O333" i="6"/>
  <c r="P335" i="4"/>
  <c r="O335" i="6"/>
  <c r="P337" i="4"/>
  <c r="P340"/>
  <c r="O342" i="6"/>
  <c r="P344" i="4"/>
  <c r="O352" i="6"/>
  <c r="M179"/>
  <c r="M346"/>
  <c r="M347"/>
  <c r="M349"/>
  <c r="O179" i="4"/>
  <c r="M178"/>
  <c r="M349"/>
  <c r="M346"/>
  <c r="M347"/>
  <c r="N179"/>
  <c r="P179" i="6"/>
  <c r="M178"/>
  <c r="P345"/>
  <c r="P346" i="4"/>
  <c r="O346" i="6"/>
  <c r="P347" i="4"/>
  <c r="O347" i="6"/>
  <c r="O344"/>
  <c r="O340"/>
  <c r="P335"/>
  <c r="P331"/>
  <c r="P347"/>
  <c r="P336"/>
  <c r="P349" i="4"/>
  <c r="O349" i="6"/>
  <c r="P352"/>
  <c r="O337"/>
  <c r="P333"/>
  <c r="P350"/>
  <c r="P343"/>
  <c r="P334"/>
  <c r="P330"/>
  <c r="P346"/>
  <c r="M179" i="4"/>
  <c r="O67" i="6"/>
  <c r="M67"/>
  <c r="O67" i="4"/>
  <c r="M67"/>
  <c r="K67" i="6"/>
  <c r="T67"/>
  <c r="J67"/>
  <c r="S67"/>
  <c r="I67"/>
  <c r="H67"/>
  <c r="K67" i="4"/>
  <c r="T67"/>
  <c r="J67"/>
  <c r="S67"/>
  <c r="I67"/>
  <c r="H67"/>
  <c r="K69" i="1"/>
  <c r="J69"/>
  <c r="I69"/>
  <c r="R69"/>
  <c r="H69"/>
  <c r="Q69"/>
  <c r="O241" i="6"/>
  <c r="M241"/>
  <c r="O241" i="4"/>
  <c r="M241"/>
  <c r="K241" i="6"/>
  <c r="T241"/>
  <c r="J241"/>
  <c r="S241"/>
  <c r="I241"/>
  <c r="H241"/>
  <c r="K241" i="4"/>
  <c r="T241"/>
  <c r="J241"/>
  <c r="S241"/>
  <c r="I241"/>
  <c r="H241"/>
  <c r="H243" i="1"/>
  <c r="Q243"/>
  <c r="K243"/>
  <c r="T243"/>
  <c r="J243"/>
  <c r="S243"/>
  <c r="I243"/>
  <c r="R243"/>
  <c r="O271" i="6"/>
  <c r="O262"/>
  <c r="O125"/>
  <c r="O101"/>
  <c r="O43"/>
  <c r="M206"/>
  <c r="M204"/>
  <c r="M271"/>
  <c r="M262"/>
  <c r="M125"/>
  <c r="M101"/>
  <c r="M43"/>
  <c r="O271" i="4"/>
  <c r="O262"/>
  <c r="M271"/>
  <c r="M262"/>
  <c r="O206"/>
  <c r="O204"/>
  <c r="M206"/>
  <c r="M204"/>
  <c r="O125"/>
  <c r="M125"/>
  <c r="O101"/>
  <c r="M101"/>
  <c r="O43"/>
  <c r="M43"/>
  <c r="O238" i="6"/>
  <c r="M238"/>
  <c r="O186"/>
  <c r="O52"/>
  <c r="M52"/>
  <c r="M238" i="4"/>
  <c r="O238"/>
  <c r="O186"/>
  <c r="M186"/>
  <c r="O52"/>
  <c r="M52"/>
  <c r="O225" i="6"/>
  <c r="O29"/>
  <c r="O28"/>
  <c r="O27"/>
  <c r="M225"/>
  <c r="M29"/>
  <c r="M28"/>
  <c r="M27"/>
  <c r="O225" i="4"/>
  <c r="O29"/>
  <c r="O28"/>
  <c r="O27"/>
  <c r="M225"/>
  <c r="M29"/>
  <c r="M28"/>
  <c r="M27"/>
  <c r="O260" i="6"/>
  <c r="O200"/>
  <c r="O99"/>
  <c r="O98"/>
  <c r="O97"/>
  <c r="O96"/>
  <c r="O95"/>
  <c r="O94"/>
  <c r="M260"/>
  <c r="M200"/>
  <c r="M99"/>
  <c r="M98"/>
  <c r="M97"/>
  <c r="M96"/>
  <c r="M95"/>
  <c r="M94"/>
  <c r="O260" i="4"/>
  <c r="O201"/>
  <c r="O200"/>
  <c r="O199"/>
  <c r="O99"/>
  <c r="O98"/>
  <c r="O97"/>
  <c r="O96"/>
  <c r="O95"/>
  <c r="O94"/>
  <c r="M260"/>
  <c r="M201"/>
  <c r="M200"/>
  <c r="M199"/>
  <c r="M99"/>
  <c r="M98"/>
  <c r="M97"/>
  <c r="M96"/>
  <c r="M95"/>
  <c r="M94"/>
  <c r="O329" i="6"/>
  <c r="O80"/>
  <c r="O79"/>
  <c r="O78"/>
  <c r="M329"/>
  <c r="M80"/>
  <c r="M79"/>
  <c r="M78"/>
  <c r="O329" i="4"/>
  <c r="O80"/>
  <c r="O79"/>
  <c r="O78"/>
  <c r="M329"/>
  <c r="M80"/>
  <c r="M79"/>
  <c r="M78"/>
  <c r="O59" i="6"/>
  <c r="O58"/>
  <c r="O57"/>
  <c r="O56"/>
  <c r="O55"/>
  <c r="O54"/>
  <c r="M338"/>
  <c r="M59"/>
  <c r="M58"/>
  <c r="M57"/>
  <c r="M56"/>
  <c r="M55"/>
  <c r="M54"/>
  <c r="O338" i="4"/>
  <c r="O59"/>
  <c r="O58"/>
  <c r="O57"/>
  <c r="O56"/>
  <c r="O55"/>
  <c r="O54"/>
  <c r="M338"/>
  <c r="M59"/>
  <c r="M58"/>
  <c r="M57"/>
  <c r="M56"/>
  <c r="M55"/>
  <c r="M54"/>
  <c r="O89" i="6"/>
  <c r="M89"/>
  <c r="O89" i="4"/>
  <c r="M89"/>
  <c r="O278" i="6"/>
  <c r="O277"/>
  <c r="O276"/>
  <c r="M278"/>
  <c r="M277"/>
  <c r="M276"/>
  <c r="O139"/>
  <c r="O138"/>
  <c r="O137"/>
  <c r="M139"/>
  <c r="M138"/>
  <c r="M137"/>
  <c r="O278" i="4"/>
  <c r="O277"/>
  <c r="O276"/>
  <c r="M278"/>
  <c r="M277"/>
  <c r="M276"/>
  <c r="O139"/>
  <c r="O138"/>
  <c r="O137"/>
  <c r="M139"/>
  <c r="M138"/>
  <c r="M137"/>
  <c r="O245" i="6"/>
  <c r="O244"/>
  <c r="O69"/>
  <c r="O68"/>
  <c r="O66"/>
  <c r="O65"/>
  <c r="O64"/>
  <c r="O63"/>
  <c r="O62"/>
  <c r="O61"/>
  <c r="M245"/>
  <c r="M244"/>
  <c r="M191"/>
  <c r="M190"/>
  <c r="M69"/>
  <c r="M68"/>
  <c r="M66"/>
  <c r="M65"/>
  <c r="M64"/>
  <c r="M63"/>
  <c r="M62"/>
  <c r="M61"/>
  <c r="O245" i="4"/>
  <c r="O244"/>
  <c r="O191"/>
  <c r="O190"/>
  <c r="O69"/>
  <c r="O68"/>
  <c r="O66"/>
  <c r="O65"/>
  <c r="O64"/>
  <c r="O63"/>
  <c r="O62"/>
  <c r="O61"/>
  <c r="M245"/>
  <c r="M244"/>
  <c r="M191"/>
  <c r="M190"/>
  <c r="M69"/>
  <c r="M68"/>
  <c r="M66"/>
  <c r="M65"/>
  <c r="M64"/>
  <c r="M63"/>
  <c r="M62"/>
  <c r="M61"/>
  <c r="O301" i="6"/>
  <c r="O300"/>
  <c r="O299"/>
  <c r="O164"/>
  <c r="O163"/>
  <c r="O162"/>
  <c r="O161"/>
  <c r="O160"/>
  <c r="O159"/>
  <c r="O158"/>
  <c r="O157"/>
  <c r="O156"/>
  <c r="O155"/>
  <c r="O154"/>
  <c r="M301"/>
  <c r="M300"/>
  <c r="M299"/>
  <c r="M208"/>
  <c r="M164"/>
  <c r="M163"/>
  <c r="M162"/>
  <c r="M161"/>
  <c r="M160"/>
  <c r="M159"/>
  <c r="M158"/>
  <c r="M157"/>
  <c r="M155"/>
  <c r="M154"/>
  <c r="O301" i="4"/>
  <c r="O300"/>
  <c r="O299"/>
  <c r="O208"/>
  <c r="O164"/>
  <c r="O163"/>
  <c r="O162"/>
  <c r="M301"/>
  <c r="M300"/>
  <c r="M299"/>
  <c r="M208"/>
  <c r="M164"/>
  <c r="M163"/>
  <c r="M162"/>
  <c r="O161"/>
  <c r="M161"/>
  <c r="O160"/>
  <c r="M160"/>
  <c r="O159"/>
  <c r="M159"/>
  <c r="O158"/>
  <c r="M158"/>
  <c r="O157"/>
  <c r="M157"/>
  <c r="O156"/>
  <c r="M156"/>
  <c r="O155"/>
  <c r="M155"/>
  <c r="O154"/>
  <c r="M154"/>
  <c r="T69" i="1"/>
  <c r="S69"/>
  <c r="P191" i="4"/>
  <c r="O191" i="6"/>
  <c r="P204" i="4"/>
  <c r="O204" i="6"/>
  <c r="P206" i="4"/>
  <c r="O206" i="6"/>
  <c r="P344"/>
  <c r="P208" i="4"/>
  <c r="O208" i="6"/>
  <c r="P190" i="4"/>
  <c r="O190" i="6"/>
  <c r="P338" i="4"/>
  <c r="P337" i="6"/>
  <c r="P340"/>
  <c r="N201" i="4"/>
  <c r="M201" i="6"/>
  <c r="N199" i="4"/>
  <c r="M156" i="6"/>
  <c r="P199" i="4"/>
  <c r="O199" i="6"/>
  <c r="P201" i="4"/>
  <c r="O201" i="6"/>
  <c r="L67" i="4"/>
  <c r="Q67" i="6"/>
  <c r="R67"/>
  <c r="Q67" i="4"/>
  <c r="R67"/>
  <c r="L67" i="6"/>
  <c r="R241"/>
  <c r="Q241"/>
  <c r="R241" i="4"/>
  <c r="L69" i="1"/>
  <c r="Q241" i="4"/>
  <c r="L241" i="6"/>
  <c r="L241" i="4"/>
  <c r="U243" i="1"/>
  <c r="L243"/>
  <c r="E283" i="6"/>
  <c r="O207"/>
  <c r="P207"/>
  <c r="M207"/>
  <c r="E283" i="4"/>
  <c r="O207"/>
  <c r="P207"/>
  <c r="M207"/>
  <c r="O38" i="6"/>
  <c r="M231" i="4"/>
  <c r="O41"/>
  <c r="O232"/>
  <c r="O231"/>
  <c r="O38"/>
  <c r="O39"/>
  <c r="O40"/>
  <c r="O37"/>
  <c r="M232"/>
  <c r="M41"/>
  <c r="M38"/>
  <c r="M39"/>
  <c r="M40"/>
  <c r="M37"/>
  <c r="O312" i="6"/>
  <c r="M312"/>
  <c r="O312" i="4"/>
  <c r="O176"/>
  <c r="M312"/>
  <c r="M176"/>
  <c r="U69" i="1"/>
  <c r="M199" i="6"/>
  <c r="P38"/>
  <c r="P312"/>
  <c r="O338"/>
  <c r="P231" i="4"/>
  <c r="P40"/>
  <c r="P176"/>
  <c r="O176" i="6"/>
  <c r="P39" i="4"/>
  <c r="P41"/>
  <c r="P37"/>
  <c r="P232"/>
  <c r="P208" i="6"/>
  <c r="P190"/>
  <c r="N312"/>
  <c r="N39" i="4"/>
  <c r="N38"/>
  <c r="M38" i="6"/>
  <c r="N37" i="4"/>
  <c r="N41"/>
  <c r="M41" i="6"/>
  <c r="N176" i="4"/>
  <c r="N40"/>
  <c r="N232"/>
  <c r="M232" i="6"/>
  <c r="N231" i="4"/>
  <c r="P201" i="6"/>
  <c r="P199"/>
  <c r="U67"/>
  <c r="U241"/>
  <c r="U67" i="4"/>
  <c r="U241"/>
  <c r="M310" i="6"/>
  <c r="P303"/>
  <c r="M256"/>
  <c r="N197"/>
  <c r="M85"/>
  <c r="O304" i="4"/>
  <c r="O305"/>
  <c r="O306"/>
  <c r="O307"/>
  <c r="O308"/>
  <c r="O309"/>
  <c r="O310"/>
  <c r="M304"/>
  <c r="M305"/>
  <c r="M306"/>
  <c r="M307"/>
  <c r="M308"/>
  <c r="M309"/>
  <c r="M310"/>
  <c r="O303"/>
  <c r="M303"/>
  <c r="O256"/>
  <c r="M254"/>
  <c r="M255"/>
  <c r="M256"/>
  <c r="O254"/>
  <c r="O255"/>
  <c r="O253"/>
  <c r="M253"/>
  <c r="O236"/>
  <c r="O167"/>
  <c r="O168"/>
  <c r="O169"/>
  <c r="O170"/>
  <c r="O171"/>
  <c r="O172"/>
  <c r="O173"/>
  <c r="O174"/>
  <c r="O166"/>
  <c r="O83"/>
  <c r="O84"/>
  <c r="O85"/>
  <c r="O82"/>
  <c r="O49"/>
  <c r="M236"/>
  <c r="M167"/>
  <c r="M168"/>
  <c r="M169"/>
  <c r="M170"/>
  <c r="M171"/>
  <c r="M172"/>
  <c r="M173"/>
  <c r="M174"/>
  <c r="M166"/>
  <c r="M83"/>
  <c r="M84"/>
  <c r="M85"/>
  <c r="M82"/>
  <c r="O232" i="6"/>
  <c r="P232"/>
  <c r="M176"/>
  <c r="M39"/>
  <c r="O231"/>
  <c r="O37"/>
  <c r="P37"/>
  <c r="O41"/>
  <c r="P41"/>
  <c r="M37"/>
  <c r="M40"/>
  <c r="P236" i="4"/>
  <c r="P169"/>
  <c r="P174"/>
  <c r="P254"/>
  <c r="P308"/>
  <c r="P173"/>
  <c r="P49"/>
  <c r="P83"/>
  <c r="P172"/>
  <c r="O172" i="6"/>
  <c r="P168" i="4"/>
  <c r="P253"/>
  <c r="O253" i="6"/>
  <c r="P310" i="4"/>
  <c r="P306"/>
  <c r="O39" i="6"/>
  <c r="P176"/>
  <c r="P85" i="4"/>
  <c r="P170"/>
  <c r="O170" i="6"/>
  <c r="P256" i="4"/>
  <c r="O256" i="6"/>
  <c r="P304" i="4"/>
  <c r="P84"/>
  <c r="P82"/>
  <c r="O82" i="6"/>
  <c r="P166" i="4"/>
  <c r="O166" i="6"/>
  <c r="P171" i="4"/>
  <c r="P167"/>
  <c r="P255"/>
  <c r="P309"/>
  <c r="P305"/>
  <c r="O40" i="6"/>
  <c r="M231"/>
  <c r="N310"/>
  <c r="N84" i="4"/>
  <c r="N169"/>
  <c r="N255"/>
  <c r="N307"/>
  <c r="M307" i="6"/>
  <c r="N83" i="4"/>
  <c r="M83" i="6"/>
  <c r="N254" i="4"/>
  <c r="M254" i="6"/>
  <c r="N306" i="4"/>
  <c r="N173"/>
  <c r="M173" i="6"/>
  <c r="N172" i="4"/>
  <c r="M172" i="6"/>
  <c r="N168" i="4"/>
  <c r="M168" i="6"/>
  <c r="N166" i="4"/>
  <c r="M166" i="6"/>
  <c r="N171" i="4"/>
  <c r="N167"/>
  <c r="M167" i="6"/>
  <c r="N309" i="4"/>
  <c r="M309" i="6"/>
  <c r="N305" i="4"/>
  <c r="M305" i="6"/>
  <c r="N174" i="4"/>
  <c r="M174" i="6"/>
  <c r="N170" i="4"/>
  <c r="N236"/>
  <c r="N253"/>
  <c r="N303"/>
  <c r="M303" i="6"/>
  <c r="N308" i="4"/>
  <c r="M308" i="6"/>
  <c r="N304" i="4"/>
  <c r="M304" i="6"/>
  <c r="O197" i="4"/>
  <c r="M197"/>
  <c r="P307"/>
  <c r="O171" i="6"/>
  <c r="P171"/>
  <c r="O84"/>
  <c r="M84"/>
  <c r="M236"/>
  <c r="O308"/>
  <c r="P308"/>
  <c r="M253"/>
  <c r="O254"/>
  <c r="P254"/>
  <c r="O49"/>
  <c r="P49"/>
  <c r="M306"/>
  <c r="O305"/>
  <c r="P305"/>
  <c r="O310"/>
  <c r="P310"/>
  <c r="O169"/>
  <c r="P169"/>
  <c r="O236"/>
  <c r="M170"/>
  <c r="O255"/>
  <c r="P255"/>
  <c r="O304"/>
  <c r="O173"/>
  <c r="P173"/>
  <c r="M169"/>
  <c r="P166"/>
  <c r="P256"/>
  <c r="P40"/>
  <c r="O306"/>
  <c r="P170"/>
  <c r="O83"/>
  <c r="O174"/>
  <c r="M255"/>
  <c r="P39"/>
  <c r="O168"/>
  <c r="O167"/>
  <c r="P253"/>
  <c r="O309"/>
  <c r="N197" i="4"/>
  <c r="O85" i="6"/>
  <c r="P82"/>
  <c r="P172"/>
  <c r="M171"/>
  <c r="P197" i="4"/>
  <c r="O307" i="6"/>
  <c r="P84"/>
  <c r="O197"/>
  <c r="P236"/>
  <c r="M197"/>
  <c r="P304"/>
  <c r="P306"/>
  <c r="P174"/>
  <c r="P167"/>
  <c r="P168"/>
  <c r="P83"/>
  <c r="P307"/>
  <c r="P85"/>
  <c r="P309"/>
  <c r="M49" i="4"/>
  <c r="N316" i="6"/>
  <c r="P197"/>
  <c r="N318"/>
  <c r="N49" i="4"/>
  <c r="M49" i="6"/>
  <c r="O211" i="4"/>
  <c r="O45"/>
  <c r="O279"/>
  <c r="O210"/>
  <c r="O143"/>
  <c r="O44"/>
  <c r="N316"/>
  <c r="N318" i="1"/>
  <c r="N320"/>
  <c r="M318" i="4"/>
  <c r="P279"/>
  <c r="O279" i="6"/>
  <c r="P143" i="4"/>
  <c r="O143" i="6"/>
  <c r="P211" i="4"/>
  <c r="P210"/>
  <c r="O210" i="6"/>
  <c r="P44" i="4"/>
  <c r="P45"/>
  <c r="N320" i="6"/>
  <c r="N322" i="1"/>
  <c r="M316" i="4"/>
  <c r="N318"/>
  <c r="M316" i="6"/>
  <c r="M320" i="4"/>
  <c r="O211" i="6"/>
  <c r="O45"/>
  <c r="O44"/>
  <c r="P44"/>
  <c r="P279"/>
  <c r="N319" i="4"/>
  <c r="P210" i="6"/>
  <c r="P143"/>
  <c r="M318"/>
  <c r="M317"/>
  <c r="M319"/>
  <c r="N320" i="4"/>
  <c r="P260" i="1"/>
  <c r="O258" i="6"/>
  <c r="M258" i="4"/>
  <c r="O92"/>
  <c r="M92"/>
  <c r="O296" i="6"/>
  <c r="O273"/>
  <c r="O263"/>
  <c r="O152"/>
  <c r="O151"/>
  <c r="O128"/>
  <c r="O127"/>
  <c r="O126"/>
  <c r="O122"/>
  <c r="O121"/>
  <c r="O119"/>
  <c r="O118"/>
  <c r="O102"/>
  <c r="M297"/>
  <c r="M296"/>
  <c r="M273"/>
  <c r="M272"/>
  <c r="M263"/>
  <c r="M258"/>
  <c r="M184"/>
  <c r="M183"/>
  <c r="M181"/>
  <c r="M152"/>
  <c r="M151"/>
  <c r="M128"/>
  <c r="M127"/>
  <c r="M126"/>
  <c r="M122"/>
  <c r="M121"/>
  <c r="M119"/>
  <c r="M118"/>
  <c r="M102"/>
  <c r="M92"/>
  <c r="O128" i="4"/>
  <c r="O297"/>
  <c r="O296"/>
  <c r="O273"/>
  <c r="O263"/>
  <c r="O203"/>
  <c r="O181"/>
  <c r="O152"/>
  <c r="O151"/>
  <c r="M297"/>
  <c r="M296"/>
  <c r="M273"/>
  <c r="M272"/>
  <c r="M263"/>
  <c r="M203"/>
  <c r="M181"/>
  <c r="M152"/>
  <c r="M151"/>
  <c r="M128"/>
  <c r="M127"/>
  <c r="O126"/>
  <c r="O122"/>
  <c r="O121"/>
  <c r="O119"/>
  <c r="O118"/>
  <c r="O102"/>
  <c r="M126"/>
  <c r="M122"/>
  <c r="M121"/>
  <c r="M119"/>
  <c r="M118"/>
  <c r="M102"/>
  <c r="O258"/>
  <c r="T260" i="1"/>
  <c r="P211" i="6"/>
  <c r="P45"/>
  <c r="P258"/>
  <c r="P297" i="4"/>
  <c r="M320" i="6"/>
  <c r="N203" i="4"/>
  <c r="P181"/>
  <c r="O92" i="6"/>
  <c r="P203" i="4"/>
  <c r="M203" i="6"/>
  <c r="O272"/>
  <c r="O297"/>
  <c r="P92"/>
  <c r="O181"/>
  <c r="O203"/>
  <c r="N185" i="1"/>
  <c r="O185"/>
  <c r="P185"/>
  <c r="M185"/>
  <c r="N186"/>
  <c r="O186"/>
  <c r="P186"/>
  <c r="M186"/>
  <c r="M183" i="4"/>
  <c r="T185" i="1"/>
  <c r="M184" i="4"/>
  <c r="T186" i="1"/>
  <c r="Q186"/>
  <c r="R186"/>
  <c r="R185"/>
  <c r="Q185"/>
  <c r="P181" i="6"/>
  <c r="O183" i="4"/>
  <c r="O184"/>
  <c r="A128" i="6"/>
  <c r="G127" i="4"/>
  <c r="G127" i="6"/>
  <c r="B127" i="4"/>
  <c r="B127" i="6"/>
  <c r="C127" i="4"/>
  <c r="C127" i="6"/>
  <c r="D127" i="4"/>
  <c r="D127" i="6"/>
  <c r="F127" i="4"/>
  <c r="F127" i="6"/>
  <c r="A127" i="4"/>
  <c r="A127" i="6"/>
  <c r="H129" i="1"/>
  <c r="P129"/>
  <c r="I129"/>
  <c r="R129"/>
  <c r="Q129"/>
  <c r="J129"/>
  <c r="J127" i="4"/>
  <c r="J127" i="6"/>
  <c r="K129" i="1"/>
  <c r="K127" i="4"/>
  <c r="K127" i="6"/>
  <c r="H127" i="4"/>
  <c r="H127" i="6"/>
  <c r="O316" i="4"/>
  <c r="P184"/>
  <c r="P183"/>
  <c r="O127"/>
  <c r="I127"/>
  <c r="I127" i="6"/>
  <c r="L127"/>
  <c r="T129" i="1"/>
  <c r="O184" i="6"/>
  <c r="L129" i="1"/>
  <c r="L127" i="4"/>
  <c r="O183" i="6"/>
  <c r="S129" i="1"/>
  <c r="O320" i="4"/>
  <c r="P316"/>
  <c r="O318"/>
  <c r="L238" i="1"/>
  <c r="P184" i="6"/>
  <c r="P183"/>
  <c r="P318" i="4"/>
  <c r="P320"/>
  <c r="O316" i="6"/>
  <c r="U129" i="1"/>
  <c r="P316" i="6"/>
  <c r="O318"/>
  <c r="N209" i="1"/>
  <c r="T209"/>
  <c r="O209"/>
  <c r="P209"/>
  <c r="M209"/>
  <c r="R209"/>
  <c r="Q209"/>
  <c r="O320" i="6"/>
  <c r="P318"/>
  <c r="O238" i="1"/>
  <c r="O51"/>
  <c r="R51"/>
  <c r="Q51"/>
  <c r="Q238"/>
  <c r="R238"/>
  <c r="P320" i="6"/>
  <c r="N199" i="1"/>
  <c r="O199"/>
  <c r="P199"/>
  <c r="M199"/>
  <c r="O176"/>
  <c r="T199"/>
  <c r="R176"/>
  <c r="Q176"/>
  <c r="Q199"/>
  <c r="P319"/>
  <c r="P320"/>
  <c r="P321"/>
  <c r="P322"/>
  <c r="P323"/>
  <c r="P318"/>
  <c r="T320"/>
  <c r="S320"/>
  <c r="T323"/>
  <c r="S323"/>
  <c r="T319"/>
  <c r="S319"/>
  <c r="S321"/>
  <c r="T321"/>
  <c r="T322"/>
  <c r="S322"/>
  <c r="O317" i="4"/>
  <c r="O319"/>
  <c r="O321"/>
  <c r="P319"/>
  <c r="T319"/>
  <c r="P317"/>
  <c r="H321" i="6"/>
  <c r="L321"/>
  <c r="T320"/>
  <c r="S320"/>
  <c r="R320"/>
  <c r="H320"/>
  <c r="L320"/>
  <c r="H319"/>
  <c r="T318"/>
  <c r="S318"/>
  <c r="R318"/>
  <c r="H318"/>
  <c r="Q318"/>
  <c r="H317"/>
  <c r="T316"/>
  <c r="S316"/>
  <c r="R316"/>
  <c r="H316"/>
  <c r="Q316"/>
  <c r="H321" i="4"/>
  <c r="T320"/>
  <c r="S320"/>
  <c r="R320"/>
  <c r="H320"/>
  <c r="L320"/>
  <c r="R319"/>
  <c r="H319"/>
  <c r="Q319"/>
  <c r="T318"/>
  <c r="S318"/>
  <c r="R318"/>
  <c r="H318"/>
  <c r="Q318"/>
  <c r="R317"/>
  <c r="H317"/>
  <c r="T316"/>
  <c r="S316"/>
  <c r="R316"/>
  <c r="H316"/>
  <c r="L316"/>
  <c r="H326" i="6"/>
  <c r="H356"/>
  <c r="Q317" i="4"/>
  <c r="H326"/>
  <c r="H356"/>
  <c r="P321"/>
  <c r="S319"/>
  <c r="U319"/>
  <c r="R321"/>
  <c r="R322"/>
  <c r="Q321"/>
  <c r="S317"/>
  <c r="T317"/>
  <c r="Q320" i="6"/>
  <c r="U320"/>
  <c r="L317" i="4"/>
  <c r="U316" i="6"/>
  <c r="L316"/>
  <c r="U318"/>
  <c r="L319"/>
  <c r="L318"/>
  <c r="L317"/>
  <c r="U318" i="4"/>
  <c r="L319"/>
  <c r="Q320"/>
  <c r="U320"/>
  <c r="Q316"/>
  <c r="L321"/>
  <c r="L318"/>
  <c r="Q326"/>
  <c r="Q356"/>
  <c r="Q322"/>
  <c r="L326" i="6"/>
  <c r="L356"/>
  <c r="L326" i="4"/>
  <c r="L356"/>
  <c r="R326"/>
  <c r="R356"/>
  <c r="T321"/>
  <c r="T322"/>
  <c r="O317" i="6"/>
  <c r="S321" i="4"/>
  <c r="S322"/>
  <c r="U317"/>
  <c r="U316"/>
  <c r="S326"/>
  <c r="S356"/>
  <c r="T326"/>
  <c r="W326"/>
  <c r="V326" i="6"/>
  <c r="V356"/>
  <c r="Q317"/>
  <c r="R317"/>
  <c r="O319"/>
  <c r="P317"/>
  <c r="U321" i="4"/>
  <c r="U322"/>
  <c r="W356"/>
  <c r="T356"/>
  <c r="U326"/>
  <c r="P319" i="6"/>
  <c r="Q319"/>
  <c r="R319"/>
  <c r="O321"/>
  <c r="S317"/>
  <c r="T317"/>
  <c r="T318" i="1"/>
  <c r="T324"/>
  <c r="T328"/>
  <c r="S318"/>
  <c r="S324"/>
  <c r="R318"/>
  <c r="R324"/>
  <c r="H323"/>
  <c r="Q323"/>
  <c r="U323"/>
  <c r="H322"/>
  <c r="Q322"/>
  <c r="U322"/>
  <c r="H321"/>
  <c r="Q321"/>
  <c r="U321"/>
  <c r="H320"/>
  <c r="H319"/>
  <c r="H318"/>
  <c r="Q318"/>
  <c r="U356" i="4"/>
  <c r="H358" i="1"/>
  <c r="Q319"/>
  <c r="U319"/>
  <c r="L320"/>
  <c r="Q320"/>
  <c r="U320"/>
  <c r="W328"/>
  <c r="T358"/>
  <c r="R328"/>
  <c r="R358"/>
  <c r="S328"/>
  <c r="S358"/>
  <c r="T319" i="6"/>
  <c r="S319"/>
  <c r="U317"/>
  <c r="R321"/>
  <c r="P321"/>
  <c r="Q321"/>
  <c r="L322" i="1"/>
  <c r="L323"/>
  <c r="L321"/>
  <c r="L319"/>
  <c r="U318"/>
  <c r="U324"/>
  <c r="L318"/>
  <c r="Z352" i="6"/>
  <c r="AD352"/>
  <c r="Y352"/>
  <c r="K352"/>
  <c r="T352"/>
  <c r="J352"/>
  <c r="S352"/>
  <c r="I352"/>
  <c r="R352"/>
  <c r="Z351"/>
  <c r="AD351"/>
  <c r="Y351"/>
  <c r="K351"/>
  <c r="T351"/>
  <c r="J351"/>
  <c r="S351"/>
  <c r="I351"/>
  <c r="R351"/>
  <c r="H351"/>
  <c r="Z350"/>
  <c r="AD350"/>
  <c r="Y350"/>
  <c r="K350"/>
  <c r="T350"/>
  <c r="J350"/>
  <c r="S350"/>
  <c r="I350"/>
  <c r="R350"/>
  <c r="H350"/>
  <c r="Q350"/>
  <c r="Z349"/>
  <c r="AD349"/>
  <c r="Y349"/>
  <c r="K349"/>
  <c r="T349"/>
  <c r="J349"/>
  <c r="S349"/>
  <c r="I349"/>
  <c r="R349"/>
  <c r="Z348"/>
  <c r="AD348"/>
  <c r="Y348"/>
  <c r="K348"/>
  <c r="T348"/>
  <c r="J348"/>
  <c r="S348"/>
  <c r="I348"/>
  <c r="R348"/>
  <c r="H348"/>
  <c r="Q348"/>
  <c r="Z347"/>
  <c r="AD347"/>
  <c r="Y347"/>
  <c r="K347"/>
  <c r="T347"/>
  <c r="J347"/>
  <c r="S347"/>
  <c r="I347"/>
  <c r="R347"/>
  <c r="Z346"/>
  <c r="AD346"/>
  <c r="Y346"/>
  <c r="K346"/>
  <c r="T346"/>
  <c r="J346"/>
  <c r="S346"/>
  <c r="I346"/>
  <c r="R346"/>
  <c r="Z345"/>
  <c r="AD345"/>
  <c r="Y345"/>
  <c r="K345"/>
  <c r="T345"/>
  <c r="J345"/>
  <c r="S345"/>
  <c r="I345"/>
  <c r="R345"/>
  <c r="H345"/>
  <c r="Q345"/>
  <c r="Z344"/>
  <c r="AD344"/>
  <c r="Y344"/>
  <c r="K344"/>
  <c r="T344"/>
  <c r="J344"/>
  <c r="S344"/>
  <c r="I344"/>
  <c r="R344"/>
  <c r="Z343"/>
  <c r="AD343"/>
  <c r="Y343"/>
  <c r="K343"/>
  <c r="T343"/>
  <c r="J343"/>
  <c r="S343"/>
  <c r="I343"/>
  <c r="R343"/>
  <c r="H343"/>
  <c r="Z342"/>
  <c r="AD342"/>
  <c r="Y342"/>
  <c r="K342"/>
  <c r="T342"/>
  <c r="J342"/>
  <c r="S342"/>
  <c r="I342"/>
  <c r="R342"/>
  <c r="H342"/>
  <c r="Q342"/>
  <c r="Z341"/>
  <c r="AD341"/>
  <c r="Y341"/>
  <c r="K341"/>
  <c r="T341"/>
  <c r="J341"/>
  <c r="S341"/>
  <c r="I341"/>
  <c r="R341"/>
  <c r="Z340"/>
  <c r="AD340"/>
  <c r="Y340"/>
  <c r="K340"/>
  <c r="T340"/>
  <c r="J340"/>
  <c r="S340"/>
  <c r="I340"/>
  <c r="R340"/>
  <c r="Z339"/>
  <c r="AD339"/>
  <c r="Y339"/>
  <c r="K339"/>
  <c r="T339"/>
  <c r="J339"/>
  <c r="S339"/>
  <c r="I339"/>
  <c r="R339"/>
  <c r="Z338"/>
  <c r="AD338"/>
  <c r="Y338"/>
  <c r="K338"/>
  <c r="T338"/>
  <c r="J338"/>
  <c r="S338"/>
  <c r="I338"/>
  <c r="R338"/>
  <c r="H338"/>
  <c r="Q338"/>
  <c r="Z337"/>
  <c r="AD337"/>
  <c r="Y337"/>
  <c r="K337"/>
  <c r="T337"/>
  <c r="J337"/>
  <c r="S337"/>
  <c r="I337"/>
  <c r="R337"/>
  <c r="H337"/>
  <c r="Q337"/>
  <c r="Z336"/>
  <c r="AD336"/>
  <c r="Y336"/>
  <c r="K336"/>
  <c r="T336"/>
  <c r="J336"/>
  <c r="S336"/>
  <c r="H336"/>
  <c r="Q336"/>
  <c r="Z335"/>
  <c r="AD335"/>
  <c r="Y335"/>
  <c r="K335"/>
  <c r="T335"/>
  <c r="J335"/>
  <c r="S335"/>
  <c r="I335"/>
  <c r="R335"/>
  <c r="H335"/>
  <c r="Z334"/>
  <c r="AD334"/>
  <c r="Y334"/>
  <c r="K334"/>
  <c r="T334"/>
  <c r="J334"/>
  <c r="S334"/>
  <c r="I334"/>
  <c r="R334"/>
  <c r="H334"/>
  <c r="Q334"/>
  <c r="Z333"/>
  <c r="AD333"/>
  <c r="Y333"/>
  <c r="K333"/>
  <c r="T333"/>
  <c r="J333"/>
  <c r="S333"/>
  <c r="I333"/>
  <c r="R333"/>
  <c r="H333"/>
  <c r="Z332"/>
  <c r="AD332"/>
  <c r="Y332"/>
  <c r="K332"/>
  <c r="T332"/>
  <c r="J332"/>
  <c r="S332"/>
  <c r="H332"/>
  <c r="Q332"/>
  <c r="Z331"/>
  <c r="AD331"/>
  <c r="Y331"/>
  <c r="K331"/>
  <c r="T331"/>
  <c r="J331"/>
  <c r="S331"/>
  <c r="H331"/>
  <c r="Z330"/>
  <c r="AD330"/>
  <c r="Y330"/>
  <c r="K330"/>
  <c r="T330"/>
  <c r="J330"/>
  <c r="S330"/>
  <c r="I330"/>
  <c r="R330"/>
  <c r="Z329"/>
  <c r="AD329"/>
  <c r="Y329"/>
  <c r="K329"/>
  <c r="J329"/>
  <c r="I329"/>
  <c r="H329"/>
  <c r="Z328"/>
  <c r="AD328"/>
  <c r="Y328"/>
  <c r="Z312"/>
  <c r="AD312"/>
  <c r="Y312"/>
  <c r="K312"/>
  <c r="T312"/>
  <c r="J312"/>
  <c r="S312"/>
  <c r="I312"/>
  <c r="R312"/>
  <c r="H312"/>
  <c r="Q312"/>
  <c r="Z311"/>
  <c r="AD311"/>
  <c r="Y311"/>
  <c r="Z310"/>
  <c r="AD310"/>
  <c r="Y310"/>
  <c r="K310"/>
  <c r="T310"/>
  <c r="J310"/>
  <c r="S310"/>
  <c r="I310"/>
  <c r="R310"/>
  <c r="H310"/>
  <c r="Q310"/>
  <c r="Z309"/>
  <c r="AD309"/>
  <c r="Y309"/>
  <c r="K309"/>
  <c r="T309"/>
  <c r="J309"/>
  <c r="S309"/>
  <c r="I309"/>
  <c r="R309"/>
  <c r="H309"/>
  <c r="Q309"/>
  <c r="Z308"/>
  <c r="AD308"/>
  <c r="Y308"/>
  <c r="K308"/>
  <c r="T308"/>
  <c r="J308"/>
  <c r="S308"/>
  <c r="I308"/>
  <c r="R308"/>
  <c r="Z307"/>
  <c r="AD307"/>
  <c r="Y307"/>
  <c r="K307"/>
  <c r="T307"/>
  <c r="J307"/>
  <c r="S307"/>
  <c r="I307"/>
  <c r="R307"/>
  <c r="H307"/>
  <c r="Z306"/>
  <c r="AD306"/>
  <c r="Y306"/>
  <c r="K306"/>
  <c r="T306"/>
  <c r="J306"/>
  <c r="S306"/>
  <c r="I306"/>
  <c r="R306"/>
  <c r="H306"/>
  <c r="Q306"/>
  <c r="Z305"/>
  <c r="AD305"/>
  <c r="Y305"/>
  <c r="K305"/>
  <c r="T305"/>
  <c r="J305"/>
  <c r="S305"/>
  <c r="I305"/>
  <c r="R305"/>
  <c r="H305"/>
  <c r="Q305"/>
  <c r="Z304"/>
  <c r="AD304"/>
  <c r="Y304"/>
  <c r="K304"/>
  <c r="T304"/>
  <c r="J304"/>
  <c r="S304"/>
  <c r="I304"/>
  <c r="R304"/>
  <c r="H304"/>
  <c r="Q304"/>
  <c r="Z303"/>
  <c r="AD303"/>
  <c r="Y303"/>
  <c r="K303"/>
  <c r="T303"/>
  <c r="J303"/>
  <c r="S303"/>
  <c r="I303"/>
  <c r="R303"/>
  <c r="H303"/>
  <c r="Z302"/>
  <c r="AD302"/>
  <c r="Y302"/>
  <c r="Z301"/>
  <c r="AD301"/>
  <c r="Y301"/>
  <c r="K301"/>
  <c r="T301"/>
  <c r="J301"/>
  <c r="S301"/>
  <c r="I301"/>
  <c r="R301"/>
  <c r="H301"/>
  <c r="Z300"/>
  <c r="AD300"/>
  <c r="Y300"/>
  <c r="K300"/>
  <c r="T300"/>
  <c r="J300"/>
  <c r="S300"/>
  <c r="I300"/>
  <c r="R300"/>
  <c r="H300"/>
  <c r="Z299"/>
  <c r="AD299"/>
  <c r="Y299"/>
  <c r="K299"/>
  <c r="T299"/>
  <c r="J299"/>
  <c r="S299"/>
  <c r="I299"/>
  <c r="R299"/>
  <c r="H299"/>
  <c r="Z298"/>
  <c r="AD298"/>
  <c r="Y298"/>
  <c r="Z297"/>
  <c r="AD297"/>
  <c r="Y297"/>
  <c r="T297"/>
  <c r="S297"/>
  <c r="R297"/>
  <c r="Z296"/>
  <c r="AD296"/>
  <c r="Y296"/>
  <c r="K296"/>
  <c r="T296"/>
  <c r="J296"/>
  <c r="S296"/>
  <c r="I296"/>
  <c r="R296"/>
  <c r="H296"/>
  <c r="Z295"/>
  <c r="AD295"/>
  <c r="Y295"/>
  <c r="Z294"/>
  <c r="AD294"/>
  <c r="Y294"/>
  <c r="K294"/>
  <c r="T294"/>
  <c r="J294"/>
  <c r="S294"/>
  <c r="I294"/>
  <c r="R294"/>
  <c r="H294"/>
  <c r="Z293"/>
  <c r="AD293"/>
  <c r="Y293"/>
  <c r="K293"/>
  <c r="T293"/>
  <c r="J293"/>
  <c r="S293"/>
  <c r="Z292"/>
  <c r="AD292"/>
  <c r="Y292"/>
  <c r="K292"/>
  <c r="T292"/>
  <c r="J292"/>
  <c r="S292"/>
  <c r="I292"/>
  <c r="R292"/>
  <c r="H292"/>
  <c r="Q292"/>
  <c r="Z291"/>
  <c r="AD291"/>
  <c r="Y291"/>
  <c r="K291"/>
  <c r="T291"/>
  <c r="J291"/>
  <c r="S291"/>
  <c r="I291"/>
  <c r="R291"/>
  <c r="H291"/>
  <c r="Q291"/>
  <c r="Z290"/>
  <c r="AD290"/>
  <c r="Y290"/>
  <c r="K290"/>
  <c r="T290"/>
  <c r="J290"/>
  <c r="S290"/>
  <c r="I290"/>
  <c r="R290"/>
  <c r="H290"/>
  <c r="Z289"/>
  <c r="AD289"/>
  <c r="Y289"/>
  <c r="K289"/>
  <c r="T289"/>
  <c r="J289"/>
  <c r="S289"/>
  <c r="I289"/>
  <c r="R289"/>
  <c r="H289"/>
  <c r="Q289"/>
  <c r="Z288"/>
  <c r="AD288"/>
  <c r="Y288"/>
  <c r="K288"/>
  <c r="T288"/>
  <c r="J288"/>
  <c r="S288"/>
  <c r="I288"/>
  <c r="R288"/>
  <c r="H288"/>
  <c r="Q288"/>
  <c r="Z287"/>
  <c r="AD287"/>
  <c r="Y287"/>
  <c r="K287"/>
  <c r="T287"/>
  <c r="J287"/>
  <c r="S287"/>
  <c r="I287"/>
  <c r="R287"/>
  <c r="H287"/>
  <c r="Q287"/>
  <c r="Z286"/>
  <c r="AD286"/>
  <c r="Y286"/>
  <c r="K286"/>
  <c r="T286"/>
  <c r="J286"/>
  <c r="S286"/>
  <c r="I286"/>
  <c r="R286"/>
  <c r="H286"/>
  <c r="Z285"/>
  <c r="AD285"/>
  <c r="Y285"/>
  <c r="K285"/>
  <c r="T285"/>
  <c r="J285"/>
  <c r="S285"/>
  <c r="I285"/>
  <c r="R285"/>
  <c r="H285"/>
  <c r="Q285"/>
  <c r="Z283"/>
  <c r="AD283"/>
  <c r="Y283"/>
  <c r="K283"/>
  <c r="T283"/>
  <c r="J283"/>
  <c r="S283"/>
  <c r="I283"/>
  <c r="R283"/>
  <c r="H283"/>
  <c r="Z282"/>
  <c r="AD282"/>
  <c r="Y282"/>
  <c r="K282"/>
  <c r="T282"/>
  <c r="J282"/>
  <c r="S282"/>
  <c r="I282"/>
  <c r="R282"/>
  <c r="H282"/>
  <c r="Q282"/>
  <c r="Z281"/>
  <c r="AD281"/>
  <c r="Y281"/>
  <c r="K281"/>
  <c r="T281"/>
  <c r="J281"/>
  <c r="S281"/>
  <c r="I281"/>
  <c r="R281"/>
  <c r="H281"/>
  <c r="Q281"/>
  <c r="Z280"/>
  <c r="AD280"/>
  <c r="Y280"/>
  <c r="K280"/>
  <c r="T280"/>
  <c r="J280"/>
  <c r="S280"/>
  <c r="I280"/>
  <c r="R280"/>
  <c r="H280"/>
  <c r="Q280"/>
  <c r="K279"/>
  <c r="T279"/>
  <c r="J279"/>
  <c r="S279"/>
  <c r="I279"/>
  <c r="R279"/>
  <c r="H279"/>
  <c r="Q279"/>
  <c r="Z278"/>
  <c r="AD278"/>
  <c r="Y278"/>
  <c r="K278"/>
  <c r="T278"/>
  <c r="J278"/>
  <c r="S278"/>
  <c r="I278"/>
  <c r="R278"/>
  <c r="H278"/>
  <c r="Q278"/>
  <c r="Z277"/>
  <c r="AD277"/>
  <c r="Y277"/>
  <c r="K277"/>
  <c r="T277"/>
  <c r="J277"/>
  <c r="S277"/>
  <c r="I277"/>
  <c r="R277"/>
  <c r="H277"/>
  <c r="Q277"/>
  <c r="Z276"/>
  <c r="AD276"/>
  <c r="Y276"/>
  <c r="K276"/>
  <c r="T276"/>
  <c r="J276"/>
  <c r="S276"/>
  <c r="I276"/>
  <c r="R276"/>
  <c r="H276"/>
  <c r="Z275"/>
  <c r="AD275"/>
  <c r="Y275"/>
  <c r="Z274"/>
  <c r="AD274"/>
  <c r="Y274"/>
  <c r="K274"/>
  <c r="T274"/>
  <c r="J274"/>
  <c r="S274"/>
  <c r="I274"/>
  <c r="R274"/>
  <c r="H274"/>
  <c r="Z273"/>
  <c r="AD273"/>
  <c r="Y273"/>
  <c r="K273"/>
  <c r="T273"/>
  <c r="J273"/>
  <c r="S273"/>
  <c r="I273"/>
  <c r="R273"/>
  <c r="H273"/>
  <c r="Q273"/>
  <c r="Z272"/>
  <c r="AD272"/>
  <c r="Y272"/>
  <c r="T272"/>
  <c r="S272"/>
  <c r="R272"/>
  <c r="D272"/>
  <c r="C272"/>
  <c r="A272"/>
  <c r="Z271"/>
  <c r="AD271"/>
  <c r="Y271"/>
  <c r="K271"/>
  <c r="T271"/>
  <c r="J271"/>
  <c r="S271"/>
  <c r="H271"/>
  <c r="Z270"/>
  <c r="AD270"/>
  <c r="Y270"/>
  <c r="K270"/>
  <c r="T270"/>
  <c r="J270"/>
  <c r="S270"/>
  <c r="I270"/>
  <c r="R270"/>
  <c r="H270"/>
  <c r="Z269"/>
  <c r="AD269"/>
  <c r="Y269"/>
  <c r="Z268"/>
  <c r="AD268"/>
  <c r="Y268"/>
  <c r="K268"/>
  <c r="T268"/>
  <c r="J268"/>
  <c r="S268"/>
  <c r="H268"/>
  <c r="Z267"/>
  <c r="AD267"/>
  <c r="Y267"/>
  <c r="K267"/>
  <c r="T267"/>
  <c r="J267"/>
  <c r="S267"/>
  <c r="I267"/>
  <c r="R267"/>
  <c r="H267"/>
  <c r="Z266"/>
  <c r="AD266"/>
  <c r="Y266"/>
  <c r="K266"/>
  <c r="T266"/>
  <c r="J266"/>
  <c r="S266"/>
  <c r="I266"/>
  <c r="R266"/>
  <c r="Z265"/>
  <c r="AD265"/>
  <c r="Y265"/>
  <c r="K265"/>
  <c r="T265"/>
  <c r="J265"/>
  <c r="S265"/>
  <c r="I265"/>
  <c r="R265"/>
  <c r="Z264"/>
  <c r="AD264"/>
  <c r="Y264"/>
  <c r="Z263"/>
  <c r="AD263"/>
  <c r="Y263"/>
  <c r="K263"/>
  <c r="T263"/>
  <c r="J263"/>
  <c r="S263"/>
  <c r="I263"/>
  <c r="R263"/>
  <c r="H263"/>
  <c r="Z262"/>
  <c r="AD262"/>
  <c r="Y262"/>
  <c r="K262"/>
  <c r="T262"/>
  <c r="J262"/>
  <c r="S262"/>
  <c r="I262"/>
  <c r="R262"/>
  <c r="Z261"/>
  <c r="AD261"/>
  <c r="Y261"/>
  <c r="Z260"/>
  <c r="AD260"/>
  <c r="Y260"/>
  <c r="K260"/>
  <c r="T260"/>
  <c r="J260"/>
  <c r="S260"/>
  <c r="I260"/>
  <c r="R260"/>
  <c r="Z259"/>
  <c r="AD259"/>
  <c r="Y259"/>
  <c r="Z258"/>
  <c r="AD258"/>
  <c r="Y258"/>
  <c r="T258"/>
  <c r="S258"/>
  <c r="R258"/>
  <c r="Z257"/>
  <c r="AD257"/>
  <c r="Y257"/>
  <c r="Z256"/>
  <c r="AD256"/>
  <c r="Y256"/>
  <c r="K256"/>
  <c r="T256"/>
  <c r="J256"/>
  <c r="S256"/>
  <c r="I256"/>
  <c r="R256"/>
  <c r="H256"/>
  <c r="Z255"/>
  <c r="AD255"/>
  <c r="Y255"/>
  <c r="K255"/>
  <c r="T255"/>
  <c r="J255"/>
  <c r="S255"/>
  <c r="I255"/>
  <c r="R255"/>
  <c r="H255"/>
  <c r="Q255"/>
  <c r="Z254"/>
  <c r="AD254"/>
  <c r="Y254"/>
  <c r="K254"/>
  <c r="T254"/>
  <c r="J254"/>
  <c r="S254"/>
  <c r="H254"/>
  <c r="Q254"/>
  <c r="Z253"/>
  <c r="AD253"/>
  <c r="Y253"/>
  <c r="K253"/>
  <c r="T253"/>
  <c r="J253"/>
  <c r="S253"/>
  <c r="I253"/>
  <c r="R253"/>
  <c r="Z252"/>
  <c r="AD252"/>
  <c r="Y252"/>
  <c r="Z251"/>
  <c r="AD251"/>
  <c r="Y251"/>
  <c r="K251"/>
  <c r="T251"/>
  <c r="J251"/>
  <c r="S251"/>
  <c r="I251"/>
  <c r="R251"/>
  <c r="H251"/>
  <c r="Z250"/>
  <c r="AD250"/>
  <c r="Y250"/>
  <c r="K250"/>
  <c r="T250"/>
  <c r="J250"/>
  <c r="S250"/>
  <c r="I250"/>
  <c r="R250"/>
  <c r="H250"/>
  <c r="Z249"/>
  <c r="AD249"/>
  <c r="Y249"/>
  <c r="K249"/>
  <c r="T249"/>
  <c r="J249"/>
  <c r="S249"/>
  <c r="I249"/>
  <c r="R249"/>
  <c r="H249"/>
  <c r="Q249"/>
  <c r="Z248"/>
  <c r="AD248"/>
  <c r="Y248"/>
  <c r="K248"/>
  <c r="T248"/>
  <c r="J248"/>
  <c r="S248"/>
  <c r="I248"/>
  <c r="R248"/>
  <c r="H248"/>
  <c r="Q248"/>
  <c r="Z247"/>
  <c r="AD247"/>
  <c r="Y247"/>
  <c r="K247"/>
  <c r="T247"/>
  <c r="J247"/>
  <c r="S247"/>
  <c r="I247"/>
  <c r="R247"/>
  <c r="H247"/>
  <c r="Q247"/>
  <c r="Z246"/>
  <c r="AD246"/>
  <c r="Y246"/>
  <c r="K245"/>
  <c r="T245"/>
  <c r="J245"/>
  <c r="S245"/>
  <c r="I245"/>
  <c r="R245"/>
  <c r="H245"/>
  <c r="Q245"/>
  <c r="Z244"/>
  <c r="AD244"/>
  <c r="Y244"/>
  <c r="K244"/>
  <c r="T244"/>
  <c r="J244"/>
  <c r="S244"/>
  <c r="H244"/>
  <c r="Z243"/>
  <c r="AD243"/>
  <c r="Y243"/>
  <c r="K243"/>
  <c r="T243"/>
  <c r="J243"/>
  <c r="S243"/>
  <c r="I243"/>
  <c r="R243"/>
  <c r="H243"/>
  <c r="Q243"/>
  <c r="Z240"/>
  <c r="AD240"/>
  <c r="Y240"/>
  <c r="Z239"/>
  <c r="AD239"/>
  <c r="Y239"/>
  <c r="K239"/>
  <c r="T239"/>
  <c r="J239"/>
  <c r="S239"/>
  <c r="I239"/>
  <c r="R239"/>
  <c r="H239"/>
  <c r="Q239"/>
  <c r="Z238"/>
  <c r="AD238"/>
  <c r="Y238"/>
  <c r="K238"/>
  <c r="T238"/>
  <c r="J238"/>
  <c r="S238"/>
  <c r="I238"/>
  <c r="R238"/>
  <c r="H238"/>
  <c r="Z237"/>
  <c r="AD237"/>
  <c r="Y237"/>
  <c r="Z236"/>
  <c r="AD236"/>
  <c r="Y236"/>
  <c r="K236"/>
  <c r="T236"/>
  <c r="J236"/>
  <c r="S236"/>
  <c r="I236"/>
  <c r="R236"/>
  <c r="H236"/>
  <c r="Z235"/>
  <c r="AD235"/>
  <c r="Y235"/>
  <c r="Z234"/>
  <c r="AD234"/>
  <c r="Y234"/>
  <c r="K234"/>
  <c r="T234"/>
  <c r="J234"/>
  <c r="S234"/>
  <c r="I234"/>
  <c r="R234"/>
  <c r="H234"/>
  <c r="Z233"/>
  <c r="AD233"/>
  <c r="Y233"/>
  <c r="Z232"/>
  <c r="AD232"/>
  <c r="Y232"/>
  <c r="K232"/>
  <c r="T232"/>
  <c r="J232"/>
  <c r="S232"/>
  <c r="I232"/>
  <c r="R232"/>
  <c r="H232"/>
  <c r="Z231"/>
  <c r="AD231"/>
  <c r="Y231"/>
  <c r="K231"/>
  <c r="T231"/>
  <c r="J231"/>
  <c r="S231"/>
  <c r="I231"/>
  <c r="R231"/>
  <c r="H231"/>
  <c r="Q231"/>
  <c r="Z230"/>
  <c r="AD230"/>
  <c r="Y230"/>
  <c r="Z229"/>
  <c r="AD229"/>
  <c r="Y229"/>
  <c r="K229"/>
  <c r="T229"/>
  <c r="J229"/>
  <c r="S229"/>
  <c r="I229"/>
  <c r="R229"/>
  <c r="H229"/>
  <c r="Q229"/>
  <c r="Z228"/>
  <c r="AD228"/>
  <c r="Y228"/>
  <c r="K228"/>
  <c r="T228"/>
  <c r="J228"/>
  <c r="S228"/>
  <c r="I228"/>
  <c r="R228"/>
  <c r="H228"/>
  <c r="Z227"/>
  <c r="AD227"/>
  <c r="Y227"/>
  <c r="K227"/>
  <c r="T227"/>
  <c r="J227"/>
  <c r="S227"/>
  <c r="I227"/>
  <c r="R227"/>
  <c r="H227"/>
  <c r="Q227"/>
  <c r="Z226"/>
  <c r="AD226"/>
  <c r="Y226"/>
  <c r="Z225"/>
  <c r="AD225"/>
  <c r="Y225"/>
  <c r="K225"/>
  <c r="T225"/>
  <c r="J225"/>
  <c r="S225"/>
  <c r="I225"/>
  <c r="R225"/>
  <c r="H225"/>
  <c r="Q225"/>
  <c r="Z224"/>
  <c r="AD224"/>
  <c r="Y224"/>
  <c r="Z223"/>
  <c r="AD223"/>
  <c r="Y223"/>
  <c r="K223"/>
  <c r="T223"/>
  <c r="J223"/>
  <c r="S223"/>
  <c r="I223"/>
  <c r="R223"/>
  <c r="H223"/>
  <c r="Q223"/>
  <c r="Z222"/>
  <c r="AD222"/>
  <c r="Y222"/>
  <c r="K222"/>
  <c r="T222"/>
  <c r="J222"/>
  <c r="S222"/>
  <c r="I222"/>
  <c r="R222"/>
  <c r="H222"/>
  <c r="Z221"/>
  <c r="AD221"/>
  <c r="Y221"/>
  <c r="K221"/>
  <c r="T221"/>
  <c r="J221"/>
  <c r="S221"/>
  <c r="I221"/>
  <c r="R221"/>
  <c r="H221"/>
  <c r="Q221"/>
  <c r="Z220"/>
  <c r="AD220"/>
  <c r="Y220"/>
  <c r="K220"/>
  <c r="T220"/>
  <c r="J220"/>
  <c r="S220"/>
  <c r="I220"/>
  <c r="R220"/>
  <c r="H220"/>
  <c r="Z219"/>
  <c r="AD219"/>
  <c r="Y219"/>
  <c r="K219"/>
  <c r="T219"/>
  <c r="J219"/>
  <c r="S219"/>
  <c r="I219"/>
  <c r="R219"/>
  <c r="H219"/>
  <c r="Q219"/>
  <c r="Z218"/>
  <c r="AD218"/>
  <c r="Y218"/>
  <c r="K218"/>
  <c r="T218"/>
  <c r="J218"/>
  <c r="S218"/>
  <c r="I218"/>
  <c r="R218"/>
  <c r="H218"/>
  <c r="Z217"/>
  <c r="AD217"/>
  <c r="Y217"/>
  <c r="K217"/>
  <c r="T217"/>
  <c r="J217"/>
  <c r="S217"/>
  <c r="I217"/>
  <c r="R217"/>
  <c r="H217"/>
  <c r="Q217"/>
  <c r="Z216"/>
  <c r="AD216"/>
  <c r="Y216"/>
  <c r="K216"/>
  <c r="T216"/>
  <c r="J216"/>
  <c r="S216"/>
  <c r="I216"/>
  <c r="R216"/>
  <c r="H216"/>
  <c r="Z215"/>
  <c r="AD215"/>
  <c r="Y215"/>
  <c r="K215"/>
  <c r="T215"/>
  <c r="J215"/>
  <c r="S215"/>
  <c r="I215"/>
  <c r="R215"/>
  <c r="H215"/>
  <c r="Q215"/>
  <c r="Z214"/>
  <c r="AD214"/>
  <c r="Y214"/>
  <c r="K214"/>
  <c r="T214"/>
  <c r="J214"/>
  <c r="S214"/>
  <c r="I214"/>
  <c r="R214"/>
  <c r="K213"/>
  <c r="T213"/>
  <c r="J213"/>
  <c r="S213"/>
  <c r="I213"/>
  <c r="R213"/>
  <c r="H213"/>
  <c r="Q213"/>
  <c r="Z212"/>
  <c r="AD212"/>
  <c r="Y212"/>
  <c r="Z211"/>
  <c r="AD211"/>
  <c r="Y211"/>
  <c r="K211"/>
  <c r="T211"/>
  <c r="J211"/>
  <c r="S211"/>
  <c r="I211"/>
  <c r="R211"/>
  <c r="Z210"/>
  <c r="AD210"/>
  <c r="Y210"/>
  <c r="K210"/>
  <c r="T210"/>
  <c r="J210"/>
  <c r="S210"/>
  <c r="H210"/>
  <c r="Q210"/>
  <c r="Z209"/>
  <c r="AD209"/>
  <c r="Y209"/>
  <c r="Z208"/>
  <c r="AD208"/>
  <c r="Y208"/>
  <c r="K208"/>
  <c r="T208"/>
  <c r="J208"/>
  <c r="S208"/>
  <c r="I208"/>
  <c r="R208"/>
  <c r="H208"/>
  <c r="Q208"/>
  <c r="Z207"/>
  <c r="AD207"/>
  <c r="Y207"/>
  <c r="K207"/>
  <c r="T207"/>
  <c r="J207"/>
  <c r="S207"/>
  <c r="I207"/>
  <c r="R207"/>
  <c r="H207"/>
  <c r="Z206"/>
  <c r="AD206"/>
  <c r="Y206"/>
  <c r="K206"/>
  <c r="T206"/>
  <c r="J206"/>
  <c r="S206"/>
  <c r="H206"/>
  <c r="Q206"/>
  <c r="Z205"/>
  <c r="AD205"/>
  <c r="Y205"/>
  <c r="Z204"/>
  <c r="AD204"/>
  <c r="Y204"/>
  <c r="K204"/>
  <c r="T204"/>
  <c r="J204"/>
  <c r="S204"/>
  <c r="I204"/>
  <c r="R204"/>
  <c r="H204"/>
  <c r="Q204"/>
  <c r="Z203"/>
  <c r="AD203"/>
  <c r="Y203"/>
  <c r="K203"/>
  <c r="T203"/>
  <c r="J203"/>
  <c r="S203"/>
  <c r="I203"/>
  <c r="R203"/>
  <c r="H203"/>
  <c r="Z202"/>
  <c r="AD202"/>
  <c r="Y202"/>
  <c r="Z201"/>
  <c r="AD201"/>
  <c r="Y201"/>
  <c r="K201"/>
  <c r="T201"/>
  <c r="J201"/>
  <c r="S201"/>
  <c r="I201"/>
  <c r="R201"/>
  <c r="H201"/>
  <c r="Z200"/>
  <c r="AD200"/>
  <c r="Y200"/>
  <c r="K200"/>
  <c r="T200"/>
  <c r="J200"/>
  <c r="S200"/>
  <c r="I200"/>
  <c r="R200"/>
  <c r="H200"/>
  <c r="Q200"/>
  <c r="Z199"/>
  <c r="AD199"/>
  <c r="Y199"/>
  <c r="K199"/>
  <c r="T199"/>
  <c r="J199"/>
  <c r="S199"/>
  <c r="H199"/>
  <c r="Z198"/>
  <c r="AD198"/>
  <c r="Y198"/>
  <c r="Z197"/>
  <c r="AD197"/>
  <c r="Y197"/>
  <c r="K197"/>
  <c r="T197"/>
  <c r="J197"/>
  <c r="S197"/>
  <c r="H197"/>
  <c r="Z196"/>
  <c r="AD196"/>
  <c r="Y196"/>
  <c r="Z195"/>
  <c r="AD195"/>
  <c r="Y195"/>
  <c r="K195"/>
  <c r="T195"/>
  <c r="J195"/>
  <c r="S195"/>
  <c r="I195"/>
  <c r="R195"/>
  <c r="H195"/>
  <c r="Z194"/>
  <c r="AD194"/>
  <c r="Y194"/>
  <c r="K194"/>
  <c r="T194"/>
  <c r="J194"/>
  <c r="S194"/>
  <c r="I194"/>
  <c r="R194"/>
  <c r="H194"/>
  <c r="Q194"/>
  <c r="Z193"/>
  <c r="AD193"/>
  <c r="Y193"/>
  <c r="K193"/>
  <c r="T193"/>
  <c r="J193"/>
  <c r="S193"/>
  <c r="I193"/>
  <c r="R193"/>
  <c r="H193"/>
  <c r="Q193"/>
  <c r="Z192"/>
  <c r="AD192"/>
  <c r="Y192"/>
  <c r="Z191"/>
  <c r="AD191"/>
  <c r="Y191"/>
  <c r="K191"/>
  <c r="T191"/>
  <c r="J191"/>
  <c r="S191"/>
  <c r="I191"/>
  <c r="R191"/>
  <c r="Z189"/>
  <c r="AD189"/>
  <c r="Y189"/>
  <c r="Z188"/>
  <c r="AD188"/>
  <c r="Y188"/>
  <c r="K188"/>
  <c r="T188"/>
  <c r="J188"/>
  <c r="S188"/>
  <c r="I188"/>
  <c r="R188"/>
  <c r="H188"/>
  <c r="Z187"/>
  <c r="AD187"/>
  <c r="Y187"/>
  <c r="K187"/>
  <c r="T187"/>
  <c r="J187"/>
  <c r="S187"/>
  <c r="I187"/>
  <c r="R187"/>
  <c r="H187"/>
  <c r="Q187"/>
  <c r="Z186"/>
  <c r="AD186"/>
  <c r="Y186"/>
  <c r="K186"/>
  <c r="T186"/>
  <c r="J186"/>
  <c r="S186"/>
  <c r="I186"/>
  <c r="R186"/>
  <c r="H186"/>
  <c r="Q186"/>
  <c r="Z185"/>
  <c r="AD185"/>
  <c r="Y185"/>
  <c r="K184"/>
  <c r="T184"/>
  <c r="J184"/>
  <c r="S184"/>
  <c r="I184"/>
  <c r="R184"/>
  <c r="H184"/>
  <c r="Q184"/>
  <c r="Z183"/>
  <c r="AD183"/>
  <c r="Y183"/>
  <c r="K183"/>
  <c r="T183"/>
  <c r="J183"/>
  <c r="S183"/>
  <c r="I183"/>
  <c r="R183"/>
  <c r="H183"/>
  <c r="Z182"/>
  <c r="AD182"/>
  <c r="Y182"/>
  <c r="Z181"/>
  <c r="AD181"/>
  <c r="Y181"/>
  <c r="K181"/>
  <c r="T181"/>
  <c r="J181"/>
  <c r="S181"/>
  <c r="I181"/>
  <c r="R181"/>
  <c r="H181"/>
  <c r="Z180"/>
  <c r="AD180"/>
  <c r="Y180"/>
  <c r="Z179"/>
  <c r="AD179"/>
  <c r="Y179"/>
  <c r="K179"/>
  <c r="T179"/>
  <c r="J179"/>
  <c r="S179"/>
  <c r="I179"/>
  <c r="R179"/>
  <c r="H179"/>
  <c r="Z178"/>
  <c r="AD178"/>
  <c r="Y178"/>
  <c r="K178"/>
  <c r="T178"/>
  <c r="J178"/>
  <c r="S178"/>
  <c r="I178"/>
  <c r="R178"/>
  <c r="H178"/>
  <c r="Q178"/>
  <c r="Z177"/>
  <c r="AD177"/>
  <c r="Y177"/>
  <c r="Z176"/>
  <c r="AD176"/>
  <c r="Y176"/>
  <c r="K176"/>
  <c r="T176"/>
  <c r="J176"/>
  <c r="S176"/>
  <c r="I176"/>
  <c r="R176"/>
  <c r="H176"/>
  <c r="Q176"/>
  <c r="Z175"/>
  <c r="AD175"/>
  <c r="Y175"/>
  <c r="Z174"/>
  <c r="AD174"/>
  <c r="Y174"/>
  <c r="K174"/>
  <c r="T174"/>
  <c r="J174"/>
  <c r="S174"/>
  <c r="I174"/>
  <c r="R174"/>
  <c r="H174"/>
  <c r="Z173"/>
  <c r="AD173"/>
  <c r="Y173"/>
  <c r="K173"/>
  <c r="T173"/>
  <c r="J173"/>
  <c r="S173"/>
  <c r="I173"/>
  <c r="R173"/>
  <c r="H173"/>
  <c r="Q173"/>
  <c r="Z172"/>
  <c r="AD172"/>
  <c r="Y172"/>
  <c r="K172"/>
  <c r="T172"/>
  <c r="J172"/>
  <c r="S172"/>
  <c r="I172"/>
  <c r="R172"/>
  <c r="H172"/>
  <c r="Z171"/>
  <c r="AD171"/>
  <c r="Y171"/>
  <c r="K171"/>
  <c r="T171"/>
  <c r="J171"/>
  <c r="S171"/>
  <c r="I171"/>
  <c r="R171"/>
  <c r="H171"/>
  <c r="Z170"/>
  <c r="AD170"/>
  <c r="Y170"/>
  <c r="K170"/>
  <c r="T170"/>
  <c r="J170"/>
  <c r="S170"/>
  <c r="I170"/>
  <c r="R170"/>
  <c r="H170"/>
  <c r="Z169"/>
  <c r="AD169"/>
  <c r="Y169"/>
  <c r="K169"/>
  <c r="T169"/>
  <c r="J169"/>
  <c r="S169"/>
  <c r="I169"/>
  <c r="R169"/>
  <c r="Z168"/>
  <c r="AD168"/>
  <c r="Y168"/>
  <c r="K168"/>
  <c r="T168"/>
  <c r="J168"/>
  <c r="S168"/>
  <c r="I168"/>
  <c r="R168"/>
  <c r="H168"/>
  <c r="Z167"/>
  <c r="AD167"/>
  <c r="Y167"/>
  <c r="K167"/>
  <c r="T167"/>
  <c r="J167"/>
  <c r="S167"/>
  <c r="I167"/>
  <c r="R167"/>
  <c r="H167"/>
  <c r="Z166"/>
  <c r="AD166"/>
  <c r="Y166"/>
  <c r="K166"/>
  <c r="T166"/>
  <c r="J166"/>
  <c r="S166"/>
  <c r="I166"/>
  <c r="R166"/>
  <c r="H166"/>
  <c r="Z165"/>
  <c r="AD165"/>
  <c r="Y165"/>
  <c r="Z164"/>
  <c r="AD164"/>
  <c r="Y164"/>
  <c r="K164"/>
  <c r="T164"/>
  <c r="J164"/>
  <c r="S164"/>
  <c r="I164"/>
  <c r="R164"/>
  <c r="H164"/>
  <c r="Z163"/>
  <c r="AD163"/>
  <c r="Y163"/>
  <c r="K163"/>
  <c r="T163"/>
  <c r="J163"/>
  <c r="S163"/>
  <c r="I163"/>
  <c r="R163"/>
  <c r="H163"/>
  <c r="Q163"/>
  <c r="Z162"/>
  <c r="AD162"/>
  <c r="Y162"/>
  <c r="K162"/>
  <c r="T162"/>
  <c r="J162"/>
  <c r="S162"/>
  <c r="I162"/>
  <c r="R162"/>
  <c r="H162"/>
  <c r="Z161"/>
  <c r="AD161"/>
  <c r="Y161"/>
  <c r="K161"/>
  <c r="T161"/>
  <c r="J161"/>
  <c r="S161"/>
  <c r="I161"/>
  <c r="R161"/>
  <c r="H161"/>
  <c r="Z160"/>
  <c r="AD160"/>
  <c r="Y160"/>
  <c r="J160"/>
  <c r="S160"/>
  <c r="I160"/>
  <c r="R160"/>
  <c r="H160"/>
  <c r="Z159"/>
  <c r="AD159"/>
  <c r="Y159"/>
  <c r="K159"/>
  <c r="T159"/>
  <c r="J159"/>
  <c r="S159"/>
  <c r="I159"/>
  <c r="R159"/>
  <c r="H159"/>
  <c r="Q159"/>
  <c r="Z158"/>
  <c r="AD158"/>
  <c r="Y158"/>
  <c r="K158"/>
  <c r="T158"/>
  <c r="J158"/>
  <c r="S158"/>
  <c r="I158"/>
  <c r="R158"/>
  <c r="H158"/>
  <c r="Z157"/>
  <c r="AD157"/>
  <c r="Y157"/>
  <c r="K157"/>
  <c r="T157"/>
  <c r="J157"/>
  <c r="S157"/>
  <c r="I157"/>
  <c r="R157"/>
  <c r="H157"/>
  <c r="Z156"/>
  <c r="AD156"/>
  <c r="Y156"/>
  <c r="K156"/>
  <c r="T156"/>
  <c r="J156"/>
  <c r="S156"/>
  <c r="I156"/>
  <c r="R156"/>
  <c r="H156"/>
  <c r="Z155"/>
  <c r="AD155"/>
  <c r="Y155"/>
  <c r="K155"/>
  <c r="T155"/>
  <c r="J155"/>
  <c r="S155"/>
  <c r="I155"/>
  <c r="R155"/>
  <c r="H155"/>
  <c r="Q155"/>
  <c r="Z154"/>
  <c r="AD154"/>
  <c r="Y154"/>
  <c r="K154"/>
  <c r="T154"/>
  <c r="J154"/>
  <c r="S154"/>
  <c r="I154"/>
  <c r="R154"/>
  <c r="H154"/>
  <c r="Z153"/>
  <c r="AD153"/>
  <c r="Y153"/>
  <c r="Z152"/>
  <c r="AD152"/>
  <c r="Y152"/>
  <c r="T152"/>
  <c r="S152"/>
  <c r="R152"/>
  <c r="Z151"/>
  <c r="AD151"/>
  <c r="Y151"/>
  <c r="K151"/>
  <c r="T151"/>
  <c r="J151"/>
  <c r="S151"/>
  <c r="I151"/>
  <c r="R151"/>
  <c r="H151"/>
  <c r="Z150"/>
  <c r="AD150"/>
  <c r="Y150"/>
  <c r="Z149"/>
  <c r="AD149"/>
  <c r="Y149"/>
  <c r="K149"/>
  <c r="T149"/>
  <c r="J149"/>
  <c r="S149"/>
  <c r="I149"/>
  <c r="R149"/>
  <c r="H149"/>
  <c r="Z148"/>
  <c r="AD148"/>
  <c r="Y148"/>
  <c r="K148"/>
  <c r="T148"/>
  <c r="J148"/>
  <c r="S148"/>
  <c r="I148"/>
  <c r="R148"/>
  <c r="H148"/>
  <c r="Z147"/>
  <c r="AD147"/>
  <c r="Y147"/>
  <c r="K147"/>
  <c r="T147"/>
  <c r="J147"/>
  <c r="S147"/>
  <c r="Z146"/>
  <c r="AD146"/>
  <c r="Y146"/>
  <c r="K146"/>
  <c r="T146"/>
  <c r="J146"/>
  <c r="S146"/>
  <c r="I146"/>
  <c r="R146"/>
  <c r="Z145"/>
  <c r="AD145"/>
  <c r="Y145"/>
  <c r="K145"/>
  <c r="T145"/>
  <c r="J145"/>
  <c r="S145"/>
  <c r="I145"/>
  <c r="R145"/>
  <c r="Z144"/>
  <c r="AD144"/>
  <c r="Y144"/>
  <c r="K144"/>
  <c r="T144"/>
  <c r="J144"/>
  <c r="S144"/>
  <c r="I144"/>
  <c r="R144"/>
  <c r="H144"/>
  <c r="Z143"/>
  <c r="AD143"/>
  <c r="Y143"/>
  <c r="K143"/>
  <c r="T143"/>
  <c r="J143"/>
  <c r="S143"/>
  <c r="I143"/>
  <c r="R143"/>
  <c r="H143"/>
  <c r="Q143"/>
  <c r="Z142"/>
  <c r="AD142"/>
  <c r="Y142"/>
  <c r="Z141"/>
  <c r="AD141"/>
  <c r="Y141"/>
  <c r="K141"/>
  <c r="T141"/>
  <c r="J141"/>
  <c r="S141"/>
  <c r="H141"/>
  <c r="Q141"/>
  <c r="Z140"/>
  <c r="AD140"/>
  <c r="Y140"/>
  <c r="K140"/>
  <c r="T140"/>
  <c r="J140"/>
  <c r="S140"/>
  <c r="Z139"/>
  <c r="AD139"/>
  <c r="Y139"/>
  <c r="K139"/>
  <c r="T139"/>
  <c r="J139"/>
  <c r="S139"/>
  <c r="I139"/>
  <c r="R139"/>
  <c r="H139"/>
  <c r="Q139"/>
  <c r="Z138"/>
  <c r="AD138"/>
  <c r="Y138"/>
  <c r="K138"/>
  <c r="T138"/>
  <c r="J138"/>
  <c r="S138"/>
  <c r="I138"/>
  <c r="R138"/>
  <c r="H138"/>
  <c r="Z137"/>
  <c r="AD137"/>
  <c r="Y137"/>
  <c r="K137"/>
  <c r="T137"/>
  <c r="J137"/>
  <c r="S137"/>
  <c r="I137"/>
  <c r="R137"/>
  <c r="H137"/>
  <c r="Z136"/>
  <c r="AD136"/>
  <c r="Y136"/>
  <c r="K136"/>
  <c r="T136"/>
  <c r="J136"/>
  <c r="S136"/>
  <c r="Z135"/>
  <c r="AD135"/>
  <c r="Y135"/>
  <c r="K135"/>
  <c r="T135"/>
  <c r="J135"/>
  <c r="S135"/>
  <c r="I135"/>
  <c r="R135"/>
  <c r="H135"/>
  <c r="Q135"/>
  <c r="Z134"/>
  <c r="AD134"/>
  <c r="Y134"/>
  <c r="K134"/>
  <c r="T134"/>
  <c r="J134"/>
  <c r="S134"/>
  <c r="I134"/>
  <c r="R134"/>
  <c r="H134"/>
  <c r="Z133"/>
  <c r="AD133"/>
  <c r="Y133"/>
  <c r="K133"/>
  <c r="T133"/>
  <c r="J133"/>
  <c r="S133"/>
  <c r="I133"/>
  <c r="R133"/>
  <c r="H133"/>
  <c r="Z132"/>
  <c r="AD132"/>
  <c r="Y132"/>
  <c r="K132"/>
  <c r="T132"/>
  <c r="J132"/>
  <c r="S132"/>
  <c r="I132"/>
  <c r="R132"/>
  <c r="H132"/>
  <c r="Z131"/>
  <c r="AD131"/>
  <c r="Y131"/>
  <c r="K131"/>
  <c r="T131"/>
  <c r="J131"/>
  <c r="S131"/>
  <c r="H131"/>
  <c r="Q131"/>
  <c r="Z130"/>
  <c r="AD130"/>
  <c r="Y130"/>
  <c r="K130"/>
  <c r="T130"/>
  <c r="J130"/>
  <c r="S130"/>
  <c r="I130"/>
  <c r="R130"/>
  <c r="H130"/>
  <c r="Z129"/>
  <c r="AD129"/>
  <c r="Y129"/>
  <c r="Z128"/>
  <c r="AD128"/>
  <c r="Y128"/>
  <c r="T128"/>
  <c r="S128"/>
  <c r="R128"/>
  <c r="Z126"/>
  <c r="AD126"/>
  <c r="Y126"/>
  <c r="K126"/>
  <c r="T126"/>
  <c r="J126"/>
  <c r="S126"/>
  <c r="I126"/>
  <c r="R126"/>
  <c r="H126"/>
  <c r="Z125"/>
  <c r="AD125"/>
  <c r="Y125"/>
  <c r="K125"/>
  <c r="T125"/>
  <c r="J125"/>
  <c r="S125"/>
  <c r="I125"/>
  <c r="R125"/>
  <c r="Z124"/>
  <c r="AD124"/>
  <c r="Y124"/>
  <c r="K124"/>
  <c r="T124"/>
  <c r="J124"/>
  <c r="S124"/>
  <c r="I124"/>
  <c r="R124"/>
  <c r="H124"/>
  <c r="Q124"/>
  <c r="Z123"/>
  <c r="AD123"/>
  <c r="Y123"/>
  <c r="K123"/>
  <c r="T123"/>
  <c r="J123"/>
  <c r="S123"/>
  <c r="I123"/>
  <c r="R123"/>
  <c r="H123"/>
  <c r="Z122"/>
  <c r="AD122"/>
  <c r="Y122"/>
  <c r="K122"/>
  <c r="T122"/>
  <c r="J122"/>
  <c r="S122"/>
  <c r="I122"/>
  <c r="R122"/>
  <c r="H122"/>
  <c r="Q122"/>
  <c r="Z121"/>
  <c r="AD121"/>
  <c r="Y121"/>
  <c r="K121"/>
  <c r="T121"/>
  <c r="J121"/>
  <c r="S121"/>
  <c r="I121"/>
  <c r="R121"/>
  <c r="H121"/>
  <c r="Z120"/>
  <c r="AD120"/>
  <c r="Y120"/>
  <c r="K120"/>
  <c r="T120"/>
  <c r="J120"/>
  <c r="S120"/>
  <c r="I120"/>
  <c r="R120"/>
  <c r="H120"/>
  <c r="Q120"/>
  <c r="Z119"/>
  <c r="AD119"/>
  <c r="Y119"/>
  <c r="K119"/>
  <c r="T119"/>
  <c r="J119"/>
  <c r="S119"/>
  <c r="I119"/>
  <c r="R119"/>
  <c r="H119"/>
  <c r="Z118"/>
  <c r="AD118"/>
  <c r="Y118"/>
  <c r="K118"/>
  <c r="T118"/>
  <c r="J118"/>
  <c r="S118"/>
  <c r="I118"/>
  <c r="R118"/>
  <c r="H118"/>
  <c r="Z117"/>
  <c r="AD117"/>
  <c r="Y117"/>
  <c r="Z116"/>
  <c r="AD116"/>
  <c r="Y116"/>
  <c r="K116"/>
  <c r="T116"/>
  <c r="J116"/>
  <c r="S116"/>
  <c r="I116"/>
  <c r="R116"/>
  <c r="H116"/>
  <c r="Z115"/>
  <c r="AD115"/>
  <c r="Y115"/>
  <c r="K115"/>
  <c r="T115"/>
  <c r="J115"/>
  <c r="S115"/>
  <c r="I115"/>
  <c r="R115"/>
  <c r="H115"/>
  <c r="Z114"/>
  <c r="AD114"/>
  <c r="Y114"/>
  <c r="K114"/>
  <c r="T114"/>
  <c r="J114"/>
  <c r="S114"/>
  <c r="I114"/>
  <c r="R114"/>
  <c r="H114"/>
  <c r="Q114"/>
  <c r="Z113"/>
  <c r="AD113"/>
  <c r="Y113"/>
  <c r="K113"/>
  <c r="T113"/>
  <c r="J113"/>
  <c r="S113"/>
  <c r="Z112"/>
  <c r="AD112"/>
  <c r="Y112"/>
  <c r="K112"/>
  <c r="T112"/>
  <c r="J112"/>
  <c r="S112"/>
  <c r="I112"/>
  <c r="R112"/>
  <c r="Z111"/>
  <c r="AD111"/>
  <c r="Y111"/>
  <c r="K111"/>
  <c r="T111"/>
  <c r="J111"/>
  <c r="S111"/>
  <c r="I111"/>
  <c r="R111"/>
  <c r="Z110"/>
  <c r="AD110"/>
  <c r="Y110"/>
  <c r="K110"/>
  <c r="T110"/>
  <c r="J110"/>
  <c r="S110"/>
  <c r="I110"/>
  <c r="R110"/>
  <c r="H110"/>
  <c r="Q110"/>
  <c r="Z109"/>
  <c r="AD109"/>
  <c r="Y109"/>
  <c r="Z108"/>
  <c r="AD108"/>
  <c r="Y108"/>
  <c r="K108"/>
  <c r="T108"/>
  <c r="J108"/>
  <c r="S108"/>
  <c r="I108"/>
  <c r="R108"/>
  <c r="H108"/>
  <c r="Q108"/>
  <c r="Z107"/>
  <c r="AD107"/>
  <c r="Y107"/>
  <c r="K107"/>
  <c r="T107"/>
  <c r="J107"/>
  <c r="S107"/>
  <c r="I107"/>
  <c r="R107"/>
  <c r="H107"/>
  <c r="Z106"/>
  <c r="AD106"/>
  <c r="Y106"/>
  <c r="K106"/>
  <c r="T106"/>
  <c r="J106"/>
  <c r="S106"/>
  <c r="I106"/>
  <c r="R106"/>
  <c r="H106"/>
  <c r="Q106"/>
  <c r="Z105"/>
  <c r="AD105"/>
  <c r="Y105"/>
  <c r="K105"/>
  <c r="T105"/>
  <c r="J105"/>
  <c r="S105"/>
  <c r="I105"/>
  <c r="R105"/>
  <c r="H105"/>
  <c r="Z104"/>
  <c r="AD104"/>
  <c r="Y104"/>
  <c r="Z103"/>
  <c r="AD103"/>
  <c r="Y103"/>
  <c r="I103"/>
  <c r="R103"/>
  <c r="H103"/>
  <c r="Z102"/>
  <c r="AD102"/>
  <c r="Y102"/>
  <c r="K102"/>
  <c r="T102"/>
  <c r="J102"/>
  <c r="S102"/>
  <c r="I102"/>
  <c r="R102"/>
  <c r="H102"/>
  <c r="Q102"/>
  <c r="Z101"/>
  <c r="AD101"/>
  <c r="Y101"/>
  <c r="K101"/>
  <c r="T101"/>
  <c r="J101"/>
  <c r="S101"/>
  <c r="Z100"/>
  <c r="AD100"/>
  <c r="Y100"/>
  <c r="Z99"/>
  <c r="AD99"/>
  <c r="Y99"/>
  <c r="K99"/>
  <c r="T99"/>
  <c r="J99"/>
  <c r="S99"/>
  <c r="H99"/>
  <c r="Z98"/>
  <c r="AD98"/>
  <c r="Y98"/>
  <c r="K98"/>
  <c r="T98"/>
  <c r="J98"/>
  <c r="S98"/>
  <c r="I98"/>
  <c r="R98"/>
  <c r="Z97"/>
  <c r="AD97"/>
  <c r="Y97"/>
  <c r="K97"/>
  <c r="T97"/>
  <c r="J97"/>
  <c r="S97"/>
  <c r="I97"/>
  <c r="R97"/>
  <c r="H97"/>
  <c r="Z96"/>
  <c r="AD96"/>
  <c r="Y96"/>
  <c r="K96"/>
  <c r="T96"/>
  <c r="J96"/>
  <c r="S96"/>
  <c r="I96"/>
  <c r="R96"/>
  <c r="H96"/>
  <c r="Q96"/>
  <c r="Z95"/>
  <c r="AD95"/>
  <c r="Y95"/>
  <c r="K95"/>
  <c r="T95"/>
  <c r="J95"/>
  <c r="S95"/>
  <c r="I95"/>
  <c r="R95"/>
  <c r="H95"/>
  <c r="Z94"/>
  <c r="AD94"/>
  <c r="Y94"/>
  <c r="K94"/>
  <c r="T94"/>
  <c r="J94"/>
  <c r="S94"/>
  <c r="I94"/>
  <c r="R94"/>
  <c r="H94"/>
  <c r="Q94"/>
  <c r="Z93"/>
  <c r="AD93"/>
  <c r="Y93"/>
  <c r="Z92"/>
  <c r="AD92"/>
  <c r="Y92"/>
  <c r="T92"/>
  <c r="S92"/>
  <c r="R92"/>
  <c r="Q92"/>
  <c r="Z91"/>
  <c r="AD91"/>
  <c r="Y91"/>
  <c r="Z90"/>
  <c r="AD90"/>
  <c r="Y90"/>
  <c r="K90"/>
  <c r="T90"/>
  <c r="J90"/>
  <c r="S90"/>
  <c r="I90"/>
  <c r="R90"/>
  <c r="Z89"/>
  <c r="AD89"/>
  <c r="Y89"/>
  <c r="K89"/>
  <c r="T89"/>
  <c r="J89"/>
  <c r="S89"/>
  <c r="I89"/>
  <c r="R89"/>
  <c r="H89"/>
  <c r="Z88"/>
  <c r="AD88"/>
  <c r="Y88"/>
  <c r="Z87"/>
  <c r="AD87"/>
  <c r="Y87"/>
  <c r="K87"/>
  <c r="T87"/>
  <c r="J87"/>
  <c r="S87"/>
  <c r="I87"/>
  <c r="R87"/>
  <c r="Z86"/>
  <c r="AD86"/>
  <c r="Y86"/>
  <c r="Z85"/>
  <c r="AD85"/>
  <c r="Y85"/>
  <c r="K85"/>
  <c r="T85"/>
  <c r="J85"/>
  <c r="S85"/>
  <c r="I85"/>
  <c r="R85"/>
  <c r="H85"/>
  <c r="Z84"/>
  <c r="AD84"/>
  <c r="Y84"/>
  <c r="K84"/>
  <c r="T84"/>
  <c r="I84"/>
  <c r="R84"/>
  <c r="Z83"/>
  <c r="AD83"/>
  <c r="Y83"/>
  <c r="K83"/>
  <c r="T83"/>
  <c r="J83"/>
  <c r="S83"/>
  <c r="I83"/>
  <c r="R83"/>
  <c r="H83"/>
  <c r="Z82"/>
  <c r="AD82"/>
  <c r="Y82"/>
  <c r="K82"/>
  <c r="T82"/>
  <c r="J82"/>
  <c r="S82"/>
  <c r="I82"/>
  <c r="R82"/>
  <c r="H82"/>
  <c r="Q82"/>
  <c r="Z81"/>
  <c r="AD81"/>
  <c r="Y81"/>
  <c r="Z80"/>
  <c r="AD80"/>
  <c r="Y80"/>
  <c r="K80"/>
  <c r="T80"/>
  <c r="J80"/>
  <c r="S80"/>
  <c r="I80"/>
  <c r="R80"/>
  <c r="H80"/>
  <c r="Q80"/>
  <c r="Z79"/>
  <c r="AD79"/>
  <c r="Y79"/>
  <c r="K79"/>
  <c r="T79"/>
  <c r="J79"/>
  <c r="S79"/>
  <c r="I79"/>
  <c r="R79"/>
  <c r="H79"/>
  <c r="Q79"/>
  <c r="Z78"/>
  <c r="AD78"/>
  <c r="Y78"/>
  <c r="K78"/>
  <c r="T78"/>
  <c r="J78"/>
  <c r="S78"/>
  <c r="I78"/>
  <c r="R78"/>
  <c r="H78"/>
  <c r="Z77"/>
  <c r="AD77"/>
  <c r="Y77"/>
  <c r="Z76"/>
  <c r="AD76"/>
  <c r="Y76"/>
  <c r="K76"/>
  <c r="T76"/>
  <c r="J76"/>
  <c r="S76"/>
  <c r="I76"/>
  <c r="R76"/>
  <c r="H76"/>
  <c r="Z75"/>
  <c r="AD75"/>
  <c r="Y75"/>
  <c r="K75"/>
  <c r="T75"/>
  <c r="J75"/>
  <c r="S75"/>
  <c r="I75"/>
  <c r="R75"/>
  <c r="Z74"/>
  <c r="AD74"/>
  <c r="Y74"/>
  <c r="K74"/>
  <c r="T74"/>
  <c r="J74"/>
  <c r="S74"/>
  <c r="I74"/>
  <c r="R74"/>
  <c r="H74"/>
  <c r="Q74"/>
  <c r="Z73"/>
  <c r="AD73"/>
  <c r="Y73"/>
  <c r="K73"/>
  <c r="T73"/>
  <c r="J73"/>
  <c r="S73"/>
  <c r="I73"/>
  <c r="R73"/>
  <c r="H73"/>
  <c r="Q73"/>
  <c r="Z72"/>
  <c r="AD72"/>
  <c r="Y72"/>
  <c r="K72"/>
  <c r="T72"/>
  <c r="J72"/>
  <c r="S72"/>
  <c r="I72"/>
  <c r="R72"/>
  <c r="H72"/>
  <c r="Z71"/>
  <c r="AD71"/>
  <c r="Y71"/>
  <c r="K71"/>
  <c r="T71"/>
  <c r="J71"/>
  <c r="S71"/>
  <c r="I71"/>
  <c r="R71"/>
  <c r="H71"/>
  <c r="Q71"/>
  <c r="Z70"/>
  <c r="AD70"/>
  <c r="Y70"/>
  <c r="Z69"/>
  <c r="AD69"/>
  <c r="Y69"/>
  <c r="K69"/>
  <c r="T69"/>
  <c r="J69"/>
  <c r="S69"/>
  <c r="I69"/>
  <c r="R69"/>
  <c r="H69"/>
  <c r="Q69"/>
  <c r="Z68"/>
  <c r="AD68"/>
  <c r="Y68"/>
  <c r="K68"/>
  <c r="T68"/>
  <c r="J68"/>
  <c r="S68"/>
  <c r="I68"/>
  <c r="R68"/>
  <c r="H68"/>
  <c r="Z66"/>
  <c r="AD66"/>
  <c r="Y66"/>
  <c r="K66"/>
  <c r="T66"/>
  <c r="J66"/>
  <c r="S66"/>
  <c r="I66"/>
  <c r="R66"/>
  <c r="H66"/>
  <c r="Z65"/>
  <c r="AD65"/>
  <c r="Y65"/>
  <c r="K65"/>
  <c r="T65"/>
  <c r="J65"/>
  <c r="S65"/>
  <c r="I65"/>
  <c r="R65"/>
  <c r="H65"/>
  <c r="Z64"/>
  <c r="AD64"/>
  <c r="Y64"/>
  <c r="K64"/>
  <c r="T64"/>
  <c r="J64"/>
  <c r="S64"/>
  <c r="I64"/>
  <c r="R64"/>
  <c r="H64"/>
  <c r="Q64"/>
  <c r="Z63"/>
  <c r="AD63"/>
  <c r="Y63"/>
  <c r="K63"/>
  <c r="T63"/>
  <c r="J63"/>
  <c r="S63"/>
  <c r="I63"/>
  <c r="R63"/>
  <c r="H63"/>
  <c r="Z62"/>
  <c r="AD62"/>
  <c r="Y62"/>
  <c r="K62"/>
  <c r="T62"/>
  <c r="J62"/>
  <c r="S62"/>
  <c r="H62"/>
  <c r="Z61"/>
  <c r="AD61"/>
  <c r="Y61"/>
  <c r="K61"/>
  <c r="T61"/>
  <c r="J61"/>
  <c r="S61"/>
  <c r="H61"/>
  <c r="Z60"/>
  <c r="AD60"/>
  <c r="Y60"/>
  <c r="Z59"/>
  <c r="AD59"/>
  <c r="Y59"/>
  <c r="K59"/>
  <c r="T59"/>
  <c r="J59"/>
  <c r="S59"/>
  <c r="I59"/>
  <c r="R59"/>
  <c r="H59"/>
  <c r="K58"/>
  <c r="T58"/>
  <c r="J58"/>
  <c r="S58"/>
  <c r="I58"/>
  <c r="R58"/>
  <c r="H58"/>
  <c r="Z57"/>
  <c r="AD57"/>
  <c r="Y57"/>
  <c r="K57"/>
  <c r="T57"/>
  <c r="J57"/>
  <c r="S57"/>
  <c r="I57"/>
  <c r="R57"/>
  <c r="H57"/>
  <c r="Z56"/>
  <c r="AD56"/>
  <c r="Y56"/>
  <c r="K56"/>
  <c r="T56"/>
  <c r="J56"/>
  <c r="S56"/>
  <c r="I56"/>
  <c r="R56"/>
  <c r="H56"/>
  <c r="Z55"/>
  <c r="AD55"/>
  <c r="Y55"/>
  <c r="K55"/>
  <c r="T55"/>
  <c r="J55"/>
  <c r="S55"/>
  <c r="I55"/>
  <c r="R55"/>
  <c r="H55"/>
  <c r="Q55"/>
  <c r="Z54"/>
  <c r="AD54"/>
  <c r="Y54"/>
  <c r="K54"/>
  <c r="T54"/>
  <c r="J54"/>
  <c r="S54"/>
  <c r="I54"/>
  <c r="R54"/>
  <c r="H54"/>
  <c r="Z53"/>
  <c r="AD53"/>
  <c r="Y53"/>
  <c r="Z52"/>
  <c r="AD52"/>
  <c r="Y52"/>
  <c r="K52"/>
  <c r="T52"/>
  <c r="J52"/>
  <c r="S52"/>
  <c r="I52"/>
  <c r="R52"/>
  <c r="H52"/>
  <c r="Z51"/>
  <c r="AD51"/>
  <c r="Y51"/>
  <c r="K51"/>
  <c r="T51"/>
  <c r="J51"/>
  <c r="S51"/>
  <c r="I51"/>
  <c r="R51"/>
  <c r="H51"/>
  <c r="Z50"/>
  <c r="AD50"/>
  <c r="Y50"/>
  <c r="Z49"/>
  <c r="AD49"/>
  <c r="Y49"/>
  <c r="K49"/>
  <c r="T49"/>
  <c r="J49"/>
  <c r="S49"/>
  <c r="I49"/>
  <c r="R49"/>
  <c r="H49"/>
  <c r="Z48"/>
  <c r="AD48"/>
  <c r="Y48"/>
  <c r="Z47"/>
  <c r="AD47"/>
  <c r="Y47"/>
  <c r="K47"/>
  <c r="T47"/>
  <c r="J47"/>
  <c r="S47"/>
  <c r="I47"/>
  <c r="R47"/>
  <c r="H47"/>
  <c r="Z46"/>
  <c r="AD46"/>
  <c r="Y46"/>
  <c r="Z45"/>
  <c r="AD45"/>
  <c r="Y45"/>
  <c r="K45"/>
  <c r="T45"/>
  <c r="J45"/>
  <c r="S45"/>
  <c r="I45"/>
  <c r="R45"/>
  <c r="Z44"/>
  <c r="AD44"/>
  <c r="Y44"/>
  <c r="K44"/>
  <c r="T44"/>
  <c r="J44"/>
  <c r="S44"/>
  <c r="H44"/>
  <c r="Z43"/>
  <c r="AD43"/>
  <c r="Y43"/>
  <c r="K43"/>
  <c r="T43"/>
  <c r="J43"/>
  <c r="S43"/>
  <c r="I43"/>
  <c r="R43"/>
  <c r="H43"/>
  <c r="Z42"/>
  <c r="AD42"/>
  <c r="Y42"/>
  <c r="Z41"/>
  <c r="AD41"/>
  <c r="Y41"/>
  <c r="K41"/>
  <c r="T41"/>
  <c r="J41"/>
  <c r="S41"/>
  <c r="I41"/>
  <c r="R41"/>
  <c r="H41"/>
  <c r="Z40"/>
  <c r="AD40"/>
  <c r="Y40"/>
  <c r="K40"/>
  <c r="T40"/>
  <c r="J40"/>
  <c r="S40"/>
  <c r="I40"/>
  <c r="R40"/>
  <c r="H40"/>
  <c r="Z39"/>
  <c r="AD39"/>
  <c r="Y39"/>
  <c r="K39"/>
  <c r="T39"/>
  <c r="J39"/>
  <c r="S39"/>
  <c r="I39"/>
  <c r="R39"/>
  <c r="H39"/>
  <c r="Z38"/>
  <c r="AD38"/>
  <c r="Y38"/>
  <c r="K38"/>
  <c r="T38"/>
  <c r="J38"/>
  <c r="S38"/>
  <c r="I38"/>
  <c r="R38"/>
  <c r="H38"/>
  <c r="Z37"/>
  <c r="AD37"/>
  <c r="Y37"/>
  <c r="K37"/>
  <c r="T37"/>
  <c r="J37"/>
  <c r="S37"/>
  <c r="I37"/>
  <c r="R37"/>
  <c r="H37"/>
  <c r="Q37"/>
  <c r="Z35"/>
  <c r="AD35"/>
  <c r="Y35"/>
  <c r="K35"/>
  <c r="T35"/>
  <c r="J35"/>
  <c r="S35"/>
  <c r="I35"/>
  <c r="R35"/>
  <c r="H35"/>
  <c r="Z34"/>
  <c r="AD34"/>
  <c r="Y34"/>
  <c r="K34"/>
  <c r="T34"/>
  <c r="J34"/>
  <c r="S34"/>
  <c r="I34"/>
  <c r="R34"/>
  <c r="H34"/>
  <c r="Z33"/>
  <c r="AD33"/>
  <c r="Y33"/>
  <c r="K33"/>
  <c r="T33"/>
  <c r="J33"/>
  <c r="S33"/>
  <c r="I33"/>
  <c r="R33"/>
  <c r="H33"/>
  <c r="Z32"/>
  <c r="AD32"/>
  <c r="Y32"/>
  <c r="K32"/>
  <c r="T32"/>
  <c r="J32"/>
  <c r="S32"/>
  <c r="I32"/>
  <c r="R32"/>
  <c r="H32"/>
  <c r="K31"/>
  <c r="T31"/>
  <c r="J31"/>
  <c r="S31"/>
  <c r="I31"/>
  <c r="R31"/>
  <c r="H31"/>
  <c r="Z29"/>
  <c r="AD29"/>
  <c r="Y29"/>
  <c r="K29"/>
  <c r="T29"/>
  <c r="J29"/>
  <c r="S29"/>
  <c r="H29"/>
  <c r="Q29"/>
  <c r="Z28"/>
  <c r="AD28"/>
  <c r="Y28"/>
  <c r="K28"/>
  <c r="T28"/>
  <c r="J28"/>
  <c r="S28"/>
  <c r="I28"/>
  <c r="R28"/>
  <c r="H28"/>
  <c r="Z27"/>
  <c r="AD27"/>
  <c r="Y27"/>
  <c r="K27"/>
  <c r="T27"/>
  <c r="J27"/>
  <c r="S27"/>
  <c r="I27"/>
  <c r="R27"/>
  <c r="H27"/>
  <c r="Z26"/>
  <c r="AD26"/>
  <c r="Y26"/>
  <c r="Z25"/>
  <c r="AD25"/>
  <c r="Y25"/>
  <c r="K25"/>
  <c r="T25"/>
  <c r="J25"/>
  <c r="S25"/>
  <c r="I25"/>
  <c r="R25"/>
  <c r="H25"/>
  <c r="Z24"/>
  <c r="AD24"/>
  <c r="Y24"/>
  <c r="K24"/>
  <c r="T24"/>
  <c r="J24"/>
  <c r="S24"/>
  <c r="I24"/>
  <c r="R24"/>
  <c r="H24"/>
  <c r="Z23"/>
  <c r="AD23"/>
  <c r="Y23"/>
  <c r="K23"/>
  <c r="T23"/>
  <c r="J23"/>
  <c r="S23"/>
  <c r="I23"/>
  <c r="R23"/>
  <c r="H23"/>
  <c r="Z22"/>
  <c r="AD22"/>
  <c r="Y22"/>
  <c r="K22"/>
  <c r="T22"/>
  <c r="J22"/>
  <c r="S22"/>
  <c r="I22"/>
  <c r="R22"/>
  <c r="H22"/>
  <c r="Q22"/>
  <c r="Z21"/>
  <c r="AD21"/>
  <c r="Y21"/>
  <c r="K21"/>
  <c r="T21"/>
  <c r="J21"/>
  <c r="S21"/>
  <c r="I21"/>
  <c r="R21"/>
  <c r="H21"/>
  <c r="Z20"/>
  <c r="AD20"/>
  <c r="Y20"/>
  <c r="K20"/>
  <c r="T20"/>
  <c r="J20"/>
  <c r="S20"/>
  <c r="I20"/>
  <c r="R20"/>
  <c r="H20"/>
  <c r="Z19"/>
  <c r="AD19"/>
  <c r="Y19"/>
  <c r="K19"/>
  <c r="T19"/>
  <c r="J19"/>
  <c r="S19"/>
  <c r="I19"/>
  <c r="R19"/>
  <c r="H19"/>
  <c r="Z18"/>
  <c r="AD18"/>
  <c r="Y18"/>
  <c r="K18"/>
  <c r="T18"/>
  <c r="J18"/>
  <c r="S18"/>
  <c r="I18"/>
  <c r="R18"/>
  <c r="H18"/>
  <c r="Q18"/>
  <c r="Z17"/>
  <c r="AD17"/>
  <c r="Y17"/>
  <c r="K17"/>
  <c r="T17"/>
  <c r="J17"/>
  <c r="S17"/>
  <c r="I17"/>
  <c r="R17"/>
  <c r="H17"/>
  <c r="Z16"/>
  <c r="AD16"/>
  <c r="Y16"/>
  <c r="K16"/>
  <c r="T16"/>
  <c r="J16"/>
  <c r="S16"/>
  <c r="I16"/>
  <c r="R16"/>
  <c r="H16"/>
  <c r="Z15"/>
  <c r="AD15"/>
  <c r="Y15"/>
  <c r="K15"/>
  <c r="T15"/>
  <c r="J15"/>
  <c r="S15"/>
  <c r="I15"/>
  <c r="R15"/>
  <c r="H15"/>
  <c r="Z14"/>
  <c r="AD14"/>
  <c r="Y14"/>
  <c r="K14"/>
  <c r="T14"/>
  <c r="J14"/>
  <c r="S14"/>
  <c r="I14"/>
  <c r="R14"/>
  <c r="H14"/>
  <c r="Q14"/>
  <c r="Z13"/>
  <c r="Y13"/>
  <c r="K13"/>
  <c r="J13"/>
  <c r="I13"/>
  <c r="H13"/>
  <c r="Z12"/>
  <c r="AD12"/>
  <c r="Y12"/>
  <c r="K12"/>
  <c r="T12"/>
  <c r="J12"/>
  <c r="S12"/>
  <c r="I12"/>
  <c r="R12"/>
  <c r="H12"/>
  <c r="Z11"/>
  <c r="AD11"/>
  <c r="Y11"/>
  <c r="K11"/>
  <c r="T11"/>
  <c r="J11"/>
  <c r="S11"/>
  <c r="I11"/>
  <c r="R11"/>
  <c r="H11"/>
  <c r="Q11"/>
  <c r="Z10"/>
  <c r="AD10"/>
  <c r="Y10"/>
  <c r="K10"/>
  <c r="T10"/>
  <c r="J10"/>
  <c r="S10"/>
  <c r="H10"/>
  <c r="Z9"/>
  <c r="AD9"/>
  <c r="Y9"/>
  <c r="K9"/>
  <c r="T9"/>
  <c r="J9"/>
  <c r="S9"/>
  <c r="I9"/>
  <c r="R9"/>
  <c r="H9"/>
  <c r="Z8"/>
  <c r="AD8"/>
  <c r="Y8"/>
  <c r="K8"/>
  <c r="J8"/>
  <c r="I8"/>
  <c r="H8"/>
  <c r="Q324" i="1"/>
  <c r="J353" i="6"/>
  <c r="W358" i="1"/>
  <c r="V326" i="4"/>
  <c r="X326"/>
  <c r="Q328" i="1"/>
  <c r="Q358"/>
  <c r="K353" i="6"/>
  <c r="Q326"/>
  <c r="Q356"/>
  <c r="Q322"/>
  <c r="R322"/>
  <c r="R326"/>
  <c r="R356"/>
  <c r="Y313"/>
  <c r="AD13"/>
  <c r="AD353"/>
  <c r="Z313"/>
  <c r="R13"/>
  <c r="S13"/>
  <c r="T13"/>
  <c r="L328" i="1"/>
  <c r="L358"/>
  <c r="U319" i="6"/>
  <c r="T321"/>
  <c r="S321"/>
  <c r="U328" i="1"/>
  <c r="S329" i="6"/>
  <c r="R329"/>
  <c r="T329"/>
  <c r="R8"/>
  <c r="T8"/>
  <c r="Q8"/>
  <c r="U184"/>
  <c r="L162"/>
  <c r="U176"/>
  <c r="U178"/>
  <c r="L33"/>
  <c r="L28"/>
  <c r="L78"/>
  <c r="L251"/>
  <c r="L283"/>
  <c r="L34"/>
  <c r="U217"/>
  <c r="L218"/>
  <c r="L24"/>
  <c r="L234"/>
  <c r="U243"/>
  <c r="U79"/>
  <c r="U187"/>
  <c r="U227"/>
  <c r="L25"/>
  <c r="L63"/>
  <c r="U106"/>
  <c r="L164"/>
  <c r="U173"/>
  <c r="U213"/>
  <c r="U231"/>
  <c r="L258"/>
  <c r="L267"/>
  <c r="U18"/>
  <c r="L49"/>
  <c r="U69"/>
  <c r="U96"/>
  <c r="L133"/>
  <c r="L148"/>
  <c r="L149"/>
  <c r="L166"/>
  <c r="L171"/>
  <c r="U248"/>
  <c r="U255"/>
  <c r="L270"/>
  <c r="L23"/>
  <c r="L35"/>
  <c r="U139"/>
  <c r="L195"/>
  <c r="U219"/>
  <c r="L290"/>
  <c r="L297"/>
  <c r="U310"/>
  <c r="Q24"/>
  <c r="U24"/>
  <c r="Q25"/>
  <c r="U25"/>
  <c r="Q34"/>
  <c r="U34"/>
  <c r="Q35"/>
  <c r="U35"/>
  <c r="Q49"/>
  <c r="U49"/>
  <c r="Q62"/>
  <c r="Q63"/>
  <c r="U63"/>
  <c r="Q164"/>
  <c r="U164"/>
  <c r="Q171"/>
  <c r="U171"/>
  <c r="Q251"/>
  <c r="U251"/>
  <c r="Q331"/>
  <c r="L12"/>
  <c r="Q12"/>
  <c r="U12"/>
  <c r="L13"/>
  <c r="Q13"/>
  <c r="L19"/>
  <c r="L20"/>
  <c r="Q20"/>
  <c r="U20"/>
  <c r="L21"/>
  <c r="Q21"/>
  <c r="U21"/>
  <c r="L31"/>
  <c r="Q31"/>
  <c r="U31"/>
  <c r="L54"/>
  <c r="Q54"/>
  <c r="U54"/>
  <c r="L59"/>
  <c r="L68"/>
  <c r="Q68"/>
  <c r="U68"/>
  <c r="L85"/>
  <c r="Q85"/>
  <c r="U85"/>
  <c r="U94"/>
  <c r="L95"/>
  <c r="L105"/>
  <c r="U110"/>
  <c r="L134"/>
  <c r="Q134"/>
  <c r="U134"/>
  <c r="U143"/>
  <c r="L144"/>
  <c r="U14"/>
  <c r="U22"/>
  <c r="L22"/>
  <c r="L38"/>
  <c r="L39"/>
  <c r="Q39"/>
  <c r="U39"/>
  <c r="L40"/>
  <c r="Q40"/>
  <c r="U40"/>
  <c r="L47"/>
  <c r="Q47"/>
  <c r="U47"/>
  <c r="L51"/>
  <c r="Q51"/>
  <c r="U51"/>
  <c r="L52"/>
  <c r="Q52"/>
  <c r="U52"/>
  <c r="U55"/>
  <c r="L65"/>
  <c r="L72"/>
  <c r="Q103"/>
  <c r="L115"/>
  <c r="L116"/>
  <c r="Q116"/>
  <c r="U116"/>
  <c r="Q133"/>
  <c r="U133"/>
  <c r="Q149"/>
  <c r="U149"/>
  <c r="Q162"/>
  <c r="U162"/>
  <c r="Q166"/>
  <c r="U166"/>
  <c r="Q267"/>
  <c r="U267"/>
  <c r="Q283"/>
  <c r="U283"/>
  <c r="Q290"/>
  <c r="U290"/>
  <c r="L9"/>
  <c r="Q9"/>
  <c r="U9"/>
  <c r="L15"/>
  <c r="L16"/>
  <c r="Q16"/>
  <c r="U16"/>
  <c r="L17"/>
  <c r="Q17"/>
  <c r="U17"/>
  <c r="L27"/>
  <c r="Q27"/>
  <c r="U27"/>
  <c r="L32"/>
  <c r="L41"/>
  <c r="L43"/>
  <c r="L56"/>
  <c r="L57"/>
  <c r="Q57"/>
  <c r="U57"/>
  <c r="L58"/>
  <c r="Q58"/>
  <c r="U58"/>
  <c r="L76"/>
  <c r="L83"/>
  <c r="L89"/>
  <c r="Q89"/>
  <c r="U89"/>
  <c r="L97"/>
  <c r="Q97"/>
  <c r="U97"/>
  <c r="L107"/>
  <c r="Q107"/>
  <c r="U107"/>
  <c r="L118"/>
  <c r="Q118"/>
  <c r="U118"/>
  <c r="L119"/>
  <c r="Q119"/>
  <c r="U119"/>
  <c r="U120"/>
  <c r="L121"/>
  <c r="L126"/>
  <c r="Q126"/>
  <c r="U126"/>
  <c r="L128"/>
  <c r="Q128"/>
  <c r="U128"/>
  <c r="L132"/>
  <c r="U155"/>
  <c r="Q234"/>
  <c r="U234"/>
  <c r="L123"/>
  <c r="Q123"/>
  <c r="U123"/>
  <c r="L151"/>
  <c r="Q151"/>
  <c r="U151"/>
  <c r="L152"/>
  <c r="Q152"/>
  <c r="U152"/>
  <c r="L154"/>
  <c r="Q154"/>
  <c r="U154"/>
  <c r="L156"/>
  <c r="Q156"/>
  <c r="U156"/>
  <c r="L161"/>
  <c r="Q161"/>
  <c r="U161"/>
  <c r="U163"/>
  <c r="L172"/>
  <c r="Q172"/>
  <c r="U172"/>
  <c r="L179"/>
  <c r="L181"/>
  <c r="L183"/>
  <c r="L188"/>
  <c r="L201"/>
  <c r="Q201"/>
  <c r="U201"/>
  <c r="L207"/>
  <c r="L222"/>
  <c r="L238"/>
  <c r="Q238"/>
  <c r="U238"/>
  <c r="L274"/>
  <c r="Q274"/>
  <c r="U274"/>
  <c r="L299"/>
  <c r="Q299"/>
  <c r="U299"/>
  <c r="L307"/>
  <c r="Q307"/>
  <c r="U307"/>
  <c r="L335"/>
  <c r="Q335"/>
  <c r="U335"/>
  <c r="L351"/>
  <c r="Q351"/>
  <c r="U351"/>
  <c r="L130"/>
  <c r="Q130"/>
  <c r="U130"/>
  <c r="L137"/>
  <c r="Q137"/>
  <c r="U137"/>
  <c r="L138"/>
  <c r="Q138"/>
  <c r="U138"/>
  <c r="L157"/>
  <c r="Q157"/>
  <c r="U157"/>
  <c r="U159"/>
  <c r="L168"/>
  <c r="Q168"/>
  <c r="U168"/>
  <c r="L170"/>
  <c r="Q170"/>
  <c r="U170"/>
  <c r="L174"/>
  <c r="Q174"/>
  <c r="U174"/>
  <c r="U200"/>
  <c r="L203"/>
  <c r="Q203"/>
  <c r="U203"/>
  <c r="L220"/>
  <c r="Q220"/>
  <c r="U220"/>
  <c r="L236"/>
  <c r="Q236"/>
  <c r="U236"/>
  <c r="L256"/>
  <c r="L286"/>
  <c r="Q286"/>
  <c r="U286"/>
  <c r="U291"/>
  <c r="L296"/>
  <c r="Q296"/>
  <c r="U296"/>
  <c r="L301"/>
  <c r="Q301"/>
  <c r="U301"/>
  <c r="L303"/>
  <c r="Q303"/>
  <c r="U303"/>
  <c r="Q329"/>
  <c r="L158"/>
  <c r="Q158"/>
  <c r="U158"/>
  <c r="Q160"/>
  <c r="L167"/>
  <c r="Q167"/>
  <c r="U167"/>
  <c r="L216"/>
  <c r="Q216"/>
  <c r="U216"/>
  <c r="L228"/>
  <c r="Q228"/>
  <c r="U228"/>
  <c r="L232"/>
  <c r="Q232"/>
  <c r="U232"/>
  <c r="Q244"/>
  <c r="U249"/>
  <c r="L250"/>
  <c r="L263"/>
  <c r="Q263"/>
  <c r="U263"/>
  <c r="Q271"/>
  <c r="L272"/>
  <c r="Q272"/>
  <c r="U272"/>
  <c r="L276"/>
  <c r="Q276"/>
  <c r="U276"/>
  <c r="L294"/>
  <c r="Q294"/>
  <c r="U294"/>
  <c r="U306"/>
  <c r="L333"/>
  <c r="Q333"/>
  <c r="U333"/>
  <c r="U334"/>
  <c r="U338"/>
  <c r="L343"/>
  <c r="Q343"/>
  <c r="U343"/>
  <c r="U350"/>
  <c r="U11"/>
  <c r="U37"/>
  <c r="U64"/>
  <c r="L14"/>
  <c r="L11"/>
  <c r="Q43"/>
  <c r="U43"/>
  <c r="L8"/>
  <c r="Q15"/>
  <c r="U15"/>
  <c r="Q19"/>
  <c r="U19"/>
  <c r="Q23"/>
  <c r="U23"/>
  <c r="Q33"/>
  <c r="U33"/>
  <c r="Q38"/>
  <c r="U38"/>
  <c r="Q44"/>
  <c r="Q56"/>
  <c r="U56"/>
  <c r="Q59"/>
  <c r="U59"/>
  <c r="Q61"/>
  <c r="Q65"/>
  <c r="U65"/>
  <c r="Q66"/>
  <c r="U66"/>
  <c r="L66"/>
  <c r="U71"/>
  <c r="U108"/>
  <c r="U114"/>
  <c r="U135"/>
  <c r="L18"/>
  <c r="S8"/>
  <c r="Q10"/>
  <c r="Q28"/>
  <c r="U28"/>
  <c r="Q32"/>
  <c r="U32"/>
  <c r="Q41"/>
  <c r="U41"/>
  <c r="U74"/>
  <c r="U80"/>
  <c r="U82"/>
  <c r="U92"/>
  <c r="U102"/>
  <c r="U122"/>
  <c r="U124"/>
  <c r="L37"/>
  <c r="L55"/>
  <c r="L64"/>
  <c r="U73"/>
  <c r="Q72"/>
  <c r="U72"/>
  <c r="L73"/>
  <c r="Q76"/>
  <c r="U76"/>
  <c r="Q78"/>
  <c r="U78"/>
  <c r="L79"/>
  <c r="Q83"/>
  <c r="U83"/>
  <c r="Q95"/>
  <c r="U95"/>
  <c r="L96"/>
  <c r="Q99"/>
  <c r="L102"/>
  <c r="Q105"/>
  <c r="U105"/>
  <c r="L106"/>
  <c r="Q115"/>
  <c r="U115"/>
  <c r="Q121"/>
  <c r="U121"/>
  <c r="L122"/>
  <c r="Q132"/>
  <c r="U132"/>
  <c r="Q144"/>
  <c r="U144"/>
  <c r="Q148"/>
  <c r="U148"/>
  <c r="U186"/>
  <c r="U215"/>
  <c r="U221"/>
  <c r="U225"/>
  <c r="U239"/>
  <c r="L74"/>
  <c r="L80"/>
  <c r="U193"/>
  <c r="U204"/>
  <c r="L69"/>
  <c r="L71"/>
  <c r="L82"/>
  <c r="L92"/>
  <c r="L94"/>
  <c r="L108"/>
  <c r="L110"/>
  <c r="L114"/>
  <c r="L120"/>
  <c r="L124"/>
  <c r="L135"/>
  <c r="L139"/>
  <c r="L143"/>
  <c r="L155"/>
  <c r="L159"/>
  <c r="L163"/>
  <c r="U194"/>
  <c r="U208"/>
  <c r="U223"/>
  <c r="U229"/>
  <c r="U247"/>
  <c r="Q179"/>
  <c r="U179"/>
  <c r="Q181"/>
  <c r="U181"/>
  <c r="Q183"/>
  <c r="U183"/>
  <c r="L184"/>
  <c r="Q188"/>
  <c r="U188"/>
  <c r="Q195"/>
  <c r="U195"/>
  <c r="Q197"/>
  <c r="Q199"/>
  <c r="L200"/>
  <c r="Q207"/>
  <c r="U207"/>
  <c r="L208"/>
  <c r="L215"/>
  <c r="Q218"/>
  <c r="U218"/>
  <c r="L219"/>
  <c r="Q222"/>
  <c r="U222"/>
  <c r="L223"/>
  <c r="L225"/>
  <c r="L227"/>
  <c r="L239"/>
  <c r="L243"/>
  <c r="L247"/>
  <c r="U278"/>
  <c r="U280"/>
  <c r="U281"/>
  <c r="U287"/>
  <c r="U288"/>
  <c r="L173"/>
  <c r="L186"/>
  <c r="L193"/>
  <c r="L213"/>
  <c r="U245"/>
  <c r="L245"/>
  <c r="U292"/>
  <c r="L176"/>
  <c r="L178"/>
  <c r="L187"/>
  <c r="L194"/>
  <c r="L204"/>
  <c r="L217"/>
  <c r="L221"/>
  <c r="L229"/>
  <c r="L231"/>
  <c r="L248"/>
  <c r="L249"/>
  <c r="U285"/>
  <c r="U273"/>
  <c r="U277"/>
  <c r="U279"/>
  <c r="U282"/>
  <c r="U289"/>
  <c r="Q250"/>
  <c r="U250"/>
  <c r="Q256"/>
  <c r="U256"/>
  <c r="Q258"/>
  <c r="U258"/>
  <c r="Q268"/>
  <c r="Q270"/>
  <c r="U270"/>
  <c r="L277"/>
  <c r="L280"/>
  <c r="L287"/>
  <c r="L291"/>
  <c r="Q297"/>
  <c r="U297"/>
  <c r="L278"/>
  <c r="L281"/>
  <c r="L288"/>
  <c r="L292"/>
  <c r="Q300"/>
  <c r="U300"/>
  <c r="L300"/>
  <c r="L305"/>
  <c r="U305"/>
  <c r="L309"/>
  <c r="U309"/>
  <c r="L255"/>
  <c r="L273"/>
  <c r="L279"/>
  <c r="L282"/>
  <c r="L285"/>
  <c r="L289"/>
  <c r="U337"/>
  <c r="U304"/>
  <c r="L304"/>
  <c r="U312"/>
  <c r="U342"/>
  <c r="U345"/>
  <c r="U348"/>
  <c r="L348"/>
  <c r="L329"/>
  <c r="L337"/>
  <c r="L345"/>
  <c r="L306"/>
  <c r="L310"/>
  <c r="L312"/>
  <c r="L334"/>
  <c r="L338"/>
  <c r="L342"/>
  <c r="L350"/>
  <c r="H49" i="4"/>
  <c r="Q49"/>
  <c r="I49"/>
  <c r="R49"/>
  <c r="J49"/>
  <c r="S49"/>
  <c r="K49"/>
  <c r="H9"/>
  <c r="Q9"/>
  <c r="I9"/>
  <c r="R9"/>
  <c r="J9"/>
  <c r="K9"/>
  <c r="T9"/>
  <c r="H10"/>
  <c r="Q10"/>
  <c r="J10"/>
  <c r="S10"/>
  <c r="K10"/>
  <c r="T10"/>
  <c r="H11"/>
  <c r="I11"/>
  <c r="J11"/>
  <c r="K11"/>
  <c r="H12"/>
  <c r="Q12"/>
  <c r="I12"/>
  <c r="R12"/>
  <c r="J12"/>
  <c r="S12"/>
  <c r="K12"/>
  <c r="H13"/>
  <c r="Q13"/>
  <c r="I13"/>
  <c r="R13"/>
  <c r="J13"/>
  <c r="S13"/>
  <c r="K13"/>
  <c r="T13"/>
  <c r="H14"/>
  <c r="Q14"/>
  <c r="I14"/>
  <c r="R14"/>
  <c r="J14"/>
  <c r="S14"/>
  <c r="K14"/>
  <c r="H15"/>
  <c r="Q15"/>
  <c r="I15"/>
  <c r="R15"/>
  <c r="J15"/>
  <c r="S15"/>
  <c r="K15"/>
  <c r="T15"/>
  <c r="H16"/>
  <c r="Q16"/>
  <c r="I16"/>
  <c r="R16"/>
  <c r="J16"/>
  <c r="K16"/>
  <c r="T16"/>
  <c r="H17"/>
  <c r="Q17"/>
  <c r="I17"/>
  <c r="R17"/>
  <c r="J17"/>
  <c r="S17"/>
  <c r="K17"/>
  <c r="T17"/>
  <c r="H18"/>
  <c r="Q18"/>
  <c r="I18"/>
  <c r="R18"/>
  <c r="J18"/>
  <c r="S18"/>
  <c r="K18"/>
  <c r="T18"/>
  <c r="H19"/>
  <c r="Q19"/>
  <c r="I19"/>
  <c r="R19"/>
  <c r="J19"/>
  <c r="S19"/>
  <c r="K19"/>
  <c r="T19"/>
  <c r="H20"/>
  <c r="Q20"/>
  <c r="I20"/>
  <c r="R20"/>
  <c r="J20"/>
  <c r="K20"/>
  <c r="T20"/>
  <c r="H21"/>
  <c r="Q21"/>
  <c r="I21"/>
  <c r="R21"/>
  <c r="J21"/>
  <c r="S21"/>
  <c r="K21"/>
  <c r="T21"/>
  <c r="H22"/>
  <c r="Q22"/>
  <c r="I22"/>
  <c r="R22"/>
  <c r="J22"/>
  <c r="S22"/>
  <c r="K22"/>
  <c r="H23"/>
  <c r="Q23"/>
  <c r="I23"/>
  <c r="R23"/>
  <c r="J23"/>
  <c r="S23"/>
  <c r="K23"/>
  <c r="T23"/>
  <c r="H24"/>
  <c r="Q24"/>
  <c r="I24"/>
  <c r="R24"/>
  <c r="J24"/>
  <c r="S24"/>
  <c r="K24"/>
  <c r="T24"/>
  <c r="H25"/>
  <c r="Q25"/>
  <c r="I25"/>
  <c r="R25"/>
  <c r="J25"/>
  <c r="K25"/>
  <c r="T25"/>
  <c r="H27"/>
  <c r="Q27"/>
  <c r="I27"/>
  <c r="R27"/>
  <c r="J27"/>
  <c r="S27"/>
  <c r="K27"/>
  <c r="H28"/>
  <c r="Q28"/>
  <c r="I28"/>
  <c r="R28"/>
  <c r="J28"/>
  <c r="S28"/>
  <c r="K28"/>
  <c r="H29"/>
  <c r="Q29"/>
  <c r="J29"/>
  <c r="S29"/>
  <c r="K29"/>
  <c r="T29"/>
  <c r="H31"/>
  <c r="Q31"/>
  <c r="I31"/>
  <c r="R31"/>
  <c r="J31"/>
  <c r="S31"/>
  <c r="K31"/>
  <c r="T31"/>
  <c r="H32"/>
  <c r="Q32"/>
  <c r="I32"/>
  <c r="R32"/>
  <c r="J32"/>
  <c r="K32"/>
  <c r="T32"/>
  <c r="H33"/>
  <c r="Q33"/>
  <c r="I33"/>
  <c r="R33"/>
  <c r="J33"/>
  <c r="K33"/>
  <c r="T33"/>
  <c r="H34"/>
  <c r="Q34"/>
  <c r="I34"/>
  <c r="R34"/>
  <c r="J34"/>
  <c r="S34"/>
  <c r="K34"/>
  <c r="T34"/>
  <c r="H35"/>
  <c r="Q35"/>
  <c r="I35"/>
  <c r="R35"/>
  <c r="J35"/>
  <c r="S35"/>
  <c r="K35"/>
  <c r="H37"/>
  <c r="Q37"/>
  <c r="I37"/>
  <c r="R37"/>
  <c r="J37"/>
  <c r="S37"/>
  <c r="K37"/>
  <c r="T37"/>
  <c r="H38"/>
  <c r="Q38"/>
  <c r="I38"/>
  <c r="R38"/>
  <c r="J38"/>
  <c r="S38"/>
  <c r="K38"/>
  <c r="T38"/>
  <c r="H39"/>
  <c r="Q39"/>
  <c r="I39"/>
  <c r="R39"/>
  <c r="J39"/>
  <c r="K39"/>
  <c r="T39"/>
  <c r="H40"/>
  <c r="Q40"/>
  <c r="I40"/>
  <c r="R40"/>
  <c r="J40"/>
  <c r="S40"/>
  <c r="K40"/>
  <c r="T40"/>
  <c r="H41"/>
  <c r="Q41"/>
  <c r="I41"/>
  <c r="R41"/>
  <c r="J41"/>
  <c r="S41"/>
  <c r="K41"/>
  <c r="H43"/>
  <c r="Q43"/>
  <c r="I43"/>
  <c r="R43"/>
  <c r="J43"/>
  <c r="K43"/>
  <c r="T43"/>
  <c r="H44"/>
  <c r="Q44"/>
  <c r="J44"/>
  <c r="S44"/>
  <c r="K44"/>
  <c r="T44"/>
  <c r="I45"/>
  <c r="R45"/>
  <c r="J45"/>
  <c r="S45"/>
  <c r="K45"/>
  <c r="H47"/>
  <c r="Q47"/>
  <c r="I47"/>
  <c r="R47"/>
  <c r="J47"/>
  <c r="S47"/>
  <c r="K47"/>
  <c r="T47"/>
  <c r="H51"/>
  <c r="Q51"/>
  <c r="I51"/>
  <c r="R51"/>
  <c r="J51"/>
  <c r="S51"/>
  <c r="K51"/>
  <c r="T51"/>
  <c r="H52"/>
  <c r="Q52"/>
  <c r="I52"/>
  <c r="R52"/>
  <c r="J52"/>
  <c r="S52"/>
  <c r="K52"/>
  <c r="H54"/>
  <c r="Q54"/>
  <c r="I54"/>
  <c r="R54"/>
  <c r="J54"/>
  <c r="S54"/>
  <c r="K54"/>
  <c r="T54"/>
  <c r="H55"/>
  <c r="Q55"/>
  <c r="I55"/>
  <c r="R55"/>
  <c r="J55"/>
  <c r="S55"/>
  <c r="K55"/>
  <c r="T55"/>
  <c r="H56"/>
  <c r="Q56"/>
  <c r="I56"/>
  <c r="R56"/>
  <c r="J56"/>
  <c r="S56"/>
  <c r="K56"/>
  <c r="H57"/>
  <c r="Q57"/>
  <c r="I57"/>
  <c r="R57"/>
  <c r="J57"/>
  <c r="S57"/>
  <c r="K57"/>
  <c r="T57"/>
  <c r="H58"/>
  <c r="Q58"/>
  <c r="I58"/>
  <c r="R58"/>
  <c r="J58"/>
  <c r="K58"/>
  <c r="T58"/>
  <c r="H59"/>
  <c r="Q59"/>
  <c r="I59"/>
  <c r="R59"/>
  <c r="J59"/>
  <c r="S59"/>
  <c r="K59"/>
  <c r="T59"/>
  <c r="H61"/>
  <c r="Q61"/>
  <c r="J61"/>
  <c r="K61"/>
  <c r="T61"/>
  <c r="H62"/>
  <c r="Q62"/>
  <c r="J62"/>
  <c r="K62"/>
  <c r="T62"/>
  <c r="H63"/>
  <c r="Q63"/>
  <c r="I63"/>
  <c r="R63"/>
  <c r="J63"/>
  <c r="S63"/>
  <c r="K63"/>
  <c r="T63"/>
  <c r="H64"/>
  <c r="Q64"/>
  <c r="I64"/>
  <c r="R64"/>
  <c r="J64"/>
  <c r="K64"/>
  <c r="T64"/>
  <c r="H65"/>
  <c r="Q65"/>
  <c r="I65"/>
  <c r="R65"/>
  <c r="J65"/>
  <c r="S65"/>
  <c r="K65"/>
  <c r="T65"/>
  <c r="H66"/>
  <c r="Q66"/>
  <c r="I66"/>
  <c r="R66"/>
  <c r="J66"/>
  <c r="K66"/>
  <c r="T66"/>
  <c r="H68"/>
  <c r="Q68"/>
  <c r="I68"/>
  <c r="R68"/>
  <c r="J68"/>
  <c r="S68"/>
  <c r="K68"/>
  <c r="T68"/>
  <c r="H69"/>
  <c r="Q69"/>
  <c r="I69"/>
  <c r="R69"/>
  <c r="J69"/>
  <c r="S69"/>
  <c r="K69"/>
  <c r="H71"/>
  <c r="Q71"/>
  <c r="I71"/>
  <c r="R71"/>
  <c r="J71"/>
  <c r="S71"/>
  <c r="K71"/>
  <c r="T71"/>
  <c r="H72"/>
  <c r="Q72"/>
  <c r="I72"/>
  <c r="R72"/>
  <c r="J72"/>
  <c r="S72"/>
  <c r="K72"/>
  <c r="T72"/>
  <c r="H73"/>
  <c r="Q73"/>
  <c r="I73"/>
  <c r="R73"/>
  <c r="J73"/>
  <c r="S73"/>
  <c r="K73"/>
  <c r="H74"/>
  <c r="Q74"/>
  <c r="I74"/>
  <c r="R74"/>
  <c r="J74"/>
  <c r="S74"/>
  <c r="K74"/>
  <c r="I75"/>
  <c r="R75"/>
  <c r="J75"/>
  <c r="S75"/>
  <c r="K75"/>
  <c r="T75"/>
  <c r="H76"/>
  <c r="Q76"/>
  <c r="I76"/>
  <c r="R76"/>
  <c r="J76"/>
  <c r="K76"/>
  <c r="T76"/>
  <c r="H78"/>
  <c r="Q78"/>
  <c r="I78"/>
  <c r="R78"/>
  <c r="J78"/>
  <c r="S78"/>
  <c r="K78"/>
  <c r="T78"/>
  <c r="H79"/>
  <c r="Q79"/>
  <c r="I79"/>
  <c r="R79"/>
  <c r="J79"/>
  <c r="S79"/>
  <c r="K79"/>
  <c r="T79"/>
  <c r="H80"/>
  <c r="Q80"/>
  <c r="I80"/>
  <c r="R80"/>
  <c r="J80"/>
  <c r="K80"/>
  <c r="T80"/>
  <c r="T81"/>
  <c r="H82"/>
  <c r="Q82"/>
  <c r="I82"/>
  <c r="R82"/>
  <c r="J82"/>
  <c r="S82"/>
  <c r="K82"/>
  <c r="T82"/>
  <c r="H83"/>
  <c r="Q83"/>
  <c r="I83"/>
  <c r="R83"/>
  <c r="J83"/>
  <c r="S83"/>
  <c r="K83"/>
  <c r="T83"/>
  <c r="I84"/>
  <c r="R84"/>
  <c r="K84"/>
  <c r="T84"/>
  <c r="H85"/>
  <c r="Q85"/>
  <c r="I85"/>
  <c r="R85"/>
  <c r="J85"/>
  <c r="S85"/>
  <c r="K85"/>
  <c r="I87"/>
  <c r="R87"/>
  <c r="J87"/>
  <c r="S87"/>
  <c r="K87"/>
  <c r="T87"/>
  <c r="H89"/>
  <c r="Q89"/>
  <c r="I89"/>
  <c r="R89"/>
  <c r="J89"/>
  <c r="S89"/>
  <c r="K89"/>
  <c r="I90"/>
  <c r="R90"/>
  <c r="J90"/>
  <c r="S90"/>
  <c r="K90"/>
  <c r="T90"/>
  <c r="Q92"/>
  <c r="R92"/>
  <c r="S92"/>
  <c r="T92"/>
  <c r="H94"/>
  <c r="Q94"/>
  <c r="I94"/>
  <c r="R94"/>
  <c r="J94"/>
  <c r="K94"/>
  <c r="T94"/>
  <c r="H95"/>
  <c r="Q95"/>
  <c r="I95"/>
  <c r="R95"/>
  <c r="J95"/>
  <c r="K95"/>
  <c r="T95"/>
  <c r="H96"/>
  <c r="Q96"/>
  <c r="I96"/>
  <c r="R96"/>
  <c r="J96"/>
  <c r="S96"/>
  <c r="K96"/>
  <c r="T96"/>
  <c r="H97"/>
  <c r="Q97"/>
  <c r="I97"/>
  <c r="R97"/>
  <c r="J97"/>
  <c r="S97"/>
  <c r="K97"/>
  <c r="T97"/>
  <c r="I98"/>
  <c r="R98"/>
  <c r="J98"/>
  <c r="S98"/>
  <c r="K98"/>
  <c r="T98"/>
  <c r="H99"/>
  <c r="Q99"/>
  <c r="J99"/>
  <c r="S99"/>
  <c r="K99"/>
  <c r="T99"/>
  <c r="J101"/>
  <c r="S101"/>
  <c r="K101"/>
  <c r="T101"/>
  <c r="H102"/>
  <c r="Q102"/>
  <c r="I102"/>
  <c r="R102"/>
  <c r="J102"/>
  <c r="S102"/>
  <c r="K102"/>
  <c r="H103"/>
  <c r="Q103"/>
  <c r="I103"/>
  <c r="R103"/>
  <c r="H105"/>
  <c r="Q105"/>
  <c r="I105"/>
  <c r="R105"/>
  <c r="J105"/>
  <c r="S105"/>
  <c r="K105"/>
  <c r="H106"/>
  <c r="Q106"/>
  <c r="I106"/>
  <c r="R106"/>
  <c r="J106"/>
  <c r="S106"/>
  <c r="K106"/>
  <c r="H107"/>
  <c r="Q107"/>
  <c r="I107"/>
  <c r="R107"/>
  <c r="J107"/>
  <c r="S107"/>
  <c r="K107"/>
  <c r="H108"/>
  <c r="Q108"/>
  <c r="I108"/>
  <c r="R108"/>
  <c r="J108"/>
  <c r="S108"/>
  <c r="K108"/>
  <c r="T108"/>
  <c r="H110"/>
  <c r="Q110"/>
  <c r="I110"/>
  <c r="R110"/>
  <c r="J110"/>
  <c r="K110"/>
  <c r="T110"/>
  <c r="I111"/>
  <c r="R111"/>
  <c r="J111"/>
  <c r="S111"/>
  <c r="K111"/>
  <c r="T111"/>
  <c r="I112"/>
  <c r="R112"/>
  <c r="J112"/>
  <c r="S112"/>
  <c r="K112"/>
  <c r="T112"/>
  <c r="J113"/>
  <c r="S113"/>
  <c r="K113"/>
  <c r="T113"/>
  <c r="H114"/>
  <c r="Q114"/>
  <c r="I114"/>
  <c r="R114"/>
  <c r="J114"/>
  <c r="S114"/>
  <c r="K114"/>
  <c r="T114"/>
  <c r="H115"/>
  <c r="Q115"/>
  <c r="I115"/>
  <c r="R115"/>
  <c r="J115"/>
  <c r="K115"/>
  <c r="T115"/>
  <c r="H116"/>
  <c r="Q116"/>
  <c r="I116"/>
  <c r="R116"/>
  <c r="J116"/>
  <c r="S116"/>
  <c r="K116"/>
  <c r="T116"/>
  <c r="H118"/>
  <c r="Q118"/>
  <c r="I118"/>
  <c r="R118"/>
  <c r="J118"/>
  <c r="S118"/>
  <c r="K118"/>
  <c r="T118"/>
  <c r="H119"/>
  <c r="Q119"/>
  <c r="I119"/>
  <c r="R119"/>
  <c r="J119"/>
  <c r="S119"/>
  <c r="K119"/>
  <c r="T119"/>
  <c r="H120"/>
  <c r="Q120"/>
  <c r="I120"/>
  <c r="R120"/>
  <c r="J120"/>
  <c r="K120"/>
  <c r="T120"/>
  <c r="H121"/>
  <c r="Q121"/>
  <c r="I121"/>
  <c r="R121"/>
  <c r="J121"/>
  <c r="S121"/>
  <c r="K121"/>
  <c r="T121"/>
  <c r="H122"/>
  <c r="Q122"/>
  <c r="I122"/>
  <c r="R122"/>
  <c r="J122"/>
  <c r="S122"/>
  <c r="K122"/>
  <c r="H123"/>
  <c r="Q123"/>
  <c r="I123"/>
  <c r="R123"/>
  <c r="J123"/>
  <c r="S123"/>
  <c r="K123"/>
  <c r="T123"/>
  <c r="H124"/>
  <c r="Q124"/>
  <c r="I124"/>
  <c r="R124"/>
  <c r="J124"/>
  <c r="S124"/>
  <c r="K124"/>
  <c r="T124"/>
  <c r="I125"/>
  <c r="R125"/>
  <c r="J125"/>
  <c r="K125"/>
  <c r="T125"/>
  <c r="H126"/>
  <c r="Q126"/>
  <c r="I126"/>
  <c r="R126"/>
  <c r="J126"/>
  <c r="K126"/>
  <c r="T126"/>
  <c r="Q128"/>
  <c r="R128"/>
  <c r="S128"/>
  <c r="T128"/>
  <c r="H130"/>
  <c r="Q130"/>
  <c r="I130"/>
  <c r="R130"/>
  <c r="J130"/>
  <c r="K130"/>
  <c r="T130"/>
  <c r="H131"/>
  <c r="Q131"/>
  <c r="J131"/>
  <c r="S131"/>
  <c r="K131"/>
  <c r="T131"/>
  <c r="H132"/>
  <c r="Q132"/>
  <c r="I132"/>
  <c r="R132"/>
  <c r="J132"/>
  <c r="S132"/>
  <c r="K132"/>
  <c r="T132"/>
  <c r="H133"/>
  <c r="Q133"/>
  <c r="I133"/>
  <c r="R133"/>
  <c r="J133"/>
  <c r="S133"/>
  <c r="K133"/>
  <c r="H134"/>
  <c r="Q134"/>
  <c r="I134"/>
  <c r="R134"/>
  <c r="J134"/>
  <c r="S134"/>
  <c r="K134"/>
  <c r="T134"/>
  <c r="H135"/>
  <c r="Q135"/>
  <c r="I135"/>
  <c r="R135"/>
  <c r="J135"/>
  <c r="K135"/>
  <c r="T135"/>
  <c r="J136"/>
  <c r="S136"/>
  <c r="K136"/>
  <c r="T136"/>
  <c r="H137"/>
  <c r="Q137"/>
  <c r="I137"/>
  <c r="R137"/>
  <c r="J137"/>
  <c r="S137"/>
  <c r="K137"/>
  <c r="T137"/>
  <c r="H138"/>
  <c r="Q138"/>
  <c r="I138"/>
  <c r="R138"/>
  <c r="J138"/>
  <c r="K138"/>
  <c r="T138"/>
  <c r="H139"/>
  <c r="Q139"/>
  <c r="I139"/>
  <c r="R139"/>
  <c r="J139"/>
  <c r="S139"/>
  <c r="K139"/>
  <c r="T139"/>
  <c r="J140"/>
  <c r="K140"/>
  <c r="T140"/>
  <c r="H141"/>
  <c r="Q141"/>
  <c r="J141"/>
  <c r="K141"/>
  <c r="T141"/>
  <c r="H143"/>
  <c r="Q143"/>
  <c r="I143"/>
  <c r="R143"/>
  <c r="J143"/>
  <c r="S143"/>
  <c r="K143"/>
  <c r="T143"/>
  <c r="H144"/>
  <c r="Q144"/>
  <c r="I144"/>
  <c r="R144"/>
  <c r="J144"/>
  <c r="S144"/>
  <c r="K144"/>
  <c r="T144"/>
  <c r="I145"/>
  <c r="R145"/>
  <c r="J145"/>
  <c r="S145"/>
  <c r="K145"/>
  <c r="T145"/>
  <c r="I146"/>
  <c r="R146"/>
  <c r="J146"/>
  <c r="S146"/>
  <c r="K146"/>
  <c r="T146"/>
  <c r="J147"/>
  <c r="K147"/>
  <c r="T147"/>
  <c r="H148"/>
  <c r="Q148"/>
  <c r="I148"/>
  <c r="R148"/>
  <c r="J148"/>
  <c r="S148"/>
  <c r="K148"/>
  <c r="T148"/>
  <c r="H149"/>
  <c r="Q149"/>
  <c r="I149"/>
  <c r="R149"/>
  <c r="J149"/>
  <c r="K149"/>
  <c r="T149"/>
  <c r="H151"/>
  <c r="Q151"/>
  <c r="I151"/>
  <c r="R151"/>
  <c r="J151"/>
  <c r="K151"/>
  <c r="T151"/>
  <c r="Q152"/>
  <c r="R152"/>
  <c r="T152"/>
  <c r="H154"/>
  <c r="Q154"/>
  <c r="I154"/>
  <c r="R154"/>
  <c r="J154"/>
  <c r="S154"/>
  <c r="K154"/>
  <c r="T154"/>
  <c r="H155"/>
  <c r="I155"/>
  <c r="R155"/>
  <c r="J155"/>
  <c r="S155"/>
  <c r="K155"/>
  <c r="T155"/>
  <c r="H156"/>
  <c r="Q156"/>
  <c r="I156"/>
  <c r="R156"/>
  <c r="J156"/>
  <c r="S156"/>
  <c r="K156"/>
  <c r="T156"/>
  <c r="H157"/>
  <c r="Q157"/>
  <c r="I157"/>
  <c r="R157"/>
  <c r="J157"/>
  <c r="S157"/>
  <c r="K157"/>
  <c r="T157"/>
  <c r="H158"/>
  <c r="Q158"/>
  <c r="I158"/>
  <c r="R158"/>
  <c r="J158"/>
  <c r="K158"/>
  <c r="T158"/>
  <c r="H159"/>
  <c r="Q159"/>
  <c r="I159"/>
  <c r="R159"/>
  <c r="J159"/>
  <c r="K159"/>
  <c r="T159"/>
  <c r="H160"/>
  <c r="Q160"/>
  <c r="I160"/>
  <c r="R160"/>
  <c r="J160"/>
  <c r="S160"/>
  <c r="H161"/>
  <c r="Q161"/>
  <c r="I161"/>
  <c r="R161"/>
  <c r="J161"/>
  <c r="K161"/>
  <c r="T161"/>
  <c r="H162"/>
  <c r="I162"/>
  <c r="R162"/>
  <c r="J162"/>
  <c r="S162"/>
  <c r="K162"/>
  <c r="T162"/>
  <c r="H163"/>
  <c r="Q163"/>
  <c r="I163"/>
  <c r="R163"/>
  <c r="J163"/>
  <c r="S163"/>
  <c r="K163"/>
  <c r="H164"/>
  <c r="Q164"/>
  <c r="I164"/>
  <c r="R164"/>
  <c r="J164"/>
  <c r="S164"/>
  <c r="K164"/>
  <c r="T164"/>
  <c r="H166"/>
  <c r="Q166"/>
  <c r="I166"/>
  <c r="R166"/>
  <c r="J166"/>
  <c r="S166"/>
  <c r="K166"/>
  <c r="T166"/>
  <c r="H167"/>
  <c r="Q167"/>
  <c r="I167"/>
  <c r="R167"/>
  <c r="J167"/>
  <c r="K167"/>
  <c r="T167"/>
  <c r="H168"/>
  <c r="Q168"/>
  <c r="I168"/>
  <c r="R168"/>
  <c r="J168"/>
  <c r="S168"/>
  <c r="K168"/>
  <c r="T168"/>
  <c r="I169"/>
  <c r="R169"/>
  <c r="J169"/>
  <c r="K169"/>
  <c r="T169"/>
  <c r="H170"/>
  <c r="Q170"/>
  <c r="I170"/>
  <c r="R170"/>
  <c r="J170"/>
  <c r="S170"/>
  <c r="K170"/>
  <c r="T170"/>
  <c r="H171"/>
  <c r="Q171"/>
  <c r="I171"/>
  <c r="R171"/>
  <c r="J171"/>
  <c r="S171"/>
  <c r="K171"/>
  <c r="T171"/>
  <c r="H172"/>
  <c r="Q172"/>
  <c r="I172"/>
  <c r="R172"/>
  <c r="J172"/>
  <c r="S172"/>
  <c r="K172"/>
  <c r="T172"/>
  <c r="H173"/>
  <c r="Q173"/>
  <c r="I173"/>
  <c r="R173"/>
  <c r="J173"/>
  <c r="K173"/>
  <c r="T173"/>
  <c r="H174"/>
  <c r="Q174"/>
  <c r="I174"/>
  <c r="R174"/>
  <c r="J174"/>
  <c r="K174"/>
  <c r="T174"/>
  <c r="H176"/>
  <c r="Q176"/>
  <c r="I176"/>
  <c r="R176"/>
  <c r="J176"/>
  <c r="K176"/>
  <c r="T176"/>
  <c r="H178"/>
  <c r="Q178"/>
  <c r="I178"/>
  <c r="R178"/>
  <c r="J178"/>
  <c r="S178"/>
  <c r="K178"/>
  <c r="T178"/>
  <c r="H179"/>
  <c r="Q179"/>
  <c r="I179"/>
  <c r="R179"/>
  <c r="J179"/>
  <c r="S179"/>
  <c r="K179"/>
  <c r="T179"/>
  <c r="H181"/>
  <c r="Q181"/>
  <c r="I181"/>
  <c r="R181"/>
  <c r="J181"/>
  <c r="K181"/>
  <c r="T181"/>
  <c r="H183"/>
  <c r="Q183"/>
  <c r="I183"/>
  <c r="R183"/>
  <c r="J183"/>
  <c r="S183"/>
  <c r="K183"/>
  <c r="H184"/>
  <c r="Q184"/>
  <c r="I184"/>
  <c r="R184"/>
  <c r="J184"/>
  <c r="S184"/>
  <c r="K184"/>
  <c r="H186"/>
  <c r="Q186"/>
  <c r="I186"/>
  <c r="R186"/>
  <c r="J186"/>
  <c r="S186"/>
  <c r="K186"/>
  <c r="T186"/>
  <c r="H187"/>
  <c r="Q187"/>
  <c r="I187"/>
  <c r="R187"/>
  <c r="J187"/>
  <c r="K187"/>
  <c r="T187"/>
  <c r="H188"/>
  <c r="Q188"/>
  <c r="I188"/>
  <c r="R188"/>
  <c r="J188"/>
  <c r="K188"/>
  <c r="T188"/>
  <c r="I191"/>
  <c r="R191"/>
  <c r="J191"/>
  <c r="K191"/>
  <c r="T191"/>
  <c r="H193"/>
  <c r="Q193"/>
  <c r="I193"/>
  <c r="R193"/>
  <c r="J193"/>
  <c r="K193"/>
  <c r="T193"/>
  <c r="H194"/>
  <c r="Q194"/>
  <c r="I194"/>
  <c r="R194"/>
  <c r="J194"/>
  <c r="K194"/>
  <c r="T194"/>
  <c r="H195"/>
  <c r="Q195"/>
  <c r="I195"/>
  <c r="R195"/>
  <c r="J195"/>
  <c r="S195"/>
  <c r="K195"/>
  <c r="T195"/>
  <c r="H197"/>
  <c r="Q197"/>
  <c r="J197"/>
  <c r="K197"/>
  <c r="T197"/>
  <c r="H199"/>
  <c r="Q199"/>
  <c r="J199"/>
  <c r="K199"/>
  <c r="T199"/>
  <c r="H200"/>
  <c r="Q200"/>
  <c r="I200"/>
  <c r="R200"/>
  <c r="J200"/>
  <c r="S200"/>
  <c r="K200"/>
  <c r="T200"/>
  <c r="H201"/>
  <c r="Q201"/>
  <c r="I201"/>
  <c r="R201"/>
  <c r="J201"/>
  <c r="S201"/>
  <c r="K201"/>
  <c r="T201"/>
  <c r="H203"/>
  <c r="Q203"/>
  <c r="I203"/>
  <c r="R203"/>
  <c r="J203"/>
  <c r="K203"/>
  <c r="T203"/>
  <c r="H204"/>
  <c r="Q204"/>
  <c r="I204"/>
  <c r="R204"/>
  <c r="J204"/>
  <c r="K204"/>
  <c r="T204"/>
  <c r="H206"/>
  <c r="Q206"/>
  <c r="J206"/>
  <c r="S206"/>
  <c r="K206"/>
  <c r="T206"/>
  <c r="H207"/>
  <c r="Q207"/>
  <c r="I207"/>
  <c r="R207"/>
  <c r="J207"/>
  <c r="S207"/>
  <c r="K207"/>
  <c r="T207"/>
  <c r="H208"/>
  <c r="Q208"/>
  <c r="I208"/>
  <c r="R208"/>
  <c r="J208"/>
  <c r="S208"/>
  <c r="K208"/>
  <c r="T208"/>
  <c r="H210"/>
  <c r="Q210"/>
  <c r="J210"/>
  <c r="K210"/>
  <c r="T210"/>
  <c r="I211"/>
  <c r="R211"/>
  <c r="J211"/>
  <c r="K211"/>
  <c r="T211"/>
  <c r="H213"/>
  <c r="Q213"/>
  <c r="I213"/>
  <c r="R213"/>
  <c r="J213"/>
  <c r="K213"/>
  <c r="T213"/>
  <c r="I214"/>
  <c r="R214"/>
  <c r="J214"/>
  <c r="S214"/>
  <c r="K214"/>
  <c r="T214"/>
  <c r="H215"/>
  <c r="Q215"/>
  <c r="I215"/>
  <c r="R215"/>
  <c r="J215"/>
  <c r="K215"/>
  <c r="T215"/>
  <c r="H216"/>
  <c r="Q216"/>
  <c r="I216"/>
  <c r="R216"/>
  <c r="J216"/>
  <c r="K216"/>
  <c r="T216"/>
  <c r="H217"/>
  <c r="Q217"/>
  <c r="I217"/>
  <c r="R217"/>
  <c r="J217"/>
  <c r="K217"/>
  <c r="T217"/>
  <c r="H218"/>
  <c r="Q218"/>
  <c r="I218"/>
  <c r="R218"/>
  <c r="J218"/>
  <c r="S218"/>
  <c r="K218"/>
  <c r="T218"/>
  <c r="H219"/>
  <c r="Q219"/>
  <c r="I219"/>
  <c r="R219"/>
  <c r="J219"/>
  <c r="K219"/>
  <c r="T219"/>
  <c r="H220"/>
  <c r="Q220"/>
  <c r="I220"/>
  <c r="R220"/>
  <c r="J220"/>
  <c r="K220"/>
  <c r="T220"/>
  <c r="H221"/>
  <c r="Q221"/>
  <c r="I221"/>
  <c r="R221"/>
  <c r="J221"/>
  <c r="K221"/>
  <c r="T221"/>
  <c r="H222"/>
  <c r="Q222"/>
  <c r="I222"/>
  <c r="R222"/>
  <c r="J222"/>
  <c r="K222"/>
  <c r="T222"/>
  <c r="H223"/>
  <c r="Q223"/>
  <c r="I223"/>
  <c r="R223"/>
  <c r="J223"/>
  <c r="K223"/>
  <c r="T223"/>
  <c r="H225"/>
  <c r="Q225"/>
  <c r="I225"/>
  <c r="R225"/>
  <c r="J225"/>
  <c r="K225"/>
  <c r="T225"/>
  <c r="H227"/>
  <c r="Q227"/>
  <c r="I227"/>
  <c r="R227"/>
  <c r="J227"/>
  <c r="K227"/>
  <c r="T227"/>
  <c r="H228"/>
  <c r="Q228"/>
  <c r="I228"/>
  <c r="R228"/>
  <c r="J228"/>
  <c r="K228"/>
  <c r="T228"/>
  <c r="H229"/>
  <c r="Q229"/>
  <c r="I229"/>
  <c r="R229"/>
  <c r="J229"/>
  <c r="K229"/>
  <c r="T229"/>
  <c r="H231"/>
  <c r="Q231"/>
  <c r="I231"/>
  <c r="R231"/>
  <c r="J231"/>
  <c r="K231"/>
  <c r="T231"/>
  <c r="H232"/>
  <c r="Q232"/>
  <c r="I232"/>
  <c r="R232"/>
  <c r="J232"/>
  <c r="K232"/>
  <c r="T232"/>
  <c r="H234"/>
  <c r="Q234"/>
  <c r="I234"/>
  <c r="R234"/>
  <c r="J234"/>
  <c r="K234"/>
  <c r="T234"/>
  <c r="H236"/>
  <c r="Q236"/>
  <c r="I236"/>
  <c r="R236"/>
  <c r="J236"/>
  <c r="K236"/>
  <c r="T236"/>
  <c r="H238"/>
  <c r="Q238"/>
  <c r="I238"/>
  <c r="R238"/>
  <c r="J238"/>
  <c r="K238"/>
  <c r="T238"/>
  <c r="H239"/>
  <c r="Q239"/>
  <c r="I239"/>
  <c r="R239"/>
  <c r="J239"/>
  <c r="K239"/>
  <c r="T239"/>
  <c r="H244"/>
  <c r="Q244"/>
  <c r="J244"/>
  <c r="K244"/>
  <c r="T244"/>
  <c r="H245"/>
  <c r="Q245"/>
  <c r="I245"/>
  <c r="R245"/>
  <c r="J245"/>
  <c r="K245"/>
  <c r="T245"/>
  <c r="H247"/>
  <c r="Q247"/>
  <c r="I247"/>
  <c r="R247"/>
  <c r="J247"/>
  <c r="K247"/>
  <c r="T247"/>
  <c r="H248"/>
  <c r="Q248"/>
  <c r="I248"/>
  <c r="R248"/>
  <c r="J248"/>
  <c r="K248"/>
  <c r="T248"/>
  <c r="H249"/>
  <c r="Q249"/>
  <c r="I249"/>
  <c r="R249"/>
  <c r="J249"/>
  <c r="K249"/>
  <c r="T249"/>
  <c r="H250"/>
  <c r="Q250"/>
  <c r="I250"/>
  <c r="R250"/>
  <c r="J250"/>
  <c r="K250"/>
  <c r="T250"/>
  <c r="H251"/>
  <c r="Q251"/>
  <c r="I251"/>
  <c r="R251"/>
  <c r="J251"/>
  <c r="K251"/>
  <c r="T251"/>
  <c r="I253"/>
  <c r="R253"/>
  <c r="J253"/>
  <c r="K253"/>
  <c r="T253"/>
  <c r="H254"/>
  <c r="Q254"/>
  <c r="J254"/>
  <c r="S254"/>
  <c r="K254"/>
  <c r="T254"/>
  <c r="H255"/>
  <c r="Q255"/>
  <c r="I255"/>
  <c r="R255"/>
  <c r="J255"/>
  <c r="K255"/>
  <c r="T255"/>
  <c r="H256"/>
  <c r="Q256"/>
  <c r="I256"/>
  <c r="R256"/>
  <c r="J256"/>
  <c r="K256"/>
  <c r="T256"/>
  <c r="Q258"/>
  <c r="R258"/>
  <c r="T258"/>
  <c r="I260"/>
  <c r="R260"/>
  <c r="J260"/>
  <c r="K260"/>
  <c r="T260"/>
  <c r="I262"/>
  <c r="R262"/>
  <c r="J262"/>
  <c r="S262"/>
  <c r="K262"/>
  <c r="T262"/>
  <c r="H263"/>
  <c r="Q263"/>
  <c r="I263"/>
  <c r="R263"/>
  <c r="J263"/>
  <c r="K263"/>
  <c r="T263"/>
  <c r="I265"/>
  <c r="R265"/>
  <c r="J265"/>
  <c r="K265"/>
  <c r="T265"/>
  <c r="I266"/>
  <c r="R266"/>
  <c r="J266"/>
  <c r="S266"/>
  <c r="K266"/>
  <c r="T266"/>
  <c r="H267"/>
  <c r="Q267"/>
  <c r="I267"/>
  <c r="R267"/>
  <c r="J267"/>
  <c r="K267"/>
  <c r="T267"/>
  <c r="H268"/>
  <c r="Q268"/>
  <c r="J268"/>
  <c r="K268"/>
  <c r="T268"/>
  <c r="H270"/>
  <c r="Q270"/>
  <c r="I270"/>
  <c r="R270"/>
  <c r="J270"/>
  <c r="K270"/>
  <c r="T270"/>
  <c r="H271"/>
  <c r="Q271"/>
  <c r="J271"/>
  <c r="S271"/>
  <c r="K271"/>
  <c r="T271"/>
  <c r="Q272"/>
  <c r="R272"/>
  <c r="T272"/>
  <c r="H273"/>
  <c r="Q273"/>
  <c r="I273"/>
  <c r="R273"/>
  <c r="J273"/>
  <c r="S273"/>
  <c r="K273"/>
  <c r="T273"/>
  <c r="H274"/>
  <c r="Q274"/>
  <c r="I274"/>
  <c r="R274"/>
  <c r="J274"/>
  <c r="K274"/>
  <c r="T274"/>
  <c r="H276"/>
  <c r="Q276"/>
  <c r="I276"/>
  <c r="R276"/>
  <c r="J276"/>
  <c r="K276"/>
  <c r="T276"/>
  <c r="H277"/>
  <c r="Q277"/>
  <c r="I277"/>
  <c r="R277"/>
  <c r="J277"/>
  <c r="S277"/>
  <c r="K277"/>
  <c r="T277"/>
  <c r="H278"/>
  <c r="Q278"/>
  <c r="I278"/>
  <c r="R278"/>
  <c r="J278"/>
  <c r="K278"/>
  <c r="T278"/>
  <c r="H279"/>
  <c r="Q279"/>
  <c r="I279"/>
  <c r="R279"/>
  <c r="J279"/>
  <c r="S279"/>
  <c r="K279"/>
  <c r="T279"/>
  <c r="H280"/>
  <c r="Q280"/>
  <c r="I280"/>
  <c r="R280"/>
  <c r="J280"/>
  <c r="S280"/>
  <c r="K280"/>
  <c r="T280"/>
  <c r="H281"/>
  <c r="Q281"/>
  <c r="I281"/>
  <c r="R281"/>
  <c r="J281"/>
  <c r="K281"/>
  <c r="T281"/>
  <c r="H282"/>
  <c r="Q282"/>
  <c r="I282"/>
  <c r="R282"/>
  <c r="J282"/>
  <c r="K282"/>
  <c r="T282"/>
  <c r="H283"/>
  <c r="Q283"/>
  <c r="I283"/>
  <c r="R283"/>
  <c r="J283"/>
  <c r="K283"/>
  <c r="T283"/>
  <c r="H285"/>
  <c r="Q285"/>
  <c r="I285"/>
  <c r="R285"/>
  <c r="J285"/>
  <c r="K285"/>
  <c r="T285"/>
  <c r="H286"/>
  <c r="Q286"/>
  <c r="I286"/>
  <c r="R286"/>
  <c r="J286"/>
  <c r="K286"/>
  <c r="T286"/>
  <c r="H287"/>
  <c r="Q287"/>
  <c r="I287"/>
  <c r="R287"/>
  <c r="J287"/>
  <c r="K287"/>
  <c r="T287"/>
  <c r="H288"/>
  <c r="Q288"/>
  <c r="I288"/>
  <c r="R288"/>
  <c r="J288"/>
  <c r="K288"/>
  <c r="T288"/>
  <c r="H289"/>
  <c r="Q289"/>
  <c r="I289"/>
  <c r="R289"/>
  <c r="J289"/>
  <c r="K289"/>
  <c r="T289"/>
  <c r="H290"/>
  <c r="Q290"/>
  <c r="I290"/>
  <c r="R290"/>
  <c r="J290"/>
  <c r="K290"/>
  <c r="T290"/>
  <c r="H291"/>
  <c r="Q291"/>
  <c r="I291"/>
  <c r="R291"/>
  <c r="J291"/>
  <c r="K291"/>
  <c r="T291"/>
  <c r="H292"/>
  <c r="Q292"/>
  <c r="I292"/>
  <c r="R292"/>
  <c r="J292"/>
  <c r="S292"/>
  <c r="K292"/>
  <c r="T292"/>
  <c r="J293"/>
  <c r="S293"/>
  <c r="K293"/>
  <c r="T293"/>
  <c r="H294"/>
  <c r="Q294"/>
  <c r="I294"/>
  <c r="R294"/>
  <c r="J294"/>
  <c r="S294"/>
  <c r="K294"/>
  <c r="T294"/>
  <c r="H296"/>
  <c r="Q296"/>
  <c r="I296"/>
  <c r="R296"/>
  <c r="J296"/>
  <c r="K296"/>
  <c r="T296"/>
  <c r="Q297"/>
  <c r="R297"/>
  <c r="S297"/>
  <c r="T297"/>
  <c r="H299"/>
  <c r="Q299"/>
  <c r="I299"/>
  <c r="R299"/>
  <c r="J299"/>
  <c r="K299"/>
  <c r="T299"/>
  <c r="H300"/>
  <c r="Q300"/>
  <c r="I300"/>
  <c r="R300"/>
  <c r="J300"/>
  <c r="K300"/>
  <c r="T300"/>
  <c r="H301"/>
  <c r="Q301"/>
  <c r="I301"/>
  <c r="R301"/>
  <c r="J301"/>
  <c r="K301"/>
  <c r="T301"/>
  <c r="H303"/>
  <c r="Q303"/>
  <c r="I303"/>
  <c r="R303"/>
  <c r="J303"/>
  <c r="K303"/>
  <c r="T303"/>
  <c r="H304"/>
  <c r="Q304"/>
  <c r="I304"/>
  <c r="R304"/>
  <c r="J304"/>
  <c r="K304"/>
  <c r="T304"/>
  <c r="H305"/>
  <c r="Q305"/>
  <c r="I305"/>
  <c r="R305"/>
  <c r="J305"/>
  <c r="K305"/>
  <c r="T305"/>
  <c r="H306"/>
  <c r="Q306"/>
  <c r="I306"/>
  <c r="R306"/>
  <c r="J306"/>
  <c r="K306"/>
  <c r="T306"/>
  <c r="H307"/>
  <c r="Q307"/>
  <c r="I307"/>
  <c r="R307"/>
  <c r="J307"/>
  <c r="K307"/>
  <c r="T307"/>
  <c r="I308"/>
  <c r="R308"/>
  <c r="J308"/>
  <c r="K308"/>
  <c r="T308"/>
  <c r="H309"/>
  <c r="Q309"/>
  <c r="I309"/>
  <c r="R309"/>
  <c r="J309"/>
  <c r="K309"/>
  <c r="T309"/>
  <c r="H310"/>
  <c r="Q310"/>
  <c r="I310"/>
  <c r="R310"/>
  <c r="J310"/>
  <c r="K310"/>
  <c r="T310"/>
  <c r="H312"/>
  <c r="Q312"/>
  <c r="I312"/>
  <c r="R312"/>
  <c r="J312"/>
  <c r="S312"/>
  <c r="K312"/>
  <c r="T312"/>
  <c r="H329"/>
  <c r="I329"/>
  <c r="J329"/>
  <c r="K329"/>
  <c r="I330"/>
  <c r="R330"/>
  <c r="J330"/>
  <c r="S330"/>
  <c r="K330"/>
  <c r="T330"/>
  <c r="H331"/>
  <c r="Q331"/>
  <c r="J331"/>
  <c r="S331"/>
  <c r="K331"/>
  <c r="T331"/>
  <c r="H332"/>
  <c r="Q332"/>
  <c r="J332"/>
  <c r="K332"/>
  <c r="T332"/>
  <c r="H333"/>
  <c r="Q333"/>
  <c r="I333"/>
  <c r="R333"/>
  <c r="J333"/>
  <c r="K333"/>
  <c r="T333"/>
  <c r="H334"/>
  <c r="Q334"/>
  <c r="I334"/>
  <c r="R334"/>
  <c r="J334"/>
  <c r="K334"/>
  <c r="T334"/>
  <c r="H335"/>
  <c r="Q335"/>
  <c r="I335"/>
  <c r="R335"/>
  <c r="J335"/>
  <c r="K335"/>
  <c r="T335"/>
  <c r="H336"/>
  <c r="Q336"/>
  <c r="J336"/>
  <c r="K336"/>
  <c r="T336"/>
  <c r="H337"/>
  <c r="Q337"/>
  <c r="I337"/>
  <c r="R337"/>
  <c r="J337"/>
  <c r="S337"/>
  <c r="K337"/>
  <c r="T337"/>
  <c r="H338"/>
  <c r="Q338"/>
  <c r="I338"/>
  <c r="R338"/>
  <c r="J338"/>
  <c r="K338"/>
  <c r="T338"/>
  <c r="I339"/>
  <c r="R339"/>
  <c r="J339"/>
  <c r="K339"/>
  <c r="T339"/>
  <c r="I340"/>
  <c r="R340"/>
  <c r="J340"/>
  <c r="K340"/>
  <c r="T340"/>
  <c r="I341"/>
  <c r="R341"/>
  <c r="J341"/>
  <c r="K341"/>
  <c r="T341"/>
  <c r="H342"/>
  <c r="Q342"/>
  <c r="I342"/>
  <c r="R342"/>
  <c r="J342"/>
  <c r="K342"/>
  <c r="T342"/>
  <c r="H343"/>
  <c r="Q343"/>
  <c r="I343"/>
  <c r="R343"/>
  <c r="J343"/>
  <c r="K343"/>
  <c r="T343"/>
  <c r="I344"/>
  <c r="R344"/>
  <c r="J344"/>
  <c r="K344"/>
  <c r="T344"/>
  <c r="H345"/>
  <c r="Q345"/>
  <c r="I345"/>
  <c r="R345"/>
  <c r="J345"/>
  <c r="K345"/>
  <c r="T345"/>
  <c r="I346"/>
  <c r="R346"/>
  <c r="J346"/>
  <c r="K346"/>
  <c r="T346"/>
  <c r="I347"/>
  <c r="R347"/>
  <c r="J347"/>
  <c r="S347"/>
  <c r="K347"/>
  <c r="T347"/>
  <c r="H348"/>
  <c r="Q348"/>
  <c r="I348"/>
  <c r="R348"/>
  <c r="J348"/>
  <c r="K348"/>
  <c r="T348"/>
  <c r="I349"/>
  <c r="R349"/>
  <c r="J349"/>
  <c r="K349"/>
  <c r="T349"/>
  <c r="H350"/>
  <c r="Q350"/>
  <c r="I350"/>
  <c r="R350"/>
  <c r="J350"/>
  <c r="K350"/>
  <c r="T350"/>
  <c r="H351"/>
  <c r="Q351"/>
  <c r="I351"/>
  <c r="R351"/>
  <c r="J351"/>
  <c r="K351"/>
  <c r="T351"/>
  <c r="I352"/>
  <c r="R352"/>
  <c r="J352"/>
  <c r="K352"/>
  <c r="T352"/>
  <c r="I8"/>
  <c r="J8"/>
  <c r="K8"/>
  <c r="H8"/>
  <c r="Z352"/>
  <c r="AD352"/>
  <c r="Y352"/>
  <c r="Z351"/>
  <c r="AD351"/>
  <c r="Y351"/>
  <c r="Z350"/>
  <c r="AD350"/>
  <c r="Y350"/>
  <c r="Z349"/>
  <c r="AD349"/>
  <c r="Y349"/>
  <c r="Z348"/>
  <c r="AD348"/>
  <c r="Y348"/>
  <c r="Z347"/>
  <c r="AD347"/>
  <c r="Y347"/>
  <c r="Z346"/>
  <c r="AD346"/>
  <c r="Y346"/>
  <c r="Z345"/>
  <c r="AD345"/>
  <c r="Y345"/>
  <c r="Z344"/>
  <c r="AD344"/>
  <c r="Y344"/>
  <c r="Z343"/>
  <c r="AD343"/>
  <c r="Y343"/>
  <c r="Z342"/>
  <c r="AD342"/>
  <c r="Y342"/>
  <c r="Z341"/>
  <c r="AD341"/>
  <c r="Y341"/>
  <c r="Z340"/>
  <c r="AD340"/>
  <c r="Y340"/>
  <c r="Z339"/>
  <c r="AD339"/>
  <c r="Y339"/>
  <c r="Z338"/>
  <c r="AD338"/>
  <c r="Y338"/>
  <c r="Z337"/>
  <c r="AD337"/>
  <c r="Y337"/>
  <c r="Z336"/>
  <c r="AD336"/>
  <c r="Y336"/>
  <c r="Z335"/>
  <c r="AD335"/>
  <c r="Y335"/>
  <c r="Z334"/>
  <c r="AD334"/>
  <c r="Y334"/>
  <c r="Z333"/>
  <c r="AD333"/>
  <c r="Y333"/>
  <c r="Z332"/>
  <c r="AD332"/>
  <c r="Y332"/>
  <c r="Z331"/>
  <c r="AD331"/>
  <c r="Y331"/>
  <c r="Z330"/>
  <c r="AD330"/>
  <c r="Y330"/>
  <c r="Z329"/>
  <c r="AD329"/>
  <c r="Y329"/>
  <c r="Z328"/>
  <c r="AD328"/>
  <c r="Y328"/>
  <c r="Z312"/>
  <c r="AD312"/>
  <c r="Y312"/>
  <c r="Z311"/>
  <c r="AD311"/>
  <c r="Y311"/>
  <c r="Z310"/>
  <c r="AD310"/>
  <c r="Y310"/>
  <c r="Z309"/>
  <c r="AD309"/>
  <c r="Y309"/>
  <c r="Z308"/>
  <c r="AD308"/>
  <c r="Y308"/>
  <c r="Z307"/>
  <c r="AD307"/>
  <c r="Y307"/>
  <c r="Z306"/>
  <c r="AD306"/>
  <c r="Y306"/>
  <c r="Z305"/>
  <c r="AD305"/>
  <c r="Y305"/>
  <c r="Z304"/>
  <c r="AD304"/>
  <c r="Y304"/>
  <c r="Z303"/>
  <c r="AD303"/>
  <c r="Y303"/>
  <c r="Z302"/>
  <c r="AD302"/>
  <c r="Y302"/>
  <c r="Z301"/>
  <c r="AD301"/>
  <c r="Y301"/>
  <c r="Z300"/>
  <c r="AD300"/>
  <c r="Y300"/>
  <c r="Z299"/>
  <c r="AD299"/>
  <c r="Y299"/>
  <c r="Z298"/>
  <c r="AD298"/>
  <c r="Y298"/>
  <c r="Z297"/>
  <c r="AD297"/>
  <c r="Y297"/>
  <c r="Z296"/>
  <c r="AD296"/>
  <c r="Y296"/>
  <c r="Z295"/>
  <c r="AD295"/>
  <c r="Y295"/>
  <c r="Z294"/>
  <c r="AD294"/>
  <c r="Y294"/>
  <c r="Z293"/>
  <c r="AD293"/>
  <c r="Y293"/>
  <c r="Z292"/>
  <c r="AD292"/>
  <c r="Y292"/>
  <c r="Z291"/>
  <c r="AD291"/>
  <c r="Y291"/>
  <c r="Z290"/>
  <c r="AD290"/>
  <c r="Y290"/>
  <c r="Z289"/>
  <c r="AD289"/>
  <c r="Y289"/>
  <c r="Z288"/>
  <c r="AD288"/>
  <c r="Y288"/>
  <c r="Z287"/>
  <c r="AD287"/>
  <c r="Y287"/>
  <c r="Z286"/>
  <c r="AD286"/>
  <c r="Y286"/>
  <c r="Z285"/>
  <c r="AD285"/>
  <c r="Y285"/>
  <c r="Z283"/>
  <c r="AD283"/>
  <c r="Y283"/>
  <c r="Z282"/>
  <c r="AD282"/>
  <c r="Y282"/>
  <c r="Z281"/>
  <c r="AD281"/>
  <c r="Y281"/>
  <c r="Z280"/>
  <c r="AD280"/>
  <c r="Y280"/>
  <c r="Z278"/>
  <c r="AD278"/>
  <c r="Y278"/>
  <c r="Z277"/>
  <c r="AD277"/>
  <c r="Y277"/>
  <c r="Z276"/>
  <c r="AD276"/>
  <c r="Y276"/>
  <c r="Z275"/>
  <c r="AD275"/>
  <c r="Y275"/>
  <c r="Z274"/>
  <c r="AD274"/>
  <c r="Y274"/>
  <c r="Z273"/>
  <c r="AD273"/>
  <c r="Y273"/>
  <c r="Z272"/>
  <c r="AD272"/>
  <c r="Y272"/>
  <c r="D272"/>
  <c r="C272"/>
  <c r="A272"/>
  <c r="Z271"/>
  <c r="AD271"/>
  <c r="Y271"/>
  <c r="Z270"/>
  <c r="AD270"/>
  <c r="Y270"/>
  <c r="Z269"/>
  <c r="AD269"/>
  <c r="Y269"/>
  <c r="Z268"/>
  <c r="AD268"/>
  <c r="Y268"/>
  <c r="Z267"/>
  <c r="AD267"/>
  <c r="Y267"/>
  <c r="Z266"/>
  <c r="AD266"/>
  <c r="Y266"/>
  <c r="Z265"/>
  <c r="AD265"/>
  <c r="Y265"/>
  <c r="Z264"/>
  <c r="AD264"/>
  <c r="Y264"/>
  <c r="Z263"/>
  <c r="AD263"/>
  <c r="Y263"/>
  <c r="Z262"/>
  <c r="AD262"/>
  <c r="Y262"/>
  <c r="Z261"/>
  <c r="AD261"/>
  <c r="Y261"/>
  <c r="Z260"/>
  <c r="AD260"/>
  <c r="Y260"/>
  <c r="Z259"/>
  <c r="AD259"/>
  <c r="Y259"/>
  <c r="Z258"/>
  <c r="AD258"/>
  <c r="Y258"/>
  <c r="Z257"/>
  <c r="AD257"/>
  <c r="Y257"/>
  <c r="Z256"/>
  <c r="AD256"/>
  <c r="Y256"/>
  <c r="Z255"/>
  <c r="AD255"/>
  <c r="Y255"/>
  <c r="Z254"/>
  <c r="AD254"/>
  <c r="Y254"/>
  <c r="Z253"/>
  <c r="AD253"/>
  <c r="Y253"/>
  <c r="Z252"/>
  <c r="AD252"/>
  <c r="Y252"/>
  <c r="Z251"/>
  <c r="AD251"/>
  <c r="Y251"/>
  <c r="Z250"/>
  <c r="AD250"/>
  <c r="Y250"/>
  <c r="Z249"/>
  <c r="AD249"/>
  <c r="Y249"/>
  <c r="Z248"/>
  <c r="AD248"/>
  <c r="Y248"/>
  <c r="Z247"/>
  <c r="AD247"/>
  <c r="Y247"/>
  <c r="Z246"/>
  <c r="AD246"/>
  <c r="Y246"/>
  <c r="Z244"/>
  <c r="AD244"/>
  <c r="Y244"/>
  <c r="Z240"/>
  <c r="AD240"/>
  <c r="Y240"/>
  <c r="Z239"/>
  <c r="AD239"/>
  <c r="Y239"/>
  <c r="Z238"/>
  <c r="AD238"/>
  <c r="Y238"/>
  <c r="Z237"/>
  <c r="AD237"/>
  <c r="Y237"/>
  <c r="Z236"/>
  <c r="AD236"/>
  <c r="Y236"/>
  <c r="Z235"/>
  <c r="AD235"/>
  <c r="Y235"/>
  <c r="Z234"/>
  <c r="AD234"/>
  <c r="Y234"/>
  <c r="Z233"/>
  <c r="AD233"/>
  <c r="Y233"/>
  <c r="Z232"/>
  <c r="AD232"/>
  <c r="Y232"/>
  <c r="Z231"/>
  <c r="AD231"/>
  <c r="Y231"/>
  <c r="Z230"/>
  <c r="AD230"/>
  <c r="Y230"/>
  <c r="Z229"/>
  <c r="AD229"/>
  <c r="Y229"/>
  <c r="Z228"/>
  <c r="AD228"/>
  <c r="Y228"/>
  <c r="Z227"/>
  <c r="AD227"/>
  <c r="Y227"/>
  <c r="Z226"/>
  <c r="AD226"/>
  <c r="Y226"/>
  <c r="Z225"/>
  <c r="AD225"/>
  <c r="Y225"/>
  <c r="Z224"/>
  <c r="AD224"/>
  <c r="Y224"/>
  <c r="Z223"/>
  <c r="AD223"/>
  <c r="Y223"/>
  <c r="Z222"/>
  <c r="AD222"/>
  <c r="Y222"/>
  <c r="Z221"/>
  <c r="AD221"/>
  <c r="Y221"/>
  <c r="Z220"/>
  <c r="AD220"/>
  <c r="Y220"/>
  <c r="Z219"/>
  <c r="AD219"/>
  <c r="Y219"/>
  <c r="Z218"/>
  <c r="AD218"/>
  <c r="Y218"/>
  <c r="Z217"/>
  <c r="AD217"/>
  <c r="Y217"/>
  <c r="Z216"/>
  <c r="AD216"/>
  <c r="Y216"/>
  <c r="Z215"/>
  <c r="AD215"/>
  <c r="Y215"/>
  <c r="Z214"/>
  <c r="AD214"/>
  <c r="Y214"/>
  <c r="Z212"/>
  <c r="AD212"/>
  <c r="Y212"/>
  <c r="Z211"/>
  <c r="AD211"/>
  <c r="Y211"/>
  <c r="Z210"/>
  <c r="AD210"/>
  <c r="Y210"/>
  <c r="Z209"/>
  <c r="AD209"/>
  <c r="Y209"/>
  <c r="Z208"/>
  <c r="AD208"/>
  <c r="Y208"/>
  <c r="Z207"/>
  <c r="AD207"/>
  <c r="Y207"/>
  <c r="Z206"/>
  <c r="AD206"/>
  <c r="Y206"/>
  <c r="Z205"/>
  <c r="AD205"/>
  <c r="Y205"/>
  <c r="Z204"/>
  <c r="AD204"/>
  <c r="Y204"/>
  <c r="Z203"/>
  <c r="AD203"/>
  <c r="Y203"/>
  <c r="Z202"/>
  <c r="AD202"/>
  <c r="Y202"/>
  <c r="Z201"/>
  <c r="AD201"/>
  <c r="Y201"/>
  <c r="Z200"/>
  <c r="AD200"/>
  <c r="Y200"/>
  <c r="Z199"/>
  <c r="AD199"/>
  <c r="Y199"/>
  <c r="Z198"/>
  <c r="AD198"/>
  <c r="Y198"/>
  <c r="Z197"/>
  <c r="AD197"/>
  <c r="Y197"/>
  <c r="Z196"/>
  <c r="AD196"/>
  <c r="Y196"/>
  <c r="Z195"/>
  <c r="AD195"/>
  <c r="Y195"/>
  <c r="Z194"/>
  <c r="AD194"/>
  <c r="Y194"/>
  <c r="Z193"/>
  <c r="AD193"/>
  <c r="Y193"/>
  <c r="Z192"/>
  <c r="AD192"/>
  <c r="Y192"/>
  <c r="Z191"/>
  <c r="AD191"/>
  <c r="Y191"/>
  <c r="Z189"/>
  <c r="AD189"/>
  <c r="Y189"/>
  <c r="Z188"/>
  <c r="AD188"/>
  <c r="Y188"/>
  <c r="Z187"/>
  <c r="AD187"/>
  <c r="Y187"/>
  <c r="Z186"/>
  <c r="AD186"/>
  <c r="Y186"/>
  <c r="Z185"/>
  <c r="AD185"/>
  <c r="Y185"/>
  <c r="Z183"/>
  <c r="AD183"/>
  <c r="Y183"/>
  <c r="Z182"/>
  <c r="AD182"/>
  <c r="Y182"/>
  <c r="Z181"/>
  <c r="AD181"/>
  <c r="Y181"/>
  <c r="Z180"/>
  <c r="AD180"/>
  <c r="Y180"/>
  <c r="Z179"/>
  <c r="AD179"/>
  <c r="Y179"/>
  <c r="Z178"/>
  <c r="AD178"/>
  <c r="Y178"/>
  <c r="Z177"/>
  <c r="AD177"/>
  <c r="Y177"/>
  <c r="Z176"/>
  <c r="AD176"/>
  <c r="Y176"/>
  <c r="Z175"/>
  <c r="AD175"/>
  <c r="Y175"/>
  <c r="Z174"/>
  <c r="AD174"/>
  <c r="Y174"/>
  <c r="Z173"/>
  <c r="AD173"/>
  <c r="Y173"/>
  <c r="Z172"/>
  <c r="AD172"/>
  <c r="Y172"/>
  <c r="Z171"/>
  <c r="AD171"/>
  <c r="Y171"/>
  <c r="Z170"/>
  <c r="AD170"/>
  <c r="Y170"/>
  <c r="Z169"/>
  <c r="AD169"/>
  <c r="Y169"/>
  <c r="Z168"/>
  <c r="AD168"/>
  <c r="Y168"/>
  <c r="Z167"/>
  <c r="AD167"/>
  <c r="Y167"/>
  <c r="Z166"/>
  <c r="AD166"/>
  <c r="Y166"/>
  <c r="Z165"/>
  <c r="AD165"/>
  <c r="Y165"/>
  <c r="Z164"/>
  <c r="AD164"/>
  <c r="Y164"/>
  <c r="Z163"/>
  <c r="AD163"/>
  <c r="Y163"/>
  <c r="Z162"/>
  <c r="AD162"/>
  <c r="Y162"/>
  <c r="Z161"/>
  <c r="AD161"/>
  <c r="Y161"/>
  <c r="Z160"/>
  <c r="AD160"/>
  <c r="Y160"/>
  <c r="Z159"/>
  <c r="AD159"/>
  <c r="Y159"/>
  <c r="Z158"/>
  <c r="AD158"/>
  <c r="Y158"/>
  <c r="Z157"/>
  <c r="AD157"/>
  <c r="Y157"/>
  <c r="Z156"/>
  <c r="AD156"/>
  <c r="Y156"/>
  <c r="Z155"/>
  <c r="AD155"/>
  <c r="Y155"/>
  <c r="Z154"/>
  <c r="AD154"/>
  <c r="Y154"/>
  <c r="Z153"/>
  <c r="AD153"/>
  <c r="Y153"/>
  <c r="Z152"/>
  <c r="AD152"/>
  <c r="Y152"/>
  <c r="Z151"/>
  <c r="AD151"/>
  <c r="Y151"/>
  <c r="Z150"/>
  <c r="AD150"/>
  <c r="Y150"/>
  <c r="Z149"/>
  <c r="AD149"/>
  <c r="Y149"/>
  <c r="Z148"/>
  <c r="AD148"/>
  <c r="Y148"/>
  <c r="Z147"/>
  <c r="AD147"/>
  <c r="Y147"/>
  <c r="Z146"/>
  <c r="AD146"/>
  <c r="Y146"/>
  <c r="Z145"/>
  <c r="AD145"/>
  <c r="Y145"/>
  <c r="Z144"/>
  <c r="AD144"/>
  <c r="Y144"/>
  <c r="Z143"/>
  <c r="AD143"/>
  <c r="Y143"/>
  <c r="Z142"/>
  <c r="AD142"/>
  <c r="Y142"/>
  <c r="Z141"/>
  <c r="AD141"/>
  <c r="Y141"/>
  <c r="Z140"/>
  <c r="AD140"/>
  <c r="Y140"/>
  <c r="Z139"/>
  <c r="AD139"/>
  <c r="Y139"/>
  <c r="Z138"/>
  <c r="AD138"/>
  <c r="Y138"/>
  <c r="Z137"/>
  <c r="AD137"/>
  <c r="Y137"/>
  <c r="Z136"/>
  <c r="AD136"/>
  <c r="Y136"/>
  <c r="Z135"/>
  <c r="AD135"/>
  <c r="Y135"/>
  <c r="Z134"/>
  <c r="AD134"/>
  <c r="Y134"/>
  <c r="Z133"/>
  <c r="AD133"/>
  <c r="Y133"/>
  <c r="Z132"/>
  <c r="AD132"/>
  <c r="Y132"/>
  <c r="Z131"/>
  <c r="AD131"/>
  <c r="Y131"/>
  <c r="Z130"/>
  <c r="AD130"/>
  <c r="Y130"/>
  <c r="Z129"/>
  <c r="AD129"/>
  <c r="Y129"/>
  <c r="Z128"/>
  <c r="AD128"/>
  <c r="Y128"/>
  <c r="Z126"/>
  <c r="AD126"/>
  <c r="Y126"/>
  <c r="Z125"/>
  <c r="AD125"/>
  <c r="Y125"/>
  <c r="Z124"/>
  <c r="AD124"/>
  <c r="Y124"/>
  <c r="Z123"/>
  <c r="AD123"/>
  <c r="Y123"/>
  <c r="Z122"/>
  <c r="AD122"/>
  <c r="Y122"/>
  <c r="Z121"/>
  <c r="AD121"/>
  <c r="Y121"/>
  <c r="Z120"/>
  <c r="AD120"/>
  <c r="Y120"/>
  <c r="Z119"/>
  <c r="AD119"/>
  <c r="Y119"/>
  <c r="Z118"/>
  <c r="AD118"/>
  <c r="Y118"/>
  <c r="Z117"/>
  <c r="AD117"/>
  <c r="Y117"/>
  <c r="Z116"/>
  <c r="AD116"/>
  <c r="Y116"/>
  <c r="Z115"/>
  <c r="AD115"/>
  <c r="Y115"/>
  <c r="Z114"/>
  <c r="AD114"/>
  <c r="Y114"/>
  <c r="Z113"/>
  <c r="AD113"/>
  <c r="Y113"/>
  <c r="Z112"/>
  <c r="AD112"/>
  <c r="Y112"/>
  <c r="Z111"/>
  <c r="AD111"/>
  <c r="Y111"/>
  <c r="Z110"/>
  <c r="AD110"/>
  <c r="Y110"/>
  <c r="Z109"/>
  <c r="AD109"/>
  <c r="Y109"/>
  <c r="Z108"/>
  <c r="AD108"/>
  <c r="Y108"/>
  <c r="Z107"/>
  <c r="AD107"/>
  <c r="Y107"/>
  <c r="Z106"/>
  <c r="AD106"/>
  <c r="Y106"/>
  <c r="Z105"/>
  <c r="AD105"/>
  <c r="Y105"/>
  <c r="Z104"/>
  <c r="AD104"/>
  <c r="Y104"/>
  <c r="Z103"/>
  <c r="AD103"/>
  <c r="Y103"/>
  <c r="Z102"/>
  <c r="AD102"/>
  <c r="Y102"/>
  <c r="Z101"/>
  <c r="AD101"/>
  <c r="Y101"/>
  <c r="Z100"/>
  <c r="AD100"/>
  <c r="Y100"/>
  <c r="Z99"/>
  <c r="AD99"/>
  <c r="Y99"/>
  <c r="Z98"/>
  <c r="AD98"/>
  <c r="Y98"/>
  <c r="Z97"/>
  <c r="AD97"/>
  <c r="Y97"/>
  <c r="Z96"/>
  <c r="AD96"/>
  <c r="Y96"/>
  <c r="Z95"/>
  <c r="AD95"/>
  <c r="Y95"/>
  <c r="Z94"/>
  <c r="AD94"/>
  <c r="Y94"/>
  <c r="Z93"/>
  <c r="AD93"/>
  <c r="Y93"/>
  <c r="Z92"/>
  <c r="AD92"/>
  <c r="Y92"/>
  <c r="Z91"/>
  <c r="AD91"/>
  <c r="Y91"/>
  <c r="Z90"/>
  <c r="AD90"/>
  <c r="Y90"/>
  <c r="Z89"/>
  <c r="AD89"/>
  <c r="Y89"/>
  <c r="Z88"/>
  <c r="AD88"/>
  <c r="Y88"/>
  <c r="Z87"/>
  <c r="AD87"/>
  <c r="Y87"/>
  <c r="Z86"/>
  <c r="AD86"/>
  <c r="Y86"/>
  <c r="Z85"/>
  <c r="AD85"/>
  <c r="Y85"/>
  <c r="Z84"/>
  <c r="AD84"/>
  <c r="Y84"/>
  <c r="Z83"/>
  <c r="AD83"/>
  <c r="Y83"/>
  <c r="Z82"/>
  <c r="AD82"/>
  <c r="Y82"/>
  <c r="Z81"/>
  <c r="AD81"/>
  <c r="Y81"/>
  <c r="S81"/>
  <c r="R81"/>
  <c r="Q81"/>
  <c r="Z80"/>
  <c r="AD80"/>
  <c r="Y80"/>
  <c r="Z79"/>
  <c r="AD79"/>
  <c r="Y79"/>
  <c r="Z78"/>
  <c r="AD78"/>
  <c r="Y78"/>
  <c r="Z77"/>
  <c r="AD77"/>
  <c r="Y77"/>
  <c r="Z76"/>
  <c r="AD76"/>
  <c r="Y76"/>
  <c r="Z75"/>
  <c r="AD75"/>
  <c r="Y75"/>
  <c r="Z74"/>
  <c r="AD74"/>
  <c r="Y74"/>
  <c r="Z73"/>
  <c r="AD73"/>
  <c r="Y73"/>
  <c r="Z72"/>
  <c r="AD72"/>
  <c r="Y72"/>
  <c r="Z71"/>
  <c r="AD71"/>
  <c r="Y71"/>
  <c r="Z70"/>
  <c r="AD70"/>
  <c r="Y70"/>
  <c r="Z69"/>
  <c r="AD69"/>
  <c r="Y69"/>
  <c r="Z68"/>
  <c r="AD68"/>
  <c r="Y68"/>
  <c r="Z66"/>
  <c r="AD66"/>
  <c r="Y66"/>
  <c r="Z65"/>
  <c r="AD65"/>
  <c r="Y65"/>
  <c r="Z64"/>
  <c r="AD64"/>
  <c r="Y64"/>
  <c r="Z63"/>
  <c r="AD63"/>
  <c r="Y63"/>
  <c r="Z62"/>
  <c r="AD62"/>
  <c r="Y62"/>
  <c r="Z61"/>
  <c r="AD61"/>
  <c r="Y61"/>
  <c r="Z60"/>
  <c r="AD60"/>
  <c r="Y60"/>
  <c r="Z59"/>
  <c r="AD59"/>
  <c r="Y59"/>
  <c r="Z57"/>
  <c r="AD57"/>
  <c r="Y57"/>
  <c r="Z56"/>
  <c r="AD56"/>
  <c r="Y56"/>
  <c r="Z55"/>
  <c r="AD55"/>
  <c r="Y55"/>
  <c r="Z54"/>
  <c r="AD54"/>
  <c r="Y54"/>
  <c r="Z53"/>
  <c r="AD53"/>
  <c r="Y53"/>
  <c r="Z52"/>
  <c r="AD52"/>
  <c r="Y52"/>
  <c r="Z51"/>
  <c r="AD51"/>
  <c r="Y51"/>
  <c r="Z50"/>
  <c r="AD50"/>
  <c r="Y50"/>
  <c r="Z49"/>
  <c r="AD49"/>
  <c r="Y49"/>
  <c r="Z48"/>
  <c r="AD48"/>
  <c r="Y48"/>
  <c r="Z47"/>
  <c r="AD47"/>
  <c r="Y47"/>
  <c r="Z46"/>
  <c r="AD46"/>
  <c r="Y46"/>
  <c r="Z45"/>
  <c r="AD45"/>
  <c r="Y45"/>
  <c r="Z44"/>
  <c r="AD44"/>
  <c r="Y44"/>
  <c r="Z43"/>
  <c r="AD43"/>
  <c r="Y43"/>
  <c r="Z42"/>
  <c r="AD42"/>
  <c r="Y42"/>
  <c r="Z41"/>
  <c r="AD41"/>
  <c r="Y41"/>
  <c r="Z40"/>
  <c r="AD40"/>
  <c r="Y40"/>
  <c r="Z39"/>
  <c r="AD39"/>
  <c r="Y39"/>
  <c r="Z38"/>
  <c r="AD38"/>
  <c r="Y38"/>
  <c r="Z37"/>
  <c r="AD37"/>
  <c r="Y37"/>
  <c r="Z35"/>
  <c r="AD35"/>
  <c r="Y35"/>
  <c r="Z34"/>
  <c r="AD34"/>
  <c r="Y34"/>
  <c r="Z33"/>
  <c r="AD33"/>
  <c r="Y33"/>
  <c r="Z32"/>
  <c r="AD32"/>
  <c r="Y32"/>
  <c r="Z29"/>
  <c r="AD29"/>
  <c r="Y29"/>
  <c r="Z28"/>
  <c r="AD28"/>
  <c r="Y28"/>
  <c r="Z27"/>
  <c r="AD27"/>
  <c r="Y27"/>
  <c r="Z26"/>
  <c r="AD26"/>
  <c r="Y26"/>
  <c r="Z25"/>
  <c r="AD25"/>
  <c r="Y25"/>
  <c r="Z24"/>
  <c r="AD24"/>
  <c r="Y24"/>
  <c r="Z23"/>
  <c r="AD23"/>
  <c r="Y23"/>
  <c r="Z22"/>
  <c r="AD22"/>
  <c r="Y22"/>
  <c r="Z21"/>
  <c r="AD21"/>
  <c r="Y21"/>
  <c r="Z20"/>
  <c r="AD20"/>
  <c r="Y20"/>
  <c r="Z19"/>
  <c r="AD19"/>
  <c r="Y19"/>
  <c r="Z18"/>
  <c r="AD18"/>
  <c r="Y18"/>
  <c r="Z17"/>
  <c r="AD17"/>
  <c r="Y17"/>
  <c r="Z16"/>
  <c r="AD16"/>
  <c r="Y16"/>
  <c r="Z15"/>
  <c r="AD15"/>
  <c r="Y15"/>
  <c r="Z14"/>
  <c r="AD14"/>
  <c r="Y14"/>
  <c r="Z13"/>
  <c r="AD13"/>
  <c r="Y13"/>
  <c r="Z12"/>
  <c r="AD12"/>
  <c r="Y12"/>
  <c r="Z11"/>
  <c r="Y11"/>
  <c r="Z10"/>
  <c r="AD10"/>
  <c r="Y10"/>
  <c r="Z9"/>
  <c r="AD9"/>
  <c r="Y9"/>
  <c r="Z8"/>
  <c r="AD8"/>
  <c r="Y8"/>
  <c r="S186" i="1"/>
  <c r="S156"/>
  <c r="S43"/>
  <c r="S11"/>
  <c r="S12"/>
  <c r="S13"/>
  <c r="S14"/>
  <c r="S15"/>
  <c r="S16"/>
  <c r="S17"/>
  <c r="S18"/>
  <c r="S19"/>
  <c r="S20"/>
  <c r="S21"/>
  <c r="S22"/>
  <c r="S23"/>
  <c r="S24"/>
  <c r="S25"/>
  <c r="S26"/>
  <c r="S27"/>
  <c r="S29"/>
  <c r="S30"/>
  <c r="S31"/>
  <c r="S33"/>
  <c r="S34"/>
  <c r="S35"/>
  <c r="S36"/>
  <c r="S37"/>
  <c r="S39"/>
  <c r="S40"/>
  <c r="S41"/>
  <c r="S42"/>
  <c r="S45"/>
  <c r="S46"/>
  <c r="S47"/>
  <c r="S49"/>
  <c r="S51"/>
  <c r="S53"/>
  <c r="S54"/>
  <c r="S56"/>
  <c r="S57"/>
  <c r="S58"/>
  <c r="S59"/>
  <c r="S60"/>
  <c r="S61"/>
  <c r="S63"/>
  <c r="S64"/>
  <c r="S65"/>
  <c r="S66"/>
  <c r="S67"/>
  <c r="S68"/>
  <c r="S70"/>
  <c r="S71"/>
  <c r="S73"/>
  <c r="S74"/>
  <c r="S75"/>
  <c r="S76"/>
  <c r="S77"/>
  <c r="S78"/>
  <c r="S80"/>
  <c r="S81"/>
  <c r="S82"/>
  <c r="S84"/>
  <c r="S85"/>
  <c r="S87"/>
  <c r="S89"/>
  <c r="S91"/>
  <c r="S92"/>
  <c r="S94"/>
  <c r="S96"/>
  <c r="S97"/>
  <c r="S98"/>
  <c r="S99"/>
  <c r="S100"/>
  <c r="S101"/>
  <c r="S103"/>
  <c r="S104"/>
  <c r="S107"/>
  <c r="S108"/>
  <c r="S109"/>
  <c r="S110"/>
  <c r="S112"/>
  <c r="S113"/>
  <c r="S114"/>
  <c r="S115"/>
  <c r="S116"/>
  <c r="S117"/>
  <c r="S118"/>
  <c r="S120"/>
  <c r="S121"/>
  <c r="S122"/>
  <c r="S123"/>
  <c r="S124"/>
  <c r="S125"/>
  <c r="S126"/>
  <c r="S127"/>
  <c r="S128"/>
  <c r="S130"/>
  <c r="S132"/>
  <c r="S133"/>
  <c r="S134"/>
  <c r="S135"/>
  <c r="S136"/>
  <c r="S137"/>
  <c r="S138"/>
  <c r="S139"/>
  <c r="S140"/>
  <c r="S141"/>
  <c r="S142"/>
  <c r="S143"/>
  <c r="S145"/>
  <c r="S146"/>
  <c r="S147"/>
  <c r="S148"/>
  <c r="S149"/>
  <c r="S150"/>
  <c r="S151"/>
  <c r="S153"/>
  <c r="S154"/>
  <c r="S157"/>
  <c r="S158"/>
  <c r="S159"/>
  <c r="S160"/>
  <c r="S161"/>
  <c r="S162"/>
  <c r="S163"/>
  <c r="S164"/>
  <c r="S165"/>
  <c r="S166"/>
  <c r="S168"/>
  <c r="S169"/>
  <c r="S170"/>
  <c r="S171"/>
  <c r="S172"/>
  <c r="S173"/>
  <c r="S174"/>
  <c r="S175"/>
  <c r="S176"/>
  <c r="S178"/>
  <c r="S180"/>
  <c r="S181"/>
  <c r="S183"/>
  <c r="S185"/>
  <c r="S188"/>
  <c r="S189"/>
  <c r="S190"/>
  <c r="S193"/>
  <c r="S195"/>
  <c r="S196"/>
  <c r="S197"/>
  <c r="S199"/>
  <c r="S201"/>
  <c r="S202"/>
  <c r="S203"/>
  <c r="S205"/>
  <c r="S206"/>
  <c r="S208"/>
  <c r="S209"/>
  <c r="S210"/>
  <c r="S212"/>
  <c r="S213"/>
  <c r="S215"/>
  <c r="S216"/>
  <c r="S217"/>
  <c r="S218"/>
  <c r="S219"/>
  <c r="S220"/>
  <c r="S221"/>
  <c r="S222"/>
  <c r="S223"/>
  <c r="S224"/>
  <c r="S225"/>
  <c r="S227"/>
  <c r="S229"/>
  <c r="S230"/>
  <c r="S231"/>
  <c r="S233"/>
  <c r="S234"/>
  <c r="S236"/>
  <c r="S238"/>
  <c r="S240"/>
  <c r="S241"/>
  <c r="S245"/>
  <c r="S246"/>
  <c r="S247"/>
  <c r="S249"/>
  <c r="S250"/>
  <c r="S251"/>
  <c r="S252"/>
  <c r="S253"/>
  <c r="S255"/>
  <c r="S256"/>
  <c r="S257"/>
  <c r="S258"/>
  <c r="S260"/>
  <c r="S262"/>
  <c r="S264"/>
  <c r="S265"/>
  <c r="S267"/>
  <c r="S268"/>
  <c r="S269"/>
  <c r="S270"/>
  <c r="S272"/>
  <c r="S273"/>
  <c r="S274"/>
  <c r="S275"/>
  <c r="S276"/>
  <c r="S278"/>
  <c r="S279"/>
  <c r="S280"/>
  <c r="S281"/>
  <c r="S282"/>
  <c r="S283"/>
  <c r="S284"/>
  <c r="S285"/>
  <c r="S287"/>
  <c r="S288"/>
  <c r="S289"/>
  <c r="S290"/>
  <c r="S291"/>
  <c r="S292"/>
  <c r="S293"/>
  <c r="S294"/>
  <c r="S295"/>
  <c r="S296"/>
  <c r="S298"/>
  <c r="S299"/>
  <c r="S301"/>
  <c r="S302"/>
  <c r="S303"/>
  <c r="S305"/>
  <c r="S306"/>
  <c r="S307"/>
  <c r="S308"/>
  <c r="S309"/>
  <c r="S310"/>
  <c r="S311"/>
  <c r="S312"/>
  <c r="S314"/>
  <c r="Q331"/>
  <c r="R331"/>
  <c r="S331"/>
  <c r="T331"/>
  <c r="R332"/>
  <c r="S332"/>
  <c r="T332"/>
  <c r="Q333"/>
  <c r="S333"/>
  <c r="T333"/>
  <c r="Q334"/>
  <c r="S334"/>
  <c r="T334"/>
  <c r="Q335"/>
  <c r="R335"/>
  <c r="S335"/>
  <c r="T335"/>
  <c r="Q336"/>
  <c r="R336"/>
  <c r="S336"/>
  <c r="T336"/>
  <c r="Q337"/>
  <c r="R337"/>
  <c r="S337"/>
  <c r="T337"/>
  <c r="Q338"/>
  <c r="S338"/>
  <c r="T338"/>
  <c r="Q339"/>
  <c r="R339"/>
  <c r="S339"/>
  <c r="T339"/>
  <c r="Q340"/>
  <c r="R340"/>
  <c r="S340"/>
  <c r="T340"/>
  <c r="R341"/>
  <c r="S341"/>
  <c r="T341"/>
  <c r="R342"/>
  <c r="S342"/>
  <c r="T342"/>
  <c r="R343"/>
  <c r="S343"/>
  <c r="T343"/>
  <c r="Q344"/>
  <c r="R344"/>
  <c r="S344"/>
  <c r="T344"/>
  <c r="Q345"/>
  <c r="R345"/>
  <c r="S345"/>
  <c r="T345"/>
  <c r="R346"/>
  <c r="S346"/>
  <c r="T346"/>
  <c r="Q347"/>
  <c r="R347"/>
  <c r="S347"/>
  <c r="T347"/>
  <c r="R348"/>
  <c r="S348"/>
  <c r="T348"/>
  <c r="R349"/>
  <c r="S349"/>
  <c r="T349"/>
  <c r="Q350"/>
  <c r="R350"/>
  <c r="S350"/>
  <c r="T350"/>
  <c r="R351"/>
  <c r="S351"/>
  <c r="T351"/>
  <c r="Q352"/>
  <c r="R352"/>
  <c r="S352"/>
  <c r="T352"/>
  <c r="Q353"/>
  <c r="R353"/>
  <c r="S353"/>
  <c r="T353"/>
  <c r="R354"/>
  <c r="S354"/>
  <c r="T354"/>
  <c r="S355"/>
  <c r="T355"/>
  <c r="V356" i="4"/>
  <c r="X356"/>
  <c r="T353" i="6"/>
  <c r="W353"/>
  <c r="S353"/>
  <c r="K353" i="4"/>
  <c r="J353"/>
  <c r="T322" i="6"/>
  <c r="S326"/>
  <c r="S356"/>
  <c r="S322"/>
  <c r="T326"/>
  <c r="U13"/>
  <c r="AD11" i="4"/>
  <c r="AD353"/>
  <c r="Z313"/>
  <c r="R11"/>
  <c r="Q11"/>
  <c r="Y313"/>
  <c r="T11"/>
  <c r="S11"/>
  <c r="X328" i="1"/>
  <c r="X358"/>
  <c r="U358"/>
  <c r="U321" i="6"/>
  <c r="U329"/>
  <c r="R329" i="4"/>
  <c r="Q329"/>
  <c r="Q8"/>
  <c r="T8"/>
  <c r="S8"/>
  <c r="R8"/>
  <c r="U308" i="1"/>
  <c r="U292"/>
  <c r="U290"/>
  <c r="U339"/>
  <c r="U309"/>
  <c r="L162" i="4"/>
  <c r="Q162"/>
  <c r="U162"/>
  <c r="L37"/>
  <c r="L12"/>
  <c r="U160" i="1"/>
  <c r="U58"/>
  <c r="L78" i="4"/>
  <c r="U280" i="1"/>
  <c r="U161"/>
  <c r="U22"/>
  <c r="U20"/>
  <c r="U16"/>
  <c r="T12" i="4"/>
  <c r="U12"/>
  <c r="Q155"/>
  <c r="U155"/>
  <c r="L155"/>
  <c r="L20"/>
  <c r="U180" i="1"/>
  <c r="U172"/>
  <c r="U136"/>
  <c r="U26"/>
  <c r="U21"/>
  <c r="U17"/>
  <c r="U14"/>
  <c r="L208" i="4"/>
  <c r="L186"/>
  <c r="U220" i="1"/>
  <c r="U197"/>
  <c r="U132"/>
  <c r="U45"/>
  <c r="U42"/>
  <c r="S20" i="4"/>
  <c r="U20"/>
  <c r="L97"/>
  <c r="U260" i="1"/>
  <c r="L24" i="4"/>
  <c r="L132"/>
  <c r="L163"/>
  <c r="L122"/>
  <c r="L207"/>
  <c r="L184"/>
  <c r="L183"/>
  <c r="L179"/>
  <c r="U312" i="1"/>
  <c r="U236"/>
  <c r="U234"/>
  <c r="U230"/>
  <c r="U222"/>
  <c r="U188"/>
  <c r="U176"/>
  <c r="U164"/>
  <c r="U123"/>
  <c r="U122"/>
  <c r="U121"/>
  <c r="U118"/>
  <c r="U91"/>
  <c r="U66"/>
  <c r="U345"/>
  <c r="W355"/>
  <c r="V353" i="4"/>
  <c r="U314" i="1"/>
  <c r="U275"/>
  <c r="U245"/>
  <c r="U190"/>
  <c r="U166"/>
  <c r="U71"/>
  <c r="U68"/>
  <c r="U54"/>
  <c r="U53"/>
  <c r="U51"/>
  <c r="U49"/>
  <c r="U34"/>
  <c r="U11"/>
  <c r="U156"/>
  <c r="U350"/>
  <c r="U347"/>
  <c r="U335"/>
  <c r="U276"/>
  <c r="U203"/>
  <c r="U168"/>
  <c r="U296"/>
  <c r="U284"/>
  <c r="U281"/>
  <c r="U252"/>
  <c r="U251"/>
  <c r="U250"/>
  <c r="U249"/>
  <c r="U247"/>
  <c r="U196"/>
  <c r="U170"/>
  <c r="U140"/>
  <c r="U107"/>
  <c r="U99"/>
  <c r="U98"/>
  <c r="U94"/>
  <c r="U87"/>
  <c r="U75"/>
  <c r="U74"/>
  <c r="U40"/>
  <c r="U36"/>
  <c r="U353"/>
  <c r="U337"/>
  <c r="U311"/>
  <c r="U306"/>
  <c r="U302"/>
  <c r="U293"/>
  <c r="U288"/>
  <c r="U283"/>
  <c r="U278"/>
  <c r="U269"/>
  <c r="U224"/>
  <c r="U219"/>
  <c r="U217"/>
  <c r="U185"/>
  <c r="U183"/>
  <c r="U181"/>
  <c r="U178"/>
  <c r="U163"/>
  <c r="U158"/>
  <c r="U141"/>
  <c r="U135"/>
  <c r="U104"/>
  <c r="U84"/>
  <c r="U81"/>
  <c r="U65"/>
  <c r="U61"/>
  <c r="U56"/>
  <c r="U33"/>
  <c r="U29"/>
  <c r="U186"/>
  <c r="U344"/>
  <c r="U340"/>
  <c r="U336"/>
  <c r="U307"/>
  <c r="U303"/>
  <c r="U299"/>
  <c r="U298"/>
  <c r="U294"/>
  <c r="U289"/>
  <c r="U285"/>
  <c r="U279"/>
  <c r="U274"/>
  <c r="U265"/>
  <c r="U215"/>
  <c r="U210"/>
  <c r="U206"/>
  <c r="U202"/>
  <c r="U175"/>
  <c r="U165"/>
  <c r="U159"/>
  <c r="U154"/>
  <c r="U153"/>
  <c r="U151"/>
  <c r="U146"/>
  <c r="U126"/>
  <c r="U116"/>
  <c r="U82"/>
  <c r="U78"/>
  <c r="U73"/>
  <c r="U57"/>
  <c r="U30"/>
  <c r="U25"/>
  <c r="U24"/>
  <c r="U23"/>
  <c r="U19"/>
  <c r="U15"/>
  <c r="U21" i="4"/>
  <c r="U352" i="1"/>
  <c r="U331"/>
  <c r="U291"/>
  <c r="U287"/>
  <c r="U282"/>
  <c r="U272"/>
  <c r="U240"/>
  <c r="U233"/>
  <c r="U231"/>
  <c r="U229"/>
  <c r="U227"/>
  <c r="U223"/>
  <c r="U218"/>
  <c r="U195"/>
  <c r="U157"/>
  <c r="U139"/>
  <c r="U110"/>
  <c r="U85"/>
  <c r="U70"/>
  <c r="U67"/>
  <c r="U60"/>
  <c r="U41"/>
  <c r="U39"/>
  <c r="U37"/>
  <c r="U35"/>
  <c r="U18"/>
  <c r="U13"/>
  <c r="U43"/>
  <c r="U8" i="6"/>
  <c r="L107" i="4"/>
  <c r="L106"/>
  <c r="L52"/>
  <c r="L280"/>
  <c r="L28"/>
  <c r="L23"/>
  <c r="L15"/>
  <c r="L8"/>
  <c r="U13"/>
  <c r="T89"/>
  <c r="U89"/>
  <c r="L89"/>
  <c r="T74"/>
  <c r="U74"/>
  <c r="L74"/>
  <c r="T73"/>
  <c r="U73"/>
  <c r="L73"/>
  <c r="T35"/>
  <c r="U35"/>
  <c r="L35"/>
  <c r="T27"/>
  <c r="U27"/>
  <c r="L27"/>
  <c r="L14"/>
  <c r="T14"/>
  <c r="U14"/>
  <c r="T329"/>
  <c r="L69"/>
  <c r="T69"/>
  <c r="U69"/>
  <c r="T56"/>
  <c r="U56"/>
  <c r="L56"/>
  <c r="L49"/>
  <c r="T49"/>
  <c r="U49"/>
  <c r="T28"/>
  <c r="U28"/>
  <c r="U78"/>
  <c r="L123"/>
  <c r="U164"/>
  <c r="L171"/>
  <c r="T183"/>
  <c r="U183"/>
  <c r="T184"/>
  <c r="U184"/>
  <c r="S352"/>
  <c r="S350"/>
  <c r="U350"/>
  <c r="L350"/>
  <c r="S349"/>
  <c r="L345"/>
  <c r="S345"/>
  <c r="U345"/>
  <c r="L343"/>
  <c r="S343"/>
  <c r="U343"/>
  <c r="S341"/>
  <c r="S339"/>
  <c r="L168"/>
  <c r="U47"/>
  <c r="L55"/>
  <c r="T107"/>
  <c r="U107"/>
  <c r="L148"/>
  <c r="U156"/>
  <c r="T163"/>
  <c r="U163"/>
  <c r="L292"/>
  <c r="T133"/>
  <c r="U133"/>
  <c r="L133"/>
  <c r="T105"/>
  <c r="U105"/>
  <c r="L105"/>
  <c r="T102"/>
  <c r="U102"/>
  <c r="L102"/>
  <c r="T85"/>
  <c r="U85"/>
  <c r="L85"/>
  <c r="T45"/>
  <c r="T41"/>
  <c r="U41"/>
  <c r="L41"/>
  <c r="L22"/>
  <c r="T22"/>
  <c r="U22"/>
  <c r="U59"/>
  <c r="T122"/>
  <c r="U122"/>
  <c r="U186"/>
  <c r="S351"/>
  <c r="U351"/>
  <c r="L351"/>
  <c r="S348"/>
  <c r="U348"/>
  <c r="L348"/>
  <c r="S346"/>
  <c r="S344"/>
  <c r="L342"/>
  <c r="S342"/>
  <c r="U342"/>
  <c r="S340"/>
  <c r="L338"/>
  <c r="S338"/>
  <c r="U338"/>
  <c r="L13"/>
  <c r="L21"/>
  <c r="L38"/>
  <c r="T52"/>
  <c r="U52"/>
  <c r="T106"/>
  <c r="U106"/>
  <c r="U148"/>
  <c r="L201"/>
  <c r="S336"/>
  <c r="L334"/>
  <c r="S334"/>
  <c r="U334"/>
  <c r="S332"/>
  <c r="L312"/>
  <c r="L310"/>
  <c r="S310"/>
  <c r="U310"/>
  <c r="S308"/>
  <c r="S306"/>
  <c r="U306"/>
  <c r="L306"/>
  <c r="L304"/>
  <c r="S304"/>
  <c r="U304"/>
  <c r="L301"/>
  <c r="S301"/>
  <c r="U301"/>
  <c r="S299"/>
  <c r="U299"/>
  <c r="L299"/>
  <c r="L296"/>
  <c r="S296"/>
  <c r="U296"/>
  <c r="S291"/>
  <c r="U291"/>
  <c r="L291"/>
  <c r="L289"/>
  <c r="S289"/>
  <c r="U289"/>
  <c r="L287"/>
  <c r="S287"/>
  <c r="U287"/>
  <c r="L285"/>
  <c r="S285"/>
  <c r="U285"/>
  <c r="S283"/>
  <c r="U283"/>
  <c r="L283"/>
  <c r="S281"/>
  <c r="U281"/>
  <c r="L281"/>
  <c r="L277"/>
  <c r="S265"/>
  <c r="L247"/>
  <c r="S247"/>
  <c r="U247"/>
  <c r="U123"/>
  <c r="L200"/>
  <c r="U201"/>
  <c r="L273"/>
  <c r="L279"/>
  <c r="L337"/>
  <c r="L335"/>
  <c r="S335"/>
  <c r="U335"/>
  <c r="L333"/>
  <c r="S333"/>
  <c r="U333"/>
  <c r="L329"/>
  <c r="S329"/>
  <c r="L309"/>
  <c r="S309"/>
  <c r="U309"/>
  <c r="L307"/>
  <c r="S307"/>
  <c r="U307"/>
  <c r="S305"/>
  <c r="U305"/>
  <c r="L305"/>
  <c r="L303"/>
  <c r="S303"/>
  <c r="U303"/>
  <c r="S300"/>
  <c r="U300"/>
  <c r="L300"/>
  <c r="L297"/>
  <c r="L290"/>
  <c r="S290"/>
  <c r="U290"/>
  <c r="L288"/>
  <c r="S288"/>
  <c r="U288"/>
  <c r="L286"/>
  <c r="S286"/>
  <c r="U286"/>
  <c r="S282"/>
  <c r="U282"/>
  <c r="L282"/>
  <c r="L278"/>
  <c r="L276"/>
  <c r="S276"/>
  <c r="U276"/>
  <c r="S274"/>
  <c r="U274"/>
  <c r="L274"/>
  <c r="L272"/>
  <c r="L270"/>
  <c r="S268"/>
  <c r="L267"/>
  <c r="S267"/>
  <c r="U267"/>
  <c r="L263"/>
  <c r="S263"/>
  <c r="U263"/>
  <c r="S260"/>
  <c r="S258"/>
  <c r="U258"/>
  <c r="L258"/>
  <c r="L256"/>
  <c r="S256"/>
  <c r="U256"/>
  <c r="S255"/>
  <c r="U255"/>
  <c r="L255"/>
  <c r="S253"/>
  <c r="L251"/>
  <c r="S251"/>
  <c r="U251"/>
  <c r="S250"/>
  <c r="U250"/>
  <c r="L250"/>
  <c r="S249"/>
  <c r="U249"/>
  <c r="L249"/>
  <c r="L248"/>
  <c r="S248"/>
  <c r="U248"/>
  <c r="L245"/>
  <c r="S245"/>
  <c r="U245"/>
  <c r="S244"/>
  <c r="L239"/>
  <c r="S239"/>
  <c r="U239"/>
  <c r="L238"/>
  <c r="S238"/>
  <c r="L236"/>
  <c r="S236"/>
  <c r="U236"/>
  <c r="L234"/>
  <c r="S234"/>
  <c r="U234"/>
  <c r="L232"/>
  <c r="S232"/>
  <c r="U232"/>
  <c r="L231"/>
  <c r="S231"/>
  <c r="U231"/>
  <c r="L229"/>
  <c r="S229"/>
  <c r="U229"/>
  <c r="L228"/>
  <c r="S228"/>
  <c r="U228"/>
  <c r="S227"/>
  <c r="U227"/>
  <c r="L227"/>
  <c r="L225"/>
  <c r="S225"/>
  <c r="U225"/>
  <c r="L223"/>
  <c r="S223"/>
  <c r="U223"/>
  <c r="L222"/>
  <c r="S222"/>
  <c r="U222"/>
  <c r="L221"/>
  <c r="S221"/>
  <c r="U221"/>
  <c r="S220"/>
  <c r="U220"/>
  <c r="L220"/>
  <c r="L219"/>
  <c r="S219"/>
  <c r="U219"/>
  <c r="L218"/>
  <c r="L217"/>
  <c r="S217"/>
  <c r="U217"/>
  <c r="L216"/>
  <c r="S216"/>
  <c r="U216"/>
  <c r="L215"/>
  <c r="S215"/>
  <c r="U215"/>
  <c r="L213"/>
  <c r="S211"/>
  <c r="S210"/>
  <c r="L204"/>
  <c r="L203"/>
  <c r="S203"/>
  <c r="U203"/>
  <c r="S197"/>
  <c r="L195"/>
  <c r="L194"/>
  <c r="S194"/>
  <c r="U194"/>
  <c r="L193"/>
  <c r="S193"/>
  <c r="U193"/>
  <c r="S191"/>
  <c r="L188"/>
  <c r="S188"/>
  <c r="U188"/>
  <c r="S187"/>
  <c r="U187"/>
  <c r="L187"/>
  <c r="L181"/>
  <c r="S181"/>
  <c r="U181"/>
  <c r="L178"/>
  <c r="L176"/>
  <c r="S174"/>
  <c r="U174"/>
  <c r="L174"/>
  <c r="S173"/>
  <c r="U173"/>
  <c r="L173"/>
  <c r="L170"/>
  <c r="S169"/>
  <c r="L167"/>
  <c r="S167"/>
  <c r="U167"/>
  <c r="L166"/>
  <c r="L161"/>
  <c r="S161"/>
  <c r="U161"/>
  <c r="L159"/>
  <c r="L158"/>
  <c r="S158"/>
  <c r="U158"/>
  <c r="L157"/>
  <c r="L154"/>
  <c r="S152"/>
  <c r="U152"/>
  <c r="L152"/>
  <c r="L151"/>
  <c r="S151"/>
  <c r="U151"/>
  <c r="S149"/>
  <c r="U149"/>
  <c r="L149"/>
  <c r="S147"/>
  <c r="L144"/>
  <c r="L143"/>
  <c r="S141"/>
  <c r="L130"/>
  <c r="L128"/>
  <c r="L126"/>
  <c r="L121"/>
  <c r="L120"/>
  <c r="L116"/>
  <c r="L115"/>
  <c r="L110"/>
  <c r="L96"/>
  <c r="L95"/>
  <c r="L94"/>
  <c r="L83"/>
  <c r="L82"/>
  <c r="L72"/>
  <c r="L71"/>
  <c r="L68"/>
  <c r="L66"/>
  <c r="L54"/>
  <c r="L43"/>
  <c r="L40"/>
  <c r="L39"/>
  <c r="L34"/>
  <c r="L33"/>
  <c r="L32"/>
  <c r="L31"/>
  <c r="L25"/>
  <c r="L19"/>
  <c r="L18"/>
  <c r="L17"/>
  <c r="L16"/>
  <c r="L11"/>
  <c r="L9"/>
  <c r="U24"/>
  <c r="U37"/>
  <c r="U15"/>
  <c r="U23"/>
  <c r="U108"/>
  <c r="U118"/>
  <c r="U137"/>
  <c r="L156"/>
  <c r="S159"/>
  <c r="U159"/>
  <c r="L164"/>
  <c r="L172"/>
  <c r="S176"/>
  <c r="U176"/>
  <c r="S199"/>
  <c r="S204"/>
  <c r="U204"/>
  <c r="S213"/>
  <c r="U213"/>
  <c r="U238"/>
  <c r="S270"/>
  <c r="U270"/>
  <c r="S272"/>
  <c r="U272"/>
  <c r="S278"/>
  <c r="U278"/>
  <c r="L294"/>
  <c r="L139"/>
  <c r="L135"/>
  <c r="L119"/>
  <c r="L114"/>
  <c r="L76"/>
  <c r="L65"/>
  <c r="L64"/>
  <c r="L58"/>
  <c r="S9"/>
  <c r="U9"/>
  <c r="S16"/>
  <c r="U16"/>
  <c r="S25"/>
  <c r="U25"/>
  <c r="S32"/>
  <c r="U32"/>
  <c r="S33"/>
  <c r="U33"/>
  <c r="S39"/>
  <c r="U39"/>
  <c r="S43"/>
  <c r="U43"/>
  <c r="L51"/>
  <c r="U57"/>
  <c r="S58"/>
  <c r="U58"/>
  <c r="S61"/>
  <c r="S62"/>
  <c r="L63"/>
  <c r="S64"/>
  <c r="U64"/>
  <c r="U65"/>
  <c r="S66"/>
  <c r="U66"/>
  <c r="S76"/>
  <c r="U76"/>
  <c r="U92"/>
  <c r="S94"/>
  <c r="U94"/>
  <c r="S95"/>
  <c r="U95"/>
  <c r="U97"/>
  <c r="S110"/>
  <c r="U110"/>
  <c r="S115"/>
  <c r="U115"/>
  <c r="S120"/>
  <c r="U120"/>
  <c r="U124"/>
  <c r="S125"/>
  <c r="S126"/>
  <c r="U126"/>
  <c r="S130"/>
  <c r="U130"/>
  <c r="U132"/>
  <c r="U134"/>
  <c r="S135"/>
  <c r="U135"/>
  <c r="S140"/>
  <c r="U157"/>
  <c r="U166"/>
  <c r="U200"/>
  <c r="U273"/>
  <c r="L138"/>
  <c r="L134"/>
  <c r="L124"/>
  <c r="L118"/>
  <c r="L92"/>
  <c r="L80"/>
  <c r="L57"/>
  <c r="U17"/>
  <c r="U18"/>
  <c r="U19"/>
  <c r="U31"/>
  <c r="U40"/>
  <c r="L47"/>
  <c r="U51"/>
  <c r="L59"/>
  <c r="U63"/>
  <c r="U68"/>
  <c r="L79"/>
  <c r="S80"/>
  <c r="U80"/>
  <c r="U96"/>
  <c r="L108"/>
  <c r="U121"/>
  <c r="L137"/>
  <c r="S138"/>
  <c r="U138"/>
  <c r="U139"/>
  <c r="U143"/>
  <c r="U144"/>
  <c r="U154"/>
  <c r="U171"/>
  <c r="U172"/>
  <c r="U179"/>
  <c r="U207"/>
  <c r="U208"/>
  <c r="U292"/>
  <c r="U71"/>
  <c r="U81"/>
  <c r="U82"/>
  <c r="U168"/>
  <c r="U170"/>
  <c r="U178"/>
  <c r="U195"/>
  <c r="U280"/>
  <c r="U294"/>
  <c r="U312"/>
  <c r="U337"/>
  <c r="U116"/>
  <c r="U114"/>
  <c r="U34"/>
  <c r="U38"/>
  <c r="U54"/>
  <c r="U55"/>
  <c r="U72"/>
  <c r="U79"/>
  <c r="U83"/>
  <c r="U119"/>
  <c r="U128"/>
  <c r="U297"/>
  <c r="U218"/>
  <c r="U277"/>
  <c r="U279"/>
  <c r="U257" i="1"/>
  <c r="U150"/>
  <c r="U134"/>
  <c r="U117"/>
  <c r="U112"/>
  <c r="U305"/>
  <c r="U258"/>
  <c r="U241"/>
  <c r="U225"/>
  <c r="U209"/>
  <c r="U173"/>
  <c r="U145"/>
  <c r="U130"/>
  <c r="U128"/>
  <c r="U108"/>
  <c r="U97"/>
  <c r="U96"/>
  <c r="U80"/>
  <c r="U301"/>
  <c r="U253"/>
  <c r="U238"/>
  <c r="U221"/>
  <c r="U205"/>
  <c r="U189"/>
  <c r="U174"/>
  <c r="U169"/>
  <c r="U137"/>
  <c r="U125"/>
  <c r="U124"/>
  <c r="U120"/>
  <c r="U109"/>
  <c r="U76"/>
  <c r="U59"/>
  <c r="U27"/>
  <c r="S353" i="4"/>
  <c r="T353"/>
  <c r="W353"/>
  <c r="V353" i="6"/>
  <c r="W326"/>
  <c r="W356"/>
  <c r="T356"/>
  <c r="U322"/>
  <c r="U326"/>
  <c r="U11" i="4"/>
  <c r="U8"/>
  <c r="U329"/>
  <c r="J355" i="1"/>
  <c r="K355"/>
  <c r="H342"/>
  <c r="H343"/>
  <c r="H346"/>
  <c r="H341"/>
  <c r="H354"/>
  <c r="H349"/>
  <c r="H351"/>
  <c r="H348"/>
  <c r="X326" i="6"/>
  <c r="X356"/>
  <c r="U356"/>
  <c r="H340"/>
  <c r="H340" i="4"/>
  <c r="Q342" i="1"/>
  <c r="U342"/>
  <c r="H347" i="6"/>
  <c r="H347" i="4"/>
  <c r="Q349" i="1"/>
  <c r="U349"/>
  <c r="H341" i="6"/>
  <c r="H341" i="4"/>
  <c r="Q343" i="1"/>
  <c r="U343"/>
  <c r="H352" i="6"/>
  <c r="H352" i="4"/>
  <c r="Q354" i="1"/>
  <c r="U354"/>
  <c r="H346" i="6"/>
  <c r="H346" i="4"/>
  <c r="Q348" i="1"/>
  <c r="U348"/>
  <c r="H339" i="6"/>
  <c r="H339" i="4"/>
  <c r="Q341" i="1"/>
  <c r="U341"/>
  <c r="H349" i="6"/>
  <c r="H349" i="4"/>
  <c r="Q351" i="1"/>
  <c r="U351"/>
  <c r="H344" i="6"/>
  <c r="H344" i="4"/>
  <c r="Q346" i="1"/>
  <c r="U346"/>
  <c r="I333"/>
  <c r="I334"/>
  <c r="I338"/>
  <c r="H332"/>
  <c r="H355"/>
  <c r="H268"/>
  <c r="Q268"/>
  <c r="H114"/>
  <c r="Q114"/>
  <c r="H113"/>
  <c r="Q113"/>
  <c r="I201"/>
  <c r="R201"/>
  <c r="K192"/>
  <c r="T192"/>
  <c r="J192"/>
  <c r="I192"/>
  <c r="R192"/>
  <c r="H192"/>
  <c r="Q192"/>
  <c r="Q352" i="4"/>
  <c r="U352"/>
  <c r="L352"/>
  <c r="Q341" i="6"/>
  <c r="U341"/>
  <c r="L341"/>
  <c r="H330"/>
  <c r="H330" i="4"/>
  <c r="Q332" i="1"/>
  <c r="H111" i="6"/>
  <c r="H111" i="4"/>
  <c r="U113" i="1"/>
  <c r="Q344" i="6"/>
  <c r="U344"/>
  <c r="L344"/>
  <c r="Q352"/>
  <c r="U352"/>
  <c r="L352"/>
  <c r="H190"/>
  <c r="H190" i="4"/>
  <c r="Q349" i="6"/>
  <c r="U349"/>
  <c r="L349"/>
  <c r="I336"/>
  <c r="I336" i="4"/>
  <c r="R338" i="1"/>
  <c r="U338"/>
  <c r="H112" i="6"/>
  <c r="H112" i="4"/>
  <c r="U114" i="1"/>
  <c r="Q339" i="4"/>
  <c r="U339"/>
  <c r="L339"/>
  <c r="Q346" i="6"/>
  <c r="U346"/>
  <c r="L346"/>
  <c r="L347" i="4"/>
  <c r="Q347"/>
  <c r="U347"/>
  <c r="Q340"/>
  <c r="U340"/>
  <c r="L340"/>
  <c r="I199" i="6"/>
  <c r="I199" i="4"/>
  <c r="U201" i="1"/>
  <c r="Q344" i="4"/>
  <c r="U344"/>
  <c r="L344"/>
  <c r="I190" i="6"/>
  <c r="R190"/>
  <c r="I190" i="4"/>
  <c r="R190"/>
  <c r="Q346"/>
  <c r="U346"/>
  <c r="L346"/>
  <c r="J190" i="6"/>
  <c r="S190"/>
  <c r="J190" i="4"/>
  <c r="S190"/>
  <c r="S192" i="1"/>
  <c r="I332" i="6"/>
  <c r="I332" i="4"/>
  <c r="R334" i="1"/>
  <c r="U334"/>
  <c r="K190" i="6"/>
  <c r="T190"/>
  <c r="K190" i="4"/>
  <c r="T190"/>
  <c r="H266" i="6"/>
  <c r="H266" i="4"/>
  <c r="U268" i="1"/>
  <c r="I331" i="6"/>
  <c r="I331" i="4"/>
  <c r="R333" i="1"/>
  <c r="R355"/>
  <c r="Q349" i="4"/>
  <c r="U349"/>
  <c r="L349"/>
  <c r="Q339" i="6"/>
  <c r="U339"/>
  <c r="L339"/>
  <c r="Q341" i="4"/>
  <c r="U341"/>
  <c r="L341"/>
  <c r="Q347" i="6"/>
  <c r="U347"/>
  <c r="L347"/>
  <c r="Q340"/>
  <c r="U340"/>
  <c r="L340"/>
  <c r="I355" i="1"/>
  <c r="U332"/>
  <c r="Q355"/>
  <c r="I353" i="6"/>
  <c r="H353"/>
  <c r="I353" i="4"/>
  <c r="H353"/>
  <c r="L199"/>
  <c r="R199"/>
  <c r="U199"/>
  <c r="Q112" i="6"/>
  <c r="U112"/>
  <c r="L112"/>
  <c r="L190"/>
  <c r="Q190"/>
  <c r="U190"/>
  <c r="U333" i="1"/>
  <c r="U355"/>
  <c r="Q266" i="4"/>
  <c r="U266"/>
  <c r="L266"/>
  <c r="R199" i="6"/>
  <c r="U199"/>
  <c r="L199"/>
  <c r="Q330" i="4"/>
  <c r="Q353"/>
  <c r="L330"/>
  <c r="R332" i="6"/>
  <c r="U332"/>
  <c r="L332"/>
  <c r="R331" i="4"/>
  <c r="L331"/>
  <c r="Q266" i="6"/>
  <c r="U266"/>
  <c r="L266"/>
  <c r="R336" i="4"/>
  <c r="U336"/>
  <c r="L336"/>
  <c r="U192" i="1"/>
  <c r="Q111" i="4"/>
  <c r="U111"/>
  <c r="L111"/>
  <c r="Q330" i="6"/>
  <c r="L330"/>
  <c r="R331"/>
  <c r="L331"/>
  <c r="R332" i="4"/>
  <c r="U332"/>
  <c r="L332"/>
  <c r="Q112"/>
  <c r="U112"/>
  <c r="L112"/>
  <c r="R336" i="6"/>
  <c r="U336"/>
  <c r="L336"/>
  <c r="Q190" i="4"/>
  <c r="U190"/>
  <c r="L190"/>
  <c r="L111" i="6"/>
  <c r="Q111"/>
  <c r="U111"/>
  <c r="H148" i="1"/>
  <c r="Q148"/>
  <c r="I270"/>
  <c r="R270"/>
  <c r="I115"/>
  <c r="R115"/>
  <c r="H115"/>
  <c r="Q115"/>
  <c r="R353" i="4"/>
  <c r="R353" i="6"/>
  <c r="L353"/>
  <c r="Q353"/>
  <c r="L353" i="4"/>
  <c r="H113" i="6"/>
  <c r="H113" i="4"/>
  <c r="U331" i="6"/>
  <c r="I268"/>
  <c r="I268" i="4"/>
  <c r="U270" i="1"/>
  <c r="U330" i="4"/>
  <c r="I113" i="6"/>
  <c r="R113"/>
  <c r="I113" i="4"/>
  <c r="R113"/>
  <c r="U331"/>
  <c r="H146" i="6"/>
  <c r="H146" i="4"/>
  <c r="U148" i="1"/>
  <c r="U330" i="6"/>
  <c r="H92" i="1"/>
  <c r="Q92"/>
  <c r="H89"/>
  <c r="Q89"/>
  <c r="H213"/>
  <c r="Q213"/>
  <c r="H47"/>
  <c r="I286"/>
  <c r="R286"/>
  <c r="I144"/>
  <c r="R144"/>
  <c r="H286"/>
  <c r="Q286"/>
  <c r="H144"/>
  <c r="Q144"/>
  <c r="I143"/>
  <c r="R143"/>
  <c r="H142"/>
  <c r="Q142"/>
  <c r="I142"/>
  <c r="R142"/>
  <c r="H262"/>
  <c r="Q262"/>
  <c r="H100"/>
  <c r="Q100"/>
  <c r="I64"/>
  <c r="R64"/>
  <c r="I138"/>
  <c r="R138"/>
  <c r="H138"/>
  <c r="Q138"/>
  <c r="H310"/>
  <c r="Q310"/>
  <c r="H171"/>
  <c r="Q171"/>
  <c r="I133"/>
  <c r="R133"/>
  <c r="I256"/>
  <c r="R256"/>
  <c r="H255"/>
  <c r="Q255"/>
  <c r="I199"/>
  <c r="R199"/>
  <c r="H86"/>
  <c r="Q86"/>
  <c r="J86"/>
  <c r="H216"/>
  <c r="Q216"/>
  <c r="I12"/>
  <c r="H147"/>
  <c r="Q147"/>
  <c r="H267"/>
  <c r="Q267"/>
  <c r="H77"/>
  <c r="Q77"/>
  <c r="I295"/>
  <c r="R295"/>
  <c r="H295"/>
  <c r="Q295"/>
  <c r="I149"/>
  <c r="R149"/>
  <c r="H149"/>
  <c r="Q149"/>
  <c r="H193"/>
  <c r="Q193"/>
  <c r="I208"/>
  <c r="R208"/>
  <c r="I101"/>
  <c r="R101"/>
  <c r="I273"/>
  <c r="R273"/>
  <c r="I246"/>
  <c r="R246"/>
  <c r="H127"/>
  <c r="Q127"/>
  <c r="H264"/>
  <c r="Q264"/>
  <c r="H103"/>
  <c r="Q103"/>
  <c r="I103"/>
  <c r="R103"/>
  <c r="I63"/>
  <c r="R63"/>
  <c r="U353" i="4"/>
  <c r="X353"/>
  <c r="Q47" i="1"/>
  <c r="R12"/>
  <c r="U353" i="6"/>
  <c r="X353"/>
  <c r="U115" i="1"/>
  <c r="H169" i="6"/>
  <c r="H169" i="4"/>
  <c r="U171" i="1"/>
  <c r="I142" i="6"/>
  <c r="R142"/>
  <c r="I142" i="4"/>
  <c r="R142"/>
  <c r="H87" i="6"/>
  <c r="H87" i="4"/>
  <c r="U89" i="1"/>
  <c r="L146" i="6"/>
  <c r="Q146"/>
  <c r="U146"/>
  <c r="I244"/>
  <c r="I244" i="4"/>
  <c r="U246" i="1"/>
  <c r="I10" i="6"/>
  <c r="I10" i="4"/>
  <c r="H75" i="6"/>
  <c r="H75" i="4"/>
  <c r="U77" i="1"/>
  <c r="H98" i="6"/>
  <c r="H98" i="4"/>
  <c r="U100" i="1"/>
  <c r="I141" i="6"/>
  <c r="I141" i="4"/>
  <c r="U143" i="1"/>
  <c r="H90" i="6"/>
  <c r="H90" i="4"/>
  <c r="U92" i="1"/>
  <c r="H191" i="6"/>
  <c r="H191" i="4"/>
  <c r="U193" i="1"/>
  <c r="I62" i="6"/>
  <c r="I62" i="4"/>
  <c r="U64" i="1"/>
  <c r="H101" i="6"/>
  <c r="H101" i="4"/>
  <c r="H147" i="6"/>
  <c r="H147" i="4"/>
  <c r="H253" i="6"/>
  <c r="H253" i="4"/>
  <c r="U255" i="1"/>
  <c r="H262" i="6"/>
  <c r="H262" i="4"/>
  <c r="U264" i="1"/>
  <c r="H265" i="6"/>
  <c r="H265" i="4"/>
  <c r="U267" i="1"/>
  <c r="I254" i="6"/>
  <c r="I254" i="4"/>
  <c r="U256" i="1"/>
  <c r="H260" i="6"/>
  <c r="H260" i="4"/>
  <c r="U262" i="1"/>
  <c r="H142" i="6"/>
  <c r="H142" i="4"/>
  <c r="H45" i="6"/>
  <c r="H45" i="4"/>
  <c r="R268"/>
  <c r="U268"/>
  <c r="L268"/>
  <c r="Q113"/>
  <c r="U113"/>
  <c r="L113"/>
  <c r="I101" i="6"/>
  <c r="R101"/>
  <c r="I101" i="4"/>
  <c r="R101"/>
  <c r="I293" i="6"/>
  <c r="R293"/>
  <c r="I293" i="4"/>
  <c r="R293"/>
  <c r="I197" i="6"/>
  <c r="I197" i="4"/>
  <c r="U199" i="1"/>
  <c r="H140" i="6"/>
  <c r="H140" i="4"/>
  <c r="I271" i="6"/>
  <c r="I271" i="4"/>
  <c r="U273" i="1"/>
  <c r="H214" i="6"/>
  <c r="H214" i="4"/>
  <c r="U216" i="1"/>
  <c r="H308" i="6"/>
  <c r="H308" i="4"/>
  <c r="U310" i="1"/>
  <c r="I284" i="6"/>
  <c r="R284"/>
  <c r="I284" i="4"/>
  <c r="R284"/>
  <c r="I99" i="6"/>
  <c r="I99" i="4"/>
  <c r="U101" i="1"/>
  <c r="I147" i="6"/>
  <c r="R147"/>
  <c r="I147" i="4"/>
  <c r="R147"/>
  <c r="J84" i="6"/>
  <c r="J84" i="4"/>
  <c r="S86" i="1"/>
  <c r="H136" i="6"/>
  <c r="H136" i="4"/>
  <c r="I61" i="6"/>
  <c r="I61" i="4"/>
  <c r="U63" i="1"/>
  <c r="H125" i="6"/>
  <c r="H125" i="4"/>
  <c r="U127" i="1"/>
  <c r="I206" i="6"/>
  <c r="I206" i="4"/>
  <c r="U208" i="1"/>
  <c r="H293" i="6"/>
  <c r="H293" i="4"/>
  <c r="H145" i="6"/>
  <c r="H145" i="4"/>
  <c r="U147" i="1"/>
  <c r="H84" i="6"/>
  <c r="H84" i="4"/>
  <c r="I131" i="6"/>
  <c r="I131" i="4"/>
  <c r="U133" i="1"/>
  <c r="I136" i="6"/>
  <c r="R136"/>
  <c r="I136" i="4"/>
  <c r="R136"/>
  <c r="I140" i="6"/>
  <c r="R140"/>
  <c r="I140" i="4"/>
  <c r="R140"/>
  <c r="H284" i="6"/>
  <c r="H284" i="4"/>
  <c r="H211" i="6"/>
  <c r="H211" i="4"/>
  <c r="U213" i="1"/>
  <c r="Q146" i="4"/>
  <c r="U146"/>
  <c r="L146"/>
  <c r="R268" i="6"/>
  <c r="U268"/>
  <c r="L268"/>
  <c r="L113"/>
  <c r="Q113"/>
  <c r="U113"/>
  <c r="I106" i="1"/>
  <c r="R106"/>
  <c r="H106"/>
  <c r="Q106"/>
  <c r="I212"/>
  <c r="R212"/>
  <c r="I46"/>
  <c r="R46"/>
  <c r="Q315"/>
  <c r="H315"/>
  <c r="H357"/>
  <c r="U12"/>
  <c r="U47"/>
  <c r="U86"/>
  <c r="U149"/>
  <c r="Q211" i="4"/>
  <c r="U211"/>
  <c r="L211"/>
  <c r="Q284" i="6"/>
  <c r="R131" i="4"/>
  <c r="U131"/>
  <c r="L131"/>
  <c r="Q84" i="6"/>
  <c r="L84"/>
  <c r="L206" i="4"/>
  <c r="R206"/>
  <c r="U206"/>
  <c r="L125" i="6"/>
  <c r="Q125"/>
  <c r="U125"/>
  <c r="U138" i="1"/>
  <c r="S84" i="4"/>
  <c r="Q308"/>
  <c r="U308"/>
  <c r="L308"/>
  <c r="L214" i="6"/>
  <c r="Q214"/>
  <c r="U214"/>
  <c r="U142" i="1"/>
  <c r="R197" i="4"/>
  <c r="U197"/>
  <c r="L197"/>
  <c r="Q260"/>
  <c r="U260"/>
  <c r="L260"/>
  <c r="R254" i="6"/>
  <c r="U254"/>
  <c r="L254"/>
  <c r="Q253" i="4"/>
  <c r="U253"/>
  <c r="L253"/>
  <c r="Q147" i="6"/>
  <c r="U147"/>
  <c r="L147"/>
  <c r="Q191" i="4"/>
  <c r="U191"/>
  <c r="L191"/>
  <c r="Q90" i="6"/>
  <c r="U90"/>
  <c r="L90"/>
  <c r="Q75" i="4"/>
  <c r="U75"/>
  <c r="L75"/>
  <c r="R10" i="6"/>
  <c r="L10"/>
  <c r="Q87" i="4"/>
  <c r="U87"/>
  <c r="L87"/>
  <c r="R206" i="6"/>
  <c r="U206"/>
  <c r="L206"/>
  <c r="S84"/>
  <c r="Q308"/>
  <c r="U308"/>
  <c r="L308"/>
  <c r="Q140" i="4"/>
  <c r="U140"/>
  <c r="L140"/>
  <c r="R197" i="6"/>
  <c r="U197"/>
  <c r="L197"/>
  <c r="Q142" i="4"/>
  <c r="L260" i="6"/>
  <c r="Q260"/>
  <c r="U260"/>
  <c r="L262" i="4"/>
  <c r="Q262"/>
  <c r="U262"/>
  <c r="L253" i="6"/>
  <c r="Q253"/>
  <c r="U253"/>
  <c r="U103" i="1"/>
  <c r="R62" i="4"/>
  <c r="U62"/>
  <c r="L62"/>
  <c r="Q191" i="6"/>
  <c r="U191"/>
  <c r="L191"/>
  <c r="L98" i="4"/>
  <c r="Q98"/>
  <c r="U98"/>
  <c r="Q75" i="6"/>
  <c r="U75"/>
  <c r="L75"/>
  <c r="L87"/>
  <c r="Q87"/>
  <c r="U87"/>
  <c r="I44"/>
  <c r="I44" i="4"/>
  <c r="U46" i="1"/>
  <c r="Q145" i="4"/>
  <c r="U145"/>
  <c r="L145"/>
  <c r="Q293" i="6"/>
  <c r="U293"/>
  <c r="L293"/>
  <c r="R61" i="4"/>
  <c r="U61"/>
  <c r="L61"/>
  <c r="L136" i="6"/>
  <c r="Q136"/>
  <c r="U136"/>
  <c r="R99" i="4"/>
  <c r="U99"/>
  <c r="L99"/>
  <c r="R271"/>
  <c r="U271"/>
  <c r="L271"/>
  <c r="L140" i="6"/>
  <c r="Q140"/>
  <c r="U140"/>
  <c r="U295" i="1"/>
  <c r="Q45" i="4"/>
  <c r="L45"/>
  <c r="Q142" i="6"/>
  <c r="Q265" i="4"/>
  <c r="U265"/>
  <c r="L265"/>
  <c r="Q262" i="6"/>
  <c r="U262"/>
  <c r="L262"/>
  <c r="Q101" i="4"/>
  <c r="U101"/>
  <c r="L101"/>
  <c r="R62" i="6"/>
  <c r="U62"/>
  <c r="L62"/>
  <c r="R141" i="4"/>
  <c r="U141"/>
  <c r="L141"/>
  <c r="Q98" i="6"/>
  <c r="U98"/>
  <c r="L98"/>
  <c r="R244" i="4"/>
  <c r="U244"/>
  <c r="L244"/>
  <c r="Q169"/>
  <c r="U169"/>
  <c r="L169"/>
  <c r="I210" i="6"/>
  <c r="I210" i="4"/>
  <c r="U212" i="1"/>
  <c r="Q211" i="6"/>
  <c r="U211"/>
  <c r="L211"/>
  <c r="R131"/>
  <c r="U131"/>
  <c r="L131"/>
  <c r="Q293" i="4"/>
  <c r="U293"/>
  <c r="L293"/>
  <c r="Q136"/>
  <c r="U136"/>
  <c r="L136"/>
  <c r="H104" i="6"/>
  <c r="H313"/>
  <c r="H104" i="4"/>
  <c r="I104" i="6"/>
  <c r="R104"/>
  <c r="I104" i="4"/>
  <c r="R104"/>
  <c r="Q284"/>
  <c r="Q84"/>
  <c r="L84"/>
  <c r="Q145" i="6"/>
  <c r="U145"/>
  <c r="L145"/>
  <c r="Q125" i="4"/>
  <c r="U125"/>
  <c r="L125"/>
  <c r="R61" i="6"/>
  <c r="U61"/>
  <c r="L61"/>
  <c r="R99"/>
  <c r="U99"/>
  <c r="L99"/>
  <c r="Q214" i="4"/>
  <c r="U214"/>
  <c r="L214"/>
  <c r="R271" i="6"/>
  <c r="U271"/>
  <c r="L271"/>
  <c r="L45"/>
  <c r="Q45"/>
  <c r="R254" i="4"/>
  <c r="U254"/>
  <c r="L254"/>
  <c r="L265" i="6"/>
  <c r="Q265"/>
  <c r="U265"/>
  <c r="Q147" i="4"/>
  <c r="U147"/>
  <c r="L147"/>
  <c r="L101" i="6"/>
  <c r="Q101"/>
  <c r="U101"/>
  <c r="Q90" i="4"/>
  <c r="U90"/>
  <c r="L90"/>
  <c r="R141" i="6"/>
  <c r="U141"/>
  <c r="L141"/>
  <c r="R10" i="4"/>
  <c r="L10"/>
  <c r="R244" i="6"/>
  <c r="U244"/>
  <c r="L244"/>
  <c r="Q169"/>
  <c r="U169"/>
  <c r="L169"/>
  <c r="I31" i="1"/>
  <c r="R31"/>
  <c r="R315"/>
  <c r="I315"/>
  <c r="I327"/>
  <c r="I357"/>
  <c r="Q104" i="4"/>
  <c r="Q313"/>
  <c r="H325" i="6"/>
  <c r="H355"/>
  <c r="H313" i="4"/>
  <c r="H325"/>
  <c r="H355"/>
  <c r="U84"/>
  <c r="I29" i="6"/>
  <c r="I313"/>
  <c r="I29" i="4"/>
  <c r="U45" i="6"/>
  <c r="Q104"/>
  <c r="R210"/>
  <c r="U210"/>
  <c r="L210"/>
  <c r="R44"/>
  <c r="U44"/>
  <c r="L44"/>
  <c r="U45" i="4"/>
  <c r="U10"/>
  <c r="R210"/>
  <c r="U210"/>
  <c r="L210"/>
  <c r="L44"/>
  <c r="R44"/>
  <c r="U44"/>
  <c r="U10" i="6"/>
  <c r="U84"/>
  <c r="K286" i="1"/>
  <c r="T286"/>
  <c r="K144"/>
  <c r="T144"/>
  <c r="J286"/>
  <c r="J144"/>
  <c r="Q313" i="6"/>
  <c r="Q325"/>
  <c r="I325"/>
  <c r="I355"/>
  <c r="I313" i="4"/>
  <c r="I325"/>
  <c r="I355"/>
  <c r="Q325"/>
  <c r="U31" i="1"/>
  <c r="K142" i="6"/>
  <c r="T142"/>
  <c r="K142" i="4"/>
  <c r="T142"/>
  <c r="R29"/>
  <c r="R313"/>
  <c r="L29"/>
  <c r="K284" i="6"/>
  <c r="T284"/>
  <c r="K284" i="4"/>
  <c r="T284"/>
  <c r="J142" i="6"/>
  <c r="J142" i="4"/>
  <c r="S144" i="1"/>
  <c r="J284" i="6"/>
  <c r="J284" i="4"/>
  <c r="S286" i="1"/>
  <c r="R29" i="6"/>
  <c r="R313"/>
  <c r="L29"/>
  <c r="L215" i="1"/>
  <c r="Q355" i="6"/>
  <c r="Q354"/>
  <c r="Q324"/>
  <c r="Q324" i="4"/>
  <c r="Q355"/>
  <c r="Q354"/>
  <c r="R325" i="6"/>
  <c r="R325" i="4"/>
  <c r="U144" i="1"/>
  <c r="U29" i="6"/>
  <c r="S284" i="4"/>
  <c r="L284"/>
  <c r="S142" i="6"/>
  <c r="U142"/>
  <c r="L142"/>
  <c r="S284"/>
  <c r="L284"/>
  <c r="U286" i="1"/>
  <c r="S142" i="4"/>
  <c r="U142"/>
  <c r="L142"/>
  <c r="U29"/>
  <c r="K106" i="1"/>
  <c r="T106"/>
  <c r="K105"/>
  <c r="K315"/>
  <c r="J106"/>
  <c r="J105"/>
  <c r="K162"/>
  <c r="T162"/>
  <c r="J315"/>
  <c r="J327"/>
  <c r="J357"/>
  <c r="R324" i="6"/>
  <c r="R355"/>
  <c r="R354"/>
  <c r="R324" i="4"/>
  <c r="R355"/>
  <c r="R354"/>
  <c r="K327" i="1"/>
  <c r="K357"/>
  <c r="T105"/>
  <c r="T315"/>
  <c r="U284" i="6"/>
  <c r="U284" i="4"/>
  <c r="K160" i="6"/>
  <c r="K160" i="4"/>
  <c r="U162" i="1"/>
  <c r="K104" i="6"/>
  <c r="T104"/>
  <c r="K104" i="4"/>
  <c r="T104"/>
  <c r="J103" i="6"/>
  <c r="J103" i="4"/>
  <c r="S105" i="1"/>
  <c r="S315"/>
  <c r="J104" i="6"/>
  <c r="J104" i="4"/>
  <c r="S106" i="1"/>
  <c r="K103" i="6"/>
  <c r="K103" i="4"/>
  <c r="L310" i="1"/>
  <c r="J313" i="6"/>
  <c r="J325"/>
  <c r="J355"/>
  <c r="K313"/>
  <c r="K325"/>
  <c r="K355"/>
  <c r="K313" i="4"/>
  <c r="K325"/>
  <c r="K355"/>
  <c r="J313"/>
  <c r="J325"/>
  <c r="J355"/>
  <c r="U105" i="1"/>
  <c r="T103" i="4"/>
  <c r="S104"/>
  <c r="U104"/>
  <c r="L104"/>
  <c r="S103" i="6"/>
  <c r="S104"/>
  <c r="S313"/>
  <c r="L103"/>
  <c r="T103"/>
  <c r="U104"/>
  <c r="L104"/>
  <c r="T160" i="4"/>
  <c r="U160"/>
  <c r="L160"/>
  <c r="T160" i="6"/>
  <c r="U160"/>
  <c r="L160"/>
  <c r="L313"/>
  <c r="U106" i="1"/>
  <c r="S103" i="4"/>
  <c r="S313"/>
  <c r="L103"/>
  <c r="L17" i="1"/>
  <c r="L31"/>
  <c r="L33"/>
  <c r="L35"/>
  <c r="L36"/>
  <c r="L37"/>
  <c r="L39"/>
  <c r="L40"/>
  <c r="L41"/>
  <c r="L42"/>
  <c r="L43"/>
  <c r="L45"/>
  <c r="L46"/>
  <c r="L47"/>
  <c r="L49"/>
  <c r="L51"/>
  <c r="L53"/>
  <c r="L54"/>
  <c r="L56"/>
  <c r="L57"/>
  <c r="L58"/>
  <c r="L59"/>
  <c r="L60"/>
  <c r="L61"/>
  <c r="L63"/>
  <c r="L64"/>
  <c r="L65"/>
  <c r="L66"/>
  <c r="L67"/>
  <c r="L68"/>
  <c r="L70"/>
  <c r="L71"/>
  <c r="L73"/>
  <c r="L74"/>
  <c r="L75"/>
  <c r="L76"/>
  <c r="L77"/>
  <c r="L78"/>
  <c r="L80"/>
  <c r="L81"/>
  <c r="L82"/>
  <c r="L84"/>
  <c r="L85"/>
  <c r="L86"/>
  <c r="L87"/>
  <c r="L89"/>
  <c r="L92"/>
  <c r="L94"/>
  <c r="L96"/>
  <c r="L97"/>
  <c r="L98"/>
  <c r="L99"/>
  <c r="L100"/>
  <c r="L101"/>
  <c r="L103"/>
  <c r="L104"/>
  <c r="L105"/>
  <c r="L106"/>
  <c r="L107"/>
  <c r="L108"/>
  <c r="L109"/>
  <c r="L110"/>
  <c r="L112"/>
  <c r="L113"/>
  <c r="L114"/>
  <c r="L115"/>
  <c r="L116"/>
  <c r="L117"/>
  <c r="L118"/>
  <c r="L120"/>
  <c r="L121"/>
  <c r="L122"/>
  <c r="L123"/>
  <c r="L124"/>
  <c r="L125"/>
  <c r="L126"/>
  <c r="L127"/>
  <c r="L128"/>
  <c r="L130"/>
  <c r="L132"/>
  <c r="L133"/>
  <c r="L134"/>
  <c r="L135"/>
  <c r="L136"/>
  <c r="L137"/>
  <c r="L138"/>
  <c r="L139"/>
  <c r="L140"/>
  <c r="L141"/>
  <c r="L142"/>
  <c r="L143"/>
  <c r="L144"/>
  <c r="L146"/>
  <c r="L147"/>
  <c r="L148"/>
  <c r="L149"/>
  <c r="L150"/>
  <c r="L151"/>
  <c r="L153"/>
  <c r="L154"/>
  <c r="L156"/>
  <c r="L157"/>
  <c r="L158"/>
  <c r="L159"/>
  <c r="L160"/>
  <c r="L161"/>
  <c r="L162"/>
  <c r="L163"/>
  <c r="L164"/>
  <c r="L165"/>
  <c r="L166"/>
  <c r="L168"/>
  <c r="L169"/>
  <c r="L170"/>
  <c r="L171"/>
  <c r="L172"/>
  <c r="L173"/>
  <c r="L174"/>
  <c r="L175"/>
  <c r="L176"/>
  <c r="L178"/>
  <c r="L181"/>
  <c r="L183"/>
  <c r="L185"/>
  <c r="L186"/>
  <c r="L192"/>
  <c r="L193"/>
  <c r="L195"/>
  <c r="L196"/>
  <c r="L197"/>
  <c r="L199"/>
  <c r="L201"/>
  <c r="L202"/>
  <c r="L203"/>
  <c r="L205"/>
  <c r="L206"/>
  <c r="L208"/>
  <c r="L209"/>
  <c r="L210"/>
  <c r="L212"/>
  <c r="L230"/>
  <c r="L231"/>
  <c r="L233"/>
  <c r="L234"/>
  <c r="L249"/>
  <c r="L250"/>
  <c r="L251"/>
  <c r="L252"/>
  <c r="L253"/>
  <c r="L258"/>
  <c r="L260"/>
  <c r="L262"/>
  <c r="L274"/>
  <c r="L281"/>
  <c r="L287"/>
  <c r="L292"/>
  <c r="L294"/>
  <c r="L296"/>
  <c r="L299"/>
  <c r="L314"/>
  <c r="L331"/>
  <c r="L332"/>
  <c r="L333"/>
  <c r="L334"/>
  <c r="L335"/>
  <c r="L336"/>
  <c r="L337"/>
  <c r="L338"/>
  <c r="L339"/>
  <c r="L341"/>
  <c r="L342"/>
  <c r="L343"/>
  <c r="L344"/>
  <c r="L345"/>
  <c r="L346"/>
  <c r="L347"/>
  <c r="L348"/>
  <c r="L349"/>
  <c r="L350"/>
  <c r="L351"/>
  <c r="L352"/>
  <c r="L353"/>
  <c r="L354"/>
  <c r="T313" i="6"/>
  <c r="T325"/>
  <c r="T355"/>
  <c r="T354"/>
  <c r="T313" i="4"/>
  <c r="T325"/>
  <c r="W325"/>
  <c r="L313"/>
  <c r="L325"/>
  <c r="L355"/>
  <c r="L325" i="6"/>
  <c r="L355"/>
  <c r="S325"/>
  <c r="S325" i="4"/>
  <c r="Q327" i="1"/>
  <c r="U103" i="4"/>
  <c r="U103" i="6"/>
  <c r="U313"/>
  <c r="U325"/>
  <c r="U324"/>
  <c r="L340" i="1"/>
  <c r="W324" i="4"/>
  <c r="V325" i="6"/>
  <c r="U313" i="4"/>
  <c r="U325"/>
  <c r="T355"/>
  <c r="T354"/>
  <c r="S324" i="6"/>
  <c r="S355"/>
  <c r="S354"/>
  <c r="S324" i="4"/>
  <c r="S355"/>
  <c r="S354"/>
  <c r="W325" i="6"/>
  <c r="T324"/>
  <c r="T324" i="4"/>
  <c r="U355" i="6"/>
  <c r="U354"/>
  <c r="Q326" i="1"/>
  <c r="L355"/>
  <c r="L312"/>
  <c r="L311"/>
  <c r="L309"/>
  <c r="L308"/>
  <c r="L307"/>
  <c r="L306"/>
  <c r="L305"/>
  <c r="L303"/>
  <c r="L302"/>
  <c r="L301"/>
  <c r="L295"/>
  <c r="L293"/>
  <c r="L291"/>
  <c r="L290"/>
  <c r="L289"/>
  <c r="L288"/>
  <c r="L285"/>
  <c r="L284"/>
  <c r="L283"/>
  <c r="L282"/>
  <c r="L280"/>
  <c r="L279"/>
  <c r="L278"/>
  <c r="L276"/>
  <c r="L275"/>
  <c r="L273"/>
  <c r="L272"/>
  <c r="L270"/>
  <c r="L269"/>
  <c r="L268"/>
  <c r="L267"/>
  <c r="L265"/>
  <c r="L264"/>
  <c r="L257"/>
  <c r="L256"/>
  <c r="L255"/>
  <c r="U355" i="4"/>
  <c r="U354"/>
  <c r="U324"/>
  <c r="V355" i="6"/>
  <c r="V354"/>
  <c r="V324"/>
  <c r="W324"/>
  <c r="W355"/>
  <c r="W354"/>
  <c r="W355" i="4"/>
  <c r="W354"/>
  <c r="X325" i="6"/>
  <c r="L286" i="1"/>
  <c r="L246"/>
  <c r="L245"/>
  <c r="L298"/>
  <c r="L240"/>
  <c r="L241"/>
  <c r="L213"/>
  <c r="L229"/>
  <c r="L227"/>
  <c r="L225"/>
  <c r="L224"/>
  <c r="L223"/>
  <c r="L222"/>
  <c r="L221"/>
  <c r="L220"/>
  <c r="L218"/>
  <c r="L217"/>
  <c r="L216"/>
  <c r="Z211"/>
  <c r="AD211"/>
  <c r="Y211"/>
  <c r="X324" i="6"/>
  <c r="X355"/>
  <c r="X354"/>
  <c r="L236" i="1"/>
  <c r="L247"/>
  <c r="L219"/>
  <c r="Z183"/>
  <c r="AD183"/>
  <c r="Y183"/>
  <c r="Z182"/>
  <c r="AD182"/>
  <c r="Y182"/>
  <c r="Z88"/>
  <c r="AD88"/>
  <c r="Y88"/>
  <c r="L29"/>
  <c r="L27"/>
  <c r="L26"/>
  <c r="L25"/>
  <c r="L24"/>
  <c r="L23"/>
  <c r="L22"/>
  <c r="L21"/>
  <c r="L20"/>
  <c r="L19"/>
  <c r="L18"/>
  <c r="L16"/>
  <c r="L15"/>
  <c r="L14"/>
  <c r="L13"/>
  <c r="L12"/>
  <c r="L10"/>
  <c r="L30"/>
  <c r="L11"/>
  <c r="L91"/>
  <c r="L34"/>
  <c r="L180"/>
  <c r="L188"/>
  <c r="L189"/>
  <c r="L190"/>
  <c r="Z340"/>
  <c r="AD340"/>
  <c r="Y340"/>
  <c r="Y353"/>
  <c r="Y352"/>
  <c r="Z351"/>
  <c r="AD351"/>
  <c r="Y350"/>
  <c r="Q357"/>
  <c r="Z348"/>
  <c r="AD348"/>
  <c r="Y347"/>
  <c r="Y346"/>
  <c r="Y345"/>
  <c r="Y344"/>
  <c r="Y343"/>
  <c r="Y342"/>
  <c r="Y341"/>
  <c r="Y339"/>
  <c r="Y338"/>
  <c r="Y337"/>
  <c r="Y336"/>
  <c r="Y335"/>
  <c r="Y334"/>
  <c r="Y333"/>
  <c r="Y332"/>
  <c r="Z331"/>
  <c r="AD331"/>
  <c r="Y331"/>
  <c r="Z330"/>
  <c r="AD330"/>
  <c r="Y330"/>
  <c r="Z329"/>
  <c r="AD329"/>
  <c r="Y329"/>
  <c r="Z326"/>
  <c r="AD326"/>
  <c r="Y326"/>
  <c r="Z314"/>
  <c r="AD314"/>
  <c r="Y314"/>
  <c r="Z313"/>
  <c r="AD313"/>
  <c r="Y313"/>
  <c r="Z312"/>
  <c r="AD312"/>
  <c r="Y312"/>
  <c r="Z311"/>
  <c r="AD311"/>
  <c r="Y311"/>
  <c r="Z310"/>
  <c r="AD310"/>
  <c r="Y310"/>
  <c r="Z309"/>
  <c r="AD309"/>
  <c r="Y309"/>
  <c r="Z308"/>
  <c r="AD308"/>
  <c r="Y308"/>
  <c r="Z307"/>
  <c r="AD307"/>
  <c r="Y307"/>
  <c r="Z306"/>
  <c r="AD306"/>
  <c r="Y306"/>
  <c r="Z305"/>
  <c r="AD305"/>
  <c r="Y305"/>
  <c r="Z304"/>
  <c r="AD304"/>
  <c r="Y304"/>
  <c r="Z303"/>
  <c r="AD303"/>
  <c r="Y303"/>
  <c r="Z302"/>
  <c r="AD302"/>
  <c r="Y302"/>
  <c r="Z301"/>
  <c r="AD301"/>
  <c r="Y301"/>
  <c r="Z300"/>
  <c r="AD300"/>
  <c r="Y300"/>
  <c r="Z299"/>
  <c r="AD299"/>
  <c r="Y299"/>
  <c r="Z298"/>
  <c r="AD298"/>
  <c r="Y298"/>
  <c r="Z297"/>
  <c r="AD297"/>
  <c r="Y297"/>
  <c r="Z296"/>
  <c r="AD296"/>
  <c r="Y296"/>
  <c r="Z295"/>
  <c r="AD295"/>
  <c r="Y295"/>
  <c r="Z294"/>
  <c r="AD294"/>
  <c r="Y294"/>
  <c r="Z293"/>
  <c r="AD293"/>
  <c r="Y293"/>
  <c r="Z292"/>
  <c r="AD292"/>
  <c r="Y292"/>
  <c r="Z291"/>
  <c r="AD291"/>
  <c r="Y291"/>
  <c r="Z290"/>
  <c r="AD290"/>
  <c r="Y290"/>
  <c r="Z289"/>
  <c r="AD289"/>
  <c r="Y289"/>
  <c r="Z288"/>
  <c r="AD288"/>
  <c r="Y288"/>
  <c r="Z287"/>
  <c r="AD287"/>
  <c r="Y287"/>
  <c r="Z285"/>
  <c r="AD285"/>
  <c r="Y285"/>
  <c r="Z284"/>
  <c r="AD284"/>
  <c r="Y284"/>
  <c r="Z283"/>
  <c r="AD283"/>
  <c r="Y283"/>
  <c r="Z282"/>
  <c r="AD282"/>
  <c r="Y282"/>
  <c r="Z280"/>
  <c r="AD280"/>
  <c r="Y280"/>
  <c r="Z279"/>
  <c r="AD279"/>
  <c r="Y279"/>
  <c r="Z278"/>
  <c r="AD278"/>
  <c r="Y278"/>
  <c r="Z277"/>
  <c r="AD277"/>
  <c r="Y277"/>
  <c r="Z276"/>
  <c r="AD276"/>
  <c r="Y276"/>
  <c r="Z275"/>
  <c r="AD275"/>
  <c r="Y275"/>
  <c r="Z274"/>
  <c r="AD274"/>
  <c r="Y274"/>
  <c r="D274"/>
  <c r="C274"/>
  <c r="A274"/>
  <c r="Z273"/>
  <c r="AD273"/>
  <c r="Y273"/>
  <c r="Z272"/>
  <c r="AD272"/>
  <c r="Y272"/>
  <c r="Z271"/>
  <c r="AD271"/>
  <c r="Y271"/>
  <c r="Z270"/>
  <c r="AD270"/>
  <c r="Y270"/>
  <c r="Z269"/>
  <c r="AD269"/>
  <c r="Y269"/>
  <c r="Z268"/>
  <c r="AD268"/>
  <c r="Y268"/>
  <c r="Z267"/>
  <c r="AD267"/>
  <c r="Y267"/>
  <c r="Z266"/>
  <c r="AD266"/>
  <c r="Y266"/>
  <c r="Z265"/>
  <c r="AD265"/>
  <c r="Y265"/>
  <c r="Z264"/>
  <c r="AD264"/>
  <c r="Y264"/>
  <c r="Z263"/>
  <c r="AD263"/>
  <c r="Y263"/>
  <c r="Z262"/>
  <c r="AD262"/>
  <c r="Y262"/>
  <c r="Z261"/>
  <c r="AD261"/>
  <c r="Y261"/>
  <c r="Z260"/>
  <c r="AD260"/>
  <c r="Y260"/>
  <c r="Z259"/>
  <c r="AD259"/>
  <c r="Y259"/>
  <c r="Z258"/>
  <c r="AD258"/>
  <c r="Y258"/>
  <c r="Z257"/>
  <c r="AD257"/>
  <c r="Y257"/>
  <c r="Z256"/>
  <c r="AD256"/>
  <c r="Y256"/>
  <c r="Z255"/>
  <c r="AD255"/>
  <c r="Y255"/>
  <c r="Z254"/>
  <c r="AD254"/>
  <c r="Y254"/>
  <c r="Z253"/>
  <c r="AD253"/>
  <c r="Y253"/>
  <c r="Z252"/>
  <c r="AD252"/>
  <c r="Y252"/>
  <c r="Z251"/>
  <c r="AD251"/>
  <c r="Y251"/>
  <c r="Z250"/>
  <c r="AD250"/>
  <c r="Y250"/>
  <c r="Z249"/>
  <c r="AD249"/>
  <c r="Y249"/>
  <c r="Z248"/>
  <c r="AD248"/>
  <c r="Y248"/>
  <c r="Z246"/>
  <c r="AD246"/>
  <c r="Y246"/>
  <c r="Z245"/>
  <c r="AD245"/>
  <c r="Y245"/>
  <c r="Z242"/>
  <c r="AD242"/>
  <c r="Y242"/>
  <c r="Z241"/>
  <c r="AD241"/>
  <c r="Y241"/>
  <c r="Z240"/>
  <c r="AD240"/>
  <c r="Y240"/>
  <c r="Z239"/>
  <c r="AD239"/>
  <c r="Y239"/>
  <c r="Y238"/>
  <c r="Z237"/>
  <c r="AD237"/>
  <c r="Y237"/>
  <c r="Z236"/>
  <c r="AD236"/>
  <c r="Y236"/>
  <c r="Z235"/>
  <c r="AD235"/>
  <c r="Y235"/>
  <c r="Z234"/>
  <c r="AD234"/>
  <c r="Y234"/>
  <c r="Z233"/>
  <c r="AD233"/>
  <c r="Y233"/>
  <c r="Z232"/>
  <c r="AD232"/>
  <c r="Y232"/>
  <c r="Z231"/>
  <c r="AD231"/>
  <c r="Y231"/>
  <c r="Z230"/>
  <c r="AD230"/>
  <c r="Y230"/>
  <c r="Z229"/>
  <c r="AD229"/>
  <c r="Y229"/>
  <c r="Z227"/>
  <c r="AD227"/>
  <c r="Y227"/>
  <c r="Z226"/>
  <c r="AD226"/>
  <c r="Y226"/>
  <c r="Y225"/>
  <c r="Y224"/>
  <c r="Y223"/>
  <c r="Z223"/>
  <c r="AD223"/>
  <c r="Y222"/>
  <c r="Y221"/>
  <c r="Y220"/>
  <c r="Y219"/>
  <c r="Y218"/>
  <c r="Y217"/>
  <c r="Y216"/>
  <c r="Z214"/>
  <c r="AD214"/>
  <c r="Y214"/>
  <c r="Z213"/>
  <c r="AD213"/>
  <c r="Y213"/>
  <c r="Z212"/>
  <c r="AD212"/>
  <c r="Y212"/>
  <c r="Z210"/>
  <c r="AD210"/>
  <c r="Y210"/>
  <c r="Z209"/>
  <c r="AD209"/>
  <c r="Y209"/>
  <c r="Z208"/>
  <c r="AD208"/>
  <c r="Y208"/>
  <c r="Z207"/>
  <c r="AD207"/>
  <c r="Y207"/>
  <c r="Z206"/>
  <c r="AD206"/>
  <c r="Y206"/>
  <c r="Z205"/>
  <c r="AD205"/>
  <c r="Y205"/>
  <c r="Z204"/>
  <c r="AD204"/>
  <c r="Y204"/>
  <c r="Z203"/>
  <c r="AD203"/>
  <c r="Y203"/>
  <c r="Z202"/>
  <c r="AD202"/>
  <c r="Y202"/>
  <c r="Z201"/>
  <c r="AD201"/>
  <c r="Y201"/>
  <c r="Z200"/>
  <c r="AD200"/>
  <c r="Y200"/>
  <c r="Z198"/>
  <c r="AD198"/>
  <c r="Y198"/>
  <c r="Y197"/>
  <c r="Y196"/>
  <c r="Y195"/>
  <c r="Z194"/>
  <c r="AD194"/>
  <c r="Y194"/>
  <c r="Z193"/>
  <c r="AD193"/>
  <c r="Y193"/>
  <c r="Z191"/>
  <c r="AD191"/>
  <c r="Y191"/>
  <c r="Z187"/>
  <c r="AD187"/>
  <c r="Y187"/>
  <c r="Z185"/>
  <c r="AD185"/>
  <c r="Y185"/>
  <c r="Z184"/>
  <c r="AD184"/>
  <c r="Y184"/>
  <c r="Y181"/>
  <c r="Y180"/>
  <c r="Z179"/>
  <c r="AD179"/>
  <c r="Y179"/>
  <c r="Z178"/>
  <c r="AD178"/>
  <c r="Y178"/>
  <c r="Z177"/>
  <c r="AD177"/>
  <c r="Y177"/>
  <c r="Y176"/>
  <c r="Z175"/>
  <c r="AD175"/>
  <c r="Y175"/>
  <c r="Z174"/>
  <c r="AD174"/>
  <c r="Y174"/>
  <c r="Z173"/>
  <c r="AD173"/>
  <c r="Y173"/>
  <c r="Z172"/>
  <c r="AD172"/>
  <c r="Y172"/>
  <c r="Z171"/>
  <c r="AD171"/>
  <c r="Y171"/>
  <c r="Z170"/>
  <c r="AD170"/>
  <c r="Y170"/>
  <c r="Z169"/>
  <c r="AD169"/>
  <c r="Y169"/>
  <c r="Z168"/>
  <c r="AD168"/>
  <c r="Y168"/>
  <c r="Z167"/>
  <c r="AD167"/>
  <c r="Y167"/>
  <c r="Z166"/>
  <c r="AD166"/>
  <c r="Y166"/>
  <c r="Z165"/>
  <c r="AD165"/>
  <c r="Y165"/>
  <c r="Z164"/>
  <c r="AD164"/>
  <c r="Y164"/>
  <c r="Z160"/>
  <c r="AD160"/>
  <c r="Y160"/>
  <c r="Z163"/>
  <c r="AD163"/>
  <c r="Y163"/>
  <c r="Z162"/>
  <c r="AD162"/>
  <c r="Y162"/>
  <c r="Z161"/>
  <c r="AD161"/>
  <c r="Y161"/>
  <c r="Z159"/>
  <c r="AD159"/>
  <c r="Y159"/>
  <c r="Z158"/>
  <c r="AD158"/>
  <c r="Y158"/>
  <c r="Z157"/>
  <c r="AD157"/>
  <c r="Y157"/>
  <c r="Z156"/>
  <c r="AD156"/>
  <c r="Y156"/>
  <c r="Z155"/>
  <c r="AD155"/>
  <c r="Y155"/>
  <c r="Z154"/>
  <c r="AD154"/>
  <c r="Y154"/>
  <c r="Z153"/>
  <c r="AD153"/>
  <c r="Y153"/>
  <c r="Z152"/>
  <c r="AD152"/>
  <c r="Y152"/>
  <c r="Z151"/>
  <c r="AD151"/>
  <c r="Y151"/>
  <c r="Z150"/>
  <c r="AD150"/>
  <c r="Y150"/>
  <c r="Z149"/>
  <c r="AD149"/>
  <c r="Y149"/>
  <c r="Z148"/>
  <c r="AD148"/>
  <c r="Y148"/>
  <c r="Z147"/>
  <c r="AD147"/>
  <c r="Y147"/>
  <c r="Z146"/>
  <c r="AD146"/>
  <c r="Y146"/>
  <c r="Z145"/>
  <c r="AD145"/>
  <c r="Y145"/>
  <c r="Z144"/>
  <c r="AD144"/>
  <c r="Y144"/>
  <c r="Z143"/>
  <c r="AD143"/>
  <c r="Y143"/>
  <c r="Z142"/>
  <c r="AD142"/>
  <c r="Y142"/>
  <c r="Z141"/>
  <c r="AD141"/>
  <c r="Y141"/>
  <c r="Z140"/>
  <c r="AD140"/>
  <c r="Y140"/>
  <c r="Z139"/>
  <c r="AD139"/>
  <c r="Y139"/>
  <c r="Z138"/>
  <c r="AD138"/>
  <c r="Y138"/>
  <c r="Z137"/>
  <c r="AD137"/>
  <c r="Y137"/>
  <c r="Z136"/>
  <c r="AD136"/>
  <c r="Y136"/>
  <c r="Z135"/>
  <c r="AD135"/>
  <c r="Y135"/>
  <c r="Z134"/>
  <c r="AD134"/>
  <c r="Y134"/>
  <c r="Z133"/>
  <c r="AD133"/>
  <c r="Y133"/>
  <c r="Z132"/>
  <c r="AD132"/>
  <c r="Y132"/>
  <c r="Z131"/>
  <c r="AD131"/>
  <c r="Y131"/>
  <c r="Z125"/>
  <c r="AD125"/>
  <c r="Y125"/>
  <c r="Z128"/>
  <c r="AD128"/>
  <c r="Y128"/>
  <c r="Z127"/>
  <c r="AD127"/>
  <c r="Y127"/>
  <c r="Z126"/>
  <c r="AD126"/>
  <c r="Y126"/>
  <c r="Y130"/>
  <c r="Z130"/>
  <c r="AD130"/>
  <c r="Z124"/>
  <c r="AD124"/>
  <c r="Y124"/>
  <c r="Z123"/>
  <c r="AD123"/>
  <c r="Y123"/>
  <c r="Z122"/>
  <c r="AD122"/>
  <c r="Y122"/>
  <c r="Z121"/>
  <c r="AD121"/>
  <c r="Y121"/>
  <c r="Z120"/>
  <c r="AD120"/>
  <c r="Y120"/>
  <c r="Z119"/>
  <c r="AD119"/>
  <c r="Y119"/>
  <c r="Z116"/>
  <c r="AD116"/>
  <c r="Y116"/>
  <c r="Z115"/>
  <c r="AD115"/>
  <c r="Y115"/>
  <c r="Z114"/>
  <c r="AD114"/>
  <c r="Y114"/>
  <c r="Z117"/>
  <c r="AD117"/>
  <c r="Y117"/>
  <c r="Z113"/>
  <c r="AD113"/>
  <c r="Y113"/>
  <c r="Z118"/>
  <c r="AD118"/>
  <c r="Y118"/>
  <c r="Z112"/>
  <c r="AD112"/>
  <c r="Y112"/>
  <c r="Z111"/>
  <c r="AD111"/>
  <c r="Y111"/>
  <c r="Z110"/>
  <c r="AD110"/>
  <c r="Y110"/>
  <c r="Z109"/>
  <c r="AD109"/>
  <c r="Y109"/>
  <c r="Z108"/>
  <c r="AD108"/>
  <c r="Y108"/>
  <c r="Z107"/>
  <c r="AD107"/>
  <c r="Y107"/>
  <c r="Z106"/>
  <c r="AD106"/>
  <c r="Y106"/>
  <c r="Z105"/>
  <c r="AD105"/>
  <c r="Y105"/>
  <c r="Z104"/>
  <c r="AD104"/>
  <c r="Y104"/>
  <c r="Z103"/>
  <c r="AD103"/>
  <c r="Y103"/>
  <c r="Z102"/>
  <c r="AD102"/>
  <c r="Y102"/>
  <c r="Z101"/>
  <c r="AD101"/>
  <c r="Y101"/>
  <c r="Z100"/>
  <c r="AD100"/>
  <c r="Y100"/>
  <c r="Z99"/>
  <c r="AD99"/>
  <c r="Y99"/>
  <c r="Z98"/>
  <c r="AD98"/>
  <c r="Y98"/>
  <c r="Z97"/>
  <c r="AD97"/>
  <c r="Y97"/>
  <c r="Z96"/>
  <c r="AD96"/>
  <c r="Y96"/>
  <c r="Z95"/>
  <c r="AD95"/>
  <c r="Y95"/>
  <c r="Z94"/>
  <c r="AD94"/>
  <c r="Y94"/>
  <c r="Z93"/>
  <c r="AD93"/>
  <c r="Y93"/>
  <c r="Z92"/>
  <c r="AD92"/>
  <c r="Y92"/>
  <c r="Y91"/>
  <c r="Z90"/>
  <c r="AD90"/>
  <c r="Y90"/>
  <c r="Z89"/>
  <c r="AD89"/>
  <c r="Y89"/>
  <c r="Z87"/>
  <c r="AD87"/>
  <c r="Y87"/>
  <c r="Z86"/>
  <c r="AD86"/>
  <c r="Y86"/>
  <c r="Z85"/>
  <c r="AD85"/>
  <c r="Y85"/>
  <c r="Z84"/>
  <c r="AD84"/>
  <c r="Y84"/>
  <c r="Z83"/>
  <c r="AD83"/>
  <c r="Y83"/>
  <c r="Z81"/>
  <c r="AD81"/>
  <c r="Y81"/>
  <c r="Z82"/>
  <c r="AD82"/>
  <c r="Y82"/>
  <c r="Z80"/>
  <c r="AD80"/>
  <c r="Y80"/>
  <c r="Z79"/>
  <c r="AD79"/>
  <c r="Y79"/>
  <c r="Z78"/>
  <c r="AD78"/>
  <c r="Y78"/>
  <c r="Z77"/>
  <c r="AD77"/>
  <c r="Y77"/>
  <c r="Z76"/>
  <c r="AD76"/>
  <c r="Y76"/>
  <c r="Z75"/>
  <c r="AD75"/>
  <c r="Y75"/>
  <c r="Z74"/>
  <c r="AD74"/>
  <c r="Y74"/>
  <c r="Z73"/>
  <c r="AD73"/>
  <c r="Y73"/>
  <c r="Z72"/>
  <c r="AD72"/>
  <c r="Y72"/>
  <c r="Z71"/>
  <c r="AD71"/>
  <c r="Y71"/>
  <c r="Z70"/>
  <c r="AD70"/>
  <c r="Y70"/>
  <c r="Z68"/>
  <c r="AD68"/>
  <c r="Y68"/>
  <c r="Z67"/>
  <c r="AD67"/>
  <c r="Y67"/>
  <c r="Z66"/>
  <c r="AD66"/>
  <c r="Y66"/>
  <c r="Z65"/>
  <c r="AD65"/>
  <c r="Y65"/>
  <c r="Z64"/>
  <c r="AD64"/>
  <c r="Y64"/>
  <c r="Z63"/>
  <c r="AD63"/>
  <c r="Y63"/>
  <c r="Z62"/>
  <c r="AD62"/>
  <c r="Y62"/>
  <c r="Z59"/>
  <c r="AD59"/>
  <c r="Y59"/>
  <c r="Z58"/>
  <c r="AD58"/>
  <c r="Y58"/>
  <c r="Z61"/>
  <c r="AD61"/>
  <c r="Y61"/>
  <c r="Z57"/>
  <c r="AD57"/>
  <c r="Y57"/>
  <c r="Z56"/>
  <c r="AD56"/>
  <c r="Y56"/>
  <c r="Z55"/>
  <c r="AD55"/>
  <c r="Y55"/>
  <c r="Z54"/>
  <c r="AD54"/>
  <c r="Y54"/>
  <c r="Z53"/>
  <c r="AD53"/>
  <c r="Y53"/>
  <c r="Z52"/>
  <c r="AD52"/>
  <c r="Y52"/>
  <c r="Y51"/>
  <c r="Z50"/>
  <c r="AD50"/>
  <c r="Y50"/>
  <c r="Z49"/>
  <c r="AD49"/>
  <c r="Y49"/>
  <c r="Z48"/>
  <c r="AD48"/>
  <c r="Y48"/>
  <c r="Z47"/>
  <c r="AD47"/>
  <c r="Y47"/>
  <c r="Z46"/>
  <c r="AD46"/>
  <c r="Y46"/>
  <c r="Z45"/>
  <c r="AD45"/>
  <c r="Y45"/>
  <c r="Z44"/>
  <c r="AD44"/>
  <c r="Y44"/>
  <c r="Z43"/>
  <c r="AD43"/>
  <c r="Y43"/>
  <c r="Z42"/>
  <c r="AD42"/>
  <c r="Y42"/>
  <c r="Z41"/>
  <c r="AD41"/>
  <c r="Y41"/>
  <c r="Z40"/>
  <c r="AD40"/>
  <c r="Y40"/>
  <c r="Z39"/>
  <c r="AD39"/>
  <c r="Y39"/>
  <c r="Z37"/>
  <c r="AD37"/>
  <c r="Y37"/>
  <c r="Z36"/>
  <c r="AD36"/>
  <c r="Y36"/>
  <c r="Z35"/>
  <c r="AD35"/>
  <c r="Y35"/>
  <c r="Y34"/>
  <c r="Z31"/>
  <c r="AD31"/>
  <c r="Y31"/>
  <c r="Z30"/>
  <c r="AD30"/>
  <c r="Y30"/>
  <c r="Z29"/>
  <c r="AD29"/>
  <c r="Y29"/>
  <c r="Z28"/>
  <c r="AD28"/>
  <c r="Y28"/>
  <c r="Y27"/>
  <c r="Y26"/>
  <c r="Y25"/>
  <c r="Y24"/>
  <c r="Y23"/>
  <c r="Y22"/>
  <c r="Y21"/>
  <c r="Y20"/>
  <c r="Y19"/>
  <c r="Z19"/>
  <c r="AD19"/>
  <c r="Y18"/>
  <c r="Y17"/>
  <c r="Y16"/>
  <c r="Y15"/>
  <c r="Y14"/>
  <c r="Y13"/>
  <c r="Y12"/>
  <c r="Y11"/>
  <c r="Y10"/>
  <c r="L315"/>
  <c r="L327"/>
  <c r="R327"/>
  <c r="Y315"/>
  <c r="T327"/>
  <c r="T357"/>
  <c r="Z188"/>
  <c r="AD188"/>
  <c r="Z350"/>
  <c r="AD350"/>
  <c r="Z332"/>
  <c r="AD332"/>
  <c r="Z341"/>
  <c r="AD341"/>
  <c r="Z347"/>
  <c r="AD347"/>
  <c r="Z196"/>
  <c r="AD196"/>
  <c r="Z218"/>
  <c r="AD218"/>
  <c r="Z220"/>
  <c r="AD220"/>
  <c r="Z334"/>
  <c r="AD334"/>
  <c r="Z336"/>
  <c r="AD336"/>
  <c r="Z345"/>
  <c r="AD345"/>
  <c r="Z22"/>
  <c r="AD22"/>
  <c r="Z343"/>
  <c r="AD343"/>
  <c r="Z51"/>
  <c r="AD51"/>
  <c r="Z10"/>
  <c r="Z16"/>
  <c r="AD16"/>
  <c r="Z338"/>
  <c r="AD338"/>
  <c r="Z24"/>
  <c r="AD24"/>
  <c r="Z91"/>
  <c r="AD91"/>
  <c r="Z12"/>
  <c r="AD12"/>
  <c r="Z14"/>
  <c r="AD14"/>
  <c r="Z18"/>
  <c r="AD18"/>
  <c r="Z222"/>
  <c r="AD222"/>
  <c r="Z224"/>
  <c r="AD224"/>
  <c r="Y189"/>
  <c r="Y199"/>
  <c r="Y351"/>
  <c r="Y190"/>
  <c r="Z216"/>
  <c r="AD216"/>
  <c r="Z238"/>
  <c r="AD238"/>
  <c r="Y348"/>
  <c r="Z27"/>
  <c r="AD27"/>
  <c r="Z34"/>
  <c r="AD34"/>
  <c r="Z21"/>
  <c r="AD21"/>
  <c r="Z26"/>
  <c r="AD26"/>
  <c r="Z190"/>
  <c r="AD190"/>
  <c r="Z199"/>
  <c r="AD199"/>
  <c r="Z11"/>
  <c r="AD11"/>
  <c r="Z13"/>
  <c r="AD13"/>
  <c r="Z15"/>
  <c r="AD15"/>
  <c r="Z17"/>
  <c r="AD17"/>
  <c r="Z20"/>
  <c r="AD20"/>
  <c r="Z23"/>
  <c r="AD23"/>
  <c r="Z25"/>
  <c r="AD25"/>
  <c r="Y188"/>
  <c r="Z195"/>
  <c r="AD195"/>
  <c r="Z217"/>
  <c r="AD217"/>
  <c r="Z221"/>
  <c r="AD221"/>
  <c r="Z176"/>
  <c r="AD176"/>
  <c r="Z189"/>
  <c r="AD189"/>
  <c r="Z197"/>
  <c r="AD197"/>
  <c r="Z219"/>
  <c r="AD219"/>
  <c r="Z180"/>
  <c r="AD180"/>
  <c r="Z181"/>
  <c r="AD181"/>
  <c r="Z225"/>
  <c r="AD225"/>
  <c r="Z333"/>
  <c r="AD333"/>
  <c r="Z337"/>
  <c r="AD337"/>
  <c r="Z335"/>
  <c r="AD335"/>
  <c r="Z339"/>
  <c r="AD339"/>
  <c r="Y349"/>
  <c r="Z353"/>
  <c r="AD353"/>
  <c r="Y354"/>
  <c r="Z342"/>
  <c r="AD342"/>
  <c r="Z344"/>
  <c r="AD344"/>
  <c r="Z346"/>
  <c r="AD346"/>
  <c r="Z349"/>
  <c r="AD349"/>
  <c r="Z354"/>
  <c r="AD354"/>
  <c r="Z352"/>
  <c r="AD352"/>
  <c r="R326"/>
  <c r="R357"/>
  <c r="W327"/>
  <c r="V325" i="4"/>
  <c r="X325"/>
  <c r="X324"/>
  <c r="T326" i="1"/>
  <c r="S327"/>
  <c r="AD10"/>
  <c r="Z315"/>
  <c r="U10"/>
  <c r="U315"/>
  <c r="AD355"/>
  <c r="X355"/>
  <c r="V324" i="4"/>
  <c r="V355"/>
  <c r="V354"/>
  <c r="S326" i="1"/>
  <c r="S357"/>
  <c r="W326"/>
  <c r="W357"/>
  <c r="U327"/>
  <c r="U357"/>
  <c r="X355" i="4"/>
  <c r="X354"/>
  <c r="X327" i="1"/>
  <c r="U326"/>
  <c r="Q356"/>
  <c r="R356"/>
  <c r="S356"/>
  <c r="T356"/>
  <c r="U356"/>
  <c r="V356"/>
  <c r="W356"/>
  <c r="X326"/>
  <c r="X357"/>
  <c r="X356"/>
</calcChain>
</file>

<file path=xl/comments1.xml><?xml version="1.0" encoding="utf-8"?>
<comments xmlns="http://schemas.openxmlformats.org/spreadsheetml/2006/main">
  <authors>
    <author>Блинова Екатерина Николаевна</author>
    <author>Пальчикова Татьяна Витальевна</author>
    <author>Сувернева Юлия Александровна</author>
    <author>Любовцова Александра Валерьевна</author>
    <author>Шабалина Анна Васильевна</author>
  </authors>
  <commentList>
    <comment ref="H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</t>
        </r>
      </text>
    </commen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2021</t>
        </r>
      </text>
    </comment>
    <comment ref="K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2021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планируется ООО "АОВ"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</t>
        </r>
      </text>
    </comment>
    <comment ref="K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2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2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L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(из договора)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(из договора)</t>
        </r>
      </text>
    </comment>
    <comment ref="L3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план 2022 года </t>
        </r>
      </text>
    </comment>
    <comment ref="L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 (из договора)</t>
        </r>
      </text>
    </comment>
    <comment ref="H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1 кв 2022 (из договора)</t>
        </r>
      </text>
    </comment>
    <comment ref="I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H5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1 кв 2022 (из договора)</t>
        </r>
      </text>
    </comment>
    <comment ref="I5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L6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6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2022 года</t>
        </r>
      </text>
    </comment>
    <comment ref="G69" authorId="1">
      <text>
        <r>
          <rPr>
            <b/>
            <sz val="9"/>
            <color indexed="81"/>
            <rFont val="Tahoma"/>
            <family val="2"/>
            <charset val="204"/>
          </rPr>
          <t>Пальчикова Татьяна Витальевна</t>
        </r>
        <r>
          <rPr>
            <b/>
            <sz val="14"/>
            <color indexed="81"/>
            <rFont val="Times New Roman"/>
            <family val="1"/>
            <charset val="204"/>
          </rPr>
          <t>:</t>
        </r>
        <r>
          <rPr>
            <sz val="14"/>
            <color indexed="81"/>
            <rFont val="Times New Roman"/>
            <family val="1"/>
            <charset val="204"/>
          </rPr>
          <t xml:space="preserve">
объемы из постановления</t>
        </r>
      </text>
    </comment>
    <comment ref="J7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АО "АрхоблЭнерго"</t>
        </r>
      </text>
    </comment>
    <comment ref="K7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K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J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ООО "Альтернатива"</t>
        </r>
      </text>
    </comment>
    <comment ref="K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ООО "Альтернатива"</t>
        </r>
      </text>
    </comment>
    <comment ref="H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J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план на 3 кв 2022 (из договора) </t>
        </r>
      </text>
    </comment>
    <comment ref="K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4 кв 2022 (из договора)</t>
        </r>
      </text>
    </comment>
    <comment ref="H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I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J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K7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</t>
        </r>
      </text>
    </comment>
    <comment ref="L8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 (из договора)</t>
        </r>
      </text>
    </comment>
    <comment ref="L8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M84" authorId="2">
      <text>
        <r>
          <rPr>
            <b/>
            <sz val="9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согласно выданным параметрам</t>
        </r>
      </text>
    </comment>
    <comment ref="H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 Козьминское МУП ПЖКХ</t>
        </r>
      </text>
    </comment>
    <comment ref="I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 Козьминское МУП ПЖК</t>
        </r>
        <r>
          <rPr>
            <sz val="9"/>
            <color indexed="81"/>
            <rFont val="Tahoma"/>
            <family val="2"/>
            <charset val="204"/>
          </rPr>
          <t>Х</t>
        </r>
      </text>
    </comment>
    <comment ref="B87" authorId="2">
      <text>
        <r>
          <rPr>
            <b/>
            <sz val="14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4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L8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M87" authorId="2">
      <text>
        <r>
          <rPr>
            <b/>
            <sz val="20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20"/>
            <color indexed="81"/>
            <rFont val="Tahoma"/>
            <family val="2"/>
            <charset val="204"/>
          </rPr>
          <t xml:space="preserve">
согласно выданным параметрам</t>
        </r>
      </text>
    </comment>
    <comment ref="L9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K9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4 кв 2022 (из договора)</t>
        </r>
      </text>
    </comment>
    <comment ref="L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H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 ООО "УК "АЖС"</t>
        </r>
      </text>
    </comment>
    <comment ref="I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 ООО "УК "АЖС"</t>
        </r>
      </text>
    </comment>
    <comment ref="J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ООО "УК "АЖС"</t>
        </r>
      </text>
    </comment>
    <comment ref="K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ООО "УК "АЖС"</t>
        </r>
      </text>
    </comment>
    <comment ref="J11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</t>
        </r>
      </text>
    </comment>
    <comment ref="K11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</t>
        </r>
      </text>
    </comment>
    <comment ref="L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11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2021 года ООО "Сийское"</t>
        </r>
      </text>
    </comment>
    <comment ref="H11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1 кв 2022</t>
        </r>
      </text>
    </comment>
    <comment ref="I11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</t>
        </r>
      </text>
    </comment>
    <comment ref="L1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12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в соответствии с постановлением</t>
        </r>
      </text>
    </comment>
    <comment ref="L13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</t>
        </r>
      </text>
    </comment>
    <comment ref="H13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13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J13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план 3 кв 2022 (из договора)</t>
        </r>
      </text>
    </comment>
    <comment ref="H1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1 кв 2021 ООО "НордСервис"</t>
        </r>
      </text>
    </comment>
    <comment ref="I1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ООО "НордСервис"</t>
        </r>
      </text>
    </comment>
    <comment ref="J1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2021 МУП Водоочистка и НордСервис</t>
        </r>
      </text>
    </comment>
    <comment ref="L15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K16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</t>
        </r>
      </text>
    </comment>
    <comment ref="H16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I16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K1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 2020</t>
        </r>
      </text>
    </comment>
    <comment ref="K16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факт 4 кв 2020 </t>
        </r>
      </text>
    </comment>
    <comment ref="K16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</t>
        </r>
      </text>
    </comment>
    <comment ref="K16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4 кв 2020</t>
        </r>
      </text>
    </comment>
    <comment ref="L1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2020 года</t>
        </r>
      </text>
    </comment>
    <comment ref="B181" authorId="3">
      <text>
        <r>
          <rPr>
            <b/>
            <sz val="9"/>
            <color indexed="81"/>
            <rFont val="Tahoma"/>
            <family val="2"/>
            <charset val="204"/>
          </rPr>
          <t>Любовцова Александра Валерьевна: п</t>
        </r>
        <r>
          <rPr>
            <b/>
            <sz val="12"/>
            <color indexed="81"/>
            <rFont val="Tahoma"/>
            <family val="2"/>
            <charset val="204"/>
          </rPr>
          <t>редыдущее Рсо ООО "Кулой ЖКХ. Ни то, ни другое рсо не заключали договоры с 2018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2022 года </t>
        </r>
      </text>
    </comment>
    <comment ref="L1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в соответствии с постановлением</t>
        </r>
      </text>
    </comment>
    <comment ref="H1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L1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2, 3, 4 кварталы - план на 2022 год (из договора)</t>
        </r>
      </text>
    </comment>
    <comment ref="H1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L18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2, 3, 4 кварталы - план на 2022 год (из договора)</t>
        </r>
      </text>
    </comment>
    <comment ref="H192" authorId="0">
      <text>
        <r>
          <rPr>
            <b/>
            <sz val="12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12"/>
            <color indexed="81"/>
            <rFont val="Tahoma"/>
            <family val="2"/>
            <charset val="204"/>
          </rPr>
          <t xml:space="preserve">
факт 1 кв 2021 ООО "Теплоэнерго"+МУП "Жилкомсервис"</t>
        </r>
      </text>
    </comment>
    <comment ref="I19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ООО "Теплоэнерго"+МУП "Жилкомсервис"</t>
        </r>
      </text>
    </comment>
    <comment ref="J19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2021 ООО "Теплоэнерго"+ факт 3 кв 2020 МУП "Жилкомсервис"</t>
        </r>
      </text>
    </comment>
    <comment ref="K19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2021 ООО "Теплоэнерго"+ факт 4 кв 2020 МУП "Жилкомсервис"</t>
        </r>
      </text>
    </comment>
    <comment ref="H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 АрхоблЭнерго</t>
        </r>
      </text>
    </comment>
    <comment ref="I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АрхоблЭнерго</t>
        </r>
      </text>
    </comment>
    <comment ref="J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АрхоблЭнерго</t>
        </r>
      </text>
    </comment>
    <comment ref="K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АрхоблЭнерго</t>
        </r>
      </text>
    </comment>
    <comment ref="H1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 ПАО "ТГК-2"</t>
        </r>
      </text>
    </comment>
    <comment ref="I1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ПАО "ТГК-2"</t>
        </r>
      </text>
    </comment>
    <comment ref="J1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АрхоблЭнерго</t>
        </r>
      </text>
    </comment>
    <comment ref="K19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ТГК-2</t>
        </r>
      </text>
    </comment>
    <comment ref="H1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 ПАО "ТГК-2"</t>
        </r>
      </text>
    </comment>
    <comment ref="I1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ПАО "ТГК-2"</t>
        </r>
      </text>
    </comment>
    <comment ref="J1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АрхоблЭнерго</t>
        </r>
      </text>
    </comment>
    <comment ref="K1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ТГК-2</t>
        </r>
      </text>
    </comment>
    <comment ref="L20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в соответствии с постановлением</t>
        </r>
      </text>
    </comment>
    <comment ref="H22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I22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</t>
        </r>
      </text>
    </comment>
    <comment ref="L23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H23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I23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</t>
        </r>
      </text>
    </comment>
    <comment ref="H238" authorId="2">
      <text>
        <r>
          <rPr>
            <b/>
            <sz val="18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20"/>
            <color indexed="81"/>
            <rFont val="Tahoma"/>
            <family val="2"/>
            <charset val="204"/>
          </rPr>
          <t xml:space="preserve">
План 2023 год</t>
        </r>
      </text>
    </comment>
    <comment ref="L238" authorId="0">
      <text>
        <r>
          <rPr>
            <b/>
            <sz val="16"/>
            <color indexed="81"/>
            <rFont val="Tahoma"/>
            <family val="2"/>
            <charset val="204"/>
          </rPr>
          <t>Блинова Екатерина</t>
        </r>
        <r>
          <rPr>
            <b/>
            <sz val="9"/>
            <color indexed="81"/>
            <rFont val="Tahoma"/>
            <family val="2"/>
            <charset val="204"/>
          </rPr>
          <t xml:space="preserve">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G243" authorId="1">
      <text>
        <r>
          <rPr>
            <b/>
            <sz val="9"/>
            <color indexed="81"/>
            <rFont val="Tahoma"/>
            <family val="2"/>
            <charset val="204"/>
          </rPr>
          <t>Пальчикова Татьяна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объемы из постановления</t>
        </r>
      </text>
    </comment>
    <comment ref="L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 (из договора)</t>
        </r>
      </text>
    </comment>
    <comment ref="J2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АО "АрхоблЭнерго"</t>
        </r>
      </text>
    </comment>
    <comment ref="K2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K25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J2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ООО "Альтернатива"</t>
        </r>
      </text>
    </comment>
    <comment ref="H2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 Козьминское МУП ПЖКХ</t>
        </r>
      </text>
    </comment>
    <comment ref="I2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 Козьминское МУП ПЖКХ</t>
        </r>
      </text>
    </comment>
    <comment ref="B258" authorId="2">
      <text>
        <r>
          <rPr>
            <b/>
            <sz val="16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6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L25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26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27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2020 года</t>
        </r>
      </text>
    </comment>
    <comment ref="L2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H2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2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J27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3 кв 2022 (из договора)</t>
        </r>
      </text>
    </comment>
    <comment ref="H28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1 кв 2022</t>
        </r>
      </text>
    </comment>
    <comment ref="I28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2 кв 2021 ООО "НордСервис"</t>
        </r>
      </text>
    </comment>
    <comment ref="J28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3 кв 2021 МУП Водоочистка и НордСервис</t>
        </r>
      </text>
    </comment>
    <comment ref="L29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2022 года</t>
        </r>
      </text>
    </comment>
    <comment ref="L33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(из договора)</t>
        </r>
      </text>
    </comment>
    <comment ref="L33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</t>
        </r>
      </text>
    </comment>
    <comment ref="L34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34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 (из договора)</t>
        </r>
      </text>
    </comment>
    <comment ref="L3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</t>
        </r>
      </text>
    </comment>
    <comment ref="L35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 (из договора)</t>
        </r>
      </text>
    </comment>
    <comment ref="L35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35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U358" authorId="4">
      <text>
        <r>
          <rPr>
            <b/>
            <sz val="16"/>
            <color indexed="81"/>
            <rFont val="Tahoma"/>
            <family val="2"/>
            <charset val="204"/>
          </rPr>
          <t>Шабалина Анна Васильевна:</t>
        </r>
        <r>
          <rPr>
            <sz val="16"/>
            <color indexed="81"/>
            <rFont val="Tahoma"/>
            <family val="2"/>
            <charset val="204"/>
          </rPr>
          <t xml:space="preserve">
задвоения нет?</t>
        </r>
      </text>
    </comment>
  </commentList>
</comments>
</file>

<file path=xl/comments2.xml><?xml version="1.0" encoding="utf-8"?>
<comments xmlns="http://schemas.openxmlformats.org/spreadsheetml/2006/main">
  <authors>
    <author>Блинова Екатерина Николаевна</author>
    <author>Пальчикова Татьяна Витальевна</author>
    <author>Сувернева Юлия Александровна</author>
    <author>Любовцова Александра Валерьевна</author>
    <author>Шабалина Анна Васильевна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2021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2021</t>
        </r>
      </text>
    </comment>
    <comment ref="J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2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(из договора)</t>
        </r>
      </text>
    </comment>
    <comment ref="L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(из договора)</t>
        </r>
      </text>
    </comment>
    <comment ref="L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3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план 2022 года </t>
        </r>
      </text>
    </comment>
    <comment ref="L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 (из договора)</t>
        </r>
      </text>
    </comment>
    <comment ref="H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1 кв 2022 (из договора)</t>
        </r>
      </text>
    </comment>
    <comment ref="I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H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1 кв 2022 (из договора)</t>
        </r>
      </text>
    </comment>
    <comment ref="I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L5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5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2022 года</t>
        </r>
      </text>
    </comment>
    <comment ref="G67" authorId="1">
      <text>
        <r>
          <rPr>
            <b/>
            <sz val="9"/>
            <color indexed="81"/>
            <rFont val="Tahoma"/>
            <family val="2"/>
            <charset val="204"/>
          </rPr>
          <t>Пальчикова Татьяна Витальевна</t>
        </r>
        <r>
          <rPr>
            <b/>
            <sz val="14"/>
            <color indexed="81"/>
            <rFont val="Times New Roman"/>
            <family val="1"/>
            <charset val="204"/>
          </rPr>
          <t>:</t>
        </r>
        <r>
          <rPr>
            <sz val="14"/>
            <color indexed="81"/>
            <rFont val="Times New Roman"/>
            <family val="1"/>
            <charset val="204"/>
          </rPr>
          <t xml:space="preserve">
объемы из постановления</t>
        </r>
      </text>
    </comment>
    <comment ref="J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АО "АрхоблЭнерго"</t>
        </r>
      </text>
    </comment>
    <comment ref="K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K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J7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ООО "Альтернатива"</t>
        </r>
      </text>
    </comment>
    <comment ref="K7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ООО "Альтернатива"</t>
        </r>
      </text>
    </comment>
    <comment ref="H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J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план на 3 кв 2022 (из договора) </t>
        </r>
      </text>
    </comment>
    <comment ref="K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4 кв 2022 (из договора)</t>
        </r>
      </text>
    </comment>
    <comment ref="H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I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J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K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</t>
        </r>
      </text>
    </comment>
    <comment ref="L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 (из договора)</t>
        </r>
      </text>
    </comment>
    <comment ref="L8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N82" authorId="2">
      <text>
        <r>
          <rPr>
            <b/>
            <sz val="9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согласно выданным параметрам</t>
        </r>
      </text>
    </comment>
    <comment ref="H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 Козьминское МУП ПЖКХ</t>
        </r>
      </text>
    </comment>
    <comment ref="I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 Козьминское МУП ПЖК</t>
        </r>
        <r>
          <rPr>
            <sz val="9"/>
            <color indexed="81"/>
            <rFont val="Tahoma"/>
            <family val="2"/>
            <charset val="204"/>
          </rPr>
          <t>Х</t>
        </r>
      </text>
    </comment>
    <comment ref="B85" authorId="2">
      <text>
        <r>
          <rPr>
            <b/>
            <sz val="14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4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L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N85" authorId="2">
      <text>
        <r>
          <rPr>
            <b/>
            <sz val="9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L8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K9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4 кв 2022 (из договора)</t>
        </r>
      </text>
    </comment>
    <comment ref="L9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H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 ООО "УК "АЖС"</t>
        </r>
      </text>
    </comment>
    <comment ref="I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 ООО "УК "АЖС"</t>
        </r>
      </text>
    </comment>
    <comment ref="J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ООО "УК "АЖС"</t>
        </r>
      </text>
    </comment>
    <comment ref="K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ООО "УК "АЖС"</t>
        </r>
      </text>
    </comment>
    <comment ref="J1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</t>
        </r>
      </text>
    </comment>
    <comment ref="K1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</t>
        </r>
      </text>
    </comment>
    <comment ref="L11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1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2021 года ООО "Сийское"</t>
        </r>
      </text>
    </comment>
    <comment ref="H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1 кв 2022</t>
        </r>
      </text>
    </comment>
    <comment ref="I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</t>
        </r>
      </text>
    </comment>
    <comment ref="L12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1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</t>
        </r>
      </text>
    </comment>
    <comment ref="H1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1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J1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план 3 кв 2022 (из договора)</t>
        </r>
      </text>
    </comment>
    <comment ref="H14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1 кв 2021 ООО "НордСервис"</t>
        </r>
      </text>
    </comment>
    <comment ref="I14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ООО "НордСервис"</t>
        </r>
      </text>
    </comment>
    <comment ref="J14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2021 МУП Водоочистка и НордСервис</t>
        </r>
      </text>
    </comment>
    <comment ref="L15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K15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</t>
        </r>
      </text>
    </comment>
    <comment ref="H16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I16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K16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 2020</t>
        </r>
      </text>
    </comment>
    <comment ref="K16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факт 4 кв 2020 </t>
        </r>
      </text>
    </comment>
    <comment ref="K1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</t>
        </r>
      </text>
    </comment>
    <comment ref="K16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4 кв 2020</t>
        </r>
      </text>
    </comment>
    <comment ref="L1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2020 года</t>
        </r>
      </text>
    </comment>
    <comment ref="B179" authorId="3">
      <text>
        <r>
          <rPr>
            <b/>
            <sz val="9"/>
            <color indexed="81"/>
            <rFont val="Tahoma"/>
            <family val="2"/>
            <charset val="204"/>
          </rPr>
          <t>Любовцова Александра Валерьевна: п</t>
        </r>
        <r>
          <rPr>
            <b/>
            <sz val="12"/>
            <color indexed="81"/>
            <rFont val="Tahoma"/>
            <family val="2"/>
            <charset val="204"/>
          </rPr>
          <t>редыдущее Рсо ООО "Кулой ЖКХ. Ни то, ни другое рсо не заключали договоры с 2018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2022 года </t>
        </r>
      </text>
    </comment>
    <comment ref="L18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в соответствии с постановлением</t>
        </r>
      </text>
    </comment>
    <comment ref="H1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L1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2, 3, 4 кварталы - план на 2022 год (из договора)</t>
        </r>
      </text>
    </comment>
    <comment ref="H18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L18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2, 3, 4 кварталы - план на 2022 год (из договора)</t>
        </r>
      </text>
    </comment>
    <comment ref="H190" authorId="0">
      <text>
        <r>
          <rPr>
            <b/>
            <sz val="12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12"/>
            <color indexed="81"/>
            <rFont val="Tahoma"/>
            <family val="2"/>
            <charset val="204"/>
          </rPr>
          <t xml:space="preserve">
факт 1 кв 2021 ООО "Теплоэнерго"+МУП "Жилкомсервис"</t>
        </r>
      </text>
    </comment>
    <comment ref="I19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ООО "Теплоэнерго"+МУП "Жилкомсервис"</t>
        </r>
      </text>
    </comment>
    <comment ref="J19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2021 ООО "Теплоэнерго"+ факт 3 кв 2020 МУП "Жилкомсервис"</t>
        </r>
      </text>
    </comment>
    <comment ref="K19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2021 ООО "Теплоэнерго"+ факт 4 кв 2020 МУП "Жилкомсервис"</t>
        </r>
      </text>
    </comment>
    <comment ref="H1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 АрхоблЭнерго</t>
        </r>
      </text>
    </comment>
    <comment ref="I1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АрхоблЭнерго</t>
        </r>
      </text>
    </comment>
    <comment ref="J1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АрхоблЭнерго</t>
        </r>
      </text>
    </comment>
    <comment ref="K1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АрхоблЭнерго</t>
        </r>
      </text>
    </comment>
    <comment ref="H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 ПАО "ТГК-2"</t>
        </r>
      </text>
    </comment>
    <comment ref="I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ПАО "ТГК-2"</t>
        </r>
      </text>
    </comment>
    <comment ref="J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АрхоблЭнерго</t>
        </r>
      </text>
    </comment>
    <comment ref="K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ТГК-2</t>
        </r>
      </text>
    </comment>
    <comment ref="H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 ПАО "ТГК-2"</t>
        </r>
      </text>
    </comment>
    <comment ref="I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ПАО "ТГК-2"</t>
        </r>
      </text>
    </comment>
    <comment ref="J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АрхоблЭнерго</t>
        </r>
      </text>
    </comment>
    <comment ref="K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ТГК-2</t>
        </r>
      </text>
    </comment>
    <comment ref="L20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в соответствии с постановлением</t>
        </r>
      </text>
    </comment>
    <comment ref="H22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I22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</t>
        </r>
      </text>
    </comment>
    <comment ref="L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H2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I2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</t>
        </r>
      </text>
    </comment>
    <comment ref="L23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</t>
        </r>
      </text>
    </comment>
    <comment ref="G241" authorId="1">
      <text>
        <r>
          <rPr>
            <b/>
            <sz val="9"/>
            <color indexed="81"/>
            <rFont val="Tahoma"/>
            <family val="2"/>
            <charset val="204"/>
          </rPr>
          <t>Пальчикова Татьяна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объемы из постановления</t>
        </r>
      </text>
    </comment>
    <comment ref="L2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 (из договора)</t>
        </r>
      </text>
    </comment>
    <comment ref="J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АО "АрхоблЭнерго"</t>
        </r>
      </text>
    </comment>
    <comment ref="K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K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J2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ООО "Альтернатива"</t>
        </r>
      </text>
    </comment>
    <comment ref="H2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 Козьминское МУП ПЖКХ</t>
        </r>
      </text>
    </comment>
    <comment ref="I2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 Козьминское МУП ПЖКХ</t>
        </r>
      </text>
    </comment>
    <comment ref="B256" authorId="2">
      <text>
        <r>
          <rPr>
            <b/>
            <sz val="16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6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L2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25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26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2020 года</t>
        </r>
      </text>
    </comment>
    <comment ref="L2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H2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2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J2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3 кв 2022 (из договора)</t>
        </r>
      </text>
    </comment>
    <comment ref="H2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1 кв 2022</t>
        </r>
      </text>
    </comment>
    <comment ref="I2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2 кв 2021 ООО "НордСервис"</t>
        </r>
      </text>
    </comment>
    <comment ref="J2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3 кв 2021 МУП Водоочистка и НордСервис</t>
        </r>
      </text>
    </comment>
    <comment ref="L2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2022 года</t>
        </r>
      </text>
    </comment>
    <comment ref="L3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(из договора)</t>
        </r>
      </text>
    </comment>
    <comment ref="L3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</t>
        </r>
      </text>
    </comment>
    <comment ref="L33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3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 (из договора)</t>
        </r>
      </text>
    </comment>
    <comment ref="L3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</t>
        </r>
      </text>
    </comment>
    <comment ref="L3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 (из договора)</t>
        </r>
      </text>
    </comment>
    <comment ref="L35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3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U356" authorId="4">
      <text>
        <r>
          <rPr>
            <b/>
            <sz val="16"/>
            <color indexed="81"/>
            <rFont val="Tahoma"/>
            <family val="2"/>
            <charset val="204"/>
          </rPr>
          <t>Шабалина Анна Васильевна:</t>
        </r>
        <r>
          <rPr>
            <sz val="16"/>
            <color indexed="81"/>
            <rFont val="Tahoma"/>
            <family val="2"/>
            <charset val="204"/>
          </rPr>
          <t xml:space="preserve">
задвоения нет?</t>
        </r>
      </text>
    </comment>
  </commentList>
</comments>
</file>

<file path=xl/comments3.xml><?xml version="1.0" encoding="utf-8"?>
<comments xmlns="http://schemas.openxmlformats.org/spreadsheetml/2006/main">
  <authors>
    <author>Блинова Екатерина Николаевна</author>
    <author>Пальчикова Татьяна Витальевна</author>
    <author>Сувернева Юлия Александровна</author>
    <author>Любовцова Александра Валерьевна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2021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2021</t>
        </r>
      </text>
    </comment>
    <comment ref="J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2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2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(из договора)</t>
        </r>
      </text>
    </comment>
    <comment ref="L3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(из договора)</t>
        </r>
      </text>
    </comment>
    <comment ref="L3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3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план 2022 года </t>
        </r>
      </text>
    </comment>
    <comment ref="L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 (из договора)</t>
        </r>
      </text>
    </comment>
    <comment ref="H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1 кв 2022 (из договора)</t>
        </r>
      </text>
    </comment>
    <comment ref="I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H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1 кв 2022 (из договора)</t>
        </r>
      </text>
    </comment>
    <comment ref="I5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L5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5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2022 года</t>
        </r>
      </text>
    </comment>
    <comment ref="G67" authorId="1">
      <text>
        <r>
          <rPr>
            <b/>
            <sz val="9"/>
            <color indexed="81"/>
            <rFont val="Tahoma"/>
            <family val="2"/>
            <charset val="204"/>
          </rPr>
          <t>Пальчикова Татьяна Витальевна</t>
        </r>
        <r>
          <rPr>
            <b/>
            <sz val="14"/>
            <color indexed="81"/>
            <rFont val="Times New Roman"/>
            <family val="1"/>
            <charset val="204"/>
          </rPr>
          <t>:</t>
        </r>
        <r>
          <rPr>
            <sz val="14"/>
            <color indexed="81"/>
            <rFont val="Times New Roman"/>
            <family val="1"/>
            <charset val="204"/>
          </rPr>
          <t xml:space="preserve">
объемы из постановления</t>
        </r>
      </text>
    </comment>
    <comment ref="J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АО "АрхоблЭнерго"</t>
        </r>
      </text>
    </comment>
    <comment ref="K7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K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J7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ООО "Альтернатива"</t>
        </r>
      </text>
    </comment>
    <comment ref="K7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ООО "Альтернатива"</t>
        </r>
      </text>
    </comment>
    <comment ref="H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J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план на 3 кв 2022 (из договора) </t>
        </r>
      </text>
    </comment>
    <comment ref="K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4 кв 2022 (из договора)</t>
        </r>
      </text>
    </comment>
    <comment ref="H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I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J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K7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</t>
        </r>
      </text>
    </comment>
    <comment ref="L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 (из договора)</t>
        </r>
      </text>
    </comment>
    <comment ref="L8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M82" authorId="2">
      <text>
        <r>
          <rPr>
            <b/>
            <sz val="9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согласно выданным параметрам</t>
        </r>
      </text>
    </comment>
    <comment ref="H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 Козьминское МУП ПЖКХ</t>
        </r>
      </text>
    </comment>
    <comment ref="I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 Козьминское МУП ПЖК</t>
        </r>
        <r>
          <rPr>
            <sz val="9"/>
            <color indexed="81"/>
            <rFont val="Tahoma"/>
            <family val="2"/>
            <charset val="204"/>
          </rPr>
          <t>Х</t>
        </r>
      </text>
    </comment>
    <comment ref="B85" authorId="2">
      <text>
        <r>
          <rPr>
            <b/>
            <sz val="14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4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L8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8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K9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4 кв 2022 (из договора)</t>
        </r>
      </text>
    </comment>
    <comment ref="L9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H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 ООО "УК "АЖС"</t>
        </r>
      </text>
    </comment>
    <comment ref="I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 ООО "УК "АЖС"</t>
        </r>
      </text>
    </comment>
    <comment ref="J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ООО "УК "АЖС"</t>
        </r>
      </text>
    </comment>
    <comment ref="K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ООО "УК "АЖС"</t>
        </r>
      </text>
    </comment>
    <comment ref="J1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</t>
        </r>
      </text>
    </comment>
    <comment ref="K11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</t>
        </r>
      </text>
    </comment>
    <comment ref="L11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11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2021 года ООО "Сийское"</t>
        </r>
      </text>
    </comment>
    <comment ref="H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1 кв 2022</t>
        </r>
      </text>
    </comment>
    <comment ref="I11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</t>
        </r>
      </text>
    </comment>
    <comment ref="L12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1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</t>
        </r>
      </text>
    </comment>
    <comment ref="H1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1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J1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план 3 кв 2022 (из договора)</t>
        </r>
      </text>
    </comment>
    <comment ref="H14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1 кв 2021 ООО "НордСервис"</t>
        </r>
      </text>
    </comment>
    <comment ref="I14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ООО "НордСервис"</t>
        </r>
      </text>
    </comment>
    <comment ref="J14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2021 МУП Водоочистка и НордСервис</t>
        </r>
      </text>
    </comment>
    <comment ref="L15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K15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</t>
        </r>
      </text>
    </comment>
    <comment ref="H16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I16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K16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факт 4 кв 2020</t>
        </r>
      </text>
    </comment>
    <comment ref="K16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 xml:space="preserve">факт 4 кв 2020 </t>
        </r>
      </text>
    </comment>
    <comment ref="K16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</t>
        </r>
      </text>
    </comment>
    <comment ref="K16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4 кв 2020</t>
        </r>
      </text>
    </comment>
    <comment ref="L17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2020 года</t>
        </r>
      </text>
    </comment>
    <comment ref="B179" authorId="3">
      <text>
        <r>
          <rPr>
            <b/>
            <sz val="9"/>
            <color indexed="81"/>
            <rFont val="Tahoma"/>
            <family val="2"/>
            <charset val="204"/>
          </rPr>
          <t>Любовцова Александра Валерьевна: п</t>
        </r>
        <r>
          <rPr>
            <b/>
            <sz val="12"/>
            <color indexed="81"/>
            <rFont val="Tahoma"/>
            <family val="2"/>
            <charset val="204"/>
          </rPr>
          <t>редыдущее Рсо ООО "Кулой ЖКХ. Ни то, ни другое рсо не заключали договоры с 2018 года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2022 года </t>
        </r>
      </text>
    </comment>
    <comment ref="L18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в соответствии с постановлением</t>
        </r>
      </text>
    </comment>
    <comment ref="H1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L18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2, 3, 4 кварталы - план на 2022 год (из договора)</t>
        </r>
      </text>
    </comment>
    <comment ref="H18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L18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2, 3, 4 кварталы - план на 2022 год (из договора)</t>
        </r>
      </text>
    </comment>
    <comment ref="H190" authorId="0">
      <text>
        <r>
          <rPr>
            <b/>
            <sz val="12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12"/>
            <color indexed="81"/>
            <rFont val="Tahoma"/>
            <family val="2"/>
            <charset val="204"/>
          </rPr>
          <t xml:space="preserve">
факт 1 кв 2021 ООО "Теплоэнерго"+МУП "Жилкомсервис"</t>
        </r>
      </text>
    </comment>
    <comment ref="I19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ООО "Теплоэнерго"+МУП "Жилкомсервис"</t>
        </r>
      </text>
    </comment>
    <comment ref="J19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2021 ООО "Теплоэнерго"+ факт 3 кв 2020 МУП "Жилкомсервис"</t>
        </r>
      </text>
    </comment>
    <comment ref="K19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2021 ООО "Теплоэнерго"+ факт 4 кв 2020 МУП "Жилкомсервис"</t>
        </r>
      </text>
    </comment>
    <comment ref="H1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 АрхоблЭнерго</t>
        </r>
      </text>
    </comment>
    <comment ref="I1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АрхоблЭнерго</t>
        </r>
      </text>
    </comment>
    <comment ref="J1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АрхоблЭнерго</t>
        </r>
      </text>
    </comment>
    <comment ref="K193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АрхоблЭнерго</t>
        </r>
      </text>
    </comment>
    <comment ref="H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 ПАО "ТГК-2"</t>
        </r>
      </text>
    </comment>
    <comment ref="I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ПАО "ТГК-2"</t>
        </r>
      </text>
    </comment>
    <comment ref="J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АрхоблЭнерго</t>
        </r>
      </text>
    </comment>
    <comment ref="K19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ТГК-2</t>
        </r>
      </text>
    </comment>
    <comment ref="H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2021 ПАО "ТГК-2"</t>
        </r>
      </text>
    </comment>
    <comment ref="I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2021 ПАО "ТГК-2"</t>
        </r>
      </text>
    </comment>
    <comment ref="J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АрхоблЭнерго</t>
        </r>
      </text>
    </comment>
    <comment ref="K19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ТГК-2</t>
        </r>
      </text>
    </comment>
    <comment ref="L20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в соответствии с постановлением</t>
        </r>
      </text>
    </comment>
    <comment ref="H22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I22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</t>
        </r>
      </text>
    </comment>
    <comment ref="L22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H2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</t>
        </r>
      </text>
    </comment>
    <comment ref="I2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</t>
        </r>
      </text>
    </comment>
    <comment ref="L23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</t>
        </r>
      </text>
    </comment>
    <comment ref="G241" authorId="1">
      <text>
        <r>
          <rPr>
            <b/>
            <sz val="9"/>
            <color indexed="81"/>
            <rFont val="Tahoma"/>
            <family val="2"/>
            <charset val="204"/>
          </rPr>
          <t>Пальчикова Татьяна Витальевна:</t>
        </r>
        <r>
          <rPr>
            <sz val="9"/>
            <color indexed="81"/>
            <rFont val="Tahoma"/>
            <family val="2"/>
            <charset val="204"/>
          </rPr>
          <t xml:space="preserve">
объемы из постановления</t>
        </r>
      </text>
    </comment>
    <comment ref="L2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на 2022 год (из договора)</t>
        </r>
      </text>
    </comment>
    <comment ref="J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АО "АрхоблЭнерго"</t>
        </r>
      </text>
    </comment>
    <comment ref="K24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K2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4 кв 2020 ПАО "ТГК-2"</t>
        </r>
      </text>
    </comment>
    <comment ref="J24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3 кв 2020 ООО "Альтернатива"</t>
        </r>
      </text>
    </comment>
    <comment ref="H2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2020 Козьминское МУП ПЖКХ</t>
        </r>
      </text>
    </comment>
    <comment ref="I25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 кв 2020 Козьминское МУП ПЖКХ</t>
        </r>
      </text>
    </comment>
    <comment ref="B256" authorId="2">
      <text>
        <r>
          <rPr>
            <b/>
            <sz val="16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16"/>
            <color indexed="81"/>
            <rFont val="Tahoma"/>
            <family val="2"/>
            <charset val="204"/>
          </rPr>
          <t xml:space="preserve">
выданы параметры</t>
        </r>
      </text>
    </comment>
    <comment ref="L25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M256" authorId="2">
      <text>
        <r>
          <rPr>
            <b/>
            <sz val="9"/>
            <color indexed="81"/>
            <rFont val="Tahoma"/>
            <family val="2"/>
            <charset val="204"/>
          </rPr>
          <t>Сувернева Юлия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согласно выданным параметрам</t>
        </r>
      </text>
    </comment>
    <comment ref="L25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26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2020 года</t>
        </r>
      </text>
    </comment>
    <comment ref="L27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H2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факт 1 кв 2022</t>
        </r>
      </text>
    </comment>
    <comment ref="I2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 кв 2022 (из договора)</t>
        </r>
      </text>
    </comment>
    <comment ref="J276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3 кв 2022 (из договора)</t>
        </r>
      </text>
    </comment>
    <comment ref="H2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1 кв 2022</t>
        </r>
      </text>
    </comment>
    <comment ref="I2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2 кв 2021 ООО "НордСервис"</t>
        </r>
      </text>
    </comment>
    <comment ref="J279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факт 3 кв 2021 МУП Водоочистка и НордСервис</t>
        </r>
      </text>
    </comment>
    <comment ref="L29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план 2022 года</t>
        </r>
      </text>
    </comment>
    <comment ref="L334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(из договора)</t>
        </r>
      </text>
    </comment>
    <comment ref="L337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</t>
        </r>
      </text>
    </comment>
    <comment ref="L33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года</t>
        </r>
      </text>
    </comment>
    <comment ref="L342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 год (из договора)</t>
        </r>
      </text>
    </comment>
    <comment ref="L345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2022</t>
        </r>
      </text>
    </comment>
    <comment ref="L348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 (из договора)</t>
        </r>
      </text>
    </comment>
    <comment ref="L350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  <comment ref="L351" authorId="0">
      <text>
        <r>
          <rPr>
            <b/>
            <sz val="9"/>
            <color indexed="81"/>
            <rFont val="Tahoma"/>
            <family val="2"/>
            <charset val="204"/>
          </rPr>
          <t>Блинова Екатерина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план на 2022 год</t>
        </r>
      </text>
    </comment>
  </commentList>
</comments>
</file>

<file path=xl/sharedStrings.xml><?xml version="1.0" encoding="utf-8"?>
<sst xmlns="http://schemas.openxmlformats.org/spreadsheetml/2006/main" count="4087" uniqueCount="461">
  <si>
    <t>ИНН</t>
  </si>
  <si>
    <t>Наименование</t>
  </si>
  <si>
    <t>Наименование муниципального образования / городского округа</t>
  </si>
  <si>
    <t>Поселение</t>
  </si>
  <si>
    <t>Услуга</t>
  </si>
  <si>
    <t>Примечание</t>
  </si>
  <si>
    <t xml:space="preserve">одноставочный тариф для прочих потребителей
 (без НДС),
рублей
</t>
  </si>
  <si>
    <t>одноставочный тариф для населения и потребителей приравненных к населению(без НДС),
рублей</t>
  </si>
  <si>
    <t>декабрь 2022 года,
рублей</t>
  </si>
  <si>
    <t>Проверка</t>
  </si>
  <si>
    <t>Пояснения</t>
  </si>
  <si>
    <t>всего</t>
  </si>
  <si>
    <t>1 полугодие</t>
  </si>
  <si>
    <t>2 полугодие</t>
  </si>
  <si>
    <t>Рост ЭОТ 2пг к 1пг</t>
  </si>
  <si>
    <t>Рост для населения 2пг к 1 пг</t>
  </si>
  <si>
    <t xml:space="preserve">1. СУБСИДИИ </t>
  </si>
  <si>
    <t>2907014249</t>
  </si>
  <si>
    <t>ООО "Водоканал Кулой"</t>
  </si>
  <si>
    <t>Вельский муниципальный район Арх.обл.</t>
  </si>
  <si>
    <t>городское поселение "Кулойское"</t>
  </si>
  <si>
    <t>ХОЛОДНАЯ ВОДА</t>
  </si>
  <si>
    <t>МУП "Хозьминское"</t>
  </si>
  <si>
    <t>сельское поселение "Хозьминское"</t>
  </si>
  <si>
    <t>2907017553</t>
  </si>
  <si>
    <t>ООО "Водоканал"</t>
  </si>
  <si>
    <t>городское поселение "Вельское" и сельское поселение "Муравьевское"</t>
  </si>
  <si>
    <t>сельское поселение "Аргуновское"</t>
  </si>
  <si>
    <t>сельское поселение "Благовещенское"</t>
  </si>
  <si>
    <t>сельское поселение "Судромское"</t>
  </si>
  <si>
    <t>сельское поселение "Пакшеньгское"</t>
  </si>
  <si>
    <t>сельское поселение "Пежемское"</t>
  </si>
  <si>
    <t>сельское поселение "Солгинское"</t>
  </si>
  <si>
    <t>сельское поселение "Тегринское"</t>
  </si>
  <si>
    <t>сельское поселение "Верхнеустькулойское"</t>
  </si>
  <si>
    <t>сельское поселение "Липовское"</t>
  </si>
  <si>
    <t>сельское поселение "Ракуло-Кокшеньгское"</t>
  </si>
  <si>
    <t>сельское поселение "Пуйское"</t>
  </si>
  <si>
    <t>сельское поселение "Усть-Вельское"</t>
  </si>
  <si>
    <t>сельское поселение "Верхнешоношское"</t>
  </si>
  <si>
    <t>сельское поселение "Попонаволоцкое"</t>
  </si>
  <si>
    <t>сельское поселение "Усть-Шоношское"</t>
  </si>
  <si>
    <t>2908004701</t>
  </si>
  <si>
    <t>ООО "МПМК"</t>
  </si>
  <si>
    <t>сельское поселение "Двинское"</t>
  </si>
  <si>
    <t>290800806963</t>
  </si>
  <si>
    <t>ИП Скумин Б.П.</t>
  </si>
  <si>
    <t>сельское поселение "Федьковское"</t>
  </si>
  <si>
    <t>ООО "Павловск ЖКХ"</t>
  </si>
  <si>
    <t>Появляется субсидия с 2023 года</t>
  </si>
  <si>
    <t>ООО "Вилегодск ЖКХ"</t>
  </si>
  <si>
    <t>сельское поселение "Вилегодское"</t>
  </si>
  <si>
    <t>2909003115</t>
  </si>
  <si>
    <t>ООО "Промсток"</t>
  </si>
  <si>
    <t>село Никольск</t>
  </si>
  <si>
    <t>сельское поселение "Ильинское", сельское поселение "Беляевское"</t>
  </si>
  <si>
    <t>ООО "ВВП"</t>
  </si>
  <si>
    <t>ООО "Борок"</t>
  </si>
  <si>
    <t>2922008546</t>
  </si>
  <si>
    <t>ООО "ГК "УЛК"</t>
  </si>
  <si>
    <t>7708503727</t>
  </si>
  <si>
    <t>ОАО "РЖД" (Исакогорский участок)</t>
  </si>
  <si>
    <t>городской округ "Город Архангельск"</t>
  </si>
  <si>
    <t/>
  </si>
  <si>
    <t>2901243725</t>
  </si>
  <si>
    <t>МУП "Водоочистка"</t>
  </si>
  <si>
    <t xml:space="preserve">городской округ "Город Архангельск" и Приморский муниципальный район </t>
  </si>
  <si>
    <t>7726747370</t>
  </si>
  <si>
    <t>ООО "РВК-Архангельск"</t>
  </si>
  <si>
    <t>2903011092</t>
  </si>
  <si>
    <t>АО "Сети"</t>
  </si>
  <si>
    <t>городской округ Арх.обл. "Город Новодвинск"</t>
  </si>
  <si>
    <t>МУП ПУ "ЖКХ"</t>
  </si>
  <si>
    <t>городской округ "Город Коряжма"</t>
  </si>
  <si>
    <t>ОАО "РЖД" (Сольвычегодский участок)</t>
  </si>
  <si>
    <t>городской округ Арх.обл. "Котлас"</t>
  </si>
  <si>
    <t>2904002069</t>
  </si>
  <si>
    <t>МП "Горводоканал"</t>
  </si>
  <si>
    <t>ООО "Каргопольский водоканал"</t>
  </si>
  <si>
    <t>Каргопольский муниципальный округ Арх. обл.</t>
  </si>
  <si>
    <t>город Каргополь и поселок Пригородный</t>
  </si>
  <si>
    <t>деревни Казаково, Кипрово и Лазаревская</t>
  </si>
  <si>
    <t>МУП МО "Каргопольский муниципальный район" "Тихманьга"</t>
  </si>
  <si>
    <t>сельское поселение "Ухотское",
дер. Патровская и Песок</t>
  </si>
  <si>
    <t>2912006998</t>
  </si>
  <si>
    <t>ООО "КУРС"</t>
  </si>
  <si>
    <t>Коношский муниципальный район Арх.обл.</t>
  </si>
  <si>
    <t>городское поселение "Коношское"</t>
  </si>
  <si>
    <t>вместо ООО "ТЭК"</t>
  </si>
  <si>
    <t>МУП "Ерцевские теплосети"</t>
  </si>
  <si>
    <t>сельское поселение "Ерцевское"</t>
  </si>
  <si>
    <t>сельское поселение "Климовское"</t>
  </si>
  <si>
    <t>МУП "ТеплоСервис"</t>
  </si>
  <si>
    <t>сельское поселение "Подюжское"</t>
  </si>
  <si>
    <t>сельское поселение "Вохтомское"</t>
  </si>
  <si>
    <t>сельское поселение "Мирный"</t>
  </si>
  <si>
    <t>сельское поселение "Тавреньгское"</t>
  </si>
  <si>
    <t>Котласский муниципальный район Арх.обл.</t>
  </si>
  <si>
    <t>городское поселение "Приводинское"</t>
  </si>
  <si>
    <t>7606053324</t>
  </si>
  <si>
    <t>ПАО "ТГК-2"</t>
  </si>
  <si>
    <t>вместо АО "АрхоблЭнерго"</t>
  </si>
  <si>
    <t>2904028490</t>
  </si>
  <si>
    <t>ООО "Альтернатива"</t>
  </si>
  <si>
    <t>городское поселение "Шипицынское"</t>
  </si>
  <si>
    <t>Не были выделены отдельно Приводино и деревни в таблице, ЭОТ различные, объемы указаны только по деревням, добавлено Приводино.</t>
  </si>
  <si>
    <t>МП "Телеговское ЖКХ"</t>
  </si>
  <si>
    <t>Красноборский муниципальный район Арх.обл.</t>
  </si>
  <si>
    <t>сельское поселение "Телеговское"</t>
  </si>
  <si>
    <t>ЛПУ "Санаторий Солониха"</t>
  </si>
  <si>
    <t>сельское поселение "Алексеевское"</t>
  </si>
  <si>
    <t>2915003297</t>
  </si>
  <si>
    <t>Козьминское МУППЖКХ</t>
  </si>
  <si>
    <t>Ленский муниципальный район Арх.обл.</t>
  </si>
  <si>
    <t>сельское поселение "Козьминское"</t>
  </si>
  <si>
    <t>ООО "АОВ"</t>
  </si>
  <si>
    <t>7736186950</t>
  </si>
  <si>
    <t>ООО "Газпром энерго"</t>
  </si>
  <si>
    <t>городское поселение "Урдомское"</t>
  </si>
  <si>
    <t>ООО "Энергосфера</t>
  </si>
  <si>
    <t>ООО "Районный водоканал"</t>
  </si>
  <si>
    <t>Лешуконский муниципальный район Арх.обл.</t>
  </si>
  <si>
    <t>МУП "Северянин"</t>
  </si>
  <si>
    <t>Мезенский муниципальный район Арх.обл.</t>
  </si>
  <si>
    <t>сельское поселение "Дорогорское"</t>
  </si>
  <si>
    <t>вместо АО "АрхоблЭнерго" и ООО "Мезенская снабжающая компания"</t>
  </si>
  <si>
    <t>МУП "ЖЭУ"</t>
  </si>
  <si>
    <t>городской округ Архангельской области "Мирный"</t>
  </si>
  <si>
    <t>МУП "ШЛИТ"</t>
  </si>
  <si>
    <t>Няндомский муниципальный район Арх.обл.</t>
  </si>
  <si>
    <t>городское поселение "Няндомское"</t>
  </si>
  <si>
    <t>ООО "НЯНДОМСКАЯ ВОДА"</t>
  </si>
  <si>
    <t>сельское поселение "Мошинское"</t>
  </si>
  <si>
    <t xml:space="preserve">Имущество передано МУП "ШЛИТ". МУП "ШЛИТ" направил документы на установление тарифа на 2021 - 2022 год. </t>
  </si>
  <si>
    <t>Онежский муниципальный район Арх.обл.</t>
  </si>
  <si>
    <t>городское поселение "Малошуйское"</t>
  </si>
  <si>
    <t>2906008059</t>
  </si>
  <si>
    <t>ООО "Онега-ВК"</t>
  </si>
  <si>
    <t>городское поселение "Онежское"</t>
  </si>
  <si>
    <t>МУП "Нименьгское коммунальное хозяйство"</t>
  </si>
  <si>
    <t>МУП "Покровская РК"</t>
  </si>
  <si>
    <t>ООО "Астрея Поморья"</t>
  </si>
  <si>
    <t>Пинежский муниципальный район Арх.обл.</t>
  </si>
  <si>
    <t>сельское поселение "Кушкопальское" и сельское поселение "Лавельское"</t>
  </si>
  <si>
    <t>2901249879</t>
  </si>
  <si>
    <t>ООО "АльянсТеплоЭнерго"</t>
  </si>
  <si>
    <t>сельское поселение "Шилегское"</t>
  </si>
  <si>
    <t>2919006299</t>
  </si>
  <si>
    <t>ООО "Сийское"</t>
  </si>
  <si>
    <t>сельское поселение "Сийское"</t>
  </si>
  <si>
    <t>сельское поселение "Пиринемское"</t>
  </si>
  <si>
    <t>2919000794</t>
  </si>
  <si>
    <t>Пинежское МП ЖКХ</t>
  </si>
  <si>
    <t>сельское поселение "Пинежское"</t>
  </si>
  <si>
    <t>сельское поселение "Карпогорское"</t>
  </si>
  <si>
    <t>МУП "Строитель"</t>
  </si>
  <si>
    <t>сельское поселение "Междуреченское"</t>
  </si>
  <si>
    <t>2920016929</t>
  </si>
  <si>
    <t>ООО "Гидроресурс"</t>
  </si>
  <si>
    <t>городское поселение "Обозерское"</t>
  </si>
  <si>
    <t>вместо ООО "Водные ресурсы Севера"</t>
  </si>
  <si>
    <t>ООО "ИСТОК"</t>
  </si>
  <si>
    <t>2920015308</t>
  </si>
  <si>
    <t>МУП "Плесецк-Ресурс"</t>
  </si>
  <si>
    <t>ООО "Уют-2"</t>
  </si>
  <si>
    <t>сельское поселение "Североонежское"</t>
  </si>
  <si>
    <t>2920016774</t>
  </si>
  <si>
    <t>ООО "ЖКХ Савинский"</t>
  </si>
  <si>
    <t>2921127290</t>
  </si>
  <si>
    <t>ООО "НордСервис"</t>
  </si>
  <si>
    <t>Приморский муниципальный район Арх.обл.</t>
  </si>
  <si>
    <t>вместо ООО "Север"</t>
  </si>
  <si>
    <t>2901207290</t>
  </si>
  <si>
    <t>ООО "Спец-ТОН-Архангельск"</t>
  </si>
  <si>
    <t>вместо ООО "Поморские коммунальные системы"</t>
  </si>
  <si>
    <t>ООО "УК "Квант"</t>
  </si>
  <si>
    <t>2901291983</t>
  </si>
  <si>
    <t>ООО "Поморские коммунальные системы"</t>
  </si>
  <si>
    <t>2901294173</t>
  </si>
  <si>
    <t>ООО "Предприятие коммунального снабжения"</t>
  </si>
  <si>
    <t>сельское поселение "Уемское"</t>
  </si>
  <si>
    <t>2901165080</t>
  </si>
  <si>
    <t>2921128103</t>
  </si>
  <si>
    <t>ООО "Оникс"</t>
  </si>
  <si>
    <t>ООО "ВодаСтоки"</t>
  </si>
  <si>
    <t>2921127533</t>
  </si>
  <si>
    <t>ООО "ЖКХ-Сервис"</t>
  </si>
  <si>
    <t>сельское поселение "Заостровское"</t>
  </si>
  <si>
    <t>2903003687</t>
  </si>
  <si>
    <t>ООО "Аквамир"</t>
  </si>
  <si>
    <t>2901150333</t>
  </si>
  <si>
    <t>2901179251</t>
  </si>
  <si>
    <t>АО "АрхоблЭнерго"</t>
  </si>
  <si>
    <t>сельское поселение "Соловецкое"</t>
  </si>
  <si>
    <t>2921127389</t>
  </si>
  <si>
    <t>ООО "МАРАЙС"</t>
  </si>
  <si>
    <t>сельское поселение "Лисестровское",
посёлок Васьково и населенный пункт Аэропорт Васьково</t>
  </si>
  <si>
    <t>вместо ООО "Пятый элемент"</t>
  </si>
  <si>
    <t>АО "ЦС "Звездочка"</t>
  </si>
  <si>
    <t>городской округ Арх.обл. "Северодвинск"</t>
  </si>
  <si>
    <t>АО "ПО "Севмаш"</t>
  </si>
  <si>
    <t>2922009317</t>
  </si>
  <si>
    <t>ООО "Шангальский ЖКС"</t>
  </si>
  <si>
    <t>Устьянский муниципальный район Арх.обл.</t>
  </si>
  <si>
    <t>сельское поселение "Шангальское"</t>
  </si>
  <si>
    <t>городское поселение "Октябрьское"</t>
  </si>
  <si>
    <t>сельское поселение "Березницкое"</t>
  </si>
  <si>
    <t>ООО "ЖКХ Малодоры"</t>
  </si>
  <si>
    <t>сельское поселение "Малодорское"</t>
  </si>
  <si>
    <t>2922006980</t>
  </si>
  <si>
    <t>МУП "Лойгинское"</t>
  </si>
  <si>
    <t>сельское поселение "Лойгинское"</t>
  </si>
  <si>
    <t>сельское поселение "Лихачёвское"</t>
  </si>
  <si>
    <t>сельское поселение "Дмитриевское"</t>
  </si>
  <si>
    <t>2922008803</t>
  </si>
  <si>
    <t>ООО "ТеплоСнаб" (Устьянский район)</t>
  </si>
  <si>
    <t>сельское поселение "Киземское"</t>
  </si>
  <si>
    <t>2922007013</t>
  </si>
  <si>
    <t>МУП "Бестужевское"</t>
  </si>
  <si>
    <t>сельское поселение "Бестужевское"</t>
  </si>
  <si>
    <t>сельское поселение "Плосское"</t>
  </si>
  <si>
    <t>2923007640</t>
  </si>
  <si>
    <t>ООО "Нейтраль"</t>
  </si>
  <si>
    <t>Холмогорский муниципальный район Арх.обл.</t>
  </si>
  <si>
    <t>сельское поселение "Усть-Пинежское"</t>
  </si>
  <si>
    <t>вместо ООО "Спектр"</t>
  </si>
  <si>
    <t>сельское поселение "Белогорское"</t>
  </si>
  <si>
    <t>вместо ООО "Ремстройсервис"</t>
  </si>
  <si>
    <t>сельское поселение "Луковецкое"</t>
  </si>
  <si>
    <t>2923007312</t>
  </si>
  <si>
    <t>МУП "Холмогорская ВОДООЧИСТКА"</t>
  </si>
  <si>
    <t>сельское поселение "Холмогорское"</t>
  </si>
  <si>
    <t>сельское поселение "Матигорское"</t>
  </si>
  <si>
    <t>2923006012</t>
  </si>
  <si>
    <t>ООО "ЕмецкСтройСервис"</t>
  </si>
  <si>
    <t>сельское поселение "Емецкое"</t>
  </si>
  <si>
    <t>2923006943</t>
  </si>
  <si>
    <t>ООО "Северная Двина"</t>
  </si>
  <si>
    <t>2923006372</t>
  </si>
  <si>
    <t>ООО "ПКФ "Холмогоры"</t>
  </si>
  <si>
    <t>сельское поселение "Ракульское"</t>
  </si>
  <si>
    <t>ООО "Светлый дом"</t>
  </si>
  <si>
    <t>сельское поселение "Светлозерское"</t>
  </si>
  <si>
    <t>2924005702</t>
  </si>
  <si>
    <t>МУП "Чистая вода"</t>
  </si>
  <si>
    <t>Шенкурский муниципальный район Арх.обл.</t>
  </si>
  <si>
    <t>городское поселение "Шенкурское", сельское поселение "Федорогорское"</t>
  </si>
  <si>
    <t>2907015570</t>
  </si>
  <si>
    <t>ООО "Теплосервис"</t>
  </si>
  <si>
    <t>Горячая вода в части компонента на холодную воду</t>
  </si>
  <si>
    <t>ООО "ФинансГрупп"</t>
  </si>
  <si>
    <t>2904030161</t>
  </si>
  <si>
    <t>ООО "ОК и ТС"</t>
  </si>
  <si>
    <t>кроме поселка Вычегодский</t>
  </si>
  <si>
    <t>поселок Вычегодский</t>
  </si>
  <si>
    <t>МО "Сольвычегодское",
д. Григорово</t>
  </si>
  <si>
    <t>2918011948</t>
  </si>
  <si>
    <t>ООО "Энергия Севера"</t>
  </si>
  <si>
    <t>городское поселение "Няндомское",
от котельной локомотивного депо</t>
  </si>
  <si>
    <t>городское поселение "Няндомское",
от групповой котельной и от котельной МСС</t>
  </si>
  <si>
    <t>2906006238</t>
  </si>
  <si>
    <t>ООО "ПКТС"</t>
  </si>
  <si>
    <t>ООО "УК "Уютный город"</t>
  </si>
  <si>
    <t>Лисестровское (п.Васьково)</t>
  </si>
  <si>
    <t>ВОДООТВЕДЕНИЕ</t>
  </si>
  <si>
    <t>2909002440</t>
  </si>
  <si>
    <t>село Павловск</t>
  </si>
  <si>
    <t>2910005269</t>
  </si>
  <si>
    <t>ООО "Водоснабжение"</t>
  </si>
  <si>
    <t>городское поселение "Березниковское"</t>
  </si>
  <si>
    <t>г. Каргополь</t>
  </si>
  <si>
    <t>2918012028</t>
  </si>
  <si>
    <t>ООО "НЯНДОМСКОЕ ВКХ"</t>
  </si>
  <si>
    <t>2919007479</t>
  </si>
  <si>
    <t>2901279048</t>
  </si>
  <si>
    <t>ООО "Управляющая компания "Технология"</t>
  </si>
  <si>
    <t>2923005900</t>
  </si>
  <si>
    <t>ООО "Капитель"</t>
  </si>
  <si>
    <t xml:space="preserve">2. ГРАНТЫ В ФОРМЕ СУБСИДИИ </t>
  </si>
  <si>
    <t>ГБУЗ АО "Санаторий имени М.Н. Фаворской"</t>
  </si>
  <si>
    <t>ФГБУ «ЦЖКУ» МО РФ</t>
  </si>
  <si>
    <t>сельское поселение "Черемушское",
п.Савватия</t>
  </si>
  <si>
    <t>городское поселение "Мезенское"</t>
  </si>
  <si>
    <t>городской округ Арх.обл. "Мирный"</t>
  </si>
  <si>
    <t>в/г № 15</t>
  </si>
  <si>
    <t>сельское поселение "Боброво-Лявленское"</t>
  </si>
  <si>
    <t>пос. Ненокса</t>
  </si>
  <si>
    <t>городской округ "Новая Земля"</t>
  </si>
  <si>
    <t>сельское поселение "Черемушское"</t>
  </si>
  <si>
    <t>ГАПОУ АО "Каргопольский индустриальный техникум"</t>
  </si>
  <si>
    <t>территории огранич. ул. Мира, Лочехина, Магистральная, Локомотивная, Зеленец, Кирпичного завода, Севстрой, Юнг ВМФ, Емецкая, Колхозная, Лахтинское шоссе</t>
  </si>
  <si>
    <t>за искл. территорий огранич. ул. Мира, Лочехина, Магистральная, Локомотивная, Зеленец, Кирпичного завода, Севстрой, Юнг ВМФ, Емецкая, Колхозная, Лахтинское шоссе</t>
  </si>
  <si>
    <t>ООО "Теплохолдинг Коноша"</t>
  </si>
  <si>
    <t>вместо ПАО "ТГК-2</t>
  </si>
  <si>
    <t>ООО "ЛТК"</t>
  </si>
  <si>
    <t>МО "Сольвычегодское",
(кроме д. Григорово)</t>
  </si>
  <si>
    <t>поселки Булатово и Оксовский</t>
  </si>
  <si>
    <t>поселок Улитино</t>
  </si>
  <si>
    <t>Виноградовский муниципальный округ Арх.обл.</t>
  </si>
  <si>
    <t>дер. Моржегоры</t>
  </si>
  <si>
    <t>дер. Осиново</t>
  </si>
  <si>
    <t>пос. Рочегда</t>
  </si>
  <si>
    <t>Уточнение</t>
  </si>
  <si>
    <t>Верхнетоемский муниципальный округ Арх.обл.</t>
  </si>
  <si>
    <t>с. Верхняя Тойма</t>
  </si>
  <si>
    <t>пос. Двинской</t>
  </si>
  <si>
    <t>Вилегодский муниципальный округ Арх.обл.</t>
  </si>
  <si>
    <t>с. Павловск, пос. Сорово, дер. Быково и Аксеновская</t>
  </si>
  <si>
    <t>поселок Сельменьга</t>
  </si>
  <si>
    <t>дер. Гридинская</t>
  </si>
  <si>
    <t>межтарифная разница в 2022 году 0 (75-в/18 от 09.12.2021)</t>
  </si>
  <si>
    <t>Каргопольский муниципальный округ Арх.обл.</t>
  </si>
  <si>
    <t>МУП Каргопольского муниципального округа "Ошевенское"</t>
  </si>
  <si>
    <t>дер. Ширяиха</t>
  </si>
  <si>
    <t>МУП Каргопольского муниципального округа "Казаково"</t>
  </si>
  <si>
    <t>МУП Каргопольского муниципального округа "Печниково"</t>
  </si>
  <si>
    <t>деревни Ватамановская и Гавриловская</t>
  </si>
  <si>
    <t>МУП Каргопольского муниципального округа "Архангело"</t>
  </si>
  <si>
    <t>дер. Шелоховская</t>
  </si>
  <si>
    <t>городское поселение "Сольвычегодское"</t>
  </si>
  <si>
    <t>кроме д. Григорово</t>
  </si>
  <si>
    <t>д. Григорово</t>
  </si>
  <si>
    <t>пос. Приводино</t>
  </si>
  <si>
    <t>д. Курцево, д. Куимиха, д. Медведка</t>
  </si>
  <si>
    <t>сельское поселение "Сафроновское"</t>
  </si>
  <si>
    <t>вместо Козьминское МУППЖКХ</t>
  </si>
  <si>
    <t>городское поселение "Мезенское", сельские поселения "Каменское", "Долгощельское", Зареченское (с.Жердь и д.Козьмогородское), "Совпольское", "Соянское", "Целегорское"</t>
  </si>
  <si>
    <t>межтарифная разница в 2022 году 0 (68-в/10 от 18.11.2021)</t>
  </si>
  <si>
    <t>сельское поселение "Шалакушское"</t>
  </si>
  <si>
    <t>пос. Тарза, пос. Ивакша, ст. Лельма</t>
  </si>
  <si>
    <t>ст. Шожма</t>
  </si>
  <si>
    <t>л/пос. Лепша-Новый</t>
  </si>
  <si>
    <t>сельское поселение "Кодинское"</t>
  </si>
  <si>
    <t>поселки Кодино и Мудьюга</t>
  </si>
  <si>
    <t>сельское поселение "Покровское"</t>
  </si>
  <si>
    <t>поселки Верхнеозерский, Маложма и Покровское</t>
  </si>
  <si>
    <t>сельское поселение "Чекуевское"</t>
  </si>
  <si>
    <t>пос. Шомокша</t>
  </si>
  <si>
    <t>сельское поселение "Золотухское"</t>
  </si>
  <si>
    <t>п. Золотуха</t>
  </si>
  <si>
    <t>сельское поселение "Нименьгское"</t>
  </si>
  <si>
    <t>пос. Нименьга</t>
  </si>
  <si>
    <t>пос. Шаста</t>
  </si>
  <si>
    <t>Плесецкий муниципальный округ Арх.обл.</t>
  </si>
  <si>
    <t>рабочий поселок Савинский</t>
  </si>
  <si>
    <t>поселок Пуксоозеро</t>
  </si>
  <si>
    <t>рабочий поселок Плесецк и пос. Пукса</t>
  </si>
  <si>
    <t>поселок Липаково, села Федово и Конево</t>
  </si>
  <si>
    <t>рабочий поселок Обозерский и поселок Первомайский</t>
  </si>
  <si>
    <t>рабочий поселок Обозерский</t>
  </si>
  <si>
    <t>деревни Вершинино, Горы и Шишкино</t>
  </si>
  <si>
    <t>сельское поселение "Лисестровское"</t>
  </si>
  <si>
    <t>посёлок Васьково и населенный пункт Аэропорт Васьково</t>
  </si>
  <si>
    <t>сельское поселение "Приморское"</t>
  </si>
  <si>
    <t>Поселок Лайский Док</t>
  </si>
  <si>
    <t>поселок Боброво</t>
  </si>
  <si>
    <t>деревня Емельяновская</t>
  </si>
  <si>
    <t>д. Хорьково, д. Новинки</t>
  </si>
  <si>
    <t>сельское поселение "Островное"</t>
  </si>
  <si>
    <t>с. Вознесенье</t>
  </si>
  <si>
    <t>дер. Ластола</t>
  </si>
  <si>
    <t>дер. Пустошь</t>
  </si>
  <si>
    <t>сельское поселение "Катунинское"</t>
  </si>
  <si>
    <t>п.Катунино и д.Лахта</t>
  </si>
  <si>
    <t>сельское поселение "Уемское" и городской округ "Город Архангельск" (система водоснабжения по ул.Заводская пос.Уемский)</t>
  </si>
  <si>
    <t>Поселок Беломорье</t>
  </si>
  <si>
    <t>д. Кяростров</t>
  </si>
  <si>
    <t>д. Большая Корзиха, д. Волохница, д. Часовенское, д. Семеново, д. Любовское</t>
  </si>
  <si>
    <t>ООО "СРК"</t>
  </si>
  <si>
    <t>п. Ширшинский</t>
  </si>
  <si>
    <t>Деревня Рикасиха</t>
  </si>
  <si>
    <t>сельское поселение "Талажское"</t>
  </si>
  <si>
    <t>п. Талаги</t>
  </si>
  <si>
    <t>деревня Повракульская</t>
  </si>
  <si>
    <t>сельское поселение "Березницкое" ("Строевское")</t>
  </si>
  <si>
    <t>66-в/7 от 11.11.2021, договор не заключен</t>
  </si>
  <si>
    <t>с. Ильинско-Подомское, деревни Кошкино, Мухонская, Роженец, Сидоровская, Соколова Гора</t>
  </si>
  <si>
    <t>поселок Двинской</t>
  </si>
  <si>
    <t>межтарифная разница 0 в 2022 году</t>
  </si>
  <si>
    <t>межтарифная разница в 2022 году 0</t>
  </si>
  <si>
    <t>2912006229</t>
  </si>
  <si>
    <t>ООО "Луч"</t>
  </si>
  <si>
    <t>2901302219</t>
  </si>
  <si>
    <t>д. Куимиха, д. Медведка</t>
  </si>
  <si>
    <t>вместо ПАО "ТГК-2"</t>
  </si>
  <si>
    <t>вместо ООО "Альтернатива"</t>
  </si>
  <si>
    <t>ул. Паламышская, дом 10,11 и ул. Карла Либкнехта, дома 30,32,34,36</t>
  </si>
  <si>
    <t>рабочий поселок Плесецк</t>
  </si>
  <si>
    <t>Расчет плановой потребности 
 в средствах областного бюджета 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тарифов
 на холодную воду  и водоотведение для населения и потребителей, приравненных к населению
 на 2023 год</t>
  </si>
  <si>
    <t>декабрь 2023 года,
рублей</t>
  </si>
  <si>
    <t>Потребность в средствах областного бюджета
за декабря 2022 - ноябрь 2023 года,
рублей</t>
  </si>
  <si>
    <t>1 квартал</t>
  </si>
  <si>
    <t xml:space="preserve">2 квартал </t>
  </si>
  <si>
    <t>3 квартал</t>
  </si>
  <si>
    <t>4 квартал</t>
  </si>
  <si>
    <t xml:space="preserve">3 квартал </t>
  </si>
  <si>
    <t>вместо ООО "Интеко-Инвест"</t>
  </si>
  <si>
    <t>вместо ООО "СКП" и ООО "Поморские коммунальные системы"</t>
  </si>
  <si>
    <t>пост. 71-в/20 от 06.12.2018 утратило силу с 01.01.2022 (84-в/23 от 23.12.2021)</t>
  </si>
  <si>
    <t>84-в/23 от 23.12.2021 тарифы отменены</t>
  </si>
  <si>
    <t>74-в/4 от 06.12.2021 от 20.01.2022  утратил силу с 16.03.2022</t>
  </si>
  <si>
    <t>74-в/2 от 06.12.2021 и 3-в/16 от 20.01.2022 утратил силу с 16.03.2022</t>
  </si>
  <si>
    <t>74-в/3 от 06.12.2021, утратил силу с 16.03.2022</t>
  </si>
  <si>
    <t>вместо ООО "НордСервис"</t>
  </si>
  <si>
    <t>73-в/32 от 02.12.2021 утратил силу с 16.03.2022</t>
  </si>
  <si>
    <t>73-в/33 от 02.12.2021, утратил силу с 16.03.2022</t>
  </si>
  <si>
    <t>73-в/34 от 02.12.2021, утратил силу с 16.03.2022</t>
  </si>
  <si>
    <t>вместо ООО "УК "АЖС"</t>
  </si>
  <si>
    <t>57-в/7 от 14.10.2021 (договор не заключен);</t>
  </si>
  <si>
    <t>вместо ООО "Теплоэнерго" и МУП "Жилкомсервис" администрации МО "Коношское"</t>
  </si>
  <si>
    <t>79-в/14 от 16.12.2021</t>
  </si>
  <si>
    <t>73-в/29 от 02.12.2021, лицензия выдана только на техническую воду</t>
  </si>
  <si>
    <t>81-в/76 от 20.12.2021</t>
  </si>
  <si>
    <t>объемы и тарифы плановые</t>
  </si>
  <si>
    <t>вместо АО "АрхоблЭнерго" и ООО "МТК"</t>
  </si>
  <si>
    <t>вместо ООО "Сийское"</t>
  </si>
  <si>
    <t>Расчет плановой потребности 
 в средствах областного бюджета 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тарифов
 на холодную воду  и водоотведение для населения и потребителей, приравненных к населению
 на 2024 год</t>
  </si>
  <si>
    <t>декабрь 2024 года,
рублей</t>
  </si>
  <si>
    <t>Потребность в средствах областного бюджета
за декабря 2023 - ноябрь 2024 года,
рублей</t>
  </si>
  <si>
    <t>Расчет плановой потребности 
 в средствах областного бюджета для предоставления субсидий и грантов в форме субсидий на возмещение недополученных доходов, возникающих в результате государственного регулирования тарифов
 на холодную воду  и водоотведение для населения и потребителей, приравненных к населению
 на 2025 год</t>
  </si>
  <si>
    <t>декабрь 2025 года,
рублей</t>
  </si>
  <si>
    <t>Потребность в средствах областного бюджета
за декабря 2024 - ноябрь 2025 года,
рублей</t>
  </si>
  <si>
    <t>СОГЛАСОВАНО:</t>
  </si>
  <si>
    <t>ООО "АГТС"</t>
  </si>
  <si>
    <t>поселок "Затон"</t>
  </si>
  <si>
    <t>поселок "ЛДК-4"</t>
  </si>
  <si>
    <t>Северный округ</t>
  </si>
  <si>
    <t>Объем ресурса</t>
  </si>
  <si>
    <t>ХОЛОДНАЯ ВОДА, м3</t>
  </si>
  <si>
    <t>Горячая вода в части компонента на холодную воду, м3</t>
  </si>
  <si>
    <t>ВОДООТВЕДЕНИЕ, м3</t>
  </si>
  <si>
    <t>компонент тепло, Гкал</t>
  </si>
  <si>
    <t>Плановая потребность в средствах субсидии, рублей</t>
  </si>
  <si>
    <t>ООО "Гидротехнологии"</t>
  </si>
  <si>
    <t>ООО "Каргопольские очистные сооружения"</t>
  </si>
  <si>
    <t>сельское поселение "Волошское"</t>
  </si>
  <si>
    <t>поселки Булатово и Оксовский (Оксовский)</t>
  </si>
  <si>
    <t>поселок Улитино (Ярнемское)</t>
  </si>
  <si>
    <t>деревни Вершинино, Горы и Шишкино (Кенозерское)</t>
  </si>
  <si>
    <t>рп. Североонежск, пос. Строитель (Североонежское)</t>
  </si>
  <si>
    <t>объемы из постановления</t>
  </si>
  <si>
    <t>Плесецкий муниципальный округ</t>
  </si>
  <si>
    <t>1.1. В части холодного водоснабжения, водоотведения, компонента на холодное водоснабжение в закрытой системе</t>
  </si>
  <si>
    <t>рп. Савинский</t>
  </si>
  <si>
    <t>ООО "ПРУК АО"</t>
  </si>
  <si>
    <t>1.2. В части горячего водоснабжения, осуществляемого РСО, не являющимися теплоснабжающими организациями</t>
  </si>
  <si>
    <t>Горячее водоснабжение
 (компонент ХВ), м3</t>
  </si>
  <si>
    <t>Горячее водоснабжение
 (компонент тепло), Гкал</t>
  </si>
  <si>
    <t>Итого в части горячего водоснабжения, осуществляемого РСО, не являющимися теплоснабжающими организациями</t>
  </si>
  <si>
    <t>ИТОГО СУБСИДИИ, в т.ч.:</t>
  </si>
  <si>
    <t>холодное водоснабжение, водоотведение, компонент ХВ, м3</t>
  </si>
  <si>
    <t>Итого в части холодного водоснабжения, водоотведения, компонента на холодное водоснабжение в закрытой системе</t>
  </si>
  <si>
    <t>ИТОГО гранты в фороме субсидии</t>
  </si>
  <si>
    <t>ВСЕГО, в том числе:</t>
  </si>
  <si>
    <t xml:space="preserve"> ООО "ПРУК ао"</t>
  </si>
  <si>
    <t>И.о. министра ТЭК и ЖКХ АО</t>
  </si>
  <si>
    <t>С.В. Дементей</t>
  </si>
  <si>
    <t>И.о. руководителя АТиЦ АО</t>
  </si>
  <si>
    <t>И.С. Зиняк</t>
  </si>
  <si>
    <t>Приложение № 12</t>
  </si>
  <si>
    <t>к пояснительной записке</t>
  </si>
</sst>
</file>

<file path=xl/styles.xml><?xml version="1.0" encoding="utf-8"?>
<styleSheet xmlns="http://schemas.openxmlformats.org/spreadsheetml/2006/main">
  <numFmts count="32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_-;\-* #,##0.00_-;_-* &quot;-&quot;??_-;_-@_-"/>
    <numFmt numFmtId="168" formatCode="#,##0.000"/>
    <numFmt numFmtId="169" formatCode="#,##0.00_ ;\-#,##0.00\ "/>
    <numFmt numFmtId="170" formatCode="#,##0.0"/>
    <numFmt numFmtId="171" formatCode="_-* #,##0.000\ _₽_-;\-* #,##0.000\ _₽_-;_-* &quot;-&quot;??\ _₽_-;_-@_-"/>
    <numFmt numFmtId="172" formatCode="_-* #,##0.000\ _₽_-;\-* #,##0.000\ _₽_-;_-* &quot;-&quot;???\ _₽_-;_-@_-"/>
    <numFmt numFmtId="173" formatCode="0.000"/>
    <numFmt numFmtId="174" formatCode="0.0%"/>
    <numFmt numFmtId="175" formatCode="0.0"/>
    <numFmt numFmtId="176" formatCode="_-* #,##0\ &quot;руб&quot;_-;\-* #,##0\ &quot;руб&quot;_-;_-* &quot;-&quot;\ &quot;руб&quot;_-;_-@_-"/>
    <numFmt numFmtId="177" formatCode="&quot;$&quot;#,##0_);[Red]\(&quot;$&quot;#,##0\)"/>
    <numFmt numFmtId="178" formatCode="_-* #,##0.00[$€-1]_-;\-* #,##0.00[$€-1]_-;_-* &quot;-&quot;??[$€-1]_-"/>
    <numFmt numFmtId="179" formatCode="_ * #,##0_ ;_ * \-#,##0_ ;_ * &quot;-&quot;_ ;_ @_ "/>
    <numFmt numFmtId="180" formatCode="_ * #,##0.00_ ;_ * \-#,##0.00_ ;_ * &quot;-&quot;??_ ;_ @_ "/>
    <numFmt numFmtId="181" formatCode="&quot;$&quot;#,##0"/>
    <numFmt numFmtId="182" formatCode="General_)"/>
    <numFmt numFmtId="183" formatCode="0_)"/>
    <numFmt numFmtId="184" formatCode="_-* #,##0.00_р_._-;\-* #,##0.00_р_._-;_-* \-??_р_._-;_-@_-"/>
    <numFmt numFmtId="185" formatCode="0.0%_);\(0.0%\)"/>
    <numFmt numFmtId="186" formatCode="#.##0\.00"/>
    <numFmt numFmtId="187" formatCode="#\.00"/>
    <numFmt numFmtId="188" formatCode="#\."/>
    <numFmt numFmtId="189" formatCode="_-* #,##0&quot;đ.&quot;_-;\-* #,##0&quot;đ.&quot;_-;_-* &quot;-&quot;&quot;đ.&quot;_-;_-@_-"/>
    <numFmt numFmtId="190" formatCode="_-* #,##0.00&quot;đ.&quot;_-;\-* #,##0.00&quot;đ.&quot;_-;_-* &quot;-&quot;??&quot;đ.&quot;_-;_-@_-"/>
    <numFmt numFmtId="191" formatCode="\$#,##0\ ;\(\$#,##0\)"/>
    <numFmt numFmtId="192" formatCode="#,##0_);[Blue]\(#,##0\)"/>
    <numFmt numFmtId="193" formatCode="_-* #,##0_đ_._-;\-* #,##0_đ_._-;_-* &quot;-&quot;_đ_._-;_-@_-"/>
    <numFmt numFmtId="194" formatCode="_-* #,##0.00_đ_._-;\-* #,##0.00_đ_._-;_-* &quot;-&quot;??_đ_._-;_-@_-"/>
  </numFmts>
  <fonts count="166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22"/>
      <name val="Tahoma"/>
      <family val="2"/>
      <charset val="204"/>
    </font>
    <font>
      <b/>
      <sz val="14"/>
      <name val="Tahoma"/>
      <family val="2"/>
      <charset val="204"/>
    </font>
    <font>
      <sz val="16"/>
      <name val="Tahoma"/>
      <family val="2"/>
      <charset val="204"/>
    </font>
    <font>
      <sz val="18"/>
      <name val="Tahoma"/>
      <family val="2"/>
      <charset val="204"/>
    </font>
    <font>
      <sz val="14"/>
      <name val="Tahoma"/>
      <family val="2"/>
      <charset val="204"/>
    </font>
    <font>
      <sz val="10"/>
      <name val="Arial Cyr"/>
    </font>
    <font>
      <b/>
      <sz val="16"/>
      <name val="Tahoma"/>
      <family val="2"/>
      <charset val="204"/>
    </font>
    <font>
      <b/>
      <sz val="18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12"/>
      <name val="Tahoma"/>
      <family val="2"/>
      <charset val="204"/>
    </font>
    <font>
      <sz val="16"/>
      <color rgb="FFFF0000"/>
      <name val="Tahoma"/>
      <family val="2"/>
      <charset val="204"/>
    </font>
    <font>
      <sz val="16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6"/>
      <color rgb="FFFF0000"/>
      <name val="Tahoma"/>
      <family val="2"/>
      <charset val="204"/>
    </font>
    <font>
      <sz val="26"/>
      <name val="Tahoma"/>
      <family val="2"/>
      <charset val="204"/>
    </font>
    <font>
      <sz val="10"/>
      <name val="Arial Cyr"/>
      <charset val="204"/>
    </font>
    <font>
      <sz val="24"/>
      <name val="Tahoma"/>
      <family val="2"/>
      <charset val="204"/>
    </font>
    <font>
      <sz val="24"/>
      <color indexed="8"/>
      <name val="Tahoma"/>
      <family val="2"/>
      <charset val="204"/>
    </font>
    <font>
      <b/>
      <sz val="12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  <font>
      <sz val="12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b/>
      <sz val="14"/>
      <color indexed="81"/>
      <name val="Times New Roman"/>
      <family val="1"/>
      <charset val="204"/>
    </font>
    <font>
      <sz val="14"/>
      <color indexed="81"/>
      <name val="Times New Roman"/>
      <family val="1"/>
      <charset val="204"/>
    </font>
    <font>
      <sz val="20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20"/>
      <color indexed="81"/>
      <name val="Tahoma"/>
      <family val="2"/>
      <charset val="204"/>
    </font>
    <font>
      <sz val="14"/>
      <color rgb="FFFF0000"/>
      <name val="Tahoma"/>
      <family val="2"/>
      <charset val="204"/>
    </font>
    <font>
      <sz val="18"/>
      <color rgb="FFFF000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8"/>
      <color indexed="56"/>
      <name val="Cambria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indexed="8"/>
      <name val="Calibri"/>
      <family val="2"/>
    </font>
    <font>
      <sz val="8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9"/>
      <name val="Tahoma"/>
      <family val="2"/>
      <charset val="204"/>
    </font>
    <font>
      <sz val="9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0"/>
      <color indexed="8"/>
      <name val="Verdana"/>
      <family val="2"/>
      <charset val="204"/>
    </font>
    <font>
      <sz val="13"/>
      <color indexed="8"/>
      <name val="Times New Roman"/>
      <family val="2"/>
      <charset val="204"/>
    </font>
    <font>
      <sz val="13"/>
      <color indexed="9"/>
      <name val="Times New Roman"/>
      <family val="2"/>
      <charset val="204"/>
    </font>
    <font>
      <sz val="10"/>
      <name val="MS Sans Serif"/>
      <family val="2"/>
      <charset val="204"/>
    </font>
    <font>
      <sz val="10"/>
      <name val="NTHarmonica"/>
      <charset val="204"/>
    </font>
    <font>
      <b/>
      <sz val="11"/>
      <name val="Arial Cyr"/>
    </font>
    <font>
      <sz val="12"/>
      <name val="Tms Rmn"/>
      <charset val="204"/>
    </font>
    <font>
      <sz val="11"/>
      <name val="Times New Roman Cyr"/>
      <charset val="204"/>
    </font>
    <font>
      <b/>
      <sz val="10"/>
      <name val="SvobodaFWF"/>
    </font>
    <font>
      <b/>
      <sz val="12"/>
      <name val="NTHelvetica/Cyrillic"/>
    </font>
    <font>
      <sz val="8"/>
      <name val="Helv"/>
      <charset val="204"/>
    </font>
    <font>
      <sz val="8"/>
      <name val="Helv"/>
    </font>
    <font>
      <sz val="10"/>
      <name val="NTHelvetica/Cyrillic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3"/>
      <color indexed="62"/>
      <name val="Times New Roman"/>
      <family val="2"/>
      <charset val="204"/>
    </font>
    <font>
      <b/>
      <sz val="13"/>
      <color indexed="63"/>
      <name val="Times New Roman"/>
      <family val="2"/>
      <charset val="204"/>
    </font>
    <font>
      <b/>
      <sz val="13"/>
      <color indexed="52"/>
      <name val="Times New Roman"/>
      <family val="2"/>
      <charset val="204"/>
    </font>
    <font>
      <b/>
      <sz val="11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3"/>
      <color indexed="8"/>
      <name val="Times New Roman"/>
      <family val="2"/>
      <charset val="204"/>
    </font>
    <font>
      <b/>
      <sz val="13"/>
      <color indexed="9"/>
      <name val="Times New Roman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3"/>
      <color indexed="60"/>
      <name val="Times New Roman"/>
      <family val="2"/>
      <charset val="204"/>
    </font>
    <font>
      <sz val="10"/>
      <name val="Arial"/>
      <family val="2"/>
    </font>
    <font>
      <sz val="10"/>
      <name val="Times New Roman CYR"/>
      <charset val="204"/>
    </font>
    <font>
      <sz val="10"/>
      <name val="Courier"/>
      <family val="1"/>
      <charset val="204"/>
    </font>
    <font>
      <sz val="13"/>
      <name val="Times New Roman"/>
      <family val="1"/>
      <charset val="204"/>
    </font>
    <font>
      <sz val="13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3"/>
      <color indexed="23"/>
      <name val="Times New Roman"/>
      <family val="2"/>
      <charset val="204"/>
    </font>
    <font>
      <sz val="11"/>
      <color indexed="8"/>
      <name val="Arial Cyr"/>
      <family val="2"/>
      <charset val="204"/>
    </font>
    <font>
      <sz val="13"/>
      <color indexed="52"/>
      <name val="Times New Roman"/>
      <family val="2"/>
      <charset val="204"/>
    </font>
    <font>
      <sz val="10"/>
      <name val="Helv"/>
      <family val="2"/>
    </font>
    <font>
      <sz val="13"/>
      <color indexed="10"/>
      <name val="Times New Roman"/>
      <family val="2"/>
      <charset val="204"/>
    </font>
    <font>
      <sz val="13"/>
      <color indexed="17"/>
      <name val="Times New Roman"/>
      <family val="2"/>
      <charset val="204"/>
    </font>
    <font>
      <sz val="8"/>
      <name val="Arial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u/>
      <sz val="9"/>
      <color indexed="12"/>
      <name val="Tahoma"/>
      <family val="2"/>
      <charset val="204"/>
    </font>
    <font>
      <u/>
      <sz val="9"/>
      <color indexed="32"/>
      <name val="Tahoma"/>
      <family val="2"/>
      <charset val="204"/>
    </font>
    <font>
      <sz val="8"/>
      <color indexed="12"/>
      <name val="Arial"/>
      <family val="2"/>
      <charset val="204"/>
    </font>
    <font>
      <sz val="1"/>
      <color indexed="8"/>
      <name val="Courier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name val="Arial"/>
      <family val="2"/>
      <charset val="204"/>
    </font>
    <font>
      <b/>
      <sz val="14"/>
      <name val="Arial Cyr"/>
      <family val="2"/>
      <charset val="204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i/>
      <sz val="16"/>
      <name val="Tahoma"/>
      <family val="2"/>
      <charset val="204"/>
    </font>
    <font>
      <i/>
      <sz val="14"/>
      <name val="Tahoma"/>
      <family val="2"/>
      <charset val="204"/>
    </font>
    <font>
      <i/>
      <sz val="10"/>
      <name val="Tahoma"/>
      <family val="2"/>
      <charset val="204"/>
    </font>
    <font>
      <i/>
      <sz val="18"/>
      <name val="Tahoma"/>
      <family val="2"/>
      <charset val="204"/>
    </font>
    <font>
      <i/>
      <sz val="26"/>
      <name val="Tahoma"/>
      <family val="2"/>
      <charset val="204"/>
    </font>
    <font>
      <sz val="36"/>
      <name val="Tahoma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lightGray">
        <fgColor indexed="8"/>
        <bgColor indexed="11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1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20" fillId="0" borderId="0"/>
    <xf numFmtId="0" fontId="28" fillId="9" borderId="0"/>
    <xf numFmtId="0" fontId="28" fillId="9" borderId="0"/>
    <xf numFmtId="0" fontId="28" fillId="9" borderId="0"/>
    <xf numFmtId="0" fontId="28" fillId="9" borderId="0"/>
    <xf numFmtId="0" fontId="28" fillId="9" borderId="0"/>
    <xf numFmtId="0" fontId="28" fillId="10" borderId="0"/>
    <xf numFmtId="0" fontId="28" fillId="10" borderId="0"/>
    <xf numFmtId="0" fontId="28" fillId="10" borderId="0"/>
    <xf numFmtId="0" fontId="28" fillId="10" borderId="0"/>
    <xf numFmtId="0" fontId="28" fillId="10" borderId="0"/>
    <xf numFmtId="0" fontId="28" fillId="11" borderId="0"/>
    <xf numFmtId="0" fontId="28" fillId="11" borderId="0"/>
    <xf numFmtId="0" fontId="28" fillId="11" borderId="0"/>
    <xf numFmtId="0" fontId="28" fillId="11" borderId="0"/>
    <xf numFmtId="0" fontId="28" fillId="11" borderId="0"/>
    <xf numFmtId="0" fontId="28" fillId="12" borderId="0"/>
    <xf numFmtId="0" fontId="28" fillId="12" borderId="0"/>
    <xf numFmtId="0" fontId="28" fillId="12" borderId="0"/>
    <xf numFmtId="0" fontId="28" fillId="12" borderId="0"/>
    <xf numFmtId="0" fontId="28" fillId="12" borderId="0"/>
    <xf numFmtId="0" fontId="28" fillId="13" borderId="0"/>
    <xf numFmtId="0" fontId="28" fillId="13" borderId="0"/>
    <xf numFmtId="0" fontId="28" fillId="13" borderId="0"/>
    <xf numFmtId="0" fontId="28" fillId="13" borderId="0"/>
    <xf numFmtId="0" fontId="28" fillId="13" borderId="0"/>
    <xf numFmtId="0" fontId="28" fillId="14" borderId="0"/>
    <xf numFmtId="0" fontId="28" fillId="14" borderId="0"/>
    <xf numFmtId="0" fontId="28" fillId="14" borderId="0"/>
    <xf numFmtId="0" fontId="28" fillId="14" borderId="0"/>
    <xf numFmtId="0" fontId="28" fillId="14" borderId="0"/>
    <xf numFmtId="0" fontId="28" fillId="15" borderId="0"/>
    <xf numFmtId="0" fontId="28" fillId="15" borderId="0"/>
    <xf numFmtId="0" fontId="28" fillId="15" borderId="0"/>
    <xf numFmtId="0" fontId="28" fillId="15" borderId="0"/>
    <xf numFmtId="0" fontId="28" fillId="15" borderId="0"/>
    <xf numFmtId="0" fontId="28" fillId="16" borderId="0"/>
    <xf numFmtId="0" fontId="28" fillId="16" borderId="0"/>
    <xf numFmtId="0" fontId="28" fillId="16" borderId="0"/>
    <xf numFmtId="0" fontId="28" fillId="16" borderId="0"/>
    <xf numFmtId="0" fontId="28" fillId="16" borderId="0"/>
    <xf numFmtId="0" fontId="28" fillId="17" borderId="0"/>
    <xf numFmtId="0" fontId="28" fillId="17" borderId="0"/>
    <xf numFmtId="0" fontId="28" fillId="17" borderId="0"/>
    <xf numFmtId="0" fontId="28" fillId="17" borderId="0"/>
    <xf numFmtId="0" fontId="28" fillId="17" borderId="0"/>
    <xf numFmtId="0" fontId="28" fillId="12" borderId="0"/>
    <xf numFmtId="0" fontId="28" fillId="12" borderId="0"/>
    <xf numFmtId="0" fontId="28" fillId="12" borderId="0"/>
    <xf numFmtId="0" fontId="28" fillId="12" borderId="0"/>
    <xf numFmtId="0" fontId="28" fillId="12" borderId="0"/>
    <xf numFmtId="0" fontId="28" fillId="15" borderId="0"/>
    <xf numFmtId="0" fontId="28" fillId="15" borderId="0"/>
    <xf numFmtId="0" fontId="28" fillId="15" borderId="0"/>
    <xf numFmtId="0" fontId="28" fillId="15" borderId="0"/>
    <xf numFmtId="0" fontId="28" fillId="15" borderId="0"/>
    <xf numFmtId="0" fontId="28" fillId="18" borderId="0"/>
    <xf numFmtId="0" fontId="28" fillId="18" borderId="0"/>
    <xf numFmtId="0" fontId="28" fillId="18" borderId="0"/>
    <xf numFmtId="0" fontId="28" fillId="18" borderId="0"/>
    <xf numFmtId="0" fontId="28" fillId="18" borderId="0"/>
    <xf numFmtId="0" fontId="29" fillId="19" borderId="0"/>
    <xf numFmtId="0" fontId="29" fillId="19" borderId="0"/>
    <xf numFmtId="0" fontId="29" fillId="19" borderId="0"/>
    <xf numFmtId="0" fontId="29" fillId="19" borderId="0"/>
    <xf numFmtId="0" fontId="29" fillId="19" borderId="0"/>
    <xf numFmtId="0" fontId="29" fillId="16" borderId="0"/>
    <xf numFmtId="0" fontId="29" fillId="16" borderId="0"/>
    <xf numFmtId="0" fontId="29" fillId="16" borderId="0"/>
    <xf numFmtId="0" fontId="29" fillId="16" borderId="0"/>
    <xf numFmtId="0" fontId="29" fillId="16" borderId="0"/>
    <xf numFmtId="0" fontId="29" fillId="17" borderId="0"/>
    <xf numFmtId="0" fontId="29" fillId="17" borderId="0"/>
    <xf numFmtId="0" fontId="29" fillId="17" borderId="0"/>
    <xf numFmtId="0" fontId="29" fillId="17" borderId="0"/>
    <xf numFmtId="0" fontId="29" fillId="17" borderId="0"/>
    <xf numFmtId="0" fontId="29" fillId="20" borderId="0"/>
    <xf numFmtId="0" fontId="29" fillId="20" borderId="0"/>
    <xf numFmtId="0" fontId="29" fillId="20" borderId="0"/>
    <xf numFmtId="0" fontId="29" fillId="20" borderId="0"/>
    <xf numFmtId="0" fontId="29" fillId="20" borderId="0"/>
    <xf numFmtId="0" fontId="29" fillId="21" borderId="0"/>
    <xf numFmtId="0" fontId="29" fillId="21" borderId="0"/>
    <xf numFmtId="0" fontId="29" fillId="21" borderId="0"/>
    <xf numFmtId="0" fontId="29" fillId="21" borderId="0"/>
    <xf numFmtId="0" fontId="29" fillId="21" borderId="0"/>
    <xf numFmtId="0" fontId="29" fillId="22" borderId="0"/>
    <xf numFmtId="0" fontId="29" fillId="22" borderId="0"/>
    <xf numFmtId="0" fontId="29" fillId="22" borderId="0"/>
    <xf numFmtId="0" fontId="29" fillId="22" borderId="0"/>
    <xf numFmtId="0" fontId="29" fillId="22" borderId="0"/>
    <xf numFmtId="0" fontId="29" fillId="23" borderId="0"/>
    <xf numFmtId="0" fontId="29" fillId="23" borderId="0"/>
    <xf numFmtId="0" fontId="29" fillId="23" borderId="0"/>
    <xf numFmtId="0" fontId="29" fillId="23" borderId="0"/>
    <xf numFmtId="0" fontId="29" fillId="23" borderId="0"/>
    <xf numFmtId="0" fontId="29" fillId="24" borderId="0"/>
    <xf numFmtId="0" fontId="29" fillId="24" borderId="0"/>
    <xf numFmtId="0" fontId="29" fillId="24" borderId="0"/>
    <xf numFmtId="0" fontId="29" fillId="24" borderId="0"/>
    <xf numFmtId="0" fontId="29" fillId="24" borderId="0"/>
    <xf numFmtId="0" fontId="29" fillId="25" borderId="0"/>
    <xf numFmtId="0" fontId="29" fillId="25" borderId="0"/>
    <xf numFmtId="0" fontId="29" fillId="25" borderId="0"/>
    <xf numFmtId="0" fontId="29" fillId="25" borderId="0"/>
    <xf numFmtId="0" fontId="29" fillId="25" borderId="0"/>
    <xf numFmtId="0" fontId="29" fillId="20" borderId="0"/>
    <xf numFmtId="0" fontId="29" fillId="20" borderId="0"/>
    <xf numFmtId="0" fontId="29" fillId="20" borderId="0"/>
    <xf numFmtId="0" fontId="29" fillId="20" borderId="0"/>
    <xf numFmtId="0" fontId="29" fillId="20" borderId="0"/>
    <xf numFmtId="0" fontId="29" fillId="21" borderId="0"/>
    <xf numFmtId="0" fontId="29" fillId="21" borderId="0"/>
    <xf numFmtId="0" fontId="29" fillId="21" borderId="0"/>
    <xf numFmtId="0" fontId="29" fillId="21" borderId="0"/>
    <xf numFmtId="0" fontId="29" fillId="21" borderId="0"/>
    <xf numFmtId="0" fontId="29" fillId="26" borderId="0"/>
    <xf numFmtId="0" fontId="29" fillId="26" borderId="0"/>
    <xf numFmtId="0" fontId="29" fillId="26" borderId="0"/>
    <xf numFmtId="0" fontId="29" fillId="26" borderId="0"/>
    <xf numFmtId="0" fontId="29" fillId="26" borderId="0"/>
    <xf numFmtId="0" fontId="45" fillId="5" borderId="9"/>
    <xf numFmtId="0" fontId="30" fillId="14" borderId="14"/>
    <xf numFmtId="0" fontId="30" fillId="14" borderId="14"/>
    <xf numFmtId="0" fontId="30" fillId="14" borderId="14"/>
    <xf numFmtId="0" fontId="30" fillId="14" borderId="14"/>
    <xf numFmtId="0" fontId="46" fillId="6" borderId="10"/>
    <xf numFmtId="0" fontId="31" fillId="27" borderId="15"/>
    <xf numFmtId="0" fontId="31" fillId="27" borderId="15"/>
    <xf numFmtId="0" fontId="31" fillId="27" borderId="15"/>
    <xf numFmtId="0" fontId="31" fillId="27" borderId="15"/>
    <xf numFmtId="0" fontId="47" fillId="6" borderId="9"/>
    <xf numFmtId="0" fontId="32" fillId="27" borderId="14"/>
    <xf numFmtId="0" fontId="32" fillId="27" borderId="14"/>
    <xf numFmtId="0" fontId="32" fillId="27" borderId="14"/>
    <xf numFmtId="0" fontId="32" fillId="27" borderId="14"/>
    <xf numFmtId="0" fontId="33" fillId="0" borderId="16"/>
    <xf numFmtId="0" fontId="33" fillId="0" borderId="16"/>
    <xf numFmtId="0" fontId="33" fillId="0" borderId="16"/>
    <xf numFmtId="0" fontId="33" fillId="0" borderId="16"/>
    <xf numFmtId="0" fontId="33" fillId="0" borderId="16"/>
    <xf numFmtId="0" fontId="34" fillId="0" borderId="17"/>
    <xf numFmtId="0" fontId="34" fillId="0" borderId="17"/>
    <xf numFmtId="0" fontId="34" fillId="0" borderId="17"/>
    <xf numFmtId="0" fontId="34" fillId="0" borderId="17"/>
    <xf numFmtId="0" fontId="34" fillId="0" borderId="17"/>
    <xf numFmtId="0" fontId="35" fillId="0" borderId="18"/>
    <xf numFmtId="0" fontId="35" fillId="0" borderId="18"/>
    <xf numFmtId="0" fontId="35" fillId="0" borderId="18"/>
    <xf numFmtId="0" fontId="35" fillId="0" borderId="18"/>
    <xf numFmtId="0" fontId="35" fillId="0" borderId="18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19"/>
    <xf numFmtId="0" fontId="36" fillId="0" borderId="19"/>
    <xf numFmtId="0" fontId="36" fillId="0" borderId="19"/>
    <xf numFmtId="0" fontId="36" fillId="0" borderId="19"/>
    <xf numFmtId="0" fontId="36" fillId="0" borderId="19"/>
    <xf numFmtId="0" fontId="37" fillId="7" borderId="12"/>
    <xf numFmtId="0" fontId="37" fillId="28" borderId="20"/>
    <xf numFmtId="0" fontId="37" fillId="28" borderId="20"/>
    <xf numFmtId="0" fontId="37" fillId="28" borderId="20"/>
    <xf numFmtId="0" fontId="37" fillId="28" borderId="2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8" fillId="4" borderId="0"/>
    <xf numFmtId="0" fontId="39" fillId="29" borderId="0"/>
    <xf numFmtId="0" fontId="39" fillId="29" borderId="0"/>
    <xf numFmtId="0" fontId="39" fillId="29" borderId="0"/>
    <xf numFmtId="0" fontId="39" fillId="29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9" fillId="3" borderId="0"/>
    <xf numFmtId="0" fontId="40" fillId="10" borderId="0"/>
    <xf numFmtId="0" fontId="40" fillId="10" borderId="0"/>
    <xf numFmtId="0" fontId="40" fillId="10" borderId="0"/>
    <xf numFmtId="0" fontId="40" fillId="10" borderId="0"/>
    <xf numFmtId="0" fontId="5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8" borderId="13"/>
    <xf numFmtId="0" fontId="1" fillId="30" borderId="21"/>
    <xf numFmtId="0" fontId="1" fillId="30" borderId="21"/>
    <xf numFmtId="0" fontId="1" fillId="30" borderId="21"/>
    <xf numFmtId="0" fontId="1" fillId="30" borderId="21"/>
    <xf numFmtId="0" fontId="51" fillId="0" borderId="11"/>
    <xf numFmtId="0" fontId="42" fillId="0" borderId="22"/>
    <xf numFmtId="0" fontId="42" fillId="0" borderId="22"/>
    <xf numFmtId="0" fontId="42" fillId="0" borderId="22"/>
    <xf numFmtId="0" fontId="42" fillId="0" borderId="22"/>
    <xf numFmtId="0" fontId="5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3" fillId="2" borderId="0"/>
    <xf numFmtId="0" fontId="44" fillId="11" borderId="0"/>
    <xf numFmtId="0" fontId="44" fillId="11" borderId="0"/>
    <xf numFmtId="0" fontId="44" fillId="11" borderId="0"/>
    <xf numFmtId="0" fontId="44" fillId="11" borderId="0"/>
    <xf numFmtId="0" fontId="66" fillId="0" borderId="0"/>
    <xf numFmtId="0" fontId="80" fillId="0" borderId="0"/>
    <xf numFmtId="178" fontId="80" fillId="0" borderId="0"/>
    <xf numFmtId="0" fontId="82" fillId="0" borderId="0"/>
    <xf numFmtId="174" fontId="126" fillId="0" borderId="0">
      <alignment vertical="top"/>
    </xf>
    <xf numFmtId="174" fontId="132" fillId="0" borderId="0">
      <alignment vertical="top"/>
    </xf>
    <xf numFmtId="185" fontId="132" fillId="31" borderId="0">
      <alignment vertical="top"/>
    </xf>
    <xf numFmtId="174" fontId="132" fillId="32" borderId="0">
      <alignment vertical="top"/>
    </xf>
    <xf numFmtId="0" fontId="78" fillId="0" borderId="0"/>
    <xf numFmtId="0" fontId="79" fillId="0" borderId="0"/>
    <xf numFmtId="0" fontId="80" fillId="0" borderId="0"/>
    <xf numFmtId="0" fontId="81" fillId="0" borderId="0"/>
    <xf numFmtId="0" fontId="78" fillId="0" borderId="0">
      <alignment vertical="top"/>
    </xf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0" fillId="0" borderId="0"/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3" fillId="33" borderId="14" applyNumberFormat="0">
      <alignment readingOrder="1"/>
      <protection locked="0"/>
    </xf>
    <xf numFmtId="0" fontId="8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0" fillId="0" borderId="0"/>
    <xf numFmtId="0" fontId="8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2" fillId="0" borderId="0"/>
    <xf numFmtId="0" fontId="82" fillId="0" borderId="0"/>
    <xf numFmtId="0" fontId="80" fillId="0" borderId="0"/>
    <xf numFmtId="0" fontId="80" fillId="0" borderId="0"/>
    <xf numFmtId="0" fontId="2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0" fillId="0" borderId="0"/>
    <xf numFmtId="0" fontId="80" fillId="0" borderId="0"/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0" fontId="80" fillId="0" borderId="0"/>
    <xf numFmtId="0" fontId="80" fillId="0" borderId="0"/>
    <xf numFmtId="0" fontId="82" fillId="0" borderId="0"/>
    <xf numFmtId="0" fontId="8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0" fontId="82" fillId="0" borderId="0"/>
    <xf numFmtId="0" fontId="82" fillId="0" borderId="0"/>
    <xf numFmtId="0" fontId="82" fillId="0" borderId="0"/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38" fontId="126" fillId="0" borderId="0">
      <alignment vertical="top"/>
    </xf>
    <xf numFmtId="0" fontId="82" fillId="0" borderId="0"/>
    <xf numFmtId="0" fontId="82" fillId="0" borderId="0"/>
    <xf numFmtId="0" fontId="82" fillId="0" borderId="0"/>
    <xf numFmtId="0" fontId="20" fillId="0" borderId="0"/>
    <xf numFmtId="0" fontId="80" fillId="0" borderId="0"/>
    <xf numFmtId="0" fontId="82" fillId="0" borderId="0"/>
    <xf numFmtId="0" fontId="82" fillId="0" borderId="0"/>
    <xf numFmtId="0" fontId="82" fillId="0" borderId="0"/>
    <xf numFmtId="0" fontId="80" fillId="0" borderId="0"/>
    <xf numFmtId="0" fontId="80" fillId="0" borderId="0"/>
    <xf numFmtId="0" fontId="80" fillId="0" borderId="0"/>
    <xf numFmtId="0" fontId="82" fillId="0" borderId="0"/>
    <xf numFmtId="0" fontId="82" fillId="0" borderId="0"/>
    <xf numFmtId="0" fontId="82" fillId="0" borderId="0"/>
    <xf numFmtId="0" fontId="79" fillId="0" borderId="0"/>
    <xf numFmtId="0" fontId="80" fillId="0" borderId="0"/>
    <xf numFmtId="0" fontId="80" fillId="0" borderId="0"/>
    <xf numFmtId="0" fontId="82" fillId="0" borderId="0"/>
    <xf numFmtId="186" fontId="134" fillId="0" borderId="0">
      <protection locked="0"/>
    </xf>
    <xf numFmtId="187" fontId="134" fillId="0" borderId="0">
      <protection locked="0"/>
    </xf>
    <xf numFmtId="165" fontId="133" fillId="0" borderId="0">
      <protection locked="0"/>
    </xf>
    <xf numFmtId="165" fontId="133" fillId="0" borderId="0">
      <protection locked="0"/>
    </xf>
    <xf numFmtId="165" fontId="133" fillId="0" borderId="0">
      <protection locked="0"/>
    </xf>
    <xf numFmtId="188" fontId="134" fillId="0" borderId="30">
      <protection locked="0"/>
    </xf>
    <xf numFmtId="0" fontId="135" fillId="0" borderId="0">
      <protection locked="0"/>
    </xf>
    <xf numFmtId="0" fontId="135" fillId="0" borderId="0">
      <protection locked="0"/>
    </xf>
    <xf numFmtId="0" fontId="133" fillId="0" borderId="30">
      <protection locked="0"/>
    </xf>
    <xf numFmtId="176" fontId="20" fillId="0" borderId="0">
      <alignment horizontal="center"/>
    </xf>
    <xf numFmtId="176" fontId="20" fillId="0" borderId="0">
      <alignment horizontal="center"/>
    </xf>
    <xf numFmtId="176" fontId="20" fillId="0" borderId="0">
      <alignment horizontal="center"/>
    </xf>
    <xf numFmtId="176" fontId="20" fillId="0" borderId="0">
      <alignment horizontal="center"/>
    </xf>
    <xf numFmtId="0" fontId="28" fillId="9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10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11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1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13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14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3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84" fillId="9" borderId="0" applyNumberFormat="0" applyBorder="0" applyAlignment="0" applyProtection="0"/>
    <xf numFmtId="0" fontId="84" fillId="9" borderId="0" applyNumberFormat="0" applyBorder="0" applyAlignment="0" applyProtection="0"/>
    <xf numFmtId="0" fontId="28" fillId="9" borderId="0" applyNumberFormat="0" applyBorder="0" applyAlignment="0" applyProtection="0"/>
    <xf numFmtId="0" fontId="84" fillId="9" borderId="0" applyNumberFormat="0" applyBorder="0" applyAlignment="0" applyProtection="0"/>
    <xf numFmtId="0" fontId="84" fillId="9" borderId="0" applyNumberFormat="0" applyBorder="0" applyAlignment="0" applyProtection="0"/>
    <xf numFmtId="0" fontId="84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3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84" fillId="10" borderId="0" applyNumberFormat="0" applyBorder="0" applyAlignment="0" applyProtection="0"/>
    <xf numFmtId="0" fontId="84" fillId="10" borderId="0" applyNumberFormat="0" applyBorder="0" applyAlignment="0" applyProtection="0"/>
    <xf numFmtId="0" fontId="28" fillId="10" borderId="0" applyNumberFormat="0" applyBorder="0" applyAlignment="0" applyProtection="0"/>
    <xf numFmtId="0" fontId="84" fillId="10" borderId="0" applyNumberFormat="0" applyBorder="0" applyAlignment="0" applyProtection="0"/>
    <xf numFmtId="0" fontId="84" fillId="10" borderId="0" applyNumberFormat="0" applyBorder="0" applyAlignment="0" applyProtection="0"/>
    <xf numFmtId="0" fontId="84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36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28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84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7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8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84" fillId="13" borderId="0" applyNumberFormat="0" applyBorder="0" applyAlignment="0" applyProtection="0"/>
    <xf numFmtId="0" fontId="84" fillId="13" borderId="0" applyNumberFormat="0" applyBorder="0" applyAlignment="0" applyProtection="0"/>
    <xf numFmtId="0" fontId="28" fillId="13" borderId="0" applyNumberFormat="0" applyBorder="0" applyAlignment="0" applyProtection="0"/>
    <xf numFmtId="0" fontId="84" fillId="13" borderId="0" applyNumberFormat="0" applyBorder="0" applyAlignment="0" applyProtection="0"/>
    <xf numFmtId="0" fontId="84" fillId="13" borderId="0" applyNumberFormat="0" applyBorder="0" applyAlignment="0" applyProtection="0"/>
    <xf numFmtId="0" fontId="84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39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28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1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17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1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1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18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40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28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41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28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42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28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84" fillId="17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7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84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40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28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43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28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84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17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20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21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2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44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85" fillId="19" borderId="0" applyNumberFormat="0" applyBorder="0" applyAlignment="0" applyProtection="0"/>
    <xf numFmtId="0" fontId="85" fillId="19" borderId="0" applyNumberFormat="0" applyBorder="0" applyAlignment="0" applyProtection="0"/>
    <xf numFmtId="0" fontId="29" fillId="19" borderId="0" applyNumberFormat="0" applyBorder="0" applyAlignment="0" applyProtection="0"/>
    <xf numFmtId="0" fontId="85" fillId="19" borderId="0" applyNumberFormat="0" applyBorder="0" applyAlignment="0" applyProtection="0"/>
    <xf numFmtId="0" fontId="85" fillId="19" borderId="0" applyNumberFormat="0" applyBorder="0" applyAlignment="0" applyProtection="0"/>
    <xf numFmtId="0" fontId="85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29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42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85" fillId="17" borderId="0" applyNumberFormat="0" applyBorder="0" applyAlignment="0" applyProtection="0"/>
    <xf numFmtId="0" fontId="85" fillId="17" borderId="0" applyNumberFormat="0" applyBorder="0" applyAlignment="0" applyProtection="0"/>
    <xf numFmtId="0" fontId="29" fillId="17" borderId="0" applyNumberFormat="0" applyBorder="0" applyAlignment="0" applyProtection="0"/>
    <xf numFmtId="0" fontId="85" fillId="17" borderId="0" applyNumberFormat="0" applyBorder="0" applyAlignment="0" applyProtection="0"/>
    <xf numFmtId="0" fontId="85" fillId="17" borderId="0" applyNumberFormat="0" applyBorder="0" applyAlignment="0" applyProtection="0"/>
    <xf numFmtId="0" fontId="85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45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85" fillId="20" borderId="0" applyNumberFormat="0" applyBorder="0" applyAlignment="0" applyProtection="0"/>
    <xf numFmtId="0" fontId="85" fillId="20" borderId="0" applyNumberFormat="0" applyBorder="0" applyAlignment="0" applyProtection="0"/>
    <xf numFmtId="0" fontId="29" fillId="20" borderId="0" applyNumberFormat="0" applyBorder="0" applyAlignment="0" applyProtection="0"/>
    <xf numFmtId="0" fontId="85" fillId="20" borderId="0" applyNumberFormat="0" applyBorder="0" applyAlignment="0" applyProtection="0"/>
    <xf numFmtId="0" fontId="85" fillId="20" borderId="0" applyNumberFormat="0" applyBorder="0" applyAlignment="0" applyProtection="0"/>
    <xf numFmtId="0" fontId="8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46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29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47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85" fillId="22" borderId="0" applyNumberFormat="0" applyBorder="0" applyAlignment="0" applyProtection="0"/>
    <xf numFmtId="0" fontId="85" fillId="22" borderId="0" applyNumberFormat="0" applyBorder="0" applyAlignment="0" applyProtection="0"/>
    <xf numFmtId="0" fontId="29" fillId="22" borderId="0" applyNumberFormat="0" applyBorder="0" applyAlignment="0" applyProtection="0"/>
    <xf numFmtId="0" fontId="85" fillId="22" borderId="0" applyNumberFormat="0" applyBorder="0" applyAlignment="0" applyProtection="0"/>
    <xf numFmtId="0" fontId="85" fillId="22" borderId="0" applyNumberFormat="0" applyBorder="0" applyAlignment="0" applyProtection="0"/>
    <xf numFmtId="0" fontId="85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24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20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21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26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182" fontId="81" fillId="0" borderId="31">
      <protection locked="0"/>
    </xf>
    <xf numFmtId="189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0" fontId="40" fillId="10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2" fillId="27" borderId="14" applyNumberFormat="0" applyAlignment="0" applyProtection="0"/>
    <xf numFmtId="0" fontId="32" fillId="52" borderId="14" applyNumberFormat="0" applyAlignment="0" applyProtection="0"/>
    <xf numFmtId="0" fontId="32" fillId="52" borderId="14" applyNumberFormat="0" applyAlignment="0" applyProtection="0"/>
    <xf numFmtId="0" fontId="32" fillId="52" borderId="14" applyNumberFormat="0" applyAlignment="0" applyProtection="0"/>
    <xf numFmtId="0" fontId="37" fillId="28" borderId="20" applyNumberFormat="0" applyAlignment="0" applyProtection="0"/>
    <xf numFmtId="0" fontId="37" fillId="53" borderId="20" applyNumberFormat="0" applyAlignment="0" applyProtection="0"/>
    <xf numFmtId="0" fontId="37" fillId="53" borderId="20" applyNumberFormat="0" applyAlignment="0" applyProtection="0"/>
    <xf numFmtId="0" fontId="37" fillId="53" borderId="20" applyNumberFormat="0" applyAlignment="0" applyProtection="0"/>
    <xf numFmtId="164" fontId="79" fillId="0" borderId="0" applyFont="0" applyFill="0" applyBorder="0" applyAlignment="0" applyProtection="0"/>
    <xf numFmtId="166" fontId="79" fillId="0" borderId="0" applyFont="0" applyFill="0" applyBorder="0" applyAlignment="0" applyProtection="0"/>
    <xf numFmtId="3" fontId="137" fillId="0" borderId="0" applyFont="0" applyFill="0" applyBorder="0" applyAlignment="0" applyProtection="0"/>
    <xf numFmtId="182" fontId="107" fillId="54" borderId="31"/>
    <xf numFmtId="177" fontId="86" fillId="0" borderId="0" applyFont="0" applyFill="0" applyBorder="0" applyAlignment="0" applyProtection="0"/>
    <xf numFmtId="177" fontId="86" fillId="0" borderId="0" applyFont="0" applyFill="0" applyBorder="0" applyAlignment="0" applyProtection="0"/>
    <xf numFmtId="177" fontId="86" fillId="0" borderId="0" applyFont="0" applyFill="0" applyBorder="0" applyAlignment="0" applyProtection="0"/>
    <xf numFmtId="177" fontId="86" fillId="0" borderId="0" applyFont="0" applyFill="0" applyBorder="0" applyAlignment="0" applyProtection="0"/>
    <xf numFmtId="177" fontId="86" fillId="0" borderId="0" applyFont="0" applyFill="0" applyBorder="0" applyAlignment="0" applyProtection="0"/>
    <xf numFmtId="165" fontId="79" fillId="0" borderId="0" applyFont="0" applyFill="0" applyBorder="0" applyAlignment="0" applyProtection="0"/>
    <xf numFmtId="191" fontId="137" fillId="0" borderId="0" applyFont="0" applyFill="0" applyBorder="0" applyAlignment="0" applyProtection="0"/>
    <xf numFmtId="0" fontId="127" fillId="0" borderId="0" applyFill="0" applyBorder="0" applyProtection="0">
      <alignment vertical="center"/>
    </xf>
    <xf numFmtId="14" fontId="87" fillId="0" borderId="0" applyFont="0" applyBorder="0">
      <alignment vertical="top"/>
    </xf>
    <xf numFmtId="14" fontId="73" fillId="0" borderId="0">
      <alignment vertical="top"/>
    </xf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38" fontId="138" fillId="0" borderId="0">
      <alignment vertical="top"/>
    </xf>
    <xf numFmtId="178" fontId="9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8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139" fillId="0" borderId="0" applyFill="0" applyBorder="0" applyAlignment="0" applyProtection="0"/>
    <xf numFmtId="175" fontId="126" fillId="0" borderId="0" applyFill="0" applyBorder="0" applyAlignment="0" applyProtection="0"/>
    <xf numFmtId="175" fontId="140" fillId="0" borderId="0" applyFill="0" applyBorder="0" applyAlignment="0" applyProtection="0"/>
    <xf numFmtId="175" fontId="141" fillId="0" borderId="0" applyFill="0" applyBorder="0" applyAlignment="0" applyProtection="0"/>
    <xf numFmtId="175" fontId="142" fillId="0" borderId="0" applyFill="0" applyBorder="0" applyAlignment="0" applyProtection="0"/>
    <xf numFmtId="175" fontId="143" fillId="0" borderId="0" applyFill="0" applyBorder="0" applyAlignment="0" applyProtection="0"/>
    <xf numFmtId="175" fontId="144" fillId="0" borderId="0" applyFill="0" applyBorder="0" applyAlignment="0" applyProtection="0"/>
    <xf numFmtId="2" fontId="137" fillId="0" borderId="0" applyFont="0" applyFill="0" applyBorder="0" applyAlignment="0" applyProtection="0"/>
    <xf numFmtId="0" fontId="128" fillId="0" borderId="0" applyNumberFormat="0" applyFill="0" applyBorder="0" applyAlignment="0" applyProtection="0">
      <alignment vertical="top"/>
      <protection locked="0"/>
    </xf>
    <xf numFmtId="0" fontId="44" fillId="11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91" fillId="0" borderId="32" applyNumberFormat="0" applyBorder="0">
      <alignment horizontal="centerContinuous"/>
    </xf>
    <xf numFmtId="0" fontId="92" fillId="0" borderId="0">
      <alignment horizontal="center"/>
    </xf>
    <xf numFmtId="0" fontId="92" fillId="55" borderId="0">
      <alignment horizontal="center"/>
    </xf>
    <xf numFmtId="0" fontId="145" fillId="0" borderId="0">
      <alignment vertical="top"/>
    </xf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146" fillId="0" borderId="0">
      <alignment vertical="top"/>
    </xf>
    <xf numFmtId="0" fontId="71" fillId="56" borderId="0"/>
    <xf numFmtId="0" fontId="69" fillId="57" borderId="0"/>
    <xf numFmtId="0" fontId="70" fillId="0" borderId="0"/>
    <xf numFmtId="0" fontId="129" fillId="0" borderId="0" applyNumberFormat="0" applyFill="0" applyBorder="0" applyAlignment="0" applyProtection="0">
      <alignment vertical="top"/>
      <protection locked="0"/>
    </xf>
    <xf numFmtId="0" fontId="20" fillId="0" borderId="0"/>
    <xf numFmtId="182" fontId="147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30" fillId="14" borderId="14" applyNumberFormat="0" applyAlignment="0" applyProtection="0"/>
    <xf numFmtId="0" fontId="30" fillId="39" borderId="14" applyNumberFormat="0" applyAlignment="0" applyProtection="0"/>
    <xf numFmtId="0" fontId="30" fillId="39" borderId="14" applyNumberFormat="0" applyAlignment="0" applyProtection="0"/>
    <xf numFmtId="0" fontId="30" fillId="39" borderId="14" applyNumberFormat="0" applyAlignment="0" applyProtection="0"/>
    <xf numFmtId="38" fontId="132" fillId="0" borderId="0">
      <alignment vertical="top"/>
    </xf>
    <xf numFmtId="38" fontId="132" fillId="31" borderId="0">
      <alignment vertical="top"/>
    </xf>
    <xf numFmtId="192" fontId="132" fillId="32" borderId="0">
      <alignment vertical="top"/>
    </xf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179" fontId="79" fillId="0" borderId="0" applyFont="0" applyFill="0" applyBorder="0" applyAlignment="0" applyProtection="0"/>
    <xf numFmtId="180" fontId="79" fillId="0" borderId="0" applyFont="0" applyFill="0" applyBorder="0" applyAlignment="0" applyProtection="0"/>
    <xf numFmtId="0" fontId="39" fillId="29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110" fillId="0" borderId="0" applyNumberFormat="0" applyFill="0" applyBorder="0" applyAlignment="0" applyProtection="0"/>
    <xf numFmtId="0" fontId="20" fillId="0" borderId="0"/>
    <xf numFmtId="0" fontId="20" fillId="0" borderId="0"/>
    <xf numFmtId="0" fontId="93" fillId="0" borderId="0"/>
    <xf numFmtId="0" fontId="127" fillId="0" borderId="0" applyFill="0" applyBorder="0" applyProtection="0">
      <alignment vertical="center"/>
    </xf>
    <xf numFmtId="0" fontId="80" fillId="0" borderId="0"/>
    <xf numFmtId="0" fontId="28" fillId="30" borderId="21" applyNumberFormat="0" applyFont="0" applyAlignment="0" applyProtection="0"/>
    <xf numFmtId="0" fontId="121" fillId="59" borderId="21" applyNumberFormat="0" applyAlignment="0" applyProtection="0"/>
    <xf numFmtId="0" fontId="121" fillId="59" borderId="21" applyNumberFormat="0" applyAlignment="0" applyProtection="0"/>
    <xf numFmtId="0" fontId="121" fillId="59" borderId="21" applyNumberFormat="0" applyAlignment="0" applyProtection="0"/>
    <xf numFmtId="19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0" fontId="31" fillId="27" borderId="15" applyNumberFormat="0" applyAlignment="0" applyProtection="0"/>
    <xf numFmtId="0" fontId="31" fillId="52" borderId="15" applyNumberFormat="0" applyAlignment="0" applyProtection="0"/>
    <xf numFmtId="0" fontId="31" fillId="52" borderId="15" applyNumberFormat="0" applyAlignment="0" applyProtection="0"/>
    <xf numFmtId="0" fontId="31" fillId="52" borderId="15" applyNumberFormat="0" applyAlignment="0" applyProtection="0"/>
    <xf numFmtId="0" fontId="127" fillId="0" borderId="0" applyFill="0" applyBorder="0" applyProtection="0">
      <alignment vertical="center"/>
    </xf>
    <xf numFmtId="0" fontId="94" fillId="0" borderId="0" applyNumberFormat="0">
      <alignment horizontal="left"/>
    </xf>
    <xf numFmtId="4" fontId="149" fillId="60" borderId="15" applyNumberFormat="0" applyProtection="0">
      <alignment vertical="center"/>
    </xf>
    <xf numFmtId="4" fontId="150" fillId="60" borderId="15" applyNumberFormat="0" applyProtection="0">
      <alignment vertical="center"/>
    </xf>
    <xf numFmtId="4" fontId="149" fillId="60" borderId="15" applyNumberFormat="0" applyProtection="0">
      <alignment horizontal="left" vertical="center" indent="1"/>
    </xf>
    <xf numFmtId="4" fontId="149" fillId="60" borderId="15" applyNumberFormat="0" applyProtection="0">
      <alignment horizontal="left" vertical="center" indent="1"/>
    </xf>
    <xf numFmtId="0" fontId="79" fillId="33" borderId="15" applyNumberFormat="0" applyProtection="0">
      <alignment horizontal="left" vertical="center" indent="1"/>
    </xf>
    <xf numFmtId="4" fontId="149" fillId="61" borderId="15" applyNumberFormat="0" applyProtection="0">
      <alignment horizontal="right" vertical="center"/>
    </xf>
    <xf numFmtId="4" fontId="149" fillId="62" borderId="15" applyNumberFormat="0" applyProtection="0">
      <alignment horizontal="right" vertical="center"/>
    </xf>
    <xf numFmtId="4" fontId="149" fillId="63" borderId="15" applyNumberFormat="0" applyProtection="0">
      <alignment horizontal="right" vertical="center"/>
    </xf>
    <xf numFmtId="4" fontId="149" fillId="64" borderId="15" applyNumberFormat="0" applyProtection="0">
      <alignment horizontal="right" vertical="center"/>
    </xf>
    <xf numFmtId="4" fontId="149" fillId="65" borderId="15" applyNumberFormat="0" applyProtection="0">
      <alignment horizontal="right" vertical="center"/>
    </xf>
    <xf numFmtId="4" fontId="149" fillId="66" borderId="15" applyNumberFormat="0" applyProtection="0">
      <alignment horizontal="right" vertical="center"/>
    </xf>
    <xf numFmtId="4" fontId="149" fillId="67" borderId="15" applyNumberFormat="0" applyProtection="0">
      <alignment horizontal="right" vertical="center"/>
    </xf>
    <xf numFmtId="4" fontId="149" fillId="68" borderId="15" applyNumberFormat="0" applyProtection="0">
      <alignment horizontal="right" vertical="center"/>
    </xf>
    <xf numFmtId="4" fontId="149" fillId="69" borderId="15" applyNumberFormat="0" applyProtection="0">
      <alignment horizontal="right" vertical="center"/>
    </xf>
    <xf numFmtId="4" fontId="151" fillId="70" borderId="15" applyNumberFormat="0" applyProtection="0">
      <alignment horizontal="left" vertical="center" indent="1"/>
    </xf>
    <xf numFmtId="4" fontId="149" fillId="71" borderId="33" applyNumberFormat="0" applyProtection="0">
      <alignment horizontal="left" vertical="center" indent="1"/>
    </xf>
    <xf numFmtId="4" fontId="152" fillId="72" borderId="0" applyNumberFormat="0" applyProtection="0">
      <alignment horizontal="left" vertical="center" indent="1"/>
    </xf>
    <xf numFmtId="0" fontId="79" fillId="33" borderId="15" applyNumberFormat="0" applyProtection="0">
      <alignment horizontal="left" vertical="center" indent="1"/>
    </xf>
    <xf numFmtId="4" fontId="78" fillId="71" borderId="15" applyNumberFormat="0" applyProtection="0">
      <alignment horizontal="left" vertical="center" indent="1"/>
    </xf>
    <xf numFmtId="4" fontId="78" fillId="73" borderId="15" applyNumberFormat="0" applyProtection="0">
      <alignment horizontal="left" vertical="center" indent="1"/>
    </xf>
    <xf numFmtId="0" fontId="79" fillId="73" borderId="15" applyNumberFormat="0" applyProtection="0">
      <alignment horizontal="left" vertical="center" indent="1"/>
    </xf>
    <xf numFmtId="0" fontId="79" fillId="73" borderId="15" applyNumberFormat="0" applyProtection="0">
      <alignment horizontal="left" vertical="center" indent="1"/>
    </xf>
    <xf numFmtId="0" fontId="79" fillId="74" borderId="15" applyNumberFormat="0" applyProtection="0">
      <alignment horizontal="left" vertical="center" indent="1"/>
    </xf>
    <xf numFmtId="0" fontId="79" fillId="74" borderId="15" applyNumberFormat="0" applyProtection="0">
      <alignment horizontal="left" vertical="center" indent="1"/>
    </xf>
    <xf numFmtId="0" fontId="79" fillId="31" borderId="15" applyNumberFormat="0" applyProtection="0">
      <alignment horizontal="left" vertical="center" indent="1"/>
    </xf>
    <xf numFmtId="0" fontId="79" fillId="31" borderId="15" applyNumberFormat="0" applyProtection="0">
      <alignment horizontal="left" vertical="center" indent="1"/>
    </xf>
    <xf numFmtId="0" fontId="79" fillId="33" borderId="15" applyNumberFormat="0" applyProtection="0">
      <alignment horizontal="left" vertical="center" indent="1"/>
    </xf>
    <xf numFmtId="0" fontId="79" fillId="33" borderId="15" applyNumberFormat="0" applyProtection="0">
      <alignment horizontal="left" vertical="center" indent="1"/>
    </xf>
    <xf numFmtId="0" fontId="20" fillId="0" borderId="0"/>
    <xf numFmtId="4" fontId="149" fillId="75" borderId="15" applyNumberFormat="0" applyProtection="0">
      <alignment vertical="center"/>
    </xf>
    <xf numFmtId="4" fontId="150" fillId="75" borderId="15" applyNumberFormat="0" applyProtection="0">
      <alignment vertical="center"/>
    </xf>
    <xf numFmtId="4" fontId="149" fillId="75" borderId="15" applyNumberFormat="0" applyProtection="0">
      <alignment horizontal="left" vertical="center" indent="1"/>
    </xf>
    <xf numFmtId="4" fontId="149" fillId="75" borderId="15" applyNumberFormat="0" applyProtection="0">
      <alignment horizontal="left" vertical="center" indent="1"/>
    </xf>
    <xf numFmtId="4" fontId="149" fillId="71" borderId="15" applyNumberFormat="0" applyProtection="0">
      <alignment horizontal="right" vertical="center"/>
    </xf>
    <xf numFmtId="4" fontId="150" fillId="71" borderId="15" applyNumberFormat="0" applyProtection="0">
      <alignment horizontal="right" vertical="center"/>
    </xf>
    <xf numFmtId="0" fontId="79" fillId="33" borderId="15" applyNumberFormat="0" applyProtection="0">
      <alignment horizontal="left" vertical="center" indent="1"/>
    </xf>
    <xf numFmtId="0" fontId="79" fillId="33" borderId="15" applyNumberFormat="0" applyProtection="0">
      <alignment horizontal="left" vertical="center" indent="1"/>
    </xf>
    <xf numFmtId="0" fontId="153" fillId="0" borderId="0"/>
    <xf numFmtId="4" fontId="154" fillId="71" borderId="15" applyNumberFormat="0" applyProtection="0">
      <alignment horizontal="right" vertical="center"/>
    </xf>
    <xf numFmtId="181" fontId="95" fillId="0" borderId="29">
      <alignment horizontal="left" vertical="center"/>
      <protection locked="0"/>
    </xf>
    <xf numFmtId="0" fontId="80" fillId="0" borderId="0"/>
    <xf numFmtId="2" fontId="96" fillId="76" borderId="34" applyProtection="0"/>
    <xf numFmtId="2" fontId="96" fillId="76" borderId="34" applyProtection="0"/>
    <xf numFmtId="2" fontId="97" fillId="0" borderId="0" applyFill="0" applyBorder="0" applyProtection="0"/>
    <xf numFmtId="2" fontId="83" fillId="0" borderId="0" applyFill="0" applyBorder="0" applyProtection="0"/>
    <xf numFmtId="2" fontId="83" fillId="77" borderId="34" applyProtection="0"/>
    <xf numFmtId="2" fontId="83" fillId="78" borderId="34" applyProtection="0"/>
    <xf numFmtId="2" fontId="83" fillId="79" borderId="34" applyProtection="0"/>
    <xf numFmtId="2" fontId="83" fillId="79" borderId="34" applyProtection="0">
      <alignment horizontal="center"/>
    </xf>
    <xf numFmtId="2" fontId="83" fillId="78" borderId="34" applyProtection="0">
      <alignment horizontal="center"/>
    </xf>
    <xf numFmtId="38" fontId="155" fillId="80" borderId="0">
      <alignment horizontal="right" vertical="top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48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5" fillId="23" borderId="0" applyNumberFormat="0" applyBorder="0" applyAlignment="0" applyProtection="0"/>
    <xf numFmtId="0" fontId="85" fillId="23" borderId="0" applyNumberFormat="0" applyBorder="0" applyAlignment="0" applyProtection="0"/>
    <xf numFmtId="0" fontId="85" fillId="23" borderId="0" applyNumberFormat="0" applyBorder="0" applyAlignment="0" applyProtection="0"/>
    <xf numFmtId="0" fontId="85" fillId="23" borderId="0" applyNumberFormat="0" applyBorder="0" applyAlignment="0" applyProtection="0"/>
    <xf numFmtId="0" fontId="85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49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45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85" fillId="20" borderId="0" applyNumberFormat="0" applyBorder="0" applyAlignment="0" applyProtection="0"/>
    <xf numFmtId="0" fontId="85" fillId="20" borderId="0" applyNumberFormat="0" applyBorder="0" applyAlignment="0" applyProtection="0"/>
    <xf numFmtId="0" fontId="85" fillId="20" borderId="0" applyNumberFormat="0" applyBorder="0" applyAlignment="0" applyProtection="0"/>
    <xf numFmtId="0" fontId="85" fillId="20" borderId="0" applyNumberFormat="0" applyBorder="0" applyAlignment="0" applyProtection="0"/>
    <xf numFmtId="0" fontId="85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46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85" fillId="21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51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182" fontId="81" fillId="0" borderId="31">
      <protection locked="0"/>
    </xf>
    <xf numFmtId="0" fontId="30" fillId="14" borderId="14" applyNumberFormat="0" applyAlignment="0" applyProtection="0"/>
    <xf numFmtId="0" fontId="30" fillId="14" borderId="14" applyNumberFormat="0" applyAlignment="0" applyProtection="0"/>
    <xf numFmtId="0" fontId="30" fillId="39" borderId="14" applyNumberFormat="0" applyAlignment="0" applyProtection="0"/>
    <xf numFmtId="0" fontId="30" fillId="14" borderId="14" applyNumberFormat="0" applyAlignment="0" applyProtection="0"/>
    <xf numFmtId="0" fontId="30" fillId="14" borderId="14" applyNumberFormat="0" applyAlignment="0" applyProtection="0"/>
    <xf numFmtId="0" fontId="30" fillId="14" borderId="14" applyNumberFormat="0" applyAlignment="0" applyProtection="0"/>
    <xf numFmtId="0" fontId="98" fillId="14" borderId="14" applyNumberFormat="0" applyAlignment="0" applyProtection="0"/>
    <xf numFmtId="0" fontId="98" fillId="14" borderId="14" applyNumberFormat="0" applyAlignment="0" applyProtection="0"/>
    <xf numFmtId="0" fontId="98" fillId="14" borderId="14" applyNumberFormat="0" applyAlignment="0" applyProtection="0"/>
    <xf numFmtId="0" fontId="98" fillId="14" borderId="14" applyNumberFormat="0" applyAlignment="0" applyProtection="0"/>
    <xf numFmtId="0" fontId="98" fillId="14" borderId="14" applyNumberFormat="0" applyAlignment="0" applyProtection="0"/>
    <xf numFmtId="0" fontId="31" fillId="27" borderId="15" applyNumberFormat="0" applyAlignment="0" applyProtection="0"/>
    <xf numFmtId="0" fontId="31" fillId="27" borderId="15" applyNumberFormat="0" applyAlignment="0" applyProtection="0"/>
    <xf numFmtId="0" fontId="31" fillId="52" borderId="15" applyNumberFormat="0" applyAlignment="0" applyProtection="0"/>
    <xf numFmtId="0" fontId="31" fillId="27" borderId="15" applyNumberFormat="0" applyAlignment="0" applyProtection="0"/>
    <xf numFmtId="0" fontId="31" fillId="27" borderId="15" applyNumberFormat="0" applyAlignment="0" applyProtection="0"/>
    <xf numFmtId="0" fontId="31" fillId="27" borderId="15" applyNumberFormat="0" applyAlignment="0" applyProtection="0"/>
    <xf numFmtId="0" fontId="99" fillId="27" borderId="15" applyNumberFormat="0" applyAlignment="0" applyProtection="0"/>
    <xf numFmtId="0" fontId="99" fillId="27" borderId="15" applyNumberFormat="0" applyAlignment="0" applyProtection="0"/>
    <xf numFmtId="0" fontId="99" fillId="27" borderId="15" applyNumberFormat="0" applyAlignment="0" applyProtection="0"/>
    <xf numFmtId="0" fontId="99" fillId="27" borderId="15" applyNumberFormat="0" applyAlignment="0" applyProtection="0"/>
    <xf numFmtId="0" fontId="99" fillId="27" borderId="15" applyNumberFormat="0" applyAlignment="0" applyProtection="0"/>
    <xf numFmtId="0" fontId="32" fillId="27" borderId="14" applyNumberFormat="0" applyAlignment="0" applyProtection="0"/>
    <xf numFmtId="0" fontId="32" fillId="27" borderId="14" applyNumberFormat="0" applyAlignment="0" applyProtection="0"/>
    <xf numFmtId="0" fontId="32" fillId="52" borderId="14" applyNumberFormat="0" applyAlignment="0" applyProtection="0"/>
    <xf numFmtId="0" fontId="32" fillId="27" borderId="14" applyNumberFormat="0" applyAlignment="0" applyProtection="0"/>
    <xf numFmtId="0" fontId="32" fillId="27" borderId="14" applyNumberFormat="0" applyAlignment="0" applyProtection="0"/>
    <xf numFmtId="0" fontId="32" fillId="27" borderId="14" applyNumberFormat="0" applyAlignment="0" applyProtection="0"/>
    <xf numFmtId="0" fontId="100" fillId="27" borderId="14" applyNumberFormat="0" applyAlignment="0" applyProtection="0"/>
    <xf numFmtId="0" fontId="100" fillId="27" borderId="14" applyNumberFormat="0" applyAlignment="0" applyProtection="0"/>
    <xf numFmtId="0" fontId="100" fillId="27" borderId="14" applyNumberFormat="0" applyAlignment="0" applyProtection="0"/>
    <xf numFmtId="0" fontId="100" fillId="27" borderId="14" applyNumberFormat="0" applyAlignment="0" applyProtection="0"/>
    <xf numFmtId="0" fontId="100" fillId="27" borderId="14" applyNumberFormat="0" applyAlignment="0" applyProtection="0"/>
    <xf numFmtId="0" fontId="158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0" fontId="79" fillId="0" borderId="0"/>
    <xf numFmtId="181" fontId="101" fillId="0" borderId="0" applyProtection="0">
      <alignment horizontal="center"/>
    </xf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102" fillId="0" borderId="16" applyNumberFormat="0" applyFill="0" applyAlignment="0" applyProtection="0"/>
    <xf numFmtId="0" fontId="102" fillId="0" borderId="16" applyNumberFormat="0" applyFill="0" applyAlignment="0" applyProtection="0"/>
    <xf numFmtId="0" fontId="102" fillId="0" borderId="16" applyNumberFormat="0" applyFill="0" applyAlignment="0" applyProtection="0"/>
    <xf numFmtId="0" fontId="102" fillId="0" borderId="16" applyNumberFormat="0" applyFill="0" applyAlignment="0" applyProtection="0"/>
    <xf numFmtId="0" fontId="102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103" fillId="0" borderId="17" applyNumberFormat="0" applyFill="0" applyAlignment="0" applyProtection="0"/>
    <xf numFmtId="0" fontId="103" fillId="0" borderId="17" applyNumberFormat="0" applyFill="0" applyAlignment="0" applyProtection="0"/>
    <xf numFmtId="0" fontId="103" fillId="0" borderId="17" applyNumberFormat="0" applyFill="0" applyAlignment="0" applyProtection="0"/>
    <xf numFmtId="0" fontId="103" fillId="0" borderId="17" applyNumberFormat="0" applyFill="0" applyAlignment="0" applyProtection="0"/>
    <xf numFmtId="0" fontId="103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Border="0">
      <alignment horizontal="center" vertical="center" wrapText="1"/>
    </xf>
    <xf numFmtId="0" fontId="156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6" fillId="0" borderId="35" applyBorder="0">
      <alignment horizontal="center" vertical="center" wrapText="1"/>
    </xf>
    <xf numFmtId="182" fontId="107" fillId="54" borderId="31"/>
    <xf numFmtId="4" fontId="76" fillId="60" borderId="29" applyBorder="0">
      <alignment horizontal="right"/>
    </xf>
    <xf numFmtId="49" fontId="157" fillId="0" borderId="0" applyBorder="0">
      <alignment vertical="center"/>
    </xf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3" fontId="107" fillId="0" borderId="29" applyBorder="0">
      <alignment vertical="center"/>
    </xf>
    <xf numFmtId="0" fontId="110" fillId="0" borderId="30" applyNumberFormat="0" applyFill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53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09" fillId="28" borderId="20" applyNumberFormat="0" applyAlignment="0" applyProtection="0"/>
    <xf numFmtId="0" fontId="109" fillId="28" borderId="20" applyNumberFormat="0" applyAlignment="0" applyProtection="0"/>
    <xf numFmtId="0" fontId="109" fillId="28" borderId="20" applyNumberFormat="0" applyAlignment="0" applyProtection="0"/>
    <xf numFmtId="0" fontId="109" fillId="28" borderId="20" applyNumberFormat="0" applyAlignment="0" applyProtection="0"/>
    <xf numFmtId="0" fontId="109" fillId="28" borderId="20" applyNumberFormat="0" applyAlignment="0" applyProtection="0"/>
    <xf numFmtId="0" fontId="110" fillId="32" borderId="0" applyFill="0">
      <alignment wrapText="1"/>
    </xf>
    <xf numFmtId="0" fontId="110" fillId="32" borderId="0" applyFill="0">
      <alignment wrapText="1"/>
    </xf>
    <xf numFmtId="0" fontId="110" fillId="32" borderId="0" applyFill="0">
      <alignment wrapText="1"/>
    </xf>
    <xf numFmtId="0" fontId="110" fillId="32" borderId="0" applyFill="0">
      <alignment wrapText="1"/>
    </xf>
    <xf numFmtId="0" fontId="110" fillId="32" borderId="0" applyFill="0">
      <alignment wrapText="1"/>
    </xf>
    <xf numFmtId="0" fontId="110" fillId="32" borderId="0" applyFill="0">
      <alignment wrapText="1"/>
    </xf>
    <xf numFmtId="0" fontId="111" fillId="0" borderId="0">
      <alignment horizontal="center" vertical="top" wrapText="1"/>
    </xf>
    <xf numFmtId="0" fontId="112" fillId="0" borderId="0">
      <alignment horizontal="center" vertical="center" wrapText="1"/>
    </xf>
    <xf numFmtId="168" fontId="75" fillId="32" borderId="29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58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113" fillId="29" borderId="0" applyNumberFormat="0" applyBorder="0" applyAlignment="0" applyProtection="0"/>
    <xf numFmtId="0" fontId="113" fillId="29" borderId="0" applyNumberFormat="0" applyBorder="0" applyAlignment="0" applyProtection="0"/>
    <xf numFmtId="0" fontId="113" fillId="29" borderId="0" applyNumberFormat="0" applyBorder="0" applyAlignment="0" applyProtection="0"/>
    <xf numFmtId="0" fontId="113" fillId="29" borderId="0" applyNumberFormat="0" applyBorder="0" applyAlignment="0" applyProtection="0"/>
    <xf numFmtId="0" fontId="113" fillId="29" borderId="0" applyNumberFormat="0" applyBorder="0" applyAlignment="0" applyProtection="0"/>
    <xf numFmtId="0" fontId="1" fillId="0" borderId="0"/>
    <xf numFmtId="0" fontId="114" fillId="0" borderId="0"/>
    <xf numFmtId="0" fontId="68" fillId="0" borderId="0"/>
    <xf numFmtId="0" fontId="65" fillId="0" borderId="0"/>
    <xf numFmtId="0" fontId="28" fillId="0" borderId="0"/>
    <xf numFmtId="0" fontId="15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8" fillId="0" borderId="0"/>
    <xf numFmtId="0" fontId="65" fillId="0" borderId="0"/>
    <xf numFmtId="0" fontId="79" fillId="0" borderId="0"/>
    <xf numFmtId="0" fontId="20" fillId="0" borderId="0"/>
    <xf numFmtId="0" fontId="81" fillId="0" borderId="0"/>
    <xf numFmtId="0" fontId="20" fillId="0" borderId="0"/>
    <xf numFmtId="0" fontId="81" fillId="0" borderId="0"/>
    <xf numFmtId="0" fontId="20" fillId="0" borderId="0"/>
    <xf numFmtId="0" fontId="81" fillId="0" borderId="0"/>
    <xf numFmtId="0" fontId="79" fillId="0" borderId="0"/>
    <xf numFmtId="0" fontId="20" fillId="0" borderId="0"/>
    <xf numFmtId="0" fontId="28" fillId="0" borderId="0"/>
    <xf numFmtId="0" fontId="115" fillId="0" borderId="0"/>
    <xf numFmtId="0" fontId="20" fillId="0" borderId="0"/>
    <xf numFmtId="0" fontId="65" fillId="0" borderId="0"/>
    <xf numFmtId="0" fontId="65" fillId="0" borderId="0"/>
    <xf numFmtId="0" fontId="28" fillId="0" borderId="0"/>
    <xf numFmtId="0" fontId="20" fillId="0" borderId="0"/>
    <xf numFmtId="0" fontId="79" fillId="0" borderId="0"/>
    <xf numFmtId="0" fontId="65" fillId="0" borderId="0"/>
    <xf numFmtId="0" fontId="20" fillId="0" borderId="0"/>
    <xf numFmtId="0" fontId="28" fillId="0" borderId="0"/>
    <xf numFmtId="0" fontId="65" fillId="0" borderId="0"/>
    <xf numFmtId="0" fontId="65" fillId="0" borderId="0"/>
    <xf numFmtId="0" fontId="79" fillId="0" borderId="0"/>
    <xf numFmtId="0" fontId="6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5" fillId="0" borderId="0"/>
    <xf numFmtId="0" fontId="20" fillId="0" borderId="0"/>
    <xf numFmtId="183" fontId="116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65" fillId="0" borderId="0"/>
    <xf numFmtId="0" fontId="65" fillId="0" borderId="0"/>
    <xf numFmtId="0" fontId="28" fillId="0" borderId="0"/>
    <xf numFmtId="0" fontId="117" fillId="0" borderId="0"/>
    <xf numFmtId="0" fontId="20" fillId="0" borderId="0"/>
    <xf numFmtId="0" fontId="20" fillId="0" borderId="0"/>
    <xf numFmtId="0" fontId="28" fillId="0" borderId="0"/>
    <xf numFmtId="0" fontId="74" fillId="0" borderId="0"/>
    <xf numFmtId="0" fontId="28" fillId="0" borderId="0"/>
    <xf numFmtId="0" fontId="20" fillId="0" borderId="0"/>
    <xf numFmtId="0" fontId="1" fillId="0" borderId="0"/>
    <xf numFmtId="0" fontId="76" fillId="0" borderId="0"/>
    <xf numFmtId="0" fontId="1" fillId="0" borderId="0"/>
    <xf numFmtId="0" fontId="81" fillId="0" borderId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35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18" fillId="10" borderId="0" applyNumberFormat="0" applyBorder="0" applyAlignment="0" applyProtection="0"/>
    <xf numFmtId="0" fontId="118" fillId="10" borderId="0" applyNumberFormat="0" applyBorder="0" applyAlignment="0" applyProtection="0"/>
    <xf numFmtId="0" fontId="118" fillId="10" borderId="0" applyNumberFormat="0" applyBorder="0" applyAlignment="0" applyProtection="0"/>
    <xf numFmtId="0" fontId="118" fillId="10" borderId="0" applyNumberFormat="0" applyBorder="0" applyAlignment="0" applyProtection="0"/>
    <xf numFmtId="0" fontId="118" fillId="10" borderId="0" applyNumberFormat="0" applyBorder="0" applyAlignment="0" applyProtection="0"/>
    <xf numFmtId="0" fontId="20" fillId="0" borderId="0" applyFont="0" applyFill="0" applyBorder="0" applyProtection="0">
      <alignment horizontal="center" vertical="center" wrapText="1"/>
    </xf>
    <xf numFmtId="0" fontId="20" fillId="0" borderId="0" applyNumberFormat="0" applyFont="0" applyFill="0" applyBorder="0" applyProtection="0">
      <alignment horizontal="justify" vertical="center" wrapText="1"/>
    </xf>
    <xf numFmtId="175" fontId="119" fillId="60" borderId="36" applyNumberFormat="0" applyBorder="0" applyAlignment="0">
      <alignment vertical="center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" fillId="30" borderId="21" applyNumberFormat="0" applyFont="0" applyAlignment="0" applyProtection="0"/>
    <xf numFmtId="0" fontId="1" fillId="30" borderId="21" applyNumberFormat="0" applyFont="0" applyAlignment="0" applyProtection="0"/>
    <xf numFmtId="0" fontId="121" fillId="59" borderId="21" applyNumberFormat="0" applyAlignment="0" applyProtection="0"/>
    <xf numFmtId="0" fontId="1" fillId="30" borderId="21" applyNumberFormat="0" applyFont="0" applyAlignment="0" applyProtection="0"/>
    <xf numFmtId="0" fontId="79" fillId="30" borderId="21" applyNumberFormat="0" applyFont="0" applyAlignment="0" applyProtection="0"/>
    <xf numFmtId="0" fontId="20" fillId="30" borderId="21" applyNumberFormat="0" applyFont="0" applyAlignment="0" applyProtection="0"/>
    <xf numFmtId="0" fontId="1" fillId="30" borderId="21" applyNumberFormat="0" applyFont="0" applyAlignment="0" applyProtection="0"/>
    <xf numFmtId="0" fontId="1" fillId="30" borderId="21" applyNumberFormat="0" applyFont="0" applyAlignment="0" applyProtection="0"/>
    <xf numFmtId="0" fontId="84" fillId="30" borderId="21" applyNumberFormat="0" applyFont="0" applyAlignment="0" applyProtection="0"/>
    <xf numFmtId="0" fontId="84" fillId="30" borderId="21" applyNumberFormat="0" applyFont="0" applyAlignment="0" applyProtection="0"/>
    <xf numFmtId="0" fontId="84" fillId="30" borderId="21" applyNumberFormat="0" applyFont="0" applyAlignment="0" applyProtection="0"/>
    <xf numFmtId="0" fontId="84" fillId="30" borderId="21" applyNumberFormat="0" applyFont="0" applyAlignment="0" applyProtection="0"/>
    <xf numFmtId="0" fontId="84" fillId="30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21" fillId="0" borderId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1" fillId="0" borderId="0" applyFill="0" applyBorder="0" applyAlignment="0" applyProtection="0"/>
    <xf numFmtId="9" fontId="7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1" fillId="0" borderId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42" fillId="0" borderId="22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122" fillId="0" borderId="22" applyNumberFormat="0" applyFill="0" applyAlignment="0" applyProtection="0"/>
    <xf numFmtId="0" fontId="80" fillId="0" borderId="0"/>
    <xf numFmtId="0" fontId="123" fillId="0" borderId="0"/>
    <xf numFmtId="181" fontId="81" fillId="0" borderId="0" applyFill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10" fillId="0" borderId="0">
      <alignment horizontal="center"/>
    </xf>
    <xf numFmtId="38" fontId="7" fillId="0" borderId="0" applyFont="0" applyFill="0" applyBorder="0" applyAlignment="0" applyProtection="0"/>
    <xf numFmtId="3" fontId="77" fillId="0" borderId="37" applyFont="0" applyBorder="0">
      <alignment horizontal="right"/>
      <protection locked="0"/>
    </xf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2" fontId="110" fillId="0" borderId="0" applyFill="0" applyBorder="0" applyAlignment="0" applyProtection="0"/>
    <xf numFmtId="167" fontId="79" fillId="0" borderId="0" applyFont="0" applyFill="0" applyBorder="0" applyAlignment="0" applyProtection="0"/>
    <xf numFmtId="184" fontId="28" fillId="0" borderId="0" applyFill="0" applyBorder="0" applyAlignment="0" applyProtection="0"/>
    <xf numFmtId="184" fontId="28" fillId="0" borderId="0" applyFill="0" applyBorder="0" applyAlignment="0" applyProtection="0"/>
    <xf numFmtId="184" fontId="28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20" fillId="0" borderId="0" applyFont="0" applyFill="0" applyBorder="0" applyAlignment="0" applyProtection="0"/>
    <xf numFmtId="4" fontId="76" fillId="32" borderId="0" applyBorder="0">
      <alignment horizontal="right"/>
    </xf>
    <xf numFmtId="4" fontId="76" fillId="32" borderId="0" applyFont="0" applyBorder="0">
      <alignment horizontal="right"/>
    </xf>
    <xf numFmtId="4" fontId="76" fillId="32" borderId="0" applyBorder="0">
      <alignment horizontal="right"/>
    </xf>
    <xf numFmtId="4" fontId="76" fillId="32" borderId="0" applyBorder="0">
      <alignment horizontal="right"/>
    </xf>
    <xf numFmtId="4" fontId="76" fillId="81" borderId="38" applyBorder="0">
      <alignment horizontal="right"/>
    </xf>
    <xf numFmtId="4" fontId="76" fillId="32" borderId="29" applyFont="0" applyBorder="0">
      <alignment horizontal="right"/>
    </xf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36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170" fontId="20" fillId="0" borderId="29" applyFont="0" applyFill="0" applyBorder="0" applyProtection="0">
      <alignment horizontal="center" vertical="center"/>
    </xf>
    <xf numFmtId="165" fontId="133" fillId="0" borderId="0">
      <protection locked="0"/>
    </xf>
    <xf numFmtId="0" fontId="81" fillId="0" borderId="29" applyBorder="0">
      <alignment horizontal="center" vertical="center" wrapText="1"/>
    </xf>
    <xf numFmtId="0" fontId="30" fillId="14" borderId="14" applyNumberFormat="0" applyAlignment="0" applyProtection="0"/>
    <xf numFmtId="0" fontId="65" fillId="0" borderId="0"/>
    <xf numFmtId="0" fontId="28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9" fontId="65" fillId="0" borderId="0" applyFont="0" applyFill="0" applyBorder="0" applyAlignment="0" applyProtection="0"/>
    <xf numFmtId="0" fontId="1" fillId="0" borderId="0"/>
  </cellStyleXfs>
  <cellXfs count="234">
    <xf numFmtId="0" fontId="0" fillId="0" borderId="0" xfId="0"/>
    <xf numFmtId="0" fontId="3" fillId="0" borderId="0" xfId="2" applyFont="1" applyFill="1" applyBorder="1" applyAlignment="1">
      <alignment vertical="center" wrapText="1"/>
    </xf>
    <xf numFmtId="0" fontId="4" fillId="0" borderId="0" xfId="2" applyNumberFormat="1" applyFont="1" applyFill="1" applyBorder="1" applyProtection="1"/>
    <xf numFmtId="0" fontId="5" fillId="0" borderId="0" xfId="2" applyNumberFormat="1" applyFont="1" applyFill="1" applyBorder="1" applyProtection="1"/>
    <xf numFmtId="0" fontId="1" fillId="0" borderId="0" xfId="2" applyNumberFormat="1" applyFont="1" applyFill="1" applyBorder="1" applyAlignment="1" applyProtection="1">
      <alignment horizontal="center" vertical="center"/>
    </xf>
    <xf numFmtId="0" fontId="1" fillId="0" borderId="0" xfId="2" applyNumberFormat="1" applyFont="1" applyFill="1" applyBorder="1" applyAlignment="1" applyProtection="1">
      <alignment horizontal="left" vertical="center"/>
    </xf>
    <xf numFmtId="0" fontId="1" fillId="0" borderId="0" xfId="2" applyNumberFormat="1" applyFont="1" applyFill="1" applyBorder="1" applyAlignment="1" applyProtection="1">
      <alignment vertical="center"/>
    </xf>
    <xf numFmtId="4" fontId="1" fillId="0" borderId="0" xfId="2" applyNumberFormat="1" applyFont="1" applyFill="1" applyBorder="1" applyAlignment="1" applyProtection="1">
      <alignment horizontal="center"/>
    </xf>
    <xf numFmtId="0" fontId="1" fillId="0" borderId="0" xfId="2" applyNumberFormat="1" applyFont="1" applyFill="1" applyBorder="1" applyProtection="1"/>
    <xf numFmtId="0" fontId="6" fillId="0" borderId="0" xfId="2" applyNumberFormat="1" applyFont="1" applyFill="1" applyBorder="1" applyProtection="1"/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center" vertical="center" wrapText="1"/>
    </xf>
    <xf numFmtId="0" fontId="10" fillId="0" borderId="6" xfId="3" applyNumberFormat="1" applyFont="1" applyFill="1" applyBorder="1" applyAlignment="1" applyProtection="1">
      <alignment horizontal="center" vertical="center" wrapText="1"/>
    </xf>
    <xf numFmtId="0" fontId="10" fillId="0" borderId="6" xfId="3" applyNumberFormat="1" applyFont="1" applyFill="1" applyBorder="1" applyAlignment="1" applyProtection="1">
      <alignment horizontal="left" vertical="center" wrapText="1"/>
    </xf>
    <xf numFmtId="0" fontId="1" fillId="0" borderId="6" xfId="3" applyFont="1" applyFill="1" applyBorder="1" applyAlignment="1">
      <alignment horizontal="center" vertical="center" wrapText="1"/>
    </xf>
    <xf numFmtId="168" fontId="1" fillId="0" borderId="6" xfId="3" applyNumberFormat="1" applyFont="1" applyFill="1" applyBorder="1" applyAlignment="1">
      <alignment horizontal="center" vertical="center" wrapText="1"/>
    </xf>
    <xf numFmtId="0" fontId="1" fillId="0" borderId="6" xfId="3" applyNumberFormat="1" applyFont="1" applyFill="1" applyBorder="1" applyAlignment="1" applyProtection="1">
      <alignment vertical="center" wrapText="1"/>
    </xf>
    <xf numFmtId="0" fontId="1" fillId="0" borderId="6" xfId="3" applyNumberFormat="1" applyFont="1" applyFill="1" applyBorder="1" applyAlignment="1" applyProtection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11" fillId="0" borderId="0" xfId="2" applyNumberFormat="1" applyFont="1" applyFill="1" applyBorder="1" applyAlignment="1" applyProtection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left" vertical="center" wrapText="1"/>
    </xf>
    <xf numFmtId="0" fontId="4" fillId="0" borderId="7" xfId="2" applyNumberFormat="1" applyFont="1" applyFill="1" applyBorder="1" applyAlignment="1" applyProtection="1">
      <alignment horizontal="left" vertical="center" wrapText="1" shrinkToFit="1"/>
    </xf>
    <xf numFmtId="0" fontId="6" fillId="0" borderId="7" xfId="2" applyNumberFormat="1" applyFont="1" applyFill="1" applyBorder="1" applyAlignment="1" applyProtection="1">
      <alignment horizontal="center" vertical="center" wrapText="1"/>
    </xf>
    <xf numFmtId="168" fontId="4" fillId="0" borderId="7" xfId="2" applyNumberFormat="1" applyFont="1" applyFill="1" applyBorder="1" applyAlignment="1" applyProtection="1">
      <alignment horizontal="center" vertical="center" wrapText="1"/>
    </xf>
    <xf numFmtId="169" fontId="4" fillId="0" borderId="7" xfId="2" applyNumberFormat="1" applyFont="1" applyFill="1" applyBorder="1" applyAlignment="1" applyProtection="1">
      <alignment horizontal="center" vertical="center" wrapText="1"/>
    </xf>
    <xf numFmtId="4" fontId="4" fillId="0" borderId="7" xfId="2" applyNumberFormat="1" applyFont="1" applyFill="1" applyBorder="1" applyAlignment="1" applyProtection="1">
      <alignment horizontal="center" vertical="center" wrapText="1"/>
    </xf>
    <xf numFmtId="170" fontId="4" fillId="0" borderId="0" xfId="2" applyNumberFormat="1" applyFont="1" applyFill="1" applyBorder="1" applyAlignment="1" applyProtection="1">
      <alignment horizontal="center" vertical="center" wrapText="1"/>
    </xf>
    <xf numFmtId="170" fontId="6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2" applyNumberFormat="1" applyFont="1" applyFill="1" applyBorder="1" applyAlignment="1" applyProtection="1">
      <alignment horizontal="center" vertical="center" wrapText="1"/>
    </xf>
    <xf numFmtId="170" fontId="5" fillId="0" borderId="0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 vertical="center" wrapText="1" shrinkToFi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168" fontId="4" fillId="0" borderId="1" xfId="2" applyNumberFormat="1" applyFont="1" applyFill="1" applyBorder="1" applyAlignment="1" applyProtection="1">
      <alignment horizontal="center" vertical="center" wrapText="1"/>
    </xf>
    <xf numFmtId="169" fontId="4" fillId="0" borderId="1" xfId="2" applyNumberFormat="1" applyFont="1" applyFill="1" applyBorder="1" applyAlignment="1" applyProtection="1">
      <alignment horizontal="center" vertical="center" wrapText="1"/>
    </xf>
    <xf numFmtId="4" fontId="4" fillId="0" borderId="1" xfId="2" applyNumberFormat="1" applyFont="1" applyFill="1" applyBorder="1" applyProtection="1"/>
    <xf numFmtId="0" fontId="12" fillId="0" borderId="0" xfId="2" applyNumberFormat="1" applyFont="1" applyFill="1" applyBorder="1" applyProtection="1"/>
    <xf numFmtId="168" fontId="13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/>
    </xf>
    <xf numFmtId="170" fontId="14" fillId="0" borderId="0" xfId="2" applyNumberFormat="1" applyFont="1" applyFill="1" applyBorder="1" applyAlignment="1" applyProtection="1">
      <alignment horizontal="center" vertical="center" wrapText="1"/>
    </xf>
    <xf numFmtId="170" fontId="15" fillId="0" borderId="0" xfId="2" applyNumberFormat="1" applyFont="1" applyFill="1" applyBorder="1" applyAlignment="1" applyProtection="1">
      <alignment horizontal="center" vertical="center" wrapText="1"/>
    </xf>
    <xf numFmtId="169" fontId="4" fillId="0" borderId="7" xfId="2" applyNumberFormat="1" applyFont="1" applyFill="1" applyBorder="1" applyAlignment="1">
      <alignment horizontal="center" vertical="center" wrapText="1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4" fontId="14" fillId="0" borderId="1" xfId="2" applyNumberFormat="1" applyFont="1" applyFill="1" applyBorder="1" applyProtection="1"/>
    <xf numFmtId="0" fontId="14" fillId="0" borderId="0" xfId="2" applyNumberFormat="1" applyFont="1" applyFill="1" applyBorder="1" applyProtection="1"/>
    <xf numFmtId="0" fontId="16" fillId="0" borderId="0" xfId="2" applyNumberFormat="1" applyFont="1" applyFill="1" applyBorder="1" applyProtection="1"/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2" applyNumberFormat="1" applyFont="1" applyFill="1" applyBorder="1" applyAlignment="1" applyProtection="1">
      <alignment horizontal="left" vertical="center" wrapText="1"/>
    </xf>
    <xf numFmtId="0" fontId="14" fillId="0" borderId="1" xfId="2" applyNumberFormat="1" applyFont="1" applyFill="1" applyBorder="1" applyAlignment="1" applyProtection="1">
      <alignment horizontal="left" vertical="center" wrapText="1" shrinkToFi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2" applyNumberFormat="1" applyFont="1" applyFill="1" applyBorder="1" applyAlignment="1" applyProtection="1">
      <alignment horizontal="left" vertical="center" wrapText="1"/>
    </xf>
    <xf numFmtId="0" fontId="1" fillId="0" borderId="0" xfId="2" applyNumberFormat="1" applyFont="1" applyFill="1" applyBorder="1" applyAlignment="1" applyProtection="1">
      <alignment horizontal="left" vertical="center" wrapText="1" shrinkToFit="1"/>
    </xf>
    <xf numFmtId="0" fontId="1" fillId="0" borderId="0" xfId="2" applyNumberFormat="1" applyFont="1" applyFill="1" applyBorder="1" applyAlignment="1" applyProtection="1">
      <alignment horizontal="center" vertical="center" wrapText="1" shrinkToFit="1"/>
    </xf>
    <xf numFmtId="49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 applyProtection="1">
      <alignment horizontal="left"/>
    </xf>
    <xf numFmtId="0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Protection="1"/>
    <xf numFmtId="0" fontId="22" fillId="0" borderId="0" xfId="2" applyFont="1" applyFill="1" applyAlignment="1">
      <alignment horizontal="center"/>
    </xf>
    <xf numFmtId="0" fontId="22" fillId="0" borderId="0" xfId="2" applyFont="1" applyFill="1"/>
    <xf numFmtId="49" fontId="1" fillId="0" borderId="0" xfId="2" applyNumberFormat="1" applyFont="1" applyFill="1" applyBorder="1" applyAlignment="1" applyProtection="1">
      <alignment horizontal="center"/>
    </xf>
    <xf numFmtId="0" fontId="1" fillId="0" borderId="0" xfId="2" applyNumberFormat="1" applyFont="1" applyFill="1" applyBorder="1" applyAlignment="1" applyProtection="1">
      <alignment horizontal="left"/>
    </xf>
    <xf numFmtId="0" fontId="1" fillId="0" borderId="0" xfId="2" applyNumberFormat="1" applyFont="1" applyFill="1" applyBorder="1" applyAlignment="1" applyProtection="1">
      <alignment horizontal="center"/>
    </xf>
    <xf numFmtId="168" fontId="1" fillId="0" borderId="0" xfId="2" applyNumberFormat="1" applyFont="1" applyFill="1" applyBorder="1" applyAlignment="1" applyProtection="1">
      <alignment horizontal="center"/>
    </xf>
    <xf numFmtId="168" fontId="4" fillId="0" borderId="1" xfId="2" applyNumberFormat="1" applyFont="1" applyFill="1" applyBorder="1" applyAlignment="1" applyProtection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 applyProtection="1">
      <alignment horizontal="center" vertical="center" wrapText="1"/>
    </xf>
    <xf numFmtId="2" fontId="4" fillId="0" borderId="7" xfId="2" applyNumberFormat="1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 wrapText="1" shrinkToFit="1"/>
    </xf>
    <xf numFmtId="0" fontId="15" fillId="0" borderId="1" xfId="2" applyFont="1" applyFill="1" applyBorder="1" applyAlignment="1">
      <alignment horizontal="center" vertical="center" wrapText="1"/>
    </xf>
    <xf numFmtId="168" fontId="4" fillId="0" borderId="1" xfId="2" applyNumberFormat="1" applyFont="1" applyFill="1" applyBorder="1" applyAlignment="1">
      <alignment horizontal="center" vertical="center" wrapText="1"/>
    </xf>
    <xf numFmtId="4" fontId="14" fillId="0" borderId="1" xfId="2" applyNumberFormat="1" applyFont="1" applyFill="1" applyBorder="1"/>
    <xf numFmtId="0" fontId="16" fillId="0" borderId="0" xfId="2" applyFont="1" applyFill="1"/>
    <xf numFmtId="4" fontId="4" fillId="0" borderId="28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Alignment="1" applyProtection="1">
      <alignment horizontal="left" vertical="center"/>
    </xf>
    <xf numFmtId="168" fontId="18" fillId="0" borderId="1" xfId="2" applyNumberFormat="1" applyFont="1" applyFill="1" applyBorder="1" applyAlignment="1" applyProtection="1">
      <alignment horizontal="center"/>
    </xf>
    <xf numFmtId="169" fontId="13" fillId="0" borderId="1" xfId="2" applyNumberFormat="1" applyFont="1" applyFill="1" applyBorder="1" applyAlignment="1" applyProtection="1">
      <alignment horizontal="center" vertical="center" wrapText="1"/>
    </xf>
    <xf numFmtId="168" fontId="18" fillId="0" borderId="1" xfId="2" applyNumberFormat="1" applyFont="1" applyFill="1" applyBorder="1" applyProtection="1"/>
    <xf numFmtId="168" fontId="4" fillId="0" borderId="2" xfId="2" applyNumberFormat="1" applyFont="1" applyFill="1" applyBorder="1" applyAlignment="1" applyProtection="1">
      <alignment horizontal="center" vertical="center" wrapText="1"/>
    </xf>
    <xf numFmtId="0" fontId="3" fillId="0" borderId="23" xfId="2" applyNumberFormat="1" applyFont="1" applyFill="1" applyBorder="1" applyAlignment="1" applyProtection="1">
      <alignment horizontal="center" vertical="center"/>
    </xf>
    <xf numFmtId="168" fontId="4" fillId="0" borderId="26" xfId="2" applyNumberFormat="1" applyFont="1" applyFill="1" applyBorder="1" applyAlignment="1" applyProtection="1">
      <alignment horizontal="center" vertical="center" wrapText="1"/>
    </xf>
    <xf numFmtId="4" fontId="4" fillId="0" borderId="4" xfId="2" applyNumberFormat="1" applyFont="1" applyFill="1" applyBorder="1" applyProtection="1"/>
    <xf numFmtId="168" fontId="13" fillId="0" borderId="7" xfId="2" applyNumberFormat="1" applyFont="1" applyFill="1" applyBorder="1" applyAlignment="1" applyProtection="1">
      <alignment horizontal="center" vertical="center" wrapText="1"/>
    </xf>
    <xf numFmtId="169" fontId="19" fillId="0" borderId="0" xfId="2" applyNumberFormat="1" applyFont="1" applyFill="1" applyBorder="1" applyAlignment="1" applyProtection="1">
      <alignment horizontal="center" vertical="center" wrapText="1"/>
    </xf>
    <xf numFmtId="169" fontId="21" fillId="0" borderId="0" xfId="2" applyNumberFormat="1" applyFont="1" applyFill="1" applyBorder="1" applyAlignment="1" applyProtection="1">
      <alignment horizontal="center" vertical="center" wrapText="1"/>
    </xf>
    <xf numFmtId="0" fontId="3" fillId="0" borderId="24" xfId="2" applyNumberFormat="1" applyFont="1" applyFill="1" applyBorder="1" applyAlignment="1" applyProtection="1">
      <alignment horizontal="left" vertical="center"/>
    </xf>
    <xf numFmtId="0" fontId="3" fillId="0" borderId="24" xfId="2" applyNumberFormat="1" applyFont="1" applyFill="1" applyBorder="1" applyAlignment="1" applyProtection="1">
      <alignment horizontal="center" vertical="center"/>
    </xf>
    <xf numFmtId="168" fontId="8" fillId="0" borderId="1" xfId="2" applyNumberFormat="1" applyFont="1" applyFill="1" applyBorder="1" applyAlignment="1" applyProtection="1">
      <alignment horizontal="center"/>
    </xf>
    <xf numFmtId="0" fontId="17" fillId="0" borderId="0" xfId="2" applyNumberFormat="1" applyFont="1" applyFill="1" applyBorder="1" applyProtection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2" fillId="0" borderId="0" xfId="2" applyFont="1" applyFill="1"/>
    <xf numFmtId="170" fontId="160" fillId="0" borderId="0" xfId="2" applyNumberFormat="1" applyFont="1" applyFill="1" applyBorder="1" applyAlignment="1" applyProtection="1">
      <alignment horizontal="center" vertical="center" wrapText="1"/>
    </xf>
    <xf numFmtId="170" fontId="161" fillId="0" borderId="0" xfId="2" applyNumberFormat="1" applyFont="1" applyFill="1" applyBorder="1" applyAlignment="1" applyProtection="1">
      <alignment horizontal="center" vertical="center" wrapText="1"/>
    </xf>
    <xf numFmtId="0" fontId="160" fillId="0" borderId="0" xfId="2" applyNumberFormat="1" applyFont="1" applyFill="1" applyBorder="1" applyProtection="1"/>
    <xf numFmtId="0" fontId="162" fillId="0" borderId="0" xfId="2" applyNumberFormat="1" applyFont="1" applyFill="1" applyBorder="1" applyProtection="1"/>
    <xf numFmtId="170" fontId="163" fillId="0" borderId="0" xfId="2" applyNumberFormat="1" applyFont="1" applyFill="1" applyBorder="1" applyAlignment="1" applyProtection="1">
      <alignment horizontal="center" vertical="center" wrapText="1"/>
    </xf>
    <xf numFmtId="0" fontId="161" fillId="0" borderId="0" xfId="2" applyNumberFormat="1" applyFont="1" applyFill="1" applyBorder="1" applyAlignment="1" applyProtection="1">
      <alignment horizontal="center" vertical="center" wrapText="1"/>
    </xf>
    <xf numFmtId="0" fontId="160" fillId="0" borderId="0" xfId="2" applyNumberFormat="1" applyFont="1" applyFill="1" applyBorder="1" applyAlignment="1" applyProtection="1">
      <alignment horizontal="center" vertical="center"/>
    </xf>
    <xf numFmtId="0" fontId="163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9" fillId="0" borderId="0" xfId="2" applyNumberFormat="1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>
      <alignment horizontal="left" vertical="center" wrapText="1" shrinkToFit="1"/>
    </xf>
    <xf numFmtId="0" fontId="4" fillId="0" borderId="0" xfId="2" applyNumberFormat="1" applyFont="1" applyFill="1" applyBorder="1" applyAlignment="1" applyProtection="1">
      <alignment wrapText="1"/>
    </xf>
    <xf numFmtId="173" fontId="4" fillId="0" borderId="1" xfId="2" applyNumberFormat="1" applyFont="1" applyFill="1" applyBorder="1" applyAlignment="1" applyProtection="1">
      <alignment horizontal="center" vertical="center" wrapText="1"/>
    </xf>
    <xf numFmtId="170" fontId="13" fillId="0" borderId="0" xfId="2" applyNumberFormat="1" applyFont="1" applyFill="1" applyBorder="1" applyAlignment="1" applyProtection="1">
      <alignment horizontal="center" vertical="center" wrapText="1"/>
    </xf>
    <xf numFmtId="170" fontId="63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NumberFormat="1" applyFont="1" applyFill="1" applyBorder="1" applyProtection="1"/>
    <xf numFmtId="170" fontId="64" fillId="0" borderId="0" xfId="2" applyNumberFormat="1" applyFont="1" applyFill="1" applyBorder="1" applyAlignment="1" applyProtection="1">
      <alignment horizontal="center" vertical="center" wrapText="1"/>
    </xf>
    <xf numFmtId="173" fontId="4" fillId="0" borderId="7" xfId="2" applyNumberFormat="1" applyFont="1" applyFill="1" applyBorder="1" applyAlignment="1" applyProtection="1">
      <alignment horizontal="center" vertical="center" wrapText="1"/>
    </xf>
    <xf numFmtId="169" fontId="4" fillId="0" borderId="1" xfId="2" applyNumberFormat="1" applyFont="1" applyFill="1" applyBorder="1" applyAlignment="1" applyProtection="1">
      <alignment horizontal="center"/>
    </xf>
    <xf numFmtId="169" fontId="4" fillId="0" borderId="28" xfId="2" applyNumberFormat="1" applyFont="1" applyFill="1" applyBorder="1" applyAlignment="1" applyProtection="1">
      <alignment horizontal="center" vertical="center" wrapText="1"/>
    </xf>
    <xf numFmtId="169" fontId="4" fillId="0" borderId="4" xfId="2" applyNumberFormat="1" applyFont="1" applyFill="1" applyBorder="1" applyAlignment="1" applyProtection="1">
      <alignment horizontal="center"/>
    </xf>
    <xf numFmtId="169" fontId="14" fillId="0" borderId="1" xfId="2" applyNumberFormat="1" applyFont="1" applyFill="1" applyBorder="1" applyAlignment="1">
      <alignment horizontal="center"/>
    </xf>
    <xf numFmtId="169" fontId="14" fillId="0" borderId="1" xfId="2" applyNumberFormat="1" applyFont="1" applyFill="1" applyBorder="1" applyAlignment="1" applyProtection="1">
      <alignment horizontal="center"/>
    </xf>
    <xf numFmtId="169" fontId="8" fillId="0" borderId="1" xfId="2" applyNumberFormat="1" applyFont="1" applyFill="1" applyBorder="1" applyAlignment="1" applyProtection="1">
      <alignment horizontal="center"/>
    </xf>
    <xf numFmtId="169" fontId="8" fillId="0" borderId="25" xfId="2" applyNumberFormat="1" applyFont="1" applyFill="1" applyBorder="1" applyAlignment="1" applyProtection="1">
      <alignment horizontal="center"/>
    </xf>
    <xf numFmtId="169" fontId="4" fillId="0" borderId="7" xfId="2" applyNumberFormat="1" applyFont="1" applyFill="1" applyBorder="1" applyAlignment="1" applyProtection="1">
      <alignment horizontal="center" vertical="center" wrapText="1" shrinkToFit="1"/>
    </xf>
    <xf numFmtId="169" fontId="4" fillId="0" borderId="1" xfId="2" applyNumberFormat="1" applyFont="1" applyFill="1" applyBorder="1" applyAlignment="1" applyProtection="1">
      <alignment horizontal="center" vertical="center" wrapText="1" shrinkToFit="1"/>
    </xf>
    <xf numFmtId="169" fontId="4" fillId="0" borderId="1" xfId="2" applyNumberFormat="1" applyFont="1" applyFill="1" applyBorder="1" applyAlignment="1">
      <alignment horizontal="center"/>
    </xf>
    <xf numFmtId="169" fontId="13" fillId="0" borderId="1" xfId="2" applyNumberFormat="1" applyFont="1" applyFill="1" applyBorder="1" applyAlignment="1" applyProtection="1">
      <alignment horizontal="center"/>
    </xf>
    <xf numFmtId="4" fontId="8" fillId="0" borderId="6" xfId="2" applyNumberFormat="1" applyFont="1" applyFill="1" applyBorder="1" applyProtection="1"/>
    <xf numFmtId="4" fontId="4" fillId="0" borderId="7" xfId="2" applyNumberFormat="1" applyFont="1" applyFill="1" applyBorder="1" applyAlignment="1" applyProtection="1">
      <alignment horizontal="center" vertical="center" wrapText="1" shrinkToFit="1"/>
    </xf>
    <xf numFmtId="4" fontId="4" fillId="0" borderId="1" xfId="2" applyNumberFormat="1" applyFont="1" applyFill="1" applyBorder="1" applyAlignment="1" applyProtection="1">
      <alignment horizontal="center" vertical="center" wrapText="1" shrinkToFi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 applyProtection="1">
      <alignment horizontal="left" vertical="center" wrapText="1"/>
    </xf>
    <xf numFmtId="0" fontId="23" fillId="0" borderId="0" xfId="2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6" xfId="3" applyNumberFormat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4" fontId="4" fillId="0" borderId="3" xfId="3" applyNumberFormat="1" applyFont="1" applyFill="1" applyBorder="1" applyAlignment="1" applyProtection="1">
      <alignment horizontal="center" vertical="center" wrapText="1"/>
    </xf>
    <xf numFmtId="4" fontId="4" fillId="0" borderId="4" xfId="3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3" applyNumberFormat="1" applyFont="1" applyFill="1" applyBorder="1" applyAlignment="1" applyProtection="1">
      <alignment horizontal="center" vertical="center" wrapText="1"/>
    </xf>
    <xf numFmtId="168" fontId="4" fillId="0" borderId="1" xfId="3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left" vertical="center" wrapText="1" indent="5"/>
    </xf>
    <xf numFmtId="0" fontId="5" fillId="0" borderId="3" xfId="3" applyNumberFormat="1" applyFont="1" applyFill="1" applyBorder="1" applyAlignment="1" applyProtection="1">
      <alignment horizontal="left" vertical="center" wrapText="1" indent="5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vertical="center" wrapText="1"/>
    </xf>
    <xf numFmtId="0" fontId="5" fillId="0" borderId="4" xfId="3" applyNumberFormat="1" applyFont="1" applyFill="1" applyBorder="1" applyAlignment="1" applyProtection="1">
      <alignment vertical="center" wrapText="1"/>
    </xf>
    <xf numFmtId="0" fontId="5" fillId="0" borderId="0" xfId="3" applyNumberFormat="1" applyFont="1" applyFill="1" applyBorder="1" applyAlignment="1" applyProtection="1">
      <alignment vertical="center" wrapText="1"/>
    </xf>
    <xf numFmtId="0" fontId="6" fillId="0" borderId="0" xfId="3" applyNumberFormat="1" applyFont="1" applyFill="1" applyBorder="1" applyAlignment="1" applyProtection="1">
      <alignment vertical="center" wrapText="1"/>
    </xf>
    <xf numFmtId="0" fontId="4" fillId="0" borderId="0" xfId="3" applyNumberFormat="1" applyFont="1" applyFill="1" applyBorder="1" applyAlignment="1" applyProtection="1">
      <alignment vertical="center" wrapText="1"/>
    </xf>
    <xf numFmtId="0" fontId="5" fillId="0" borderId="27" xfId="3" applyNumberFormat="1" applyFont="1" applyFill="1" applyBorder="1" applyAlignment="1" applyProtection="1">
      <alignment horizontal="center" vertical="center" wrapText="1"/>
    </xf>
    <xf numFmtId="0" fontId="5" fillId="0" borderId="27" xfId="3" applyNumberFormat="1" applyFont="1" applyFill="1" applyBorder="1" applyAlignment="1" applyProtection="1">
      <alignment vertical="center" wrapText="1"/>
    </xf>
    <xf numFmtId="0" fontId="5" fillId="0" borderId="28" xfId="3" applyNumberFormat="1" applyFont="1" applyFill="1" applyBorder="1" applyAlignment="1" applyProtection="1">
      <alignment vertical="center" wrapText="1"/>
    </xf>
    <xf numFmtId="4" fontId="4" fillId="0" borderId="1" xfId="2" applyNumberFormat="1" applyFont="1" applyFill="1" applyBorder="1"/>
    <xf numFmtId="4" fontId="13" fillId="0" borderId="1" xfId="2" applyNumberFormat="1" applyFont="1" applyFill="1" applyBorder="1" applyProtection="1"/>
    <xf numFmtId="4" fontId="4" fillId="0" borderId="1" xfId="2" applyNumberFormat="1" applyFont="1" applyFill="1" applyBorder="1" applyAlignment="1" applyProtection="1">
      <alignment horizontal="center" vertical="center"/>
    </xf>
    <xf numFmtId="0" fontId="163" fillId="0" borderId="2" xfId="3" applyNumberFormat="1" applyFont="1" applyFill="1" applyBorder="1" applyAlignment="1" applyProtection="1">
      <alignment horizontal="left" vertical="center" wrapText="1" indent="5"/>
    </xf>
    <xf numFmtId="0" fontId="163" fillId="0" borderId="3" xfId="3" applyNumberFormat="1" applyFont="1" applyFill="1" applyBorder="1" applyAlignment="1" applyProtection="1">
      <alignment horizontal="left" vertical="center" wrapText="1" indent="5"/>
    </xf>
    <xf numFmtId="168" fontId="160" fillId="0" borderId="1" xfId="2" applyNumberFormat="1" applyFont="1" applyFill="1" applyBorder="1" applyAlignment="1" applyProtection="1">
      <alignment horizontal="center" vertical="center"/>
    </xf>
    <xf numFmtId="4" fontId="160" fillId="0" borderId="1" xfId="2" applyNumberFormat="1" applyFont="1" applyFill="1" applyBorder="1" applyAlignment="1" applyProtection="1">
      <alignment horizontal="center" vertical="center"/>
    </xf>
    <xf numFmtId="4" fontId="160" fillId="0" borderId="6" xfId="2" applyNumberFormat="1" applyFont="1" applyFill="1" applyBorder="1" applyAlignment="1" applyProtection="1">
      <alignment horizontal="center" vertical="center"/>
    </xf>
    <xf numFmtId="0" fontId="13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13" fillId="0" borderId="1" xfId="3" applyNumberFormat="1" applyFont="1" applyFill="1" applyBorder="1" applyAlignment="1" applyProtection="1">
      <alignment vertical="center" wrapText="1"/>
    </xf>
    <xf numFmtId="4" fontId="13" fillId="0" borderId="1" xfId="3" applyNumberFormat="1" applyFont="1" applyFill="1" applyBorder="1" applyAlignment="1" applyProtection="1">
      <alignment vertical="center" wrapText="1"/>
    </xf>
    <xf numFmtId="4" fontId="4" fillId="0" borderId="3" xfId="3" applyNumberFormat="1" applyFont="1" applyFill="1" applyBorder="1" applyAlignment="1" applyProtection="1">
      <alignment vertical="center" wrapText="1"/>
    </xf>
    <xf numFmtId="4" fontId="4" fillId="0" borderId="4" xfId="3" applyNumberFormat="1" applyFont="1" applyFill="1" applyBorder="1" applyAlignment="1" applyProtection="1">
      <alignment vertical="center" wrapText="1"/>
    </xf>
    <xf numFmtId="171" fontId="4" fillId="0" borderId="6" xfId="1" applyNumberFormat="1" applyFont="1" applyFill="1" applyBorder="1" applyAlignment="1" applyProtection="1">
      <alignment horizontal="center" vertical="center" wrapText="1" shrinkToFit="1"/>
    </xf>
    <xf numFmtId="4" fontId="4" fillId="0" borderId="6" xfId="1" applyNumberFormat="1" applyFont="1" applyFill="1" applyBorder="1" applyAlignment="1" applyProtection="1">
      <alignment horizontal="center" vertical="center" wrapText="1" shrinkToFit="1"/>
    </xf>
    <xf numFmtId="43" fontId="4" fillId="0" borderId="0" xfId="1" applyFont="1" applyFill="1" applyBorder="1" applyAlignment="1" applyProtection="1">
      <alignment horizontal="center" vertical="center" wrapText="1" shrinkToFit="1"/>
    </xf>
    <xf numFmtId="0" fontId="9" fillId="0" borderId="2" xfId="3" applyNumberFormat="1" applyFont="1" applyFill="1" applyBorder="1" applyAlignment="1" applyProtection="1">
      <alignment horizontal="left" vertical="center" wrapText="1" indent="5"/>
    </xf>
    <xf numFmtId="0" fontId="9" fillId="0" borderId="3" xfId="3" applyNumberFormat="1" applyFont="1" applyFill="1" applyBorder="1" applyAlignment="1" applyProtection="1">
      <alignment horizontal="left" vertical="center" wrapText="1" indent="5"/>
    </xf>
    <xf numFmtId="172" fontId="8" fillId="0" borderId="1" xfId="2" applyNumberFormat="1" applyFont="1" applyFill="1" applyBorder="1" applyAlignment="1" applyProtection="1">
      <alignment horizontal="center" vertical="center" wrapText="1" shrinkToFit="1"/>
    </xf>
    <xf numFmtId="4" fontId="8" fillId="0" borderId="1" xfId="2" applyNumberFormat="1" applyFont="1" applyFill="1" applyBorder="1" applyAlignment="1" applyProtection="1">
      <alignment horizontal="center" vertical="center" wrapText="1" shrinkToFit="1"/>
    </xf>
    <xf numFmtId="43" fontId="8" fillId="0" borderId="0" xfId="1" applyFont="1" applyFill="1" applyBorder="1" applyAlignment="1" applyProtection="1">
      <alignment horizontal="center" vertical="center" wrapText="1"/>
    </xf>
    <xf numFmtId="172" fontId="160" fillId="0" borderId="1" xfId="2" applyNumberFormat="1" applyFont="1" applyFill="1" applyBorder="1" applyAlignment="1" applyProtection="1">
      <alignment horizontal="center" vertical="center" wrapText="1" shrinkToFit="1"/>
    </xf>
    <xf numFmtId="4" fontId="160" fillId="0" borderId="1" xfId="2" applyNumberFormat="1" applyFont="1" applyFill="1" applyBorder="1" applyAlignment="1" applyProtection="1">
      <alignment horizontal="center" vertical="center" wrapText="1" shrinkToFit="1"/>
    </xf>
    <xf numFmtId="43" fontId="160" fillId="0" borderId="0" xfId="1" applyFont="1" applyFill="1" applyBorder="1" applyAlignment="1" applyProtection="1">
      <alignment horizontal="center" vertical="center" wrapText="1"/>
    </xf>
    <xf numFmtId="0" fontId="164" fillId="0" borderId="0" xfId="2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49" fontId="19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Fill="1"/>
    <xf numFmtId="0" fontId="165" fillId="0" borderId="0" xfId="4" applyFont="1" applyFill="1" applyAlignment="1">
      <alignment horizontal="left" wrapText="1"/>
    </xf>
    <xf numFmtId="0" fontId="165" fillId="0" borderId="0" xfId="4" applyFont="1" applyFill="1" applyAlignment="1">
      <alignment wrapText="1"/>
    </xf>
    <xf numFmtId="0" fontId="165" fillId="0" borderId="0" xfId="0" applyFont="1" applyFill="1"/>
    <xf numFmtId="4" fontId="19" fillId="0" borderId="0" xfId="1" applyNumberFormat="1" applyFont="1" applyFill="1" applyAlignment="1">
      <alignment horizontal="center" vertical="center" wrapText="1"/>
    </xf>
    <xf numFmtId="4" fontId="19" fillId="0" borderId="0" xfId="1" applyNumberFormat="1" applyFont="1" applyFill="1" applyAlignment="1">
      <alignment horizontal="center" vertical="center"/>
    </xf>
    <xf numFmtId="0" fontId="165" fillId="0" borderId="8" xfId="4" applyFont="1" applyFill="1" applyBorder="1"/>
    <xf numFmtId="0" fontId="165" fillId="0" borderId="8" xfId="5" applyFont="1" applyFill="1" applyBorder="1"/>
    <xf numFmtId="0" fontId="165" fillId="0" borderId="0" xfId="4" applyFont="1" applyFill="1"/>
    <xf numFmtId="0" fontId="19" fillId="0" borderId="0" xfId="4" applyFont="1" applyFill="1" applyAlignment="1">
      <alignment horizontal="left" wrapText="1"/>
    </xf>
    <xf numFmtId="0" fontId="165" fillId="0" borderId="0" xfId="0" applyFont="1" applyFill="1" applyAlignment="1">
      <alignment horizontal="left"/>
    </xf>
    <xf numFmtId="0" fontId="165" fillId="0" borderId="0" xfId="4" applyFont="1" applyFill="1" applyAlignment="1">
      <alignment horizontal="left" wrapText="1"/>
    </xf>
    <xf numFmtId="0" fontId="165" fillId="0" borderId="0" xfId="5" applyFont="1" applyFill="1"/>
    <xf numFmtId="0" fontId="165" fillId="0" borderId="8" xfId="0" applyFont="1" applyFill="1" applyBorder="1"/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22" fillId="0" borderId="0" xfId="2" applyFont="1" applyFill="1" applyBorder="1"/>
    <xf numFmtId="4" fontId="5" fillId="0" borderId="0" xfId="1" applyNumberFormat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/>
    </xf>
    <xf numFmtId="0" fontId="4" fillId="0" borderId="2" xfId="3" applyNumberFormat="1" applyFont="1" applyFill="1" applyBorder="1" applyAlignment="1" applyProtection="1">
      <alignment horizontal="center" vertical="center" wrapText="1"/>
    </xf>
    <xf numFmtId="0" fontId="4" fillId="0" borderId="4" xfId="3" applyNumberFormat="1" applyFont="1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 applyProtection="1">
      <alignment vertical="center" wrapText="1"/>
    </xf>
    <xf numFmtId="0" fontId="5" fillId="0" borderId="2" xfId="3" applyNumberFormat="1" applyFont="1" applyFill="1" applyBorder="1" applyAlignment="1" applyProtection="1">
      <alignment vertical="center" wrapText="1"/>
    </xf>
    <xf numFmtId="169" fontId="4" fillId="0" borderId="1" xfId="2" applyNumberFormat="1" applyFont="1" applyFill="1" applyBorder="1" applyAlignment="1" applyProtection="1">
      <alignment horizontal="center" vertical="center"/>
    </xf>
    <xf numFmtId="169" fontId="160" fillId="0" borderId="1" xfId="2" applyNumberFormat="1" applyFont="1" applyFill="1" applyBorder="1" applyAlignment="1" applyProtection="1">
      <alignment horizontal="center" vertical="center"/>
    </xf>
    <xf numFmtId="169" fontId="160" fillId="0" borderId="6" xfId="2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left" vertical="center" wrapText="1"/>
    </xf>
    <xf numFmtId="0" fontId="5" fillId="0" borderId="3" xfId="3" applyNumberFormat="1" applyFont="1" applyFill="1" applyBorder="1" applyAlignment="1" applyProtection="1">
      <alignment horizontal="left" vertical="center" wrapText="1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3" xfId="3" applyNumberFormat="1" applyFont="1" applyFill="1" applyBorder="1" applyAlignment="1" applyProtection="1">
      <alignment vertical="center" wrapText="1"/>
    </xf>
    <xf numFmtId="0" fontId="6" fillId="0" borderId="1" xfId="3" applyNumberFormat="1" applyFont="1" applyFill="1" applyBorder="1" applyAlignment="1" applyProtection="1">
      <alignment vertical="center" wrapText="1"/>
    </xf>
    <xf numFmtId="169" fontId="13" fillId="0" borderId="1" xfId="3" applyNumberFormat="1" applyFont="1" applyFill="1" applyBorder="1" applyAlignment="1" applyProtection="1">
      <alignment horizontal="center" vertical="center" wrapText="1"/>
    </xf>
    <xf numFmtId="169" fontId="4" fillId="0" borderId="1" xfId="3" applyNumberFormat="1" applyFont="1" applyFill="1" applyBorder="1" applyAlignment="1" applyProtection="1">
      <alignment horizontal="center" vertical="center" wrapText="1"/>
    </xf>
    <xf numFmtId="169" fontId="4" fillId="0" borderId="6" xfId="1" applyNumberFormat="1" applyFont="1" applyFill="1" applyBorder="1" applyAlignment="1" applyProtection="1">
      <alignment horizontal="center" vertical="center" wrapText="1" shrinkToFit="1"/>
    </xf>
    <xf numFmtId="169" fontId="8" fillId="0" borderId="1" xfId="2" applyNumberFormat="1" applyFont="1" applyFill="1" applyBorder="1" applyAlignment="1" applyProtection="1">
      <alignment horizontal="center" vertical="center" wrapText="1" shrinkToFit="1"/>
    </xf>
    <xf numFmtId="169" fontId="160" fillId="0" borderId="1" xfId="2" applyNumberFormat="1" applyFont="1" applyFill="1" applyBorder="1" applyAlignment="1" applyProtection="1">
      <alignment horizontal="center" vertical="center" wrapText="1" shrinkToFit="1"/>
    </xf>
    <xf numFmtId="169" fontId="4" fillId="0" borderId="4" xfId="3" applyNumberFormat="1" applyFont="1" applyFill="1" applyBorder="1" applyAlignment="1" applyProtection="1">
      <alignment horizontal="center" vertical="center" wrapText="1"/>
    </xf>
  </cellXfs>
  <cellStyles count="1319">
    <cellStyle name=" 1" xfId="238"/>
    <cellStyle name=" 1 2" xfId="239"/>
    <cellStyle name=" 1_Stage1" xfId="240"/>
    <cellStyle name="%" xfId="241"/>
    <cellStyle name="%_Inputs" xfId="242"/>
    <cellStyle name="%_Inputs (const)" xfId="243"/>
    <cellStyle name="%_Inputs Co" xfId="244"/>
    <cellStyle name="?" xfId="245"/>
    <cellStyle name="_~6450243" xfId="246"/>
    <cellStyle name="_4_macro 2009" xfId="247"/>
    <cellStyle name="_Condition-long(2012-2030)нах" xfId="248"/>
    <cellStyle name="_CPI foodimp" xfId="249"/>
    <cellStyle name="_FFF" xfId="250"/>
    <cellStyle name="_FFF_New Form10_2" xfId="251"/>
    <cellStyle name="_FFF_Nsi" xfId="252"/>
    <cellStyle name="_FFF_Nsi_1" xfId="253"/>
    <cellStyle name="_FFF_Nsi_139" xfId="254"/>
    <cellStyle name="_FFF_Nsi_140" xfId="255"/>
    <cellStyle name="_FFF_Nsi_140(Зах)" xfId="256"/>
    <cellStyle name="_FFF_Nsi_140_mod" xfId="257"/>
    <cellStyle name="_FFF_Summary" xfId="258"/>
    <cellStyle name="_FFF_Tax_form_1кв_3" xfId="259"/>
    <cellStyle name="_FFF_БКЭ" xfId="260"/>
    <cellStyle name="_Final_Book_010301" xfId="261"/>
    <cellStyle name="_Final_Book_010301_New Form10_2" xfId="262"/>
    <cellStyle name="_Final_Book_010301_Nsi" xfId="263"/>
    <cellStyle name="_Final_Book_010301_Nsi_1" xfId="264"/>
    <cellStyle name="_Final_Book_010301_Nsi_139" xfId="265"/>
    <cellStyle name="_Final_Book_010301_Nsi_140" xfId="266"/>
    <cellStyle name="_Final_Book_010301_Nsi_140(Зах)" xfId="267"/>
    <cellStyle name="_Final_Book_010301_Nsi_140_mod" xfId="268"/>
    <cellStyle name="_Final_Book_010301_Summary" xfId="269"/>
    <cellStyle name="_Final_Book_010301_Tax_form_1кв_3" xfId="270"/>
    <cellStyle name="_Final_Book_010301_БКЭ" xfId="271"/>
    <cellStyle name="_macro 2012 var 1" xfId="272"/>
    <cellStyle name="_Model_RAB Мой" xfId="273"/>
    <cellStyle name="_Model_RAB Мой_PR.PROG.WARM.NOTCOMBI.2012.2.16_v1.4(04.04.11) " xfId="274"/>
    <cellStyle name="_Model_RAB Мой_Книга2_PR.PROG.WARM.NOTCOMBI.2012.2.16_v1.4(04.04.11) " xfId="275"/>
    <cellStyle name="_Model_RAB_MRSK_svod" xfId="276"/>
    <cellStyle name="_Model_RAB_MRSK_svod_PR.PROG.WARM.NOTCOMBI.2012.2.16_v1.4(04.04.11) " xfId="277"/>
    <cellStyle name="_Model_RAB_MRSK_svod_Книга2_PR.PROG.WARM.NOTCOMBI.2012.2.16_v1.4(04.04.11) " xfId="278"/>
    <cellStyle name="_New_Sofi" xfId="279"/>
    <cellStyle name="_New_Sofi_FFF" xfId="280"/>
    <cellStyle name="_New_Sofi_New Form10_2" xfId="281"/>
    <cellStyle name="_New_Sofi_Nsi" xfId="282"/>
    <cellStyle name="_New_Sofi_Nsi_1" xfId="283"/>
    <cellStyle name="_New_Sofi_Nsi_139" xfId="284"/>
    <cellStyle name="_New_Sofi_Nsi_140" xfId="285"/>
    <cellStyle name="_New_Sofi_Nsi_140(Зах)" xfId="286"/>
    <cellStyle name="_New_Sofi_Nsi_140_mod" xfId="287"/>
    <cellStyle name="_New_Sofi_Summary" xfId="288"/>
    <cellStyle name="_New_Sofi_Tax_form_1кв_3" xfId="289"/>
    <cellStyle name="_New_Sofi_БКЭ" xfId="290"/>
    <cellStyle name="_Nsi" xfId="291"/>
    <cellStyle name="_SeriesAttributes" xfId="292"/>
    <cellStyle name="_v-2013-2030- 2b17.01.11Нах-cpiнов. курс inn 1-2-Е1xls" xfId="293"/>
    <cellStyle name="_АГТС от 09.10.09." xfId="294"/>
    <cellStyle name="_Аморт,налоги,охрана,молоко" xfId="295"/>
    <cellStyle name="_БДР (ЦФО) 05-11-08" xfId="296"/>
    <cellStyle name="_БДР 2008 факт 1 кв. + проект на год 10.04.08" xfId="297"/>
    <cellStyle name="_БДР 2009" xfId="298"/>
    <cellStyle name="_БДР 3 квартал" xfId="299"/>
    <cellStyle name="_Бухгалтерия (налоги, амортизация, прочие)" xfId="300"/>
    <cellStyle name="_ВО ОП ТЭС-ОТ- 2007" xfId="301"/>
    <cellStyle name="_ВФ ОАО ТЭС-ОТ- 2009" xfId="302"/>
    <cellStyle name="_выручка по присоединениям2" xfId="303"/>
    <cellStyle name="_Газ-расчет-16 0508Клдо 2023" xfId="304"/>
    <cellStyle name="_ГКПЗ 2009" xfId="305"/>
    <cellStyle name="_Договор аренды ЯЭ с разбивкой" xfId="306"/>
    <cellStyle name="_ИПЦЖКХ2105 08-до 2023вар1" xfId="307"/>
    <cellStyle name="_Исходные данные для модели" xfId="308"/>
    <cellStyle name="_Книга1" xfId="309"/>
    <cellStyle name="_Книга3" xfId="310"/>
    <cellStyle name="_Книга3_New Form10_2" xfId="311"/>
    <cellStyle name="_Книга3_Nsi" xfId="312"/>
    <cellStyle name="_Книга3_Nsi_1" xfId="313"/>
    <cellStyle name="_Книга3_Nsi_139" xfId="314"/>
    <cellStyle name="_Книга3_Nsi_140" xfId="315"/>
    <cellStyle name="_Книга3_Nsi_140(Зах)" xfId="316"/>
    <cellStyle name="_Книга3_Nsi_140_mod" xfId="317"/>
    <cellStyle name="_Книга3_Summary" xfId="318"/>
    <cellStyle name="_Книга3_Tax_form_1кв_3" xfId="319"/>
    <cellStyle name="_Книга3_БКЭ" xfId="320"/>
    <cellStyle name="_Книга7" xfId="321"/>
    <cellStyle name="_Книга7_New Form10_2" xfId="322"/>
    <cellStyle name="_Книга7_Nsi" xfId="323"/>
    <cellStyle name="_Книга7_Nsi_1" xfId="324"/>
    <cellStyle name="_Книга7_Nsi_139" xfId="325"/>
    <cellStyle name="_Книга7_Nsi_140" xfId="326"/>
    <cellStyle name="_Книга7_Nsi_140(Зах)" xfId="327"/>
    <cellStyle name="_Книга7_Nsi_140_mod" xfId="328"/>
    <cellStyle name="_Книга7_Summary" xfId="329"/>
    <cellStyle name="_Книга7_Tax_form_1кв_3" xfId="330"/>
    <cellStyle name="_Книга7_БКЭ" xfId="331"/>
    <cellStyle name="_Копия Затраты под АЭР ремонт+содерж на март" xfId="332"/>
    <cellStyle name="_Модель - 2(23)" xfId="333"/>
    <cellStyle name="_МОДЕЛЬ_1 (2)" xfId="334"/>
    <cellStyle name="_МОДЕЛЬ_1 (2)_PR.PROG.WARM.NOTCOMBI.2012.2.16_v1.4(04.04.11) " xfId="335"/>
    <cellStyle name="_МОДЕЛЬ_1 (2)_Книга2_PR.PROG.WARM.NOTCOMBI.2012.2.16_v1.4(04.04.11) " xfId="336"/>
    <cellStyle name="_НВВ 2009 постатейно свод по филиалам_09_02_09" xfId="337"/>
    <cellStyle name="_НВВ 2009 постатейно свод по филиалам_для Валентина" xfId="338"/>
    <cellStyle name="_Омск" xfId="339"/>
    <cellStyle name="_ОТ ИД 2009" xfId="340"/>
    <cellStyle name="_ПЛАН 2006  АРМ " xfId="341"/>
    <cellStyle name="_ПЛАН 2008 АРМ " xfId="342"/>
    <cellStyle name="_ПЛАН 2011 под 130 млн итог на подпись" xfId="343"/>
    <cellStyle name="_ПЛАН 2011 тарифы 250 млн блочный" xfId="344"/>
    <cellStyle name="_План по ремонту ХЦ 2007" xfId="345"/>
    <cellStyle name="_пр 5 тариф RAB" xfId="346"/>
    <cellStyle name="_пр 5 тариф RAB_PR.PROG.WARM.NOTCOMBI.2012.2.16_v1.4(04.04.11) " xfId="347"/>
    <cellStyle name="_пр 5 тариф RAB_Книга2_PR.PROG.WARM.NOTCOMBI.2012.2.16_v1.4(04.04.11) " xfId="348"/>
    <cellStyle name="_Предожение _ДБП_2009 г ( согласованные БП)  (2)" xfId="349"/>
    <cellStyle name="_Приложение МТС-3-КС" xfId="350"/>
    <cellStyle name="_Приложение-МТС--2-1" xfId="351"/>
    <cellStyle name="_Расчет RAB_22072008" xfId="352"/>
    <cellStyle name="_Расчет RAB_22072008_PR.PROG.WARM.NOTCOMBI.2012.2.16_v1.4(04.04.11) " xfId="353"/>
    <cellStyle name="_Расчет RAB_22072008_Книга2_PR.PROG.WARM.NOTCOMBI.2012.2.16_v1.4(04.04.11) " xfId="354"/>
    <cellStyle name="_Расчет RAB_Лен и МОЭСК_с 2010 года_14.04.2009_со сглаж_version 3.0_без ФСК" xfId="355"/>
    <cellStyle name="_Расчет RAB_Лен и МОЭСК_с 2010 года_14.04.2009_со сглаж_version 3.0_без ФСК_PR.PROG.WARM.NOTCOMBI.2012.2.16_v1.4(04.04.11) " xfId="356"/>
    <cellStyle name="_Расчет RAB_Лен и МОЭСК_с 2010 года_14.04.2009_со сглаж_version 3.0_без ФСК_Книга2_PR.PROG.WARM.NOTCOMBI.2012.2.16_v1.4(04.04.11) " xfId="357"/>
    <cellStyle name="_Расчет на 2008 год" xfId="358"/>
    <cellStyle name="_Расчет на 2009 год" xfId="359"/>
    <cellStyle name="_Расчет ТЕХПД на 2010 год" xfId="360"/>
    <cellStyle name="_Рем программа СТЭЦ-1тарифы 2010 год" xfId="361"/>
    <cellStyle name="_Сб-macro 2020" xfId="362"/>
    <cellStyle name="_Сб-macro 2020 2" xfId="363"/>
    <cellStyle name="_Сб-macro 2020_v2008-2012-23.09.09вар2а-11" xfId="364"/>
    <cellStyle name="_Свод по ИПР (2)" xfId="365"/>
    <cellStyle name="_Табл. 9, ТФБ 2009" xfId="366"/>
    <cellStyle name="_таблицы для расчетов28-04-08_2006-2009_прибыль корр_по ИА" xfId="367"/>
    <cellStyle name="_таблицы для расчетов28-04-08_2006-2009с ИА" xfId="368"/>
    <cellStyle name="_Тарифы  СИЗ СП ОД Шапина" xfId="369"/>
    <cellStyle name="_Услуги связи_2008_котельные" xfId="370"/>
    <cellStyle name="_Форма 6  РТК.xls(отчет по Адр пр. ЛО)" xfId="371"/>
    <cellStyle name="_Форма программы ремонтов " xfId="372"/>
    <cellStyle name="_Формат разбивки по МРСК_РСК" xfId="373"/>
    <cellStyle name="_Формат_для Согласования" xfId="374"/>
    <cellStyle name="_экон.форм-т ВО 1 с разбивкой" xfId="375"/>
    <cellStyle name="”€ќђќ‘ћ‚›‰" xfId="376"/>
    <cellStyle name="”€љ‘€ђћ‚ђќќ›‰" xfId="377"/>
    <cellStyle name="”ќђќ‘ћ‚›‰" xfId="378"/>
    <cellStyle name="”љ‘ђћ‚ђќќ›‰" xfId="379"/>
    <cellStyle name="„…ќ…†ќ›‰" xfId="380"/>
    <cellStyle name="€’ћѓћ‚›‰" xfId="381"/>
    <cellStyle name="‡ђѓћ‹ћ‚ћљ1" xfId="382"/>
    <cellStyle name="‡ђѓћ‹ћ‚ћљ2" xfId="383"/>
    <cellStyle name="’ћѓћ‚›‰" xfId="384"/>
    <cellStyle name="0,00;0;" xfId="385"/>
    <cellStyle name="0,00;0; 2" xfId="386"/>
    <cellStyle name="0,00;0; 3" xfId="387"/>
    <cellStyle name="0,00;0; 4" xfId="388"/>
    <cellStyle name="20% - Accent1" xfId="389"/>
    <cellStyle name="20% - Accent1 1" xfId="390"/>
    <cellStyle name="20% - Accent1 2" xfId="391"/>
    <cellStyle name="20% - Accent1 3" xfId="392"/>
    <cellStyle name="20% - Accent2" xfId="393"/>
    <cellStyle name="20% - Accent2 1" xfId="394"/>
    <cellStyle name="20% - Accent2 2" xfId="395"/>
    <cellStyle name="20% - Accent2 3" xfId="396"/>
    <cellStyle name="20% - Accent3" xfId="397"/>
    <cellStyle name="20% - Accent3 1" xfId="398"/>
    <cellStyle name="20% - Accent3 2" xfId="399"/>
    <cellStyle name="20% - Accent3 3" xfId="400"/>
    <cellStyle name="20% - Accent4" xfId="401"/>
    <cellStyle name="20% - Accent4 1" xfId="402"/>
    <cellStyle name="20% - Accent4 2" xfId="403"/>
    <cellStyle name="20% - Accent4 3" xfId="404"/>
    <cellStyle name="20% - Accent5" xfId="405"/>
    <cellStyle name="20% - Accent5 1" xfId="406"/>
    <cellStyle name="20% - Accent5 2" xfId="407"/>
    <cellStyle name="20% - Accent5 3" xfId="408"/>
    <cellStyle name="20% - Accent6" xfId="409"/>
    <cellStyle name="20% - Accent6 1" xfId="410"/>
    <cellStyle name="20% - Accent6 2" xfId="411"/>
    <cellStyle name="20% - Accent6 3" xfId="412"/>
    <cellStyle name="20% - Акцент1 2" xfId="7"/>
    <cellStyle name="20% — акцент1 2" xfId="6"/>
    <cellStyle name="20% - Акцент1 2 1" xfId="415"/>
    <cellStyle name="20% - Акцент1 2 2" xfId="8"/>
    <cellStyle name="20% — акцент1 2 2" xfId="414"/>
    <cellStyle name="20% - Акцент1 2 2 2" xfId="416"/>
    <cellStyle name="20% - Акцент1 2 3" xfId="413"/>
    <cellStyle name="20% - Акцент1 3" xfId="9"/>
    <cellStyle name="20% — акцент1 3" xfId="418"/>
    <cellStyle name="20% - Акцент1 3 2" xfId="10"/>
    <cellStyle name="20% - Акцент1 3 2 2" xfId="419"/>
    <cellStyle name="20% - Акцент1 3 3" xfId="420"/>
    <cellStyle name="20% - Акцент1 3 4" xfId="417"/>
    <cellStyle name="20% - Акцент1 4" xfId="421"/>
    <cellStyle name="20% — акцент1 4" xfId="422"/>
    <cellStyle name="20% - Акцент1 5" xfId="423"/>
    <cellStyle name="20% - Акцент1 6" xfId="424"/>
    <cellStyle name="20% - Акцент1 7" xfId="425"/>
    <cellStyle name="20% - Акцент2 2" xfId="12"/>
    <cellStyle name="20% — акцент2 2" xfId="11"/>
    <cellStyle name="20% - Акцент2 2 1" xfId="428"/>
    <cellStyle name="20% - Акцент2 2 2" xfId="13"/>
    <cellStyle name="20% — акцент2 2 2" xfId="427"/>
    <cellStyle name="20% - Акцент2 2 2 2" xfId="429"/>
    <cellStyle name="20% - Акцент2 2 3" xfId="426"/>
    <cellStyle name="20% - Акцент2 3" xfId="14"/>
    <cellStyle name="20% — акцент2 3" xfId="431"/>
    <cellStyle name="20% - Акцент2 3 2" xfId="15"/>
    <cellStyle name="20% - Акцент2 3 2 2" xfId="432"/>
    <cellStyle name="20% - Акцент2 3 3" xfId="433"/>
    <cellStyle name="20% - Акцент2 3 4" xfId="430"/>
    <cellStyle name="20% - Акцент2 4" xfId="434"/>
    <cellStyle name="20% — акцент2 4" xfId="435"/>
    <cellStyle name="20% - Акцент2 5" xfId="436"/>
    <cellStyle name="20% - Акцент2 6" xfId="437"/>
    <cellStyle name="20% - Акцент2 7" xfId="438"/>
    <cellStyle name="20% - Акцент3 2" xfId="17"/>
    <cellStyle name="20% — акцент3 2" xfId="16"/>
    <cellStyle name="20% - Акцент3 2 1" xfId="441"/>
    <cellStyle name="20% - Акцент3 2 2" xfId="18"/>
    <cellStyle name="20% — акцент3 2 2" xfId="440"/>
    <cellStyle name="20% - Акцент3 2 2 2" xfId="442"/>
    <cellStyle name="20% - Акцент3 2 3" xfId="439"/>
    <cellStyle name="20% - Акцент3 3" xfId="19"/>
    <cellStyle name="20% — акцент3 3" xfId="444"/>
    <cellStyle name="20% - Акцент3 3 2" xfId="20"/>
    <cellStyle name="20% - Акцент3 3 2 2" xfId="445"/>
    <cellStyle name="20% - Акцент3 3 3" xfId="446"/>
    <cellStyle name="20% - Акцент3 3 4" xfId="443"/>
    <cellStyle name="20% - Акцент3 4" xfId="447"/>
    <cellStyle name="20% — акцент3 4" xfId="448"/>
    <cellStyle name="20% - Акцент3 5" xfId="449"/>
    <cellStyle name="20% - Акцент3 6" xfId="450"/>
    <cellStyle name="20% - Акцент3 7" xfId="451"/>
    <cellStyle name="20% - Акцент4 2" xfId="22"/>
    <cellStyle name="20% — акцент4 2" xfId="21"/>
    <cellStyle name="20% - Акцент4 2 1" xfId="454"/>
    <cellStyle name="20% - Акцент4 2 2" xfId="23"/>
    <cellStyle name="20% — акцент4 2 2" xfId="453"/>
    <cellStyle name="20% - Акцент4 2 2 2" xfId="455"/>
    <cellStyle name="20% - Акцент4 2 3" xfId="452"/>
    <cellStyle name="20% - Акцент4 3" xfId="24"/>
    <cellStyle name="20% — акцент4 3" xfId="457"/>
    <cellStyle name="20% - Акцент4 3 2" xfId="25"/>
    <cellStyle name="20% - Акцент4 3 2 2" xfId="458"/>
    <cellStyle name="20% - Акцент4 3 3" xfId="459"/>
    <cellStyle name="20% - Акцент4 3 4" xfId="456"/>
    <cellStyle name="20% - Акцент4 4" xfId="460"/>
    <cellStyle name="20% — акцент4 4" xfId="461"/>
    <cellStyle name="20% - Акцент4 5" xfId="462"/>
    <cellStyle name="20% - Акцент4 6" xfId="463"/>
    <cellStyle name="20% - Акцент4 7" xfId="464"/>
    <cellStyle name="20% - Акцент5 2" xfId="27"/>
    <cellStyle name="20% — акцент5 2" xfId="26"/>
    <cellStyle name="20% - Акцент5 2 1" xfId="467"/>
    <cellStyle name="20% - Акцент5 2 2" xfId="28"/>
    <cellStyle name="20% — акцент5 2 2" xfId="466"/>
    <cellStyle name="20% - Акцент5 2 2 2" xfId="468"/>
    <cellStyle name="20% - Акцент5 2 3" xfId="465"/>
    <cellStyle name="20% - Акцент5 3" xfId="29"/>
    <cellStyle name="20% — акцент5 3" xfId="470"/>
    <cellStyle name="20% - Акцент5 3 2" xfId="30"/>
    <cellStyle name="20% - Акцент5 3 2 2" xfId="471"/>
    <cellStyle name="20% - Акцент5 3 3" xfId="472"/>
    <cellStyle name="20% - Акцент5 3 4" xfId="469"/>
    <cellStyle name="20% - Акцент5 4" xfId="473"/>
    <cellStyle name="20% — акцент5 4" xfId="474"/>
    <cellStyle name="20% - Акцент5 5" xfId="475"/>
    <cellStyle name="20% - Акцент5 6" xfId="476"/>
    <cellStyle name="20% - Акцент5 7" xfId="477"/>
    <cellStyle name="20% - Акцент6 2" xfId="32"/>
    <cellStyle name="20% — акцент6 2" xfId="31"/>
    <cellStyle name="20% - Акцент6 2 1" xfId="480"/>
    <cellStyle name="20% - Акцент6 2 2" xfId="33"/>
    <cellStyle name="20% — акцент6 2 2" xfId="479"/>
    <cellStyle name="20% - Акцент6 2 2 2" xfId="481"/>
    <cellStyle name="20% - Акцент6 2 3" xfId="478"/>
    <cellStyle name="20% - Акцент6 3" xfId="34"/>
    <cellStyle name="20% — акцент6 3" xfId="483"/>
    <cellStyle name="20% - Акцент6 3 2" xfId="35"/>
    <cellStyle name="20% - Акцент6 3 2 2" xfId="484"/>
    <cellStyle name="20% - Акцент6 3 3" xfId="485"/>
    <cellStyle name="20% - Акцент6 3 4" xfId="482"/>
    <cellStyle name="20% - Акцент6 4" xfId="486"/>
    <cellStyle name="20% — акцент6 4" xfId="487"/>
    <cellStyle name="20% - Акцент6 5" xfId="488"/>
    <cellStyle name="20% - Акцент6 6" xfId="489"/>
    <cellStyle name="20% - Акцент6 7" xfId="490"/>
    <cellStyle name="40% - Accent1" xfId="491"/>
    <cellStyle name="40% - Accent1 1" xfId="492"/>
    <cellStyle name="40% - Accent1 2" xfId="493"/>
    <cellStyle name="40% - Accent1 3" xfId="494"/>
    <cellStyle name="40% - Accent2" xfId="495"/>
    <cellStyle name="40% - Accent2 1" xfId="496"/>
    <cellStyle name="40% - Accent2 2" xfId="497"/>
    <cellStyle name="40% - Accent2 3" xfId="498"/>
    <cellStyle name="40% - Accent3" xfId="499"/>
    <cellStyle name="40% - Accent3 1" xfId="500"/>
    <cellStyle name="40% - Accent3 2" xfId="501"/>
    <cellStyle name="40% - Accent3 3" xfId="502"/>
    <cellStyle name="40% - Accent4" xfId="503"/>
    <cellStyle name="40% - Accent4 1" xfId="504"/>
    <cellStyle name="40% - Accent4 2" xfId="505"/>
    <cellStyle name="40% - Accent4 3" xfId="506"/>
    <cellStyle name="40% - Accent5" xfId="507"/>
    <cellStyle name="40% - Accent5 1" xfId="508"/>
    <cellStyle name="40% - Accent5 2" xfId="509"/>
    <cellStyle name="40% - Accent5 3" xfId="510"/>
    <cellStyle name="40% - Accent6" xfId="511"/>
    <cellStyle name="40% - Accent6 1" xfId="512"/>
    <cellStyle name="40% - Accent6 2" xfId="513"/>
    <cellStyle name="40% - Accent6 3" xfId="514"/>
    <cellStyle name="40% - Акцент1 2" xfId="37"/>
    <cellStyle name="40% — акцент1 2" xfId="36"/>
    <cellStyle name="40% - Акцент1 2 1" xfId="517"/>
    <cellStyle name="40% - Акцент1 2 2" xfId="38"/>
    <cellStyle name="40% — акцент1 2 2" xfId="516"/>
    <cellStyle name="40% - Акцент1 2 2 2" xfId="518"/>
    <cellStyle name="40% - Акцент1 2 3" xfId="515"/>
    <cellStyle name="40% - Акцент1 3" xfId="39"/>
    <cellStyle name="40% — акцент1 3" xfId="520"/>
    <cellStyle name="40% - Акцент1 3 2" xfId="40"/>
    <cellStyle name="40% - Акцент1 3 2 2" xfId="521"/>
    <cellStyle name="40% - Акцент1 3 3" xfId="522"/>
    <cellStyle name="40% - Акцент1 3 4" xfId="519"/>
    <cellStyle name="40% - Акцент1 4" xfId="523"/>
    <cellStyle name="40% — акцент1 4" xfId="524"/>
    <cellStyle name="40% - Акцент1 5" xfId="525"/>
    <cellStyle name="40% - Акцент1 6" xfId="526"/>
    <cellStyle name="40% - Акцент1 7" xfId="527"/>
    <cellStyle name="40% - Акцент2 2" xfId="42"/>
    <cellStyle name="40% — акцент2 2" xfId="41"/>
    <cellStyle name="40% - Акцент2 2 1" xfId="530"/>
    <cellStyle name="40% - Акцент2 2 2" xfId="43"/>
    <cellStyle name="40% — акцент2 2 2" xfId="529"/>
    <cellStyle name="40% - Акцент2 2 2 2" xfId="531"/>
    <cellStyle name="40% - Акцент2 2 3" xfId="528"/>
    <cellStyle name="40% - Акцент2 3" xfId="44"/>
    <cellStyle name="40% — акцент2 3" xfId="533"/>
    <cellStyle name="40% - Акцент2 3 2" xfId="45"/>
    <cellStyle name="40% - Акцент2 3 2 2" xfId="534"/>
    <cellStyle name="40% - Акцент2 3 3" xfId="535"/>
    <cellStyle name="40% - Акцент2 3 4" xfId="532"/>
    <cellStyle name="40% - Акцент2 4" xfId="536"/>
    <cellStyle name="40% — акцент2 4" xfId="537"/>
    <cellStyle name="40% - Акцент2 5" xfId="538"/>
    <cellStyle name="40% - Акцент2 6" xfId="539"/>
    <cellStyle name="40% - Акцент2 7" xfId="540"/>
    <cellStyle name="40% - Акцент3 2" xfId="47"/>
    <cellStyle name="40% — акцент3 2" xfId="46"/>
    <cellStyle name="40% - Акцент3 2 1" xfId="543"/>
    <cellStyle name="40% - Акцент3 2 2" xfId="48"/>
    <cellStyle name="40% — акцент3 2 2" xfId="542"/>
    <cellStyle name="40% - Акцент3 2 2 2" xfId="544"/>
    <cellStyle name="40% - Акцент3 2 3" xfId="541"/>
    <cellStyle name="40% - Акцент3 3" xfId="49"/>
    <cellStyle name="40% — акцент3 3" xfId="546"/>
    <cellStyle name="40% - Акцент3 3 2" xfId="50"/>
    <cellStyle name="40% - Акцент3 3 2 2" xfId="547"/>
    <cellStyle name="40% - Акцент3 3 3" xfId="548"/>
    <cellStyle name="40% - Акцент3 3 4" xfId="545"/>
    <cellStyle name="40% - Акцент3 4" xfId="549"/>
    <cellStyle name="40% — акцент3 4" xfId="550"/>
    <cellStyle name="40% - Акцент3 5" xfId="551"/>
    <cellStyle name="40% - Акцент3 6" xfId="552"/>
    <cellStyle name="40% - Акцент3 7" xfId="553"/>
    <cellStyle name="40% - Акцент4 2" xfId="52"/>
    <cellStyle name="40% — акцент4 2" xfId="51"/>
    <cellStyle name="40% - Акцент4 2 1" xfId="556"/>
    <cellStyle name="40% - Акцент4 2 2" xfId="53"/>
    <cellStyle name="40% — акцент4 2 2" xfId="555"/>
    <cellStyle name="40% - Акцент4 2 2 2" xfId="557"/>
    <cellStyle name="40% - Акцент4 2 3" xfId="554"/>
    <cellStyle name="40% - Акцент4 3" xfId="54"/>
    <cellStyle name="40% — акцент4 3" xfId="559"/>
    <cellStyle name="40% - Акцент4 3 2" xfId="55"/>
    <cellStyle name="40% - Акцент4 3 2 2" xfId="560"/>
    <cellStyle name="40% - Акцент4 3 3" xfId="561"/>
    <cellStyle name="40% - Акцент4 3 4" xfId="558"/>
    <cellStyle name="40% - Акцент4 4" xfId="562"/>
    <cellStyle name="40% — акцент4 4" xfId="563"/>
    <cellStyle name="40% - Акцент4 5" xfId="564"/>
    <cellStyle name="40% - Акцент4 6" xfId="565"/>
    <cellStyle name="40% - Акцент4 7" xfId="566"/>
    <cellStyle name="40% - Акцент5 2" xfId="57"/>
    <cellStyle name="40% — акцент5 2" xfId="56"/>
    <cellStyle name="40% - Акцент5 2 1" xfId="569"/>
    <cellStyle name="40% - Акцент5 2 2" xfId="58"/>
    <cellStyle name="40% — акцент5 2 2" xfId="568"/>
    <cellStyle name="40% - Акцент5 2 2 2" xfId="570"/>
    <cellStyle name="40% - Акцент5 2 3" xfId="567"/>
    <cellStyle name="40% - Акцент5 3" xfId="59"/>
    <cellStyle name="40% — акцент5 3" xfId="572"/>
    <cellStyle name="40% - Акцент5 3 2" xfId="60"/>
    <cellStyle name="40% - Акцент5 3 2 2" xfId="573"/>
    <cellStyle name="40% - Акцент5 3 3" xfId="574"/>
    <cellStyle name="40% - Акцент5 3 4" xfId="571"/>
    <cellStyle name="40% - Акцент5 4" xfId="575"/>
    <cellStyle name="40% — акцент5 4" xfId="576"/>
    <cellStyle name="40% - Акцент5 5" xfId="577"/>
    <cellStyle name="40% - Акцент5 6" xfId="578"/>
    <cellStyle name="40% - Акцент5 7" xfId="579"/>
    <cellStyle name="40% - Акцент6 2" xfId="62"/>
    <cellStyle name="40% — акцент6 2" xfId="61"/>
    <cellStyle name="40% - Акцент6 2 1" xfId="582"/>
    <cellStyle name="40% - Акцент6 2 2" xfId="63"/>
    <cellStyle name="40% — акцент6 2 2" xfId="581"/>
    <cellStyle name="40% - Акцент6 2 2 2" xfId="583"/>
    <cellStyle name="40% - Акцент6 2 3" xfId="580"/>
    <cellStyle name="40% - Акцент6 3" xfId="64"/>
    <cellStyle name="40% — акцент6 3" xfId="585"/>
    <cellStyle name="40% - Акцент6 3 2" xfId="65"/>
    <cellStyle name="40% - Акцент6 3 2 2" xfId="586"/>
    <cellStyle name="40% - Акцент6 3 3" xfId="587"/>
    <cellStyle name="40% - Акцент6 3 4" xfId="584"/>
    <cellStyle name="40% - Акцент6 4" xfId="588"/>
    <cellStyle name="40% — акцент6 4" xfId="589"/>
    <cellStyle name="40% - Акцент6 5" xfId="590"/>
    <cellStyle name="40% - Акцент6 6" xfId="591"/>
    <cellStyle name="40% - Акцент6 7" xfId="592"/>
    <cellStyle name="60% - Accent1" xfId="593"/>
    <cellStyle name="60% - Accent1 1" xfId="594"/>
    <cellStyle name="60% - Accent1 2" xfId="595"/>
    <cellStyle name="60% - Accent1 3" xfId="596"/>
    <cellStyle name="60% - Accent2" xfId="597"/>
    <cellStyle name="60% - Accent2 1" xfId="598"/>
    <cellStyle name="60% - Accent2 2" xfId="599"/>
    <cellStyle name="60% - Accent2 3" xfId="600"/>
    <cellStyle name="60% - Accent3" xfId="601"/>
    <cellStyle name="60% - Accent3 1" xfId="602"/>
    <cellStyle name="60% - Accent3 2" xfId="603"/>
    <cellStyle name="60% - Accent3 3" xfId="604"/>
    <cellStyle name="60% - Accent4" xfId="605"/>
    <cellStyle name="60% - Accent4 1" xfId="606"/>
    <cellStyle name="60% - Accent4 2" xfId="607"/>
    <cellStyle name="60% - Accent4 3" xfId="608"/>
    <cellStyle name="60% - Accent5" xfId="609"/>
    <cellStyle name="60% - Accent5 1" xfId="610"/>
    <cellStyle name="60% - Accent5 2" xfId="611"/>
    <cellStyle name="60% - Accent5 3" xfId="612"/>
    <cellStyle name="60% - Accent6" xfId="613"/>
    <cellStyle name="60% - Accent6 1" xfId="614"/>
    <cellStyle name="60% - Accent6 2" xfId="615"/>
    <cellStyle name="60% - Accent6 3" xfId="616"/>
    <cellStyle name="60% - Акцент1 2" xfId="67"/>
    <cellStyle name="60% — акцент1 2" xfId="66"/>
    <cellStyle name="60% - Акцент1 2 1" xfId="619"/>
    <cellStyle name="60% - Акцент1 2 2" xfId="68"/>
    <cellStyle name="60% — акцент1 2 2" xfId="618"/>
    <cellStyle name="60% - Акцент1 2 2 2" xfId="620"/>
    <cellStyle name="60% - Акцент1 2 3" xfId="617"/>
    <cellStyle name="60% - Акцент1 3" xfId="69"/>
    <cellStyle name="60% — акцент1 3" xfId="622"/>
    <cellStyle name="60% - Акцент1 3 2" xfId="70"/>
    <cellStyle name="60% - Акцент1 3 2 2" xfId="623"/>
    <cellStyle name="60% - Акцент1 3 3" xfId="624"/>
    <cellStyle name="60% - Акцент1 3 4" xfId="621"/>
    <cellStyle name="60% - Акцент1 4" xfId="625"/>
    <cellStyle name="60% — акцент1 4" xfId="626"/>
    <cellStyle name="60% - Акцент1 5" xfId="627"/>
    <cellStyle name="60% - Акцент1 6" xfId="628"/>
    <cellStyle name="60% - Акцент1 7" xfId="629"/>
    <cellStyle name="60% - Акцент2 2" xfId="72"/>
    <cellStyle name="60% — акцент2 2" xfId="71"/>
    <cellStyle name="60% - Акцент2 2 1" xfId="632"/>
    <cellStyle name="60% - Акцент2 2 2" xfId="73"/>
    <cellStyle name="60% — акцент2 2 2" xfId="631"/>
    <cellStyle name="60% - Акцент2 2 2 2" xfId="633"/>
    <cellStyle name="60% - Акцент2 2 3" xfId="630"/>
    <cellStyle name="60% - Акцент2 3" xfId="74"/>
    <cellStyle name="60% — акцент2 3" xfId="635"/>
    <cellStyle name="60% - Акцент2 3 2" xfId="75"/>
    <cellStyle name="60% - Акцент2 3 2 2" xfId="636"/>
    <cellStyle name="60% - Акцент2 3 3" xfId="637"/>
    <cellStyle name="60% - Акцент2 3 4" xfId="634"/>
    <cellStyle name="60% - Акцент2 4" xfId="638"/>
    <cellStyle name="60% — акцент2 4" xfId="639"/>
    <cellStyle name="60% - Акцент2 5" xfId="640"/>
    <cellStyle name="60% - Акцент2 6" xfId="641"/>
    <cellStyle name="60% - Акцент2 7" xfId="642"/>
    <cellStyle name="60% - Акцент3 2" xfId="77"/>
    <cellStyle name="60% — акцент3 2" xfId="76"/>
    <cellStyle name="60% - Акцент3 2 1" xfId="645"/>
    <cellStyle name="60% - Акцент3 2 2" xfId="78"/>
    <cellStyle name="60% — акцент3 2 2" xfId="644"/>
    <cellStyle name="60% - Акцент3 2 2 2" xfId="646"/>
    <cellStyle name="60% - Акцент3 2 3" xfId="643"/>
    <cellStyle name="60% - Акцент3 3" xfId="79"/>
    <cellStyle name="60% — акцент3 3" xfId="648"/>
    <cellStyle name="60% - Акцент3 3 2" xfId="80"/>
    <cellStyle name="60% - Акцент3 3 2 2" xfId="649"/>
    <cellStyle name="60% - Акцент3 3 3" xfId="650"/>
    <cellStyle name="60% - Акцент3 3 4" xfId="647"/>
    <cellStyle name="60% - Акцент3 4" xfId="651"/>
    <cellStyle name="60% — акцент3 4" xfId="652"/>
    <cellStyle name="60% - Акцент3 5" xfId="653"/>
    <cellStyle name="60% - Акцент3 6" xfId="654"/>
    <cellStyle name="60% - Акцент3 7" xfId="655"/>
    <cellStyle name="60% - Акцент4 2" xfId="82"/>
    <cellStyle name="60% — акцент4 2" xfId="81"/>
    <cellStyle name="60% - Акцент4 2 1" xfId="658"/>
    <cellStyle name="60% - Акцент4 2 2" xfId="83"/>
    <cellStyle name="60% — акцент4 2 2" xfId="657"/>
    <cellStyle name="60% - Акцент4 2 2 2" xfId="659"/>
    <cellStyle name="60% - Акцент4 2 3" xfId="656"/>
    <cellStyle name="60% - Акцент4 3" xfId="84"/>
    <cellStyle name="60% — акцент4 3" xfId="661"/>
    <cellStyle name="60% - Акцент4 3 2" xfId="85"/>
    <cellStyle name="60% - Акцент4 3 2 2" xfId="662"/>
    <cellStyle name="60% - Акцент4 3 3" xfId="663"/>
    <cellStyle name="60% - Акцент4 3 4" xfId="660"/>
    <cellStyle name="60% - Акцент4 4" xfId="664"/>
    <cellStyle name="60% — акцент4 4" xfId="665"/>
    <cellStyle name="60% - Акцент4 5" xfId="666"/>
    <cellStyle name="60% - Акцент4 6" xfId="667"/>
    <cellStyle name="60% - Акцент4 7" xfId="668"/>
    <cellStyle name="60% - Акцент5 2" xfId="87"/>
    <cellStyle name="60% — акцент5 2" xfId="86"/>
    <cellStyle name="60% - Акцент5 2 1" xfId="671"/>
    <cellStyle name="60% - Акцент5 2 2" xfId="88"/>
    <cellStyle name="60% — акцент5 2 2" xfId="670"/>
    <cellStyle name="60% - Акцент5 2 2 2" xfId="672"/>
    <cellStyle name="60% - Акцент5 2 3" xfId="669"/>
    <cellStyle name="60% - Акцент5 3" xfId="89"/>
    <cellStyle name="60% — акцент5 3" xfId="674"/>
    <cellStyle name="60% - Акцент5 3 2" xfId="90"/>
    <cellStyle name="60% - Акцент5 3 2 2" xfId="675"/>
    <cellStyle name="60% - Акцент5 3 3" xfId="676"/>
    <cellStyle name="60% - Акцент5 3 4" xfId="673"/>
    <cellStyle name="60% - Акцент5 4" xfId="677"/>
    <cellStyle name="60% — акцент5 4" xfId="678"/>
    <cellStyle name="60% - Акцент5 5" xfId="679"/>
    <cellStyle name="60% - Акцент5 6" xfId="680"/>
    <cellStyle name="60% - Акцент5 7" xfId="681"/>
    <cellStyle name="60% - Акцент6 2" xfId="92"/>
    <cellStyle name="60% — акцент6 2" xfId="91"/>
    <cellStyle name="60% - Акцент6 2 1" xfId="684"/>
    <cellStyle name="60% - Акцент6 2 2" xfId="93"/>
    <cellStyle name="60% — акцент6 2 2" xfId="683"/>
    <cellStyle name="60% - Акцент6 2 2 2" xfId="685"/>
    <cellStyle name="60% - Акцент6 2 3" xfId="682"/>
    <cellStyle name="60% - Акцент6 3" xfId="94"/>
    <cellStyle name="60% — акцент6 3" xfId="687"/>
    <cellStyle name="60% - Акцент6 3 2" xfId="95"/>
    <cellStyle name="60% - Акцент6 3 2 2" xfId="688"/>
    <cellStyle name="60% - Акцент6 3 3" xfId="689"/>
    <cellStyle name="60% - Акцент6 3 4" xfId="686"/>
    <cellStyle name="60% - Акцент6 4" xfId="690"/>
    <cellStyle name="60% — акцент6 4" xfId="691"/>
    <cellStyle name="60% - Акцент6 5" xfId="692"/>
    <cellStyle name="60% - Акцент6 6" xfId="693"/>
    <cellStyle name="60% - Акцент6 7" xfId="694"/>
    <cellStyle name="Accent1" xfId="695"/>
    <cellStyle name="Accent1 1" xfId="696"/>
    <cellStyle name="Accent1 2" xfId="697"/>
    <cellStyle name="Accent1 3" xfId="698"/>
    <cellStyle name="Accent2" xfId="699"/>
    <cellStyle name="Accent2 1" xfId="700"/>
    <cellStyle name="Accent2 2" xfId="701"/>
    <cellStyle name="Accent2 3" xfId="702"/>
    <cellStyle name="Accent3" xfId="703"/>
    <cellStyle name="Accent3 1" xfId="704"/>
    <cellStyle name="Accent3 2" xfId="705"/>
    <cellStyle name="Accent3 3" xfId="706"/>
    <cellStyle name="Accent4" xfId="707"/>
    <cellStyle name="Accent4 1" xfId="708"/>
    <cellStyle name="Accent4 2" xfId="709"/>
    <cellStyle name="Accent4 3" xfId="710"/>
    <cellStyle name="Accent5" xfId="711"/>
    <cellStyle name="Accent5 1" xfId="712"/>
    <cellStyle name="Accent5 2" xfId="713"/>
    <cellStyle name="Accent5 3" xfId="714"/>
    <cellStyle name="Accent6" xfId="715"/>
    <cellStyle name="Accent6 1" xfId="716"/>
    <cellStyle name="Accent6 2" xfId="717"/>
    <cellStyle name="Accent6 3" xfId="718"/>
    <cellStyle name="Ăčďĺđńńűëęŕ" xfId="719"/>
    <cellStyle name="Áĺççŕůčňíűé" xfId="720"/>
    <cellStyle name="Äĺíĺćíűé [0]_(ňŕá 3č)" xfId="721"/>
    <cellStyle name="Äĺíĺćíűé_(ňŕá 3č)" xfId="722"/>
    <cellStyle name="Bad" xfId="723"/>
    <cellStyle name="Bad 1" xfId="724"/>
    <cellStyle name="Bad 2" xfId="725"/>
    <cellStyle name="Bad 3" xfId="726"/>
    <cellStyle name="Calculation" xfId="727"/>
    <cellStyle name="Calculation 1" xfId="728"/>
    <cellStyle name="Calculation 2" xfId="729"/>
    <cellStyle name="Calculation 3" xfId="730"/>
    <cellStyle name="Check Cell" xfId="731"/>
    <cellStyle name="Check Cell 1" xfId="732"/>
    <cellStyle name="Check Cell 2" xfId="733"/>
    <cellStyle name="Check Cell 3" xfId="734"/>
    <cellStyle name="Comma [0]_0_Cash" xfId="735"/>
    <cellStyle name="Comma_0_Cash" xfId="736"/>
    <cellStyle name="Comma0" xfId="737"/>
    <cellStyle name="Çŕůčňíűé" xfId="738"/>
    <cellStyle name="Currency [0]" xfId="739"/>
    <cellStyle name="Currency [0] 2" xfId="740"/>
    <cellStyle name="Currency [0] 3" xfId="741"/>
    <cellStyle name="Currency [0] 4" xfId="742"/>
    <cellStyle name="Currency [0] 5" xfId="743"/>
    <cellStyle name="Currency_0_Cash" xfId="744"/>
    <cellStyle name="Currency0" xfId="745"/>
    <cellStyle name="Currency2" xfId="746"/>
    <cellStyle name="date" xfId="747"/>
    <cellStyle name="Dates" xfId="748"/>
    <cellStyle name="Default" xfId="749"/>
    <cellStyle name="E&amp;Y House" xfId="750"/>
    <cellStyle name="E-mail" xfId="751"/>
    <cellStyle name="Euro" xfId="752"/>
    <cellStyle name="Euro 2" xfId="753"/>
    <cellStyle name="Euro 3" xfId="754"/>
    <cellStyle name="Euro 4" xfId="755"/>
    <cellStyle name="Excel Built-in Normal" xfId="756"/>
    <cellStyle name="Explanatory Text" xfId="757"/>
    <cellStyle name="Explanatory Text 1" xfId="758"/>
    <cellStyle name="Explanatory Text 2" xfId="759"/>
    <cellStyle name="Explanatory Text 3" xfId="760"/>
    <cellStyle name="F2" xfId="761"/>
    <cellStyle name="F3" xfId="762"/>
    <cellStyle name="F4" xfId="763"/>
    <cellStyle name="F5" xfId="764"/>
    <cellStyle name="F6" xfId="765"/>
    <cellStyle name="F7" xfId="766"/>
    <cellStyle name="F8" xfId="767"/>
    <cellStyle name="Fixed" xfId="768"/>
    <cellStyle name="Followed Hyperlink" xfId="769"/>
    <cellStyle name="Good" xfId="770"/>
    <cellStyle name="Good 1" xfId="771"/>
    <cellStyle name="Good 2" xfId="772"/>
    <cellStyle name="Good 3" xfId="773"/>
    <cellStyle name="Head 1" xfId="774"/>
    <cellStyle name="header1" xfId="775"/>
    <cellStyle name="header2" xfId="776"/>
    <cellStyle name="Heading" xfId="777"/>
    <cellStyle name="Heading 1" xfId="778"/>
    <cellStyle name="Heading 1 1" xfId="779"/>
    <cellStyle name="Heading 1 2" xfId="780"/>
    <cellStyle name="Heading 1 3" xfId="781"/>
    <cellStyle name="Heading 2" xfId="782"/>
    <cellStyle name="Heading 2 1" xfId="783"/>
    <cellStyle name="Heading 2 2" xfId="784"/>
    <cellStyle name="Heading 2 3" xfId="785"/>
    <cellStyle name="Heading 3" xfId="786"/>
    <cellStyle name="Heading 3 1" xfId="787"/>
    <cellStyle name="Heading 3 2" xfId="788"/>
    <cellStyle name="Heading 3 3" xfId="789"/>
    <cellStyle name="Heading 4" xfId="790"/>
    <cellStyle name="Heading 4 1" xfId="791"/>
    <cellStyle name="Heading 4 2" xfId="792"/>
    <cellStyle name="Heading 4 3" xfId="793"/>
    <cellStyle name="Heading2" xfId="794"/>
    <cellStyle name="Headline I" xfId="795"/>
    <cellStyle name="Headline II" xfId="796"/>
    <cellStyle name="Headline III" xfId="797"/>
    <cellStyle name="Hyperlink" xfId="798"/>
    <cellStyle name="Iau?iue_130 nnd. are." xfId="799"/>
    <cellStyle name="Îáű÷íűé__FES" xfId="800"/>
    <cellStyle name="Îňęđűâŕâřŕ˙ń˙ ăčďĺđńńűëęŕ" xfId="801"/>
    <cellStyle name="Input" xfId="802"/>
    <cellStyle name="Input 1" xfId="803"/>
    <cellStyle name="Input 2" xfId="804"/>
    <cellStyle name="Input 3" xfId="805"/>
    <cellStyle name="Inputs" xfId="806"/>
    <cellStyle name="Inputs (const)" xfId="807"/>
    <cellStyle name="Inputs Co" xfId="808"/>
    <cellStyle name="Linked Cell" xfId="809"/>
    <cellStyle name="Linked Cell 1" xfId="810"/>
    <cellStyle name="Linked Cell 2" xfId="811"/>
    <cellStyle name="Linked Cell 3" xfId="812"/>
    <cellStyle name="Milliers [0]_Fonctions Macros XL4" xfId="813"/>
    <cellStyle name="Milliers_Fonctions Macros XL4" xfId="814"/>
    <cellStyle name="Neutral" xfId="815"/>
    <cellStyle name="Neutral 1" xfId="816"/>
    <cellStyle name="Neutral 2" xfId="817"/>
    <cellStyle name="Neutral 3" xfId="818"/>
    <cellStyle name="normal" xfId="819"/>
    <cellStyle name="Normal 2" xfId="820"/>
    <cellStyle name="Normal_38" xfId="821"/>
    <cellStyle name="Normal1" xfId="822"/>
    <cellStyle name="Normal2" xfId="823"/>
    <cellStyle name="normбlnм_laroux" xfId="824"/>
    <cellStyle name="Note" xfId="825"/>
    <cellStyle name="Note 1" xfId="826"/>
    <cellStyle name="Note 2" xfId="827"/>
    <cellStyle name="Note 3" xfId="828"/>
    <cellStyle name="Ôčíŕíńîâűé [0]_(ňŕá 3č)" xfId="829"/>
    <cellStyle name="Ôčíŕíńîâűé_(ňŕá 3č)" xfId="830"/>
    <cellStyle name="Output" xfId="831"/>
    <cellStyle name="Output 1" xfId="832"/>
    <cellStyle name="Output 2" xfId="833"/>
    <cellStyle name="Output 3" xfId="834"/>
    <cellStyle name="Percent1" xfId="835"/>
    <cellStyle name="Price_Body" xfId="836"/>
    <cellStyle name="SAPBEXaggData" xfId="837"/>
    <cellStyle name="SAPBEXaggDataEmph" xfId="838"/>
    <cellStyle name="SAPBEXaggItem" xfId="839"/>
    <cellStyle name="SAPBEXaggItemX" xfId="840"/>
    <cellStyle name="SAPBEXchaText" xfId="841"/>
    <cellStyle name="SAPBEXexcBad7" xfId="842"/>
    <cellStyle name="SAPBEXexcBad8" xfId="843"/>
    <cellStyle name="SAPBEXexcBad9" xfId="844"/>
    <cellStyle name="SAPBEXexcCritical4" xfId="845"/>
    <cellStyle name="SAPBEXexcCritical5" xfId="846"/>
    <cellStyle name="SAPBEXexcCritical6" xfId="847"/>
    <cellStyle name="SAPBEXexcGood1" xfId="848"/>
    <cellStyle name="SAPBEXexcGood2" xfId="849"/>
    <cellStyle name="SAPBEXexcGood3" xfId="850"/>
    <cellStyle name="SAPBEXfilterDrill" xfId="851"/>
    <cellStyle name="SAPBEXfilterItem" xfId="852"/>
    <cellStyle name="SAPBEXfilterText" xfId="853"/>
    <cellStyle name="SAPBEXformats" xfId="854"/>
    <cellStyle name="SAPBEXheaderItem" xfId="855"/>
    <cellStyle name="SAPBEXheaderText" xfId="856"/>
    <cellStyle name="SAPBEXHLevel0" xfId="857"/>
    <cellStyle name="SAPBEXHLevel0X" xfId="858"/>
    <cellStyle name="SAPBEXHLevel1" xfId="859"/>
    <cellStyle name="SAPBEXHLevel1X" xfId="860"/>
    <cellStyle name="SAPBEXHLevel2" xfId="861"/>
    <cellStyle name="SAPBEXHLevel2X" xfId="862"/>
    <cellStyle name="SAPBEXHLevel3" xfId="863"/>
    <cellStyle name="SAPBEXHLevel3X" xfId="864"/>
    <cellStyle name="SAPBEXinputData" xfId="865"/>
    <cellStyle name="SAPBEXresData" xfId="866"/>
    <cellStyle name="SAPBEXresDataEmph" xfId="867"/>
    <cellStyle name="SAPBEXresItem" xfId="868"/>
    <cellStyle name="SAPBEXresItemX" xfId="869"/>
    <cellStyle name="SAPBEXstdData" xfId="870"/>
    <cellStyle name="SAPBEXstdDataEmph" xfId="871"/>
    <cellStyle name="SAPBEXstdItem" xfId="872"/>
    <cellStyle name="SAPBEXstdItemX" xfId="873"/>
    <cellStyle name="SAPBEXtitle" xfId="874"/>
    <cellStyle name="SAPBEXundefined" xfId="875"/>
    <cellStyle name="stand_bord" xfId="876"/>
    <cellStyle name="Style 1" xfId="877"/>
    <cellStyle name="styleColumnTitles" xfId="878"/>
    <cellStyle name="styleDateRange" xfId="879"/>
    <cellStyle name="styleHidden" xfId="880"/>
    <cellStyle name="styleNormal" xfId="881"/>
    <cellStyle name="styleSeriesAttributes" xfId="882"/>
    <cellStyle name="styleSeriesData" xfId="883"/>
    <cellStyle name="styleSeriesDataForecast" xfId="884"/>
    <cellStyle name="styleSeriesDataForecastNA" xfId="885"/>
    <cellStyle name="styleSeriesDataNA" xfId="886"/>
    <cellStyle name="Table Heading" xfId="887"/>
    <cellStyle name="Title" xfId="888"/>
    <cellStyle name="Title 1" xfId="889"/>
    <cellStyle name="Title 2" xfId="890"/>
    <cellStyle name="Title 3" xfId="891"/>
    <cellStyle name="Total" xfId="892"/>
    <cellStyle name="Total 1" xfId="893"/>
    <cellStyle name="Total 2" xfId="894"/>
    <cellStyle name="Total 3" xfId="895"/>
    <cellStyle name="Warning Text" xfId="896"/>
    <cellStyle name="Warning Text 1" xfId="897"/>
    <cellStyle name="Warning Text 2" xfId="898"/>
    <cellStyle name="Warning Text 3" xfId="899"/>
    <cellStyle name="Акцент1 2" xfId="97"/>
    <cellStyle name="Акцент1 2 1" xfId="902"/>
    <cellStyle name="Акцент1 2 2" xfId="98"/>
    <cellStyle name="Акцент1 2 2 2" xfId="903"/>
    <cellStyle name="Акцент1 2 3" xfId="901"/>
    <cellStyle name="Акцент1 3" xfId="99"/>
    <cellStyle name="Акцент1 3 2" xfId="100"/>
    <cellStyle name="Акцент1 3 2 2" xfId="905"/>
    <cellStyle name="Акцент1 3 3" xfId="906"/>
    <cellStyle name="Акцент1 3 4" xfId="904"/>
    <cellStyle name="Акцент1 4" xfId="96"/>
    <cellStyle name="Акцент1 4 2" xfId="907"/>
    <cellStyle name="Акцент1 5" xfId="908"/>
    <cellStyle name="Акцент1 6" xfId="909"/>
    <cellStyle name="Акцент1 7" xfId="910"/>
    <cellStyle name="Акцент1 8" xfId="900"/>
    <cellStyle name="Акцент2 2" xfId="102"/>
    <cellStyle name="Акцент2 2 1" xfId="913"/>
    <cellStyle name="Акцент2 2 2" xfId="103"/>
    <cellStyle name="Акцент2 2 2 2" xfId="914"/>
    <cellStyle name="Акцент2 2 3" xfId="912"/>
    <cellStyle name="Акцент2 3" xfId="104"/>
    <cellStyle name="Акцент2 3 2" xfId="105"/>
    <cellStyle name="Акцент2 3 2 2" xfId="916"/>
    <cellStyle name="Акцент2 3 3" xfId="917"/>
    <cellStyle name="Акцент2 3 4" xfId="915"/>
    <cellStyle name="Акцент2 4" xfId="101"/>
    <cellStyle name="Акцент2 4 2" xfId="918"/>
    <cellStyle name="Акцент2 5" xfId="919"/>
    <cellStyle name="Акцент2 6" xfId="920"/>
    <cellStyle name="Акцент2 7" xfId="921"/>
    <cellStyle name="Акцент2 8" xfId="911"/>
    <cellStyle name="Акцент3 2" xfId="107"/>
    <cellStyle name="Акцент3 2 1" xfId="924"/>
    <cellStyle name="Акцент3 2 2" xfId="108"/>
    <cellStyle name="Акцент3 2 2 2" xfId="925"/>
    <cellStyle name="Акцент3 2 3" xfId="923"/>
    <cellStyle name="Акцент3 3" xfId="109"/>
    <cellStyle name="Акцент3 3 2" xfId="110"/>
    <cellStyle name="Акцент3 3 2 2" xfId="927"/>
    <cellStyle name="Акцент3 3 3" xfId="928"/>
    <cellStyle name="Акцент3 3 4" xfId="926"/>
    <cellStyle name="Акцент3 4" xfId="106"/>
    <cellStyle name="Акцент3 4 2" xfId="929"/>
    <cellStyle name="Акцент3 5" xfId="930"/>
    <cellStyle name="Акцент3 6" xfId="931"/>
    <cellStyle name="Акцент3 7" xfId="932"/>
    <cellStyle name="Акцент3 8" xfId="922"/>
    <cellStyle name="Акцент4 2" xfId="112"/>
    <cellStyle name="Акцент4 2 1" xfId="935"/>
    <cellStyle name="Акцент4 2 2" xfId="113"/>
    <cellStyle name="Акцент4 2 2 2" xfId="936"/>
    <cellStyle name="Акцент4 2 3" xfId="934"/>
    <cellStyle name="Акцент4 3" xfId="114"/>
    <cellStyle name="Акцент4 3 2" xfId="115"/>
    <cellStyle name="Акцент4 3 2 2" xfId="938"/>
    <cellStyle name="Акцент4 3 3" xfId="939"/>
    <cellStyle name="Акцент4 3 4" xfId="937"/>
    <cellStyle name="Акцент4 4" xfId="111"/>
    <cellStyle name="Акцент4 4 2" xfId="940"/>
    <cellStyle name="Акцент4 5" xfId="941"/>
    <cellStyle name="Акцент4 6" xfId="942"/>
    <cellStyle name="Акцент4 7" xfId="943"/>
    <cellStyle name="Акцент4 8" xfId="933"/>
    <cellStyle name="Акцент5 2" xfId="117"/>
    <cellStyle name="Акцент5 2 1" xfId="946"/>
    <cellStyle name="Акцент5 2 2" xfId="118"/>
    <cellStyle name="Акцент5 2 2 2" xfId="947"/>
    <cellStyle name="Акцент5 2 3" xfId="945"/>
    <cellStyle name="Акцент5 3" xfId="119"/>
    <cellStyle name="Акцент5 3 2" xfId="120"/>
    <cellStyle name="Акцент5 3 2 2" xfId="949"/>
    <cellStyle name="Акцент5 3 3" xfId="950"/>
    <cellStyle name="Акцент5 3 4" xfId="948"/>
    <cellStyle name="Акцент5 4" xfId="116"/>
    <cellStyle name="Акцент5 4 2" xfId="951"/>
    <cellStyle name="Акцент5 5" xfId="952"/>
    <cellStyle name="Акцент5 6" xfId="953"/>
    <cellStyle name="Акцент5 7" xfId="954"/>
    <cellStyle name="Акцент5 8" xfId="944"/>
    <cellStyle name="Акцент6 2" xfId="122"/>
    <cellStyle name="Акцент6 2 1" xfId="957"/>
    <cellStyle name="Акцент6 2 2" xfId="123"/>
    <cellStyle name="Акцент6 2 2 2" xfId="958"/>
    <cellStyle name="Акцент6 2 3" xfId="956"/>
    <cellStyle name="Акцент6 3" xfId="124"/>
    <cellStyle name="Акцент6 3 2" xfId="125"/>
    <cellStyle name="Акцент6 3 2 2" xfId="960"/>
    <cellStyle name="Акцент6 3 3" xfId="961"/>
    <cellStyle name="Акцент6 3 4" xfId="959"/>
    <cellStyle name="Акцент6 4" xfId="121"/>
    <cellStyle name="Акцент6 4 2" xfId="962"/>
    <cellStyle name="Акцент6 5" xfId="963"/>
    <cellStyle name="Акцент6 6" xfId="964"/>
    <cellStyle name="Акцент6 7" xfId="965"/>
    <cellStyle name="Акцент6 8" xfId="955"/>
    <cellStyle name="Беззащитный" xfId="966"/>
    <cellStyle name="Ввод  2" xfId="127"/>
    <cellStyle name="Ввод  2 1" xfId="969"/>
    <cellStyle name="Ввод  2 2" xfId="128"/>
    <cellStyle name="Ввод  2 2 2" xfId="970"/>
    <cellStyle name="Ввод  2 3" xfId="968"/>
    <cellStyle name="Ввод  3" xfId="129"/>
    <cellStyle name="Ввод  3 2" xfId="130"/>
    <cellStyle name="Ввод  3 2 2" xfId="972"/>
    <cellStyle name="Ввод  3 3" xfId="973"/>
    <cellStyle name="Ввод  3 4" xfId="971"/>
    <cellStyle name="Ввод  4" xfId="126"/>
    <cellStyle name="Ввод  4 2" xfId="974"/>
    <cellStyle name="Ввод  5" xfId="975"/>
    <cellStyle name="Ввод  6" xfId="976"/>
    <cellStyle name="Ввод  7" xfId="977"/>
    <cellStyle name="Ввод  8" xfId="967"/>
    <cellStyle name="Вывод 2" xfId="132"/>
    <cellStyle name="Вывод 2 1" xfId="980"/>
    <cellStyle name="Вывод 2 2" xfId="133"/>
    <cellStyle name="Вывод 2 2 2" xfId="981"/>
    <cellStyle name="Вывод 2 3" xfId="979"/>
    <cellStyle name="Вывод 3" xfId="134"/>
    <cellStyle name="Вывод 3 2" xfId="135"/>
    <cellStyle name="Вывод 3 2 2" xfId="983"/>
    <cellStyle name="Вывод 3 3" xfId="984"/>
    <cellStyle name="Вывод 3 4" xfId="982"/>
    <cellStyle name="Вывод 4" xfId="131"/>
    <cellStyle name="Вывод 4 2" xfId="985"/>
    <cellStyle name="Вывод 5" xfId="986"/>
    <cellStyle name="Вывод 6" xfId="987"/>
    <cellStyle name="Вывод 7" xfId="988"/>
    <cellStyle name="Вывод 8" xfId="978"/>
    <cellStyle name="Вычисление 2" xfId="137"/>
    <cellStyle name="Вычисление 2 1" xfId="991"/>
    <cellStyle name="Вычисление 2 2" xfId="138"/>
    <cellStyle name="Вычисление 2 2 2" xfId="992"/>
    <cellStyle name="Вычисление 2 3" xfId="990"/>
    <cellStyle name="Вычисление 3" xfId="139"/>
    <cellStyle name="Вычисление 3 2" xfId="140"/>
    <cellStyle name="Вычисление 3 2 2" xfId="994"/>
    <cellStyle name="Вычисление 3 3" xfId="995"/>
    <cellStyle name="Вычисление 3 4" xfId="993"/>
    <cellStyle name="Вычисление 4" xfId="136"/>
    <cellStyle name="Вычисление 4 2" xfId="996"/>
    <cellStyle name="Вычисление 5" xfId="997"/>
    <cellStyle name="Вычисление 6" xfId="998"/>
    <cellStyle name="Вычисление 7" xfId="999"/>
    <cellStyle name="Вычисление 8" xfId="989"/>
    <cellStyle name="Гиперссылка 2" xfId="1000"/>
    <cellStyle name="Гиперссылка 2 2" xfId="1001"/>
    <cellStyle name="Гиперссылка 3" xfId="1002"/>
    <cellStyle name="ДАТА" xfId="1003"/>
    <cellStyle name="Денежный 2" xfId="1004"/>
    <cellStyle name="Є_x0004_ЄЄЄЄ_x0004_ЄЄ_x0004_" xfId="1005"/>
    <cellStyle name="Заголовок" xfId="1006"/>
    <cellStyle name="Заголовок 1 2" xfId="142"/>
    <cellStyle name="Заголовок 1 2 1" xfId="1009"/>
    <cellStyle name="Заголовок 1 2 2" xfId="143"/>
    <cellStyle name="Заголовок 1 2 2 2" xfId="1010"/>
    <cellStyle name="Заголовок 1 2 3" xfId="1008"/>
    <cellStyle name="Заголовок 1 3" xfId="144"/>
    <cellStyle name="Заголовок 1 3 2" xfId="145"/>
    <cellStyle name="Заголовок 1 3 2 2" xfId="1012"/>
    <cellStyle name="Заголовок 1 3 3" xfId="1013"/>
    <cellStyle name="Заголовок 1 3 4" xfId="1011"/>
    <cellStyle name="Заголовок 1 4" xfId="141"/>
    <cellStyle name="Заголовок 1 4 2" xfId="1014"/>
    <cellStyle name="Заголовок 1 5" xfId="1015"/>
    <cellStyle name="Заголовок 1 6" xfId="1016"/>
    <cellStyle name="Заголовок 1 7" xfId="1017"/>
    <cellStyle name="Заголовок 1 8" xfId="1007"/>
    <cellStyle name="Заголовок 2 2" xfId="147"/>
    <cellStyle name="Заголовок 2 2 1" xfId="1020"/>
    <cellStyle name="Заголовок 2 2 2" xfId="148"/>
    <cellStyle name="Заголовок 2 2 2 2" xfId="1021"/>
    <cellStyle name="Заголовок 2 2 3" xfId="1019"/>
    <cellStyle name="Заголовок 2 3" xfId="149"/>
    <cellStyle name="Заголовок 2 3 2" xfId="150"/>
    <cellStyle name="Заголовок 2 3 2 2" xfId="1023"/>
    <cellStyle name="Заголовок 2 3 3" xfId="1024"/>
    <cellStyle name="Заголовок 2 3 4" xfId="1022"/>
    <cellStyle name="Заголовок 2 4" xfId="146"/>
    <cellStyle name="Заголовок 2 4 2" xfId="1025"/>
    <cellStyle name="Заголовок 2 5" xfId="1026"/>
    <cellStyle name="Заголовок 2 6" xfId="1027"/>
    <cellStyle name="Заголовок 2 7" xfId="1028"/>
    <cellStyle name="Заголовок 2 8" xfId="1018"/>
    <cellStyle name="Заголовок 3 2" xfId="152"/>
    <cellStyle name="Заголовок 3 2 1" xfId="1031"/>
    <cellStyle name="Заголовок 3 2 2" xfId="153"/>
    <cellStyle name="Заголовок 3 2 2 2" xfId="1032"/>
    <cellStyle name="Заголовок 3 2 3" xfId="1030"/>
    <cellStyle name="Заголовок 3 3" xfId="154"/>
    <cellStyle name="Заголовок 3 3 2" xfId="155"/>
    <cellStyle name="Заголовок 3 3 2 2" xfId="1034"/>
    <cellStyle name="Заголовок 3 3 3" xfId="1035"/>
    <cellStyle name="Заголовок 3 3 4" xfId="1033"/>
    <cellStyle name="Заголовок 3 4" xfId="151"/>
    <cellStyle name="Заголовок 3 4 2" xfId="1036"/>
    <cellStyle name="Заголовок 3 5" xfId="1037"/>
    <cellStyle name="Заголовок 3 6" xfId="1038"/>
    <cellStyle name="Заголовок 3 7" xfId="1039"/>
    <cellStyle name="Заголовок 3 8" xfId="1029"/>
    <cellStyle name="Заголовок 4 2" xfId="157"/>
    <cellStyle name="Заголовок 4 2 1" xfId="1042"/>
    <cellStyle name="Заголовок 4 2 2" xfId="158"/>
    <cellStyle name="Заголовок 4 2 2 2" xfId="1043"/>
    <cellStyle name="Заголовок 4 2 3" xfId="1041"/>
    <cellStyle name="Заголовок 4 3" xfId="159"/>
    <cellStyle name="Заголовок 4 3 2" xfId="160"/>
    <cellStyle name="Заголовок 4 3 2 2" xfId="1045"/>
    <cellStyle name="Заголовок 4 3 3" xfId="1046"/>
    <cellStyle name="Заголовок 4 3 4" xfId="1044"/>
    <cellStyle name="Заголовок 4 4" xfId="156"/>
    <cellStyle name="Заголовок 4 4 2" xfId="1047"/>
    <cellStyle name="Заголовок 4 5" xfId="1048"/>
    <cellStyle name="Заголовок 4 6" xfId="1049"/>
    <cellStyle name="Заголовок 4 7" xfId="1050"/>
    <cellStyle name="Заголовок 4 8" xfId="1040"/>
    <cellStyle name="Заголовок 5" xfId="1051"/>
    <cellStyle name="ЗАГОЛОВОК1" xfId="1052"/>
    <cellStyle name="ЗАГОЛОВОК2" xfId="1053"/>
    <cellStyle name="ЗаголовокСтолбца" xfId="1054"/>
    <cellStyle name="Защитный" xfId="1055"/>
    <cellStyle name="Значение" xfId="1056"/>
    <cellStyle name="Зоголовок" xfId="1057"/>
    <cellStyle name="Итог 2" xfId="162"/>
    <cellStyle name="Итог 2 1" xfId="1060"/>
    <cellStyle name="Итог 2 2" xfId="163"/>
    <cellStyle name="Итог 2 2 2" xfId="1061"/>
    <cellStyle name="Итог 2 3" xfId="1059"/>
    <cellStyle name="Итог 3" xfId="164"/>
    <cellStyle name="Итог 3 2" xfId="165"/>
    <cellStyle name="Итог 3 2 2" xfId="1063"/>
    <cellStyle name="Итог 3 3" xfId="1064"/>
    <cellStyle name="Итог 3 4" xfId="1062"/>
    <cellStyle name="Итог 4" xfId="161"/>
    <cellStyle name="Итог 4 2" xfId="1065"/>
    <cellStyle name="Итог 5" xfId="1066"/>
    <cellStyle name="Итог 6" xfId="1067"/>
    <cellStyle name="Итог 7" xfId="1068"/>
    <cellStyle name="Итог 8" xfId="1058"/>
    <cellStyle name="Итого" xfId="1069"/>
    <cellStyle name="ИТОГОВЫЙ" xfId="1070"/>
    <cellStyle name="Контрольная ячейка 2" xfId="167"/>
    <cellStyle name="Контрольная ячейка 2 1" xfId="1073"/>
    <cellStyle name="Контрольная ячейка 2 2" xfId="168"/>
    <cellStyle name="Контрольная ячейка 2 2 2" xfId="1074"/>
    <cellStyle name="Контрольная ячейка 2 3" xfId="1072"/>
    <cellStyle name="Контрольная ячейка 3" xfId="169"/>
    <cellStyle name="Контрольная ячейка 3 2" xfId="170"/>
    <cellStyle name="Контрольная ячейка 3 2 2" xfId="1076"/>
    <cellStyle name="Контрольная ячейка 3 3" xfId="1077"/>
    <cellStyle name="Контрольная ячейка 3 4" xfId="1075"/>
    <cellStyle name="Контрольная ячейка 4" xfId="166"/>
    <cellStyle name="Контрольная ячейка 4 2" xfId="1078"/>
    <cellStyle name="Контрольная ячейка 5" xfId="1079"/>
    <cellStyle name="Контрольная ячейка 6" xfId="1080"/>
    <cellStyle name="Контрольная ячейка 7" xfId="1081"/>
    <cellStyle name="Контрольная ячейка 8" xfId="1071"/>
    <cellStyle name="Мои наименования показателей" xfId="1082"/>
    <cellStyle name="Мои наименования показателей 2" xfId="1083"/>
    <cellStyle name="Мои наименования показателей 3" xfId="1084"/>
    <cellStyle name="Мои наименования показателей 4" xfId="1085"/>
    <cellStyle name="Мои наименования показателей 5" xfId="1086"/>
    <cellStyle name="Мои наименования показателей_BALANCE.TBO.1.71" xfId="1087"/>
    <cellStyle name="Мой заголовок" xfId="1088"/>
    <cellStyle name="Мой заголовок листа" xfId="1089"/>
    <cellStyle name="назв фил" xfId="1090"/>
    <cellStyle name="Название 2" xfId="172"/>
    <cellStyle name="Название 2 1" xfId="1093"/>
    <cellStyle name="Название 2 2" xfId="173"/>
    <cellStyle name="Название 2 2 2" xfId="1094"/>
    <cellStyle name="Название 2 3" xfId="1092"/>
    <cellStyle name="Название 3" xfId="174"/>
    <cellStyle name="Название 3 2" xfId="175"/>
    <cellStyle name="Название 3 2 2" xfId="1096"/>
    <cellStyle name="Название 3 3" xfId="1095"/>
    <cellStyle name="Название 4" xfId="171"/>
    <cellStyle name="Название 4 2" xfId="1097"/>
    <cellStyle name="Название 5" xfId="1098"/>
    <cellStyle name="Название 6" xfId="1099"/>
    <cellStyle name="Название 7" xfId="1100"/>
    <cellStyle name="Название 8" xfId="1091"/>
    <cellStyle name="Нейтральный 2" xfId="177"/>
    <cellStyle name="Нейтральный 2 1" xfId="1103"/>
    <cellStyle name="Нейтральный 2 2" xfId="178"/>
    <cellStyle name="Нейтральный 2 2 2" xfId="1104"/>
    <cellStyle name="Нейтральный 2 3" xfId="1102"/>
    <cellStyle name="Нейтральный 3" xfId="179"/>
    <cellStyle name="Нейтральный 3 2" xfId="180"/>
    <cellStyle name="Нейтральный 3 2 2" xfId="1106"/>
    <cellStyle name="Нейтральный 3 3" xfId="1107"/>
    <cellStyle name="Нейтральный 3 4" xfId="1105"/>
    <cellStyle name="Нейтральный 4" xfId="176"/>
    <cellStyle name="Нейтральный 4 2" xfId="1108"/>
    <cellStyle name="Нейтральный 5" xfId="1109"/>
    <cellStyle name="Нейтральный 6" xfId="1110"/>
    <cellStyle name="Нейтральный 7" xfId="1111"/>
    <cellStyle name="Нейтральный 8" xfId="1101"/>
    <cellStyle name="Обычный" xfId="0" builtinId="0"/>
    <cellStyle name="Обычный 10" xfId="181"/>
    <cellStyle name="Обычный 10 2" xfId="1112"/>
    <cellStyle name="Обычный 10 2 4 2" xfId="4"/>
    <cellStyle name="Обычный 10 3" xfId="1113"/>
    <cellStyle name="Обычный 11" xfId="1114"/>
    <cellStyle name="Обычный 11 2" xfId="1312"/>
    <cellStyle name="Обычный 12" xfId="1115"/>
    <cellStyle name="Обычный 12 2" xfId="1116"/>
    <cellStyle name="Обычный 13" xfId="1117"/>
    <cellStyle name="Обычный 13 2" xfId="1118"/>
    <cellStyle name="Обычный 14" xfId="1119"/>
    <cellStyle name="Обычный 15" xfId="1120"/>
    <cellStyle name="Обычный 16" xfId="1121"/>
    <cellStyle name="Обычный 17" xfId="1122"/>
    <cellStyle name="Обычный 18" xfId="1311"/>
    <cellStyle name="Обычный 19" xfId="1316"/>
    <cellStyle name="Обычный 2" xfId="3"/>
    <cellStyle name="Обычный 2 1" xfId="1123"/>
    <cellStyle name="Обычный 2 10" xfId="1124"/>
    <cellStyle name="Обычный 2 10 2" xfId="5"/>
    <cellStyle name="Обычный 2 11" xfId="1125"/>
    <cellStyle name="Обычный 2 2" xfId="182"/>
    <cellStyle name="Обычный 2 2 1" xfId="1127"/>
    <cellStyle name="Обычный 2 2 2" xfId="1128"/>
    <cellStyle name="Обычный 2 2 2 2" xfId="1129"/>
    <cellStyle name="Обычный 2 2 3" xfId="1130"/>
    <cellStyle name="Обычный 2 2 4" xfId="1131"/>
    <cellStyle name="Обычный 2 2 5" xfId="1126"/>
    <cellStyle name="Обычный 2 2_!!!!!ТАРИФ на 2013 ТеплоСнаб" xfId="1132"/>
    <cellStyle name="Обычный 2 3" xfId="183"/>
    <cellStyle name="Обычный 2 3 2" xfId="1134"/>
    <cellStyle name="Обычный 2 3 3" xfId="1135"/>
    <cellStyle name="Обычный 2 3 4" xfId="1133"/>
    <cellStyle name="Обычный 2 4" xfId="184"/>
    <cellStyle name="Обычный 2 4 2" xfId="1137"/>
    <cellStyle name="Обычный 2 4 3" xfId="1138"/>
    <cellStyle name="Обычный 2 4 4" xfId="1136"/>
    <cellStyle name="Обычный 2 4_Приложение 1" xfId="1139"/>
    <cellStyle name="Обычный 2 5" xfId="185"/>
    <cellStyle name="Обычный 2 5 2" xfId="1141"/>
    <cellStyle name="Обычный 2 5 3" xfId="1140"/>
    <cellStyle name="Обычный 2 6" xfId="1142"/>
    <cellStyle name="Обычный 2 6 2" xfId="1143"/>
    <cellStyle name="Обычный 2 7" xfId="1144"/>
    <cellStyle name="Обычный 2 8" xfId="1145"/>
    <cellStyle name="Обычный 2 9" xfId="1146"/>
    <cellStyle name="Обычный 2_!!!!!ТАРИФ на 2013 ТеплоСнаб" xfId="1147"/>
    <cellStyle name="Обычный 20" xfId="1318"/>
    <cellStyle name="Обычный 21" xfId="237"/>
    <cellStyle name="Обычный 24" xfId="1148"/>
    <cellStyle name="Обычный 27" xfId="1149"/>
    <cellStyle name="Обычный 3" xfId="186"/>
    <cellStyle name="Обычный 3 2" xfId="187"/>
    <cellStyle name="Обычный 3 2 2" xfId="1151"/>
    <cellStyle name="Обычный 3 3" xfId="188"/>
    <cellStyle name="Обычный 3 3 2" xfId="1153"/>
    <cellStyle name="Обычный 3 3 3" xfId="1152"/>
    <cellStyle name="Обычный 3 4" xfId="189"/>
    <cellStyle name="Обычный 3 4 2" xfId="1154"/>
    <cellStyle name="Обычный 3 5" xfId="190"/>
    <cellStyle name="Обычный 3 5 2" xfId="1155"/>
    <cellStyle name="Обычный 3 6" xfId="191"/>
    <cellStyle name="Обычный 3 6 2" xfId="1156"/>
    <cellStyle name="Обычный 3 7" xfId="192"/>
    <cellStyle name="Обычный 3 7 2" xfId="1157"/>
    <cellStyle name="Обычный 3 8" xfId="1150"/>
    <cellStyle name="Обычный 3___Тариф ТЭ 2012 Мезенский филиал 26.04.11" xfId="1158"/>
    <cellStyle name="Обычный 4" xfId="193"/>
    <cellStyle name="Обычный 4 10" xfId="1160"/>
    <cellStyle name="Обычный 4 11" xfId="1159"/>
    <cellStyle name="Обычный 4 2" xfId="194"/>
    <cellStyle name="Обычный 4 2 2" xfId="1162"/>
    <cellStyle name="Обычный 4 2 3" xfId="1161"/>
    <cellStyle name="Обычный 4 3" xfId="195"/>
    <cellStyle name="Обычный 4 3 2" xfId="1164"/>
    <cellStyle name="Обычный 4 3 3" xfId="1163"/>
    <cellStyle name="Обычный 4 4" xfId="196"/>
    <cellStyle name="Обычный 4 4 2" xfId="1165"/>
    <cellStyle name="Обычный 4 5" xfId="197"/>
    <cellStyle name="Обычный 4 5 2" xfId="1166"/>
    <cellStyle name="Обычный 4 6" xfId="198"/>
    <cellStyle name="Обычный 4 6 2" xfId="1167"/>
    <cellStyle name="Обычный 4 7" xfId="199"/>
    <cellStyle name="Обычный 4 7 2" xfId="1168"/>
    <cellStyle name="Обычный 4 8" xfId="200"/>
    <cellStyle name="Обычный 4 8 2" xfId="1169"/>
    <cellStyle name="Обычный 4 9" xfId="201"/>
    <cellStyle name="Обычный 4 9 2" xfId="1170"/>
    <cellStyle name="Обычный 4_Исходные данные для модели" xfId="1171"/>
    <cellStyle name="Обычный 5" xfId="202"/>
    <cellStyle name="Обычный 5 2" xfId="1173"/>
    <cellStyle name="Обычный 5 2 2" xfId="1174"/>
    <cellStyle name="Обычный 5 2_Химреагенты" xfId="1175"/>
    <cellStyle name="Обычный 5 3" xfId="1176"/>
    <cellStyle name="Обычный 5 4" xfId="1172"/>
    <cellStyle name="Обычный 6" xfId="203"/>
    <cellStyle name="Обычный 6 2" xfId="1178"/>
    <cellStyle name="Обычный 6 3" xfId="1179"/>
    <cellStyle name="Обычный 6 4" xfId="1180"/>
    <cellStyle name="Обычный 6 5" xfId="1177"/>
    <cellStyle name="Обычный 6_Пересчет 2013 Холмогорское ТСП_20_08_13" xfId="1181"/>
    <cellStyle name="Обычный 7" xfId="204"/>
    <cellStyle name="Обычный 7 2" xfId="2"/>
    <cellStyle name="Обычный 7 3" xfId="1182"/>
    <cellStyle name="Обычный 8" xfId="205"/>
    <cellStyle name="Обычный 8 2" xfId="1183"/>
    <cellStyle name="Обычный 8 3" xfId="1184"/>
    <cellStyle name="Обычный 9" xfId="206"/>
    <cellStyle name="Обычный 9 2" xfId="1185"/>
    <cellStyle name="Обычный 9 3" xfId="1186"/>
    <cellStyle name="Плохой 2" xfId="208"/>
    <cellStyle name="Плохой 2 1" xfId="1189"/>
    <cellStyle name="Плохой 2 2" xfId="209"/>
    <cellStyle name="Плохой 2 2 2" xfId="1190"/>
    <cellStyle name="Плохой 2 3" xfId="1188"/>
    <cellStyle name="Плохой 3" xfId="210"/>
    <cellStyle name="Плохой 3 2" xfId="211"/>
    <cellStyle name="Плохой 3 2 2" xfId="1192"/>
    <cellStyle name="Плохой 3 3" xfId="1193"/>
    <cellStyle name="Плохой 3 4" xfId="1191"/>
    <cellStyle name="Плохой 4" xfId="207"/>
    <cellStyle name="Плохой 4 2" xfId="1194"/>
    <cellStyle name="Плохой 5" xfId="1195"/>
    <cellStyle name="Плохой 6" xfId="1196"/>
    <cellStyle name="Плохой 7" xfId="1197"/>
    <cellStyle name="Плохой 8" xfId="1187"/>
    <cellStyle name="По центру с переносом" xfId="1198"/>
    <cellStyle name="По ширине с переносом" xfId="1199"/>
    <cellStyle name="Поле ввода" xfId="1200"/>
    <cellStyle name="Пояснение 2" xfId="213"/>
    <cellStyle name="Пояснение 2 1" xfId="1203"/>
    <cellStyle name="Пояснение 2 2" xfId="214"/>
    <cellStyle name="Пояснение 2 2 2" xfId="1204"/>
    <cellStyle name="Пояснение 2 3" xfId="1202"/>
    <cellStyle name="Пояснение 3" xfId="215"/>
    <cellStyle name="Пояснение 3 2" xfId="216"/>
    <cellStyle name="Пояснение 3 2 2" xfId="1206"/>
    <cellStyle name="Пояснение 3 3" xfId="1207"/>
    <cellStyle name="Пояснение 3 4" xfId="1205"/>
    <cellStyle name="Пояснение 4" xfId="212"/>
    <cellStyle name="Пояснение 4 2" xfId="1208"/>
    <cellStyle name="Пояснение 5" xfId="1209"/>
    <cellStyle name="Пояснение 6" xfId="1210"/>
    <cellStyle name="Пояснение 7" xfId="1211"/>
    <cellStyle name="Пояснение 8" xfId="1201"/>
    <cellStyle name="Примечание 2" xfId="218"/>
    <cellStyle name="Примечание 2 1" xfId="1214"/>
    <cellStyle name="Примечание 2 2" xfId="219"/>
    <cellStyle name="Примечание 2 2 2" xfId="1216"/>
    <cellStyle name="Примечание 2 2 3" xfId="1215"/>
    <cellStyle name="Примечание 2 3" xfId="1217"/>
    <cellStyle name="Примечание 2 4" xfId="1213"/>
    <cellStyle name="Примечание 3" xfId="220"/>
    <cellStyle name="Примечание 3 2" xfId="221"/>
    <cellStyle name="Примечание 3 2 2" xfId="1219"/>
    <cellStyle name="Примечание 3 3" xfId="1220"/>
    <cellStyle name="Примечание 3 4" xfId="1218"/>
    <cellStyle name="Примечание 4" xfId="217"/>
    <cellStyle name="Примечание 4 2" xfId="1221"/>
    <cellStyle name="Примечание 5" xfId="1222"/>
    <cellStyle name="Примечание 6" xfId="1223"/>
    <cellStyle name="Примечание 7" xfId="1224"/>
    <cellStyle name="Примечание 8" xfId="1212"/>
    <cellStyle name="Процентный 2" xfId="1226"/>
    <cellStyle name="Процентный 2 2" xfId="1227"/>
    <cellStyle name="Процентный 2 2 2" xfId="1228"/>
    <cellStyle name="Процентный 2 2 3" xfId="1229"/>
    <cellStyle name="Процентный 2 2 4" xfId="1230"/>
    <cellStyle name="Процентный 2 2 5" xfId="1315"/>
    <cellStyle name="Процентный 2 3" xfId="1231"/>
    <cellStyle name="Процентный 2 3 2" xfId="1232"/>
    <cellStyle name="Процентный 2 4" xfId="1233"/>
    <cellStyle name="Процентный 3" xfId="1234"/>
    <cellStyle name="Процентный 3 1" xfId="1235"/>
    <cellStyle name="Процентный 3 2" xfId="1236"/>
    <cellStyle name="Процентный 3 3" xfId="1237"/>
    <cellStyle name="Процентный 3 4" xfId="1238"/>
    <cellStyle name="Процентный 3_!!!!!ТАРИФ на 2013 ТеплоСнаб" xfId="1239"/>
    <cellStyle name="Процентный 4" xfId="1240"/>
    <cellStyle name="Процентный 4 2" xfId="1241"/>
    <cellStyle name="Процентный 4 2 2" xfId="1242"/>
    <cellStyle name="Процентный 4 3" xfId="1243"/>
    <cellStyle name="Процентный 4 4" xfId="1244"/>
    <cellStyle name="Процентный 4 5" xfId="1314"/>
    <cellStyle name="Процентный 5" xfId="1245"/>
    <cellStyle name="Процентный 5 2" xfId="1246"/>
    <cellStyle name="Процентный 5 3" xfId="1247"/>
    <cellStyle name="Процентный 6" xfId="1248"/>
    <cellStyle name="Процентный 6 2" xfId="1249"/>
    <cellStyle name="Процентный 7" xfId="1250"/>
    <cellStyle name="Процентный 8" xfId="1317"/>
    <cellStyle name="Процентный 9" xfId="1225"/>
    <cellStyle name="Связанная ячейка 2" xfId="223"/>
    <cellStyle name="Связанная ячейка 2 1" xfId="1253"/>
    <cellStyle name="Связанная ячейка 2 2" xfId="224"/>
    <cellStyle name="Связанная ячейка 2 2 2" xfId="1254"/>
    <cellStyle name="Связанная ячейка 2 3" xfId="1252"/>
    <cellStyle name="Связанная ячейка 3" xfId="225"/>
    <cellStyle name="Связанная ячейка 3 2" xfId="226"/>
    <cellStyle name="Связанная ячейка 3 2 2" xfId="1256"/>
    <cellStyle name="Связанная ячейка 3 3" xfId="1257"/>
    <cellStyle name="Связанная ячейка 3 4" xfId="1255"/>
    <cellStyle name="Связанная ячейка 4" xfId="222"/>
    <cellStyle name="Связанная ячейка 4 2" xfId="1258"/>
    <cellStyle name="Связанная ячейка 5" xfId="1259"/>
    <cellStyle name="Связанная ячейка 6" xfId="1260"/>
    <cellStyle name="Связанная ячейка 7" xfId="1261"/>
    <cellStyle name="Связанная ячейка 8" xfId="1251"/>
    <cellStyle name="Стиль 1" xfId="1262"/>
    <cellStyle name="Стиль 1 2" xfId="1263"/>
    <cellStyle name="Текст" xfId="1264"/>
    <cellStyle name="Текст предупреждения 2" xfId="228"/>
    <cellStyle name="Текст предупреждения 2 1" xfId="1267"/>
    <cellStyle name="Текст предупреждения 2 2" xfId="229"/>
    <cellStyle name="Текст предупреждения 2 2 2" xfId="1268"/>
    <cellStyle name="Текст предупреждения 2 3" xfId="1266"/>
    <cellStyle name="Текст предупреждения 3" xfId="230"/>
    <cellStyle name="Текст предупреждения 3 2" xfId="231"/>
    <cellStyle name="Текст предупреждения 3 2 2" xfId="1270"/>
    <cellStyle name="Текст предупреждения 3 3" xfId="1271"/>
    <cellStyle name="Текст предупреждения 3 4" xfId="1269"/>
    <cellStyle name="Текст предупреждения 4" xfId="227"/>
    <cellStyle name="Текст предупреждения 4 2" xfId="1272"/>
    <cellStyle name="Текст предупреждения 5" xfId="1273"/>
    <cellStyle name="Текст предупреждения 6" xfId="1274"/>
    <cellStyle name="Текст предупреждения 7" xfId="1275"/>
    <cellStyle name="Текст предупреждения 8" xfId="1265"/>
    <cellStyle name="Текстовый" xfId="1276"/>
    <cellStyle name="Тысячи [0]_1 кв.95 и 96 года .в ц.соп." xfId="1277"/>
    <cellStyle name="Тысячи [а]" xfId="1278"/>
    <cellStyle name="Тысячи![0]_Цены 95г._Расчет ТП на февраль_Расчет ТП на февраль посл.._Расчет ТП на май" xfId="1279"/>
    <cellStyle name="Тысячи_1 кв.95 и 96 года .в ц.соп." xfId="1280"/>
    <cellStyle name="ФИКСИРОВАННЫЙ" xfId="1281"/>
    <cellStyle name="Финансовый" xfId="1" builtinId="3"/>
    <cellStyle name="Финансовый 2" xfId="1282"/>
    <cellStyle name="Финансовый 2 2" xfId="1283"/>
    <cellStyle name="Финансовый 2 2 2" xfId="1284"/>
    <cellStyle name="Финансовый 3" xfId="1285"/>
    <cellStyle name="Финансовый 3 2" xfId="1286"/>
    <cellStyle name="Финансовый 4" xfId="1287"/>
    <cellStyle name="Финансовый 5" xfId="1288"/>
    <cellStyle name="Финансовый 6" xfId="1289"/>
    <cellStyle name="Финансовый 7" xfId="1313"/>
    <cellStyle name="Формула" xfId="1290"/>
    <cellStyle name="Формула 2" xfId="1291"/>
    <cellStyle name="Формула 3" xfId="1292"/>
    <cellStyle name="Формула_A РТ 2009 Рязаньэнерго" xfId="1293"/>
    <cellStyle name="ФормулаВБ" xfId="1294"/>
    <cellStyle name="ФормулаНаКонтроль" xfId="1295"/>
    <cellStyle name="Хороший 2" xfId="233"/>
    <cellStyle name="Хороший 2 1" xfId="1298"/>
    <cellStyle name="Хороший 2 2" xfId="234"/>
    <cellStyle name="Хороший 2 2 2" xfId="1299"/>
    <cellStyle name="Хороший 2 3" xfId="1297"/>
    <cellStyle name="Хороший 3" xfId="235"/>
    <cellStyle name="Хороший 3 2" xfId="236"/>
    <cellStyle name="Хороший 3 2 2" xfId="1301"/>
    <cellStyle name="Хороший 3 3" xfId="1302"/>
    <cellStyle name="Хороший 3 4" xfId="1300"/>
    <cellStyle name="Хороший 4" xfId="232"/>
    <cellStyle name="Хороший 4 2" xfId="1303"/>
    <cellStyle name="Хороший 5" xfId="1304"/>
    <cellStyle name="Хороший 6" xfId="1305"/>
    <cellStyle name="Хороший 7" xfId="1306"/>
    <cellStyle name="Хороший 8" xfId="1296"/>
    <cellStyle name="Цифры по центру с десятыми" xfId="1307"/>
    <cellStyle name="Џђћ–…ќ’ќ›‰" xfId="1308"/>
    <cellStyle name="Шапка таблицы" xfId="1309"/>
    <cellStyle name="㼿" xfId="1310"/>
  </cellStyles>
  <dxfs count="0"/>
  <tableStyles count="0" defaultTableStyle="TableStyleMedium2" defaultPivotStyle="PivotStyleLight16"/>
  <colors>
    <mruColors>
      <color rgb="FFE198FE"/>
      <color rgb="FFFDC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84"/>
  <sheetViews>
    <sheetView tabSelected="1" view="pageBreakPreview" zoomScale="50" zoomScaleNormal="100" zoomScaleSheetLayoutView="50" workbookViewId="0">
      <pane xSplit="7" ySplit="8" topLeftCell="H9" activePane="bottomRight" state="frozen"/>
      <selection pane="topRight" activeCell="H1" sqref="H1"/>
      <selection pane="bottomLeft" activeCell="A7" sqref="A7"/>
      <selection pane="bottomRight" activeCell="C3" sqref="C3"/>
    </sheetView>
  </sheetViews>
  <sheetFormatPr defaultColWidth="9.140625" defaultRowHeight="12.75" customHeight="1" outlineLevelCol="2"/>
  <cols>
    <col min="1" max="1" width="22.85546875" style="67" customWidth="1"/>
    <col min="2" max="2" width="46.140625" style="66" customWidth="1"/>
    <col min="3" max="3" width="51.7109375" style="66" customWidth="1"/>
    <col min="4" max="4" width="57.85546875" style="67" customWidth="1"/>
    <col min="5" max="5" width="28.85546875" style="67" customWidth="1"/>
    <col min="6" max="6" width="35.5703125" style="67" customWidth="1"/>
    <col min="7" max="7" width="30.5703125" style="67" hidden="1" customWidth="1" outlineLevel="2"/>
    <col min="8" max="8" width="28.7109375" style="68" customWidth="1" outlineLevel="1" collapsed="1"/>
    <col min="9" max="12" width="28.7109375" style="68" customWidth="1" outlineLevel="1"/>
    <col min="13" max="16" width="20.7109375" style="8" customWidth="1"/>
    <col min="17" max="21" width="34.85546875" style="7" customWidth="1"/>
    <col min="22" max="24" width="34.85546875" style="8" customWidth="1"/>
    <col min="25" max="25" width="19" style="8" hidden="1" customWidth="1" outlineLevel="1"/>
    <col min="26" max="26" width="21.42578125" style="9" hidden="1" customWidth="1" outlineLevel="1"/>
    <col min="27" max="27" width="88.28515625" style="2" hidden="1" customWidth="1" outlineLevel="1"/>
    <col min="28" max="28" width="9.140625" style="8" collapsed="1"/>
    <col min="29" max="29" width="9.140625" style="8"/>
    <col min="30" max="30" width="15.140625" style="3" hidden="1" customWidth="1"/>
    <col min="31" max="16384" width="9.140625" style="8"/>
  </cols>
  <sheetData>
    <row r="1" spans="1:30" ht="15.75" customHeight="1">
      <c r="M1" s="40" t="s">
        <v>459</v>
      </c>
      <c r="N1" s="40"/>
    </row>
    <row r="2" spans="1:30" ht="15.75" customHeight="1">
      <c r="M2" s="40" t="s">
        <v>460</v>
      </c>
      <c r="N2" s="40"/>
    </row>
    <row r="3" spans="1:30" s="3" customFormat="1" ht="210.75" customHeight="1">
      <c r="A3" s="133"/>
      <c r="B3" s="133"/>
      <c r="C3" s="133"/>
      <c r="D3" s="133"/>
      <c r="E3" s="133"/>
      <c r="F3" s="133"/>
      <c r="G3" s="133"/>
      <c r="H3" s="134" t="s">
        <v>388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3"/>
      <c r="Z3" s="1"/>
      <c r="AA3" s="2"/>
    </row>
    <row r="4" spans="1:30" ht="22.5">
      <c r="A4" s="4"/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6"/>
      <c r="N4" s="6"/>
      <c r="O4" s="6"/>
      <c r="P4" s="6"/>
    </row>
    <row r="5" spans="1:30" s="2" customFormat="1" ht="112.5" customHeight="1">
      <c r="A5" s="140" t="s">
        <v>0</v>
      </c>
      <c r="B5" s="140" t="s">
        <v>1</v>
      </c>
      <c r="C5" s="140" t="s">
        <v>2</v>
      </c>
      <c r="D5" s="140" t="s">
        <v>3</v>
      </c>
      <c r="E5" s="141" t="s">
        <v>302</v>
      </c>
      <c r="F5" s="142" t="s">
        <v>4</v>
      </c>
      <c r="G5" s="142" t="s">
        <v>5</v>
      </c>
      <c r="H5" s="143" t="s">
        <v>427</v>
      </c>
      <c r="I5" s="143"/>
      <c r="J5" s="143"/>
      <c r="K5" s="143"/>
      <c r="L5" s="144"/>
      <c r="M5" s="140" t="s">
        <v>6</v>
      </c>
      <c r="N5" s="140"/>
      <c r="O5" s="140" t="s">
        <v>7</v>
      </c>
      <c r="P5" s="140"/>
      <c r="Q5" s="145" t="s">
        <v>432</v>
      </c>
      <c r="R5" s="145"/>
      <c r="S5" s="145"/>
      <c r="T5" s="145"/>
      <c r="U5" s="146"/>
      <c r="V5" s="147" t="s">
        <v>8</v>
      </c>
      <c r="W5" s="147" t="s">
        <v>389</v>
      </c>
      <c r="X5" s="147" t="s">
        <v>390</v>
      </c>
      <c r="Y5" s="148" t="s">
        <v>9</v>
      </c>
      <c r="Z5" s="149"/>
      <c r="AA5" s="147" t="s">
        <v>10</v>
      </c>
      <c r="AD5" s="3"/>
    </row>
    <row r="6" spans="1:30" s="10" customFormat="1" ht="43.5" customHeight="1">
      <c r="A6" s="140"/>
      <c r="B6" s="140"/>
      <c r="C6" s="140"/>
      <c r="D6" s="140"/>
      <c r="E6" s="150"/>
      <c r="F6" s="142"/>
      <c r="G6" s="142"/>
      <c r="H6" s="151" t="s">
        <v>391</v>
      </c>
      <c r="I6" s="151" t="s">
        <v>392</v>
      </c>
      <c r="J6" s="151" t="s">
        <v>395</v>
      </c>
      <c r="K6" s="151" t="s">
        <v>394</v>
      </c>
      <c r="L6" s="151" t="s">
        <v>11</v>
      </c>
      <c r="M6" s="151" t="s">
        <v>12</v>
      </c>
      <c r="N6" s="151" t="s">
        <v>13</v>
      </c>
      <c r="O6" s="151" t="s">
        <v>12</v>
      </c>
      <c r="P6" s="151" t="s">
        <v>13</v>
      </c>
      <c r="Q6" s="151" t="s">
        <v>391</v>
      </c>
      <c r="R6" s="151" t="s">
        <v>392</v>
      </c>
      <c r="S6" s="151" t="s">
        <v>393</v>
      </c>
      <c r="T6" s="151" t="s">
        <v>394</v>
      </c>
      <c r="U6" s="151" t="s">
        <v>11</v>
      </c>
      <c r="V6" s="147"/>
      <c r="W6" s="147"/>
      <c r="X6" s="147"/>
      <c r="Y6" s="152" t="s">
        <v>14</v>
      </c>
      <c r="Z6" s="152" t="s">
        <v>15</v>
      </c>
      <c r="AA6" s="147"/>
      <c r="AD6" s="11"/>
    </row>
    <row r="7" spans="1:30" s="21" customFormat="1" ht="15.6" customHeight="1">
      <c r="A7" s="12"/>
      <c r="B7" s="13"/>
      <c r="C7" s="13"/>
      <c r="D7" s="12"/>
      <c r="E7" s="12"/>
      <c r="F7" s="14"/>
      <c r="G7" s="14"/>
      <c r="H7" s="15"/>
      <c r="I7" s="15"/>
      <c r="J7" s="15"/>
      <c r="K7" s="15"/>
      <c r="L7" s="15"/>
      <c r="M7" s="16"/>
      <c r="N7" s="16"/>
      <c r="O7" s="17"/>
      <c r="P7" s="17"/>
      <c r="Q7" s="15"/>
      <c r="R7" s="15"/>
      <c r="S7" s="15"/>
      <c r="T7" s="15"/>
      <c r="U7" s="15"/>
      <c r="V7" s="18"/>
      <c r="W7" s="18"/>
      <c r="X7" s="18"/>
      <c r="Y7" s="19"/>
      <c r="Z7" s="20"/>
      <c r="AA7" s="10"/>
      <c r="AD7" s="11"/>
    </row>
    <row r="8" spans="1:30" s="158" customFormat="1" ht="36.75" customHeight="1">
      <c r="A8" s="153" t="s">
        <v>16</v>
      </c>
      <c r="B8" s="154"/>
      <c r="C8" s="154"/>
      <c r="D8" s="154"/>
      <c r="E8" s="154"/>
      <c r="F8" s="154"/>
      <c r="G8" s="154"/>
      <c r="H8" s="155"/>
      <c r="I8" s="155"/>
      <c r="J8" s="155"/>
      <c r="K8" s="155"/>
      <c r="L8" s="155"/>
      <c r="M8" s="156"/>
      <c r="N8" s="156"/>
      <c r="O8" s="156"/>
      <c r="P8" s="156"/>
      <c r="Q8" s="155"/>
      <c r="R8" s="155"/>
      <c r="S8" s="155"/>
      <c r="T8" s="155"/>
      <c r="U8" s="155"/>
      <c r="V8" s="156"/>
      <c r="W8" s="156"/>
      <c r="X8" s="157"/>
      <c r="Z8" s="159"/>
      <c r="AA8" s="160"/>
    </row>
    <row r="9" spans="1:30" s="158" customFormat="1" ht="36.75" customHeight="1">
      <c r="A9" s="153" t="s">
        <v>442</v>
      </c>
      <c r="B9" s="154"/>
      <c r="C9" s="154"/>
      <c r="D9" s="154"/>
      <c r="E9" s="154"/>
      <c r="F9" s="154"/>
      <c r="G9" s="154"/>
      <c r="H9" s="161"/>
      <c r="I9" s="161"/>
      <c r="J9" s="161"/>
      <c r="K9" s="161"/>
      <c r="L9" s="161"/>
      <c r="M9" s="162"/>
      <c r="N9" s="162"/>
      <c r="O9" s="162"/>
      <c r="P9" s="162"/>
      <c r="Q9" s="161"/>
      <c r="R9" s="161"/>
      <c r="S9" s="161"/>
      <c r="T9" s="161"/>
      <c r="U9" s="161"/>
      <c r="V9" s="162"/>
      <c r="W9" s="162"/>
      <c r="X9" s="163"/>
      <c r="Z9" s="159"/>
      <c r="AA9" s="160"/>
    </row>
    <row r="10" spans="1:30" s="31" customFormat="1" ht="51" customHeight="1">
      <c r="A10" s="22">
        <v>2907014249</v>
      </c>
      <c r="B10" s="23" t="s">
        <v>18</v>
      </c>
      <c r="C10" s="24" t="s">
        <v>19</v>
      </c>
      <c r="D10" s="22" t="s">
        <v>20</v>
      </c>
      <c r="E10" s="22"/>
      <c r="F10" s="25" t="s">
        <v>428</v>
      </c>
      <c r="G10" s="25"/>
      <c r="H10" s="26">
        <v>30077.203000000001</v>
      </c>
      <c r="I10" s="26">
        <v>29996.364000000001</v>
      </c>
      <c r="J10" s="26">
        <v>37377.607000000004</v>
      </c>
      <c r="K10" s="26">
        <v>29350.527999999998</v>
      </c>
      <c r="L10" s="26">
        <f>H10+I10+J10+K10</f>
        <v>126801.70199999999</v>
      </c>
      <c r="M10" s="27">
        <v>85.51</v>
      </c>
      <c r="N10" s="27">
        <v>95.63</v>
      </c>
      <c r="O10" s="27">
        <v>33.39</v>
      </c>
      <c r="P10" s="27">
        <v>34.72</v>
      </c>
      <c r="Q10" s="28">
        <f>(M10-O10)*H10</f>
        <v>1567623.8203600002</v>
      </c>
      <c r="R10" s="28">
        <f>(M10-O10)*I10</f>
        <v>1563410.4916800002</v>
      </c>
      <c r="S10" s="28">
        <f>(N10-P10)*J10</f>
        <v>2276670.0423699999</v>
      </c>
      <c r="T10" s="28">
        <f>(N10-P10)*K10</f>
        <v>1787740.6604799998</v>
      </c>
      <c r="U10" s="28">
        <f>Q10+R10+S10+T10</f>
        <v>7195445.0148900002</v>
      </c>
      <c r="V10" s="28"/>
      <c r="W10" s="28"/>
      <c r="X10" s="28"/>
      <c r="Y10" s="29">
        <f t="shared" ref="Y10:Y31" si="0">N10/M10*100</f>
        <v>111.83487311425564</v>
      </c>
      <c r="Z10" s="30">
        <f t="shared" ref="Z10:Z31" si="1">P10/O10*100</f>
        <v>103.98322851153038</v>
      </c>
      <c r="AA10" s="29"/>
      <c r="AD10" s="32">
        <f>104-Z10</f>
        <v>1.6771488469615292E-2</v>
      </c>
    </row>
    <row r="11" spans="1:30" s="40" customFormat="1" ht="51" customHeight="1">
      <c r="A11" s="33">
        <v>2907010396</v>
      </c>
      <c r="B11" s="34" t="s">
        <v>22</v>
      </c>
      <c r="C11" s="35" t="s">
        <v>19</v>
      </c>
      <c r="D11" s="33" t="s">
        <v>23</v>
      </c>
      <c r="E11" s="33"/>
      <c r="F11" s="25" t="s">
        <v>428</v>
      </c>
      <c r="G11" s="36"/>
      <c r="H11" s="69">
        <v>399.41899999999998</v>
      </c>
      <c r="I11" s="37">
        <v>519.279</v>
      </c>
      <c r="J11" s="37">
        <v>638.31600000000003</v>
      </c>
      <c r="K11" s="37">
        <v>351.08</v>
      </c>
      <c r="L11" s="26">
        <f t="shared" ref="L11:L75" si="2">H11+I11+J11+K11</f>
        <v>1908.0940000000001</v>
      </c>
      <c r="M11" s="38">
        <v>99.93</v>
      </c>
      <c r="N11" s="27">
        <v>99.93</v>
      </c>
      <c r="O11" s="38">
        <v>37.020000000000003</v>
      </c>
      <c r="P11" s="27">
        <v>38.5</v>
      </c>
      <c r="Q11" s="28">
        <f t="shared" ref="Q11:Q73" si="3">(M11-O11)*H11</f>
        <v>25127.44929</v>
      </c>
      <c r="R11" s="28">
        <f t="shared" ref="R11:R73" si="4">(M11-O11)*I11</f>
        <v>32667.841890000003</v>
      </c>
      <c r="S11" s="28">
        <f t="shared" ref="S11:S27" si="5">(N11-P11)*J11</f>
        <v>39211.751880000003</v>
      </c>
      <c r="T11" s="28">
        <f t="shared" ref="T11:T74" si="6">(N11-P11)*K11</f>
        <v>21566.844400000002</v>
      </c>
      <c r="U11" s="28">
        <f t="shared" ref="U11:U75" si="7">Q11+R11+S11+T11</f>
        <v>118573.88746</v>
      </c>
      <c r="V11" s="39"/>
      <c r="W11" s="39"/>
      <c r="X11" s="39"/>
      <c r="Y11" s="29">
        <f t="shared" si="0"/>
        <v>100</v>
      </c>
      <c r="Z11" s="30">
        <f t="shared" si="1"/>
        <v>103.99783900594272</v>
      </c>
      <c r="AA11" s="2"/>
      <c r="AD11" s="32">
        <f t="shared" ref="AD11:AD83" si="8">104-Z11</f>
        <v>2.1609940572773212E-3</v>
      </c>
    </row>
    <row r="12" spans="1:30" s="40" customFormat="1" ht="51" customHeight="1">
      <c r="A12" s="33">
        <v>2907017553</v>
      </c>
      <c r="B12" s="34" t="s">
        <v>25</v>
      </c>
      <c r="C12" s="35" t="s">
        <v>19</v>
      </c>
      <c r="D12" s="33" t="s">
        <v>26</v>
      </c>
      <c r="E12" s="33"/>
      <c r="F12" s="25" t="s">
        <v>428</v>
      </c>
      <c r="G12" s="36"/>
      <c r="H12" s="37">
        <v>173781.45499999999</v>
      </c>
      <c r="I12" s="37">
        <f>177471.739-3163.923</f>
        <v>174307.81599999999</v>
      </c>
      <c r="J12" s="37">
        <v>171022.00899999999</v>
      </c>
      <c r="K12" s="37">
        <v>179597.27600000001</v>
      </c>
      <c r="L12" s="26">
        <f t="shared" si="2"/>
        <v>698708.55599999987</v>
      </c>
      <c r="M12" s="38">
        <v>36.479999999999997</v>
      </c>
      <c r="N12" s="27">
        <v>43.045619689600002</v>
      </c>
      <c r="O12" s="38">
        <v>29.61</v>
      </c>
      <c r="P12" s="27">
        <v>30.79</v>
      </c>
      <c r="Q12" s="28">
        <f t="shared" si="3"/>
        <v>1193878.5958499995</v>
      </c>
      <c r="R12" s="28">
        <f t="shared" si="4"/>
        <v>1197494.6959199994</v>
      </c>
      <c r="S12" s="28">
        <f t="shared" si="5"/>
        <v>2095980.7008553487</v>
      </c>
      <c r="T12" s="28">
        <f t="shared" si="6"/>
        <v>2201075.9119441262</v>
      </c>
      <c r="U12" s="28">
        <f t="shared" si="7"/>
        <v>6688429.904569475</v>
      </c>
      <c r="V12" s="39"/>
      <c r="W12" s="39"/>
      <c r="X12" s="39"/>
      <c r="Y12" s="29">
        <f t="shared" si="0"/>
        <v>117.99786099122809</v>
      </c>
      <c r="Z12" s="30">
        <f t="shared" si="1"/>
        <v>103.98514015535292</v>
      </c>
      <c r="AA12" s="2"/>
      <c r="AD12" s="32">
        <f t="shared" si="8"/>
        <v>1.4859844647077125E-2</v>
      </c>
    </row>
    <row r="13" spans="1:30" s="40" customFormat="1" ht="51" customHeight="1">
      <c r="A13" s="33">
        <v>2907017553</v>
      </c>
      <c r="B13" s="34" t="s">
        <v>25</v>
      </c>
      <c r="C13" s="35" t="s">
        <v>19</v>
      </c>
      <c r="D13" s="33" t="s">
        <v>27</v>
      </c>
      <c r="E13" s="33"/>
      <c r="F13" s="25" t="s">
        <v>428</v>
      </c>
      <c r="G13" s="36"/>
      <c r="H13" s="37">
        <v>1464.819</v>
      </c>
      <c r="I13" s="37">
        <v>1766.067</v>
      </c>
      <c r="J13" s="37">
        <v>1827.2359999999999</v>
      </c>
      <c r="K13" s="37">
        <v>1693.7529999999999</v>
      </c>
      <c r="L13" s="26">
        <f t="shared" si="2"/>
        <v>6751.8749999999991</v>
      </c>
      <c r="M13" s="38">
        <v>34.22</v>
      </c>
      <c r="N13" s="27">
        <v>40.379600000000011</v>
      </c>
      <c r="O13" s="38">
        <v>29.61</v>
      </c>
      <c r="P13" s="27">
        <v>30.79</v>
      </c>
      <c r="Q13" s="28">
        <f t="shared" si="3"/>
        <v>6752.8155899999992</v>
      </c>
      <c r="R13" s="28">
        <f t="shared" si="4"/>
        <v>8141.5688699999992</v>
      </c>
      <c r="S13" s="28">
        <f t="shared" si="5"/>
        <v>17522.462345600019</v>
      </c>
      <c r="T13" s="28">
        <f t="shared" si="6"/>
        <v>16242.413768800019</v>
      </c>
      <c r="U13" s="28">
        <f t="shared" si="7"/>
        <v>48659.260574400032</v>
      </c>
      <c r="V13" s="39"/>
      <c r="W13" s="39"/>
      <c r="X13" s="39"/>
      <c r="Y13" s="29">
        <f t="shared" si="0"/>
        <v>118.00000000000004</v>
      </c>
      <c r="Z13" s="30">
        <f t="shared" si="1"/>
        <v>103.98514015535292</v>
      </c>
      <c r="AA13" s="2"/>
      <c r="AD13" s="32">
        <f t="shared" si="8"/>
        <v>1.4859844647077125E-2</v>
      </c>
    </row>
    <row r="14" spans="1:30" s="40" customFormat="1" ht="51" customHeight="1">
      <c r="A14" s="33">
        <v>2907017553</v>
      </c>
      <c r="B14" s="34" t="s">
        <v>25</v>
      </c>
      <c r="C14" s="35" t="s">
        <v>19</v>
      </c>
      <c r="D14" s="33" t="s">
        <v>28</v>
      </c>
      <c r="E14" s="33"/>
      <c r="F14" s="25" t="s">
        <v>428</v>
      </c>
      <c r="G14" s="36"/>
      <c r="H14" s="37">
        <v>687.79</v>
      </c>
      <c r="I14" s="37">
        <v>669.72</v>
      </c>
      <c r="J14" s="37">
        <v>471.5</v>
      </c>
      <c r="K14" s="37">
        <v>624.26</v>
      </c>
      <c r="L14" s="26">
        <f t="shared" si="2"/>
        <v>2453.27</v>
      </c>
      <c r="M14" s="38">
        <v>40.03</v>
      </c>
      <c r="N14" s="27">
        <v>47.235400000000013</v>
      </c>
      <c r="O14" s="38">
        <v>29.61</v>
      </c>
      <c r="P14" s="27">
        <v>30.79</v>
      </c>
      <c r="Q14" s="28">
        <f t="shared" si="3"/>
        <v>7166.7718000000004</v>
      </c>
      <c r="R14" s="28">
        <f t="shared" si="4"/>
        <v>6978.4824000000017</v>
      </c>
      <c r="S14" s="28">
        <f t="shared" si="5"/>
        <v>7754.006100000006</v>
      </c>
      <c r="T14" s="28">
        <f t="shared" si="6"/>
        <v>10266.205404000008</v>
      </c>
      <c r="U14" s="28">
        <f t="shared" si="7"/>
        <v>32165.465704000017</v>
      </c>
      <c r="V14" s="39"/>
      <c r="W14" s="39"/>
      <c r="X14" s="39"/>
      <c r="Y14" s="29">
        <f t="shared" si="0"/>
        <v>118.00000000000004</v>
      </c>
      <c r="Z14" s="30">
        <f t="shared" si="1"/>
        <v>103.98514015535292</v>
      </c>
      <c r="AA14" s="2"/>
      <c r="AD14" s="32">
        <f t="shared" si="8"/>
        <v>1.4859844647077125E-2</v>
      </c>
    </row>
    <row r="15" spans="1:30" s="40" customFormat="1" ht="51" customHeight="1">
      <c r="A15" s="33">
        <v>2907017553</v>
      </c>
      <c r="B15" s="34" t="s">
        <v>25</v>
      </c>
      <c r="C15" s="35" t="s">
        <v>19</v>
      </c>
      <c r="D15" s="33" t="s">
        <v>29</v>
      </c>
      <c r="E15" s="33"/>
      <c r="F15" s="25" t="s">
        <v>428</v>
      </c>
      <c r="G15" s="36"/>
      <c r="H15" s="37">
        <v>2892.3</v>
      </c>
      <c r="I15" s="37">
        <v>2601.06</v>
      </c>
      <c r="J15" s="37">
        <v>3493.1800000000003</v>
      </c>
      <c r="K15" s="37">
        <v>3704.1499999999996</v>
      </c>
      <c r="L15" s="26">
        <f t="shared" si="2"/>
        <v>12690.69</v>
      </c>
      <c r="M15" s="38">
        <v>35.86</v>
      </c>
      <c r="N15" s="27">
        <v>42.314800000000005</v>
      </c>
      <c r="O15" s="38">
        <v>29.61</v>
      </c>
      <c r="P15" s="27">
        <v>30.79</v>
      </c>
      <c r="Q15" s="28">
        <f t="shared" si="3"/>
        <v>18076.875</v>
      </c>
      <c r="R15" s="28">
        <f t="shared" si="4"/>
        <v>16256.625</v>
      </c>
      <c r="S15" s="28">
        <f t="shared" si="5"/>
        <v>40258.200864000028</v>
      </c>
      <c r="T15" s="28">
        <f t="shared" si="6"/>
        <v>42689.58792000002</v>
      </c>
      <c r="U15" s="28">
        <f t="shared" si="7"/>
        <v>117281.28878400005</v>
      </c>
      <c r="V15" s="39"/>
      <c r="W15" s="39"/>
      <c r="X15" s="39"/>
      <c r="Y15" s="29">
        <f t="shared" si="0"/>
        <v>118.00000000000001</v>
      </c>
      <c r="Z15" s="30">
        <f t="shared" si="1"/>
        <v>103.98514015535292</v>
      </c>
      <c r="AA15" s="2"/>
      <c r="AD15" s="32">
        <f t="shared" si="8"/>
        <v>1.4859844647077125E-2</v>
      </c>
    </row>
    <row r="16" spans="1:30" s="40" customFormat="1" ht="51" customHeight="1">
      <c r="A16" s="33">
        <v>2907017553</v>
      </c>
      <c r="B16" s="34" t="s">
        <v>25</v>
      </c>
      <c r="C16" s="35" t="s">
        <v>19</v>
      </c>
      <c r="D16" s="33" t="s">
        <v>30</v>
      </c>
      <c r="E16" s="33"/>
      <c r="F16" s="25" t="s">
        <v>428</v>
      </c>
      <c r="G16" s="36"/>
      <c r="H16" s="37">
        <v>1026.6400000000001</v>
      </c>
      <c r="I16" s="37">
        <v>1326.56</v>
      </c>
      <c r="J16" s="37">
        <v>1178.17</v>
      </c>
      <c r="K16" s="37">
        <v>1073.75</v>
      </c>
      <c r="L16" s="26">
        <f t="shared" si="2"/>
        <v>4605.12</v>
      </c>
      <c r="M16" s="38">
        <v>31.62</v>
      </c>
      <c r="N16" s="27">
        <v>37.311599999999999</v>
      </c>
      <c r="O16" s="38">
        <v>29.61</v>
      </c>
      <c r="P16" s="27">
        <v>30.79</v>
      </c>
      <c r="Q16" s="28">
        <f t="shared" si="3"/>
        <v>2063.546400000002</v>
      </c>
      <c r="R16" s="28">
        <f t="shared" si="4"/>
        <v>2666.3856000000019</v>
      </c>
      <c r="S16" s="28">
        <f t="shared" si="5"/>
        <v>7683.5534719999996</v>
      </c>
      <c r="T16" s="28">
        <f t="shared" si="6"/>
        <v>7002.5679999999993</v>
      </c>
      <c r="U16" s="28">
        <f t="shared" si="7"/>
        <v>19416.053472000003</v>
      </c>
      <c r="V16" s="39"/>
      <c r="W16" s="39"/>
      <c r="X16" s="39"/>
      <c r="Y16" s="29">
        <f t="shared" si="0"/>
        <v>118</v>
      </c>
      <c r="Z16" s="30">
        <f t="shared" si="1"/>
        <v>103.98514015535292</v>
      </c>
      <c r="AA16" s="2"/>
      <c r="AD16" s="32">
        <f t="shared" si="8"/>
        <v>1.4859844647077125E-2</v>
      </c>
    </row>
    <row r="17" spans="1:30" s="40" customFormat="1" ht="51" customHeight="1">
      <c r="A17" s="33">
        <v>2907017553</v>
      </c>
      <c r="B17" s="34" t="s">
        <v>25</v>
      </c>
      <c r="C17" s="35" t="s">
        <v>19</v>
      </c>
      <c r="D17" s="33" t="s">
        <v>31</v>
      </c>
      <c r="E17" s="33"/>
      <c r="F17" s="25" t="s">
        <v>428</v>
      </c>
      <c r="G17" s="36"/>
      <c r="H17" s="37">
        <v>494.07000000000005</v>
      </c>
      <c r="I17" s="37">
        <v>466.74</v>
      </c>
      <c r="J17" s="37">
        <v>541.84</v>
      </c>
      <c r="K17" s="37">
        <v>479.38</v>
      </c>
      <c r="L17" s="26">
        <f t="shared" si="2"/>
        <v>1982.0300000000002</v>
      </c>
      <c r="M17" s="38">
        <v>29.65</v>
      </c>
      <c r="N17" s="27">
        <v>34.987000000000002</v>
      </c>
      <c r="O17" s="38">
        <v>29.65</v>
      </c>
      <c r="P17" s="27">
        <v>30.84</v>
      </c>
      <c r="Q17" s="28">
        <f t="shared" si="3"/>
        <v>0</v>
      </c>
      <c r="R17" s="28">
        <f t="shared" si="4"/>
        <v>0</v>
      </c>
      <c r="S17" s="28">
        <f t="shared" si="5"/>
        <v>2247.0104800000013</v>
      </c>
      <c r="T17" s="28">
        <f t="shared" si="6"/>
        <v>1987.9888600000008</v>
      </c>
      <c r="U17" s="28">
        <f t="shared" si="7"/>
        <v>4234.9993400000021</v>
      </c>
      <c r="V17" s="39"/>
      <c r="W17" s="39"/>
      <c r="X17" s="39"/>
      <c r="Y17" s="29">
        <f t="shared" si="0"/>
        <v>118.00000000000001</v>
      </c>
      <c r="Z17" s="30">
        <f t="shared" si="1"/>
        <v>104.01349072512649</v>
      </c>
      <c r="AA17" s="2"/>
      <c r="AD17" s="32">
        <f t="shared" si="8"/>
        <v>-1.3490725126487746E-2</v>
      </c>
    </row>
    <row r="18" spans="1:30" s="40" customFormat="1" ht="51" customHeight="1">
      <c r="A18" s="33">
        <v>2907017553</v>
      </c>
      <c r="B18" s="34" t="s">
        <v>25</v>
      </c>
      <c r="C18" s="35" t="s">
        <v>19</v>
      </c>
      <c r="D18" s="33" t="s">
        <v>32</v>
      </c>
      <c r="E18" s="33"/>
      <c r="F18" s="25" t="s">
        <v>428</v>
      </c>
      <c r="G18" s="36"/>
      <c r="H18" s="37">
        <v>3429.5299999999997</v>
      </c>
      <c r="I18" s="37">
        <v>3321.72</v>
      </c>
      <c r="J18" s="37">
        <v>3898.41</v>
      </c>
      <c r="K18" s="37">
        <v>3374.3</v>
      </c>
      <c r="L18" s="26">
        <f t="shared" si="2"/>
        <v>14023.96</v>
      </c>
      <c r="M18" s="38">
        <v>55.56</v>
      </c>
      <c r="N18" s="27">
        <v>65.560800000000015</v>
      </c>
      <c r="O18" s="38">
        <v>28.95</v>
      </c>
      <c r="P18" s="27">
        <v>30.11</v>
      </c>
      <c r="Q18" s="28">
        <f t="shared" si="3"/>
        <v>91259.793300000005</v>
      </c>
      <c r="R18" s="28">
        <f t="shared" si="4"/>
        <v>88390.969200000007</v>
      </c>
      <c r="S18" s="28">
        <f t="shared" si="5"/>
        <v>138201.75322800005</v>
      </c>
      <c r="T18" s="28">
        <f t="shared" si="6"/>
        <v>119621.63444000005</v>
      </c>
      <c r="U18" s="28">
        <f t="shared" si="7"/>
        <v>437474.15016800014</v>
      </c>
      <c r="V18" s="39"/>
      <c r="W18" s="39"/>
      <c r="X18" s="39"/>
      <c r="Y18" s="29">
        <f t="shared" si="0"/>
        <v>118.00000000000001</v>
      </c>
      <c r="Z18" s="30">
        <f t="shared" si="1"/>
        <v>104.00690846286702</v>
      </c>
      <c r="AA18" s="2"/>
      <c r="AD18" s="32">
        <f t="shared" si="8"/>
        <v>-6.9084628670168513E-3</v>
      </c>
    </row>
    <row r="19" spans="1:30" s="40" customFormat="1" ht="51" customHeight="1">
      <c r="A19" s="33">
        <v>2907017553</v>
      </c>
      <c r="B19" s="34" t="s">
        <v>25</v>
      </c>
      <c r="C19" s="35" t="s">
        <v>19</v>
      </c>
      <c r="D19" s="33" t="s">
        <v>33</v>
      </c>
      <c r="E19" s="33"/>
      <c r="F19" s="25" t="s">
        <v>428</v>
      </c>
      <c r="G19" s="36"/>
      <c r="H19" s="37">
        <v>3025.67</v>
      </c>
      <c r="I19" s="37">
        <v>2837.37</v>
      </c>
      <c r="J19" s="37">
        <v>4437.3999999999996</v>
      </c>
      <c r="K19" s="37">
        <v>4452.3999999999996</v>
      </c>
      <c r="L19" s="26">
        <f t="shared" si="2"/>
        <v>14752.839999999998</v>
      </c>
      <c r="M19" s="38">
        <v>54.79</v>
      </c>
      <c r="N19" s="27">
        <v>64.652200000000022</v>
      </c>
      <c r="O19" s="38">
        <v>37.200000000000003</v>
      </c>
      <c r="P19" s="27">
        <v>38.69</v>
      </c>
      <c r="Q19" s="28">
        <f t="shared" si="3"/>
        <v>53221.535299999989</v>
      </c>
      <c r="R19" s="28">
        <f t="shared" si="4"/>
        <v>49909.338299999989</v>
      </c>
      <c r="S19" s="28">
        <f t="shared" si="5"/>
        <v>115204.66628000009</v>
      </c>
      <c r="T19" s="28">
        <f t="shared" si="6"/>
        <v>115594.0992800001</v>
      </c>
      <c r="U19" s="28">
        <f t="shared" si="7"/>
        <v>333929.63916000014</v>
      </c>
      <c r="V19" s="39"/>
      <c r="W19" s="39"/>
      <c r="X19" s="39"/>
      <c r="Y19" s="29">
        <f t="shared" si="0"/>
        <v>118.00000000000004</v>
      </c>
      <c r="Z19" s="30">
        <f t="shared" si="1"/>
        <v>104.005376344086</v>
      </c>
      <c r="AA19" s="2"/>
      <c r="AD19" s="32">
        <f t="shared" si="8"/>
        <v>-5.3763440860024048E-3</v>
      </c>
    </row>
    <row r="20" spans="1:30" s="40" customFormat="1" ht="51" customHeight="1">
      <c r="A20" s="33">
        <v>2907017553</v>
      </c>
      <c r="B20" s="34" t="s">
        <v>25</v>
      </c>
      <c r="C20" s="35" t="s">
        <v>19</v>
      </c>
      <c r="D20" s="33" t="s">
        <v>34</v>
      </c>
      <c r="E20" s="33"/>
      <c r="F20" s="25" t="s">
        <v>428</v>
      </c>
      <c r="G20" s="36"/>
      <c r="H20" s="37">
        <v>1259.3400000000001</v>
      </c>
      <c r="I20" s="37">
        <v>1217.83</v>
      </c>
      <c r="J20" s="37">
        <v>1405.3899999999999</v>
      </c>
      <c r="K20" s="37">
        <v>1128.3899999999999</v>
      </c>
      <c r="L20" s="26">
        <f t="shared" si="2"/>
        <v>5010.95</v>
      </c>
      <c r="M20" s="38">
        <v>34.17</v>
      </c>
      <c r="N20" s="27">
        <v>40.320600000000013</v>
      </c>
      <c r="O20" s="38">
        <v>20.86</v>
      </c>
      <c r="P20" s="27">
        <v>21.69</v>
      </c>
      <c r="Q20" s="28">
        <f t="shared" si="3"/>
        <v>16761.815400000003</v>
      </c>
      <c r="R20" s="28">
        <f t="shared" si="4"/>
        <v>16209.317300000002</v>
      </c>
      <c r="S20" s="28">
        <f t="shared" si="5"/>
        <v>26183.258934000016</v>
      </c>
      <c r="T20" s="28">
        <f t="shared" si="6"/>
        <v>21022.582734000011</v>
      </c>
      <c r="U20" s="28">
        <f t="shared" si="7"/>
        <v>80176.974368000025</v>
      </c>
      <c r="V20" s="39"/>
      <c r="W20" s="39"/>
      <c r="X20" s="39"/>
      <c r="Y20" s="29">
        <f t="shared" si="0"/>
        <v>118.00000000000004</v>
      </c>
      <c r="Z20" s="30">
        <f t="shared" si="1"/>
        <v>103.97890699904124</v>
      </c>
      <c r="AA20" s="2"/>
      <c r="AD20" s="32">
        <f t="shared" si="8"/>
        <v>2.1093000958757102E-2</v>
      </c>
    </row>
    <row r="21" spans="1:30" s="40" customFormat="1" ht="51" customHeight="1">
      <c r="A21" s="33">
        <v>2907017553</v>
      </c>
      <c r="B21" s="34" t="s">
        <v>25</v>
      </c>
      <c r="C21" s="35" t="s">
        <v>19</v>
      </c>
      <c r="D21" s="33" t="s">
        <v>35</v>
      </c>
      <c r="E21" s="33"/>
      <c r="F21" s="25" t="s">
        <v>428</v>
      </c>
      <c r="G21" s="36"/>
      <c r="H21" s="37">
        <v>378.90999999999997</v>
      </c>
      <c r="I21" s="37">
        <v>395.35</v>
      </c>
      <c r="J21" s="37">
        <v>408.57000000000005</v>
      </c>
      <c r="K21" s="37">
        <v>364.38</v>
      </c>
      <c r="L21" s="26">
        <f t="shared" si="2"/>
        <v>1547.21</v>
      </c>
      <c r="M21" s="38">
        <v>51.24</v>
      </c>
      <c r="N21" s="27">
        <v>60.463200000000008</v>
      </c>
      <c r="O21" s="38">
        <v>40.1</v>
      </c>
      <c r="P21" s="27">
        <v>41.7</v>
      </c>
      <c r="Q21" s="28">
        <f t="shared" si="3"/>
        <v>4221.0573999999997</v>
      </c>
      <c r="R21" s="28">
        <f t="shared" si="4"/>
        <v>4404.1990000000005</v>
      </c>
      <c r="S21" s="28">
        <f t="shared" si="5"/>
        <v>7666.0806240000029</v>
      </c>
      <c r="T21" s="28">
        <f t="shared" si="6"/>
        <v>6836.9348160000018</v>
      </c>
      <c r="U21" s="28">
        <f t="shared" si="7"/>
        <v>23128.271840000005</v>
      </c>
      <c r="V21" s="39"/>
      <c r="W21" s="39"/>
      <c r="X21" s="39"/>
      <c r="Y21" s="29">
        <f t="shared" si="0"/>
        <v>118.00000000000001</v>
      </c>
      <c r="Z21" s="30">
        <f t="shared" si="1"/>
        <v>103.99002493765586</v>
      </c>
      <c r="AA21" s="2"/>
      <c r="AD21" s="32">
        <f t="shared" si="8"/>
        <v>9.9750623441394737E-3</v>
      </c>
    </row>
    <row r="22" spans="1:30" s="40" customFormat="1" ht="51" customHeight="1">
      <c r="A22" s="33">
        <v>2907017553</v>
      </c>
      <c r="B22" s="34" t="s">
        <v>25</v>
      </c>
      <c r="C22" s="35" t="s">
        <v>19</v>
      </c>
      <c r="D22" s="33" t="s">
        <v>36</v>
      </c>
      <c r="E22" s="33"/>
      <c r="F22" s="25" t="s">
        <v>428</v>
      </c>
      <c r="G22" s="36"/>
      <c r="H22" s="37">
        <v>515.11</v>
      </c>
      <c r="I22" s="37">
        <v>514.55999999999995</v>
      </c>
      <c r="J22" s="37">
        <v>587.68999999999994</v>
      </c>
      <c r="K22" s="37">
        <v>569.27</v>
      </c>
      <c r="L22" s="26">
        <f t="shared" si="2"/>
        <v>2186.63</v>
      </c>
      <c r="M22" s="38">
        <v>57.53</v>
      </c>
      <c r="N22" s="27">
        <v>67.885400000000004</v>
      </c>
      <c r="O22" s="38">
        <v>29.61</v>
      </c>
      <c r="P22" s="27">
        <v>30.79</v>
      </c>
      <c r="Q22" s="28">
        <f t="shared" si="3"/>
        <v>14381.871200000001</v>
      </c>
      <c r="R22" s="28">
        <f t="shared" si="4"/>
        <v>14366.5152</v>
      </c>
      <c r="S22" s="28">
        <f t="shared" si="5"/>
        <v>21800.595626000002</v>
      </c>
      <c r="T22" s="28">
        <f t="shared" si="6"/>
        <v>21117.298358000004</v>
      </c>
      <c r="U22" s="28">
        <f t="shared" si="7"/>
        <v>71666.280384000012</v>
      </c>
      <c r="V22" s="39"/>
      <c r="W22" s="39"/>
      <c r="X22" s="39"/>
      <c r="Y22" s="29">
        <f t="shared" si="0"/>
        <v>118.00000000000001</v>
      </c>
      <c r="Z22" s="30">
        <f t="shared" si="1"/>
        <v>103.98514015535292</v>
      </c>
      <c r="AA22" s="2"/>
      <c r="AD22" s="32">
        <f t="shared" si="8"/>
        <v>1.4859844647077125E-2</v>
      </c>
    </row>
    <row r="23" spans="1:30" s="40" customFormat="1" ht="51" customHeight="1">
      <c r="A23" s="33">
        <v>2907017553</v>
      </c>
      <c r="B23" s="34" t="s">
        <v>25</v>
      </c>
      <c r="C23" s="35" t="s">
        <v>19</v>
      </c>
      <c r="D23" s="33" t="s">
        <v>37</v>
      </c>
      <c r="E23" s="33"/>
      <c r="F23" s="25" t="s">
        <v>428</v>
      </c>
      <c r="G23" s="36"/>
      <c r="H23" s="37">
        <v>553.57000000000005</v>
      </c>
      <c r="I23" s="37">
        <v>594.54999999999995</v>
      </c>
      <c r="J23" s="37">
        <v>690.17</v>
      </c>
      <c r="K23" s="37">
        <v>526.29</v>
      </c>
      <c r="L23" s="26">
        <f t="shared" si="2"/>
        <v>2364.58</v>
      </c>
      <c r="M23" s="38">
        <v>57.44</v>
      </c>
      <c r="N23" s="27">
        <v>67.779200000000003</v>
      </c>
      <c r="O23" s="38">
        <v>43.67</v>
      </c>
      <c r="P23" s="27">
        <v>45.42</v>
      </c>
      <c r="Q23" s="28">
        <f t="shared" si="3"/>
        <v>7622.6588999999985</v>
      </c>
      <c r="R23" s="28">
        <f t="shared" si="4"/>
        <v>8186.9534999999969</v>
      </c>
      <c r="S23" s="28">
        <f t="shared" si="5"/>
        <v>15431.649063999999</v>
      </c>
      <c r="T23" s="28">
        <f t="shared" si="6"/>
        <v>11767.423368</v>
      </c>
      <c r="U23" s="28">
        <f t="shared" si="7"/>
        <v>43008.684831999999</v>
      </c>
      <c r="V23" s="39"/>
      <c r="W23" s="39"/>
      <c r="X23" s="39"/>
      <c r="Y23" s="29">
        <f t="shared" si="0"/>
        <v>118.00000000000001</v>
      </c>
      <c r="Z23" s="30">
        <f t="shared" si="1"/>
        <v>104.00732768490954</v>
      </c>
      <c r="AA23" s="2"/>
      <c r="AD23" s="32">
        <f t="shared" si="8"/>
        <v>-7.3276849095407215E-3</v>
      </c>
    </row>
    <row r="24" spans="1:30" s="40" customFormat="1" ht="51" customHeight="1">
      <c r="A24" s="33">
        <v>2907017553</v>
      </c>
      <c r="B24" s="34" t="s">
        <v>25</v>
      </c>
      <c r="C24" s="35" t="s">
        <v>19</v>
      </c>
      <c r="D24" s="33" t="s">
        <v>38</v>
      </c>
      <c r="E24" s="33"/>
      <c r="F24" s="25" t="s">
        <v>428</v>
      </c>
      <c r="G24" s="36"/>
      <c r="H24" s="37">
        <v>730.38000000000011</v>
      </c>
      <c r="I24" s="37">
        <v>723.25</v>
      </c>
      <c r="J24" s="37">
        <v>754.61</v>
      </c>
      <c r="K24" s="37">
        <v>786.62999999999988</v>
      </c>
      <c r="L24" s="26">
        <f t="shared" si="2"/>
        <v>2994.87</v>
      </c>
      <c r="M24" s="38">
        <v>51.15</v>
      </c>
      <c r="N24" s="27">
        <v>60.357000000000006</v>
      </c>
      <c r="O24" s="38">
        <v>45.66</v>
      </c>
      <c r="P24" s="27">
        <v>47.49</v>
      </c>
      <c r="Q24" s="28">
        <f t="shared" si="3"/>
        <v>4009.7862000000018</v>
      </c>
      <c r="R24" s="28">
        <f t="shared" si="4"/>
        <v>3970.6425000000013</v>
      </c>
      <c r="S24" s="28">
        <f t="shared" si="5"/>
        <v>9709.5668700000042</v>
      </c>
      <c r="T24" s="28">
        <f t="shared" si="6"/>
        <v>10121.568210000001</v>
      </c>
      <c r="U24" s="28">
        <f t="shared" si="7"/>
        <v>27811.563780000008</v>
      </c>
      <c r="V24" s="39"/>
      <c r="W24" s="39"/>
      <c r="X24" s="39"/>
      <c r="Y24" s="29">
        <f t="shared" si="0"/>
        <v>118.00000000000001</v>
      </c>
      <c r="Z24" s="30">
        <f t="shared" si="1"/>
        <v>104.0078843626807</v>
      </c>
      <c r="AA24" s="2"/>
      <c r="AD24" s="32">
        <f t="shared" si="8"/>
        <v>-7.8843626806985867E-3</v>
      </c>
    </row>
    <row r="25" spans="1:30" s="40" customFormat="1" ht="51" customHeight="1">
      <c r="A25" s="33">
        <v>2907017553</v>
      </c>
      <c r="B25" s="34" t="s">
        <v>25</v>
      </c>
      <c r="C25" s="35" t="s">
        <v>19</v>
      </c>
      <c r="D25" s="33" t="s">
        <v>39</v>
      </c>
      <c r="E25" s="33"/>
      <c r="F25" s="25" t="s">
        <v>428</v>
      </c>
      <c r="G25" s="36"/>
      <c r="H25" s="37">
        <v>35.07</v>
      </c>
      <c r="I25" s="37">
        <v>35.07</v>
      </c>
      <c r="J25" s="37">
        <v>35.07</v>
      </c>
      <c r="K25" s="37">
        <v>35.07</v>
      </c>
      <c r="L25" s="26">
        <f t="shared" si="2"/>
        <v>140.28</v>
      </c>
      <c r="M25" s="38">
        <v>43.4</v>
      </c>
      <c r="N25" s="27">
        <v>51.21200000000001</v>
      </c>
      <c r="O25" s="38">
        <v>38.24</v>
      </c>
      <c r="P25" s="27">
        <v>39.770000000000003</v>
      </c>
      <c r="Q25" s="28">
        <f t="shared" si="3"/>
        <v>180.96119999999988</v>
      </c>
      <c r="R25" s="28">
        <f t="shared" si="4"/>
        <v>180.96119999999988</v>
      </c>
      <c r="S25" s="28">
        <f t="shared" si="5"/>
        <v>401.27094000000028</v>
      </c>
      <c r="T25" s="28">
        <f t="shared" si="6"/>
        <v>401.27094000000028</v>
      </c>
      <c r="U25" s="28">
        <f t="shared" si="7"/>
        <v>1164.4642800000004</v>
      </c>
      <c r="V25" s="39"/>
      <c r="W25" s="39"/>
      <c r="X25" s="39"/>
      <c r="Y25" s="29">
        <f t="shared" si="0"/>
        <v>118.00000000000004</v>
      </c>
      <c r="Z25" s="30">
        <f t="shared" si="1"/>
        <v>104.0010460251046</v>
      </c>
      <c r="AA25" s="2"/>
      <c r="AD25" s="32">
        <f t="shared" si="8"/>
        <v>-1.0460251045998348E-3</v>
      </c>
    </row>
    <row r="26" spans="1:30" s="40" customFormat="1" ht="51" customHeight="1">
      <c r="A26" s="33">
        <v>2907017553</v>
      </c>
      <c r="B26" s="34" t="s">
        <v>25</v>
      </c>
      <c r="C26" s="35" t="s">
        <v>19</v>
      </c>
      <c r="D26" s="33" t="s">
        <v>40</v>
      </c>
      <c r="E26" s="33"/>
      <c r="F26" s="25" t="s">
        <v>428</v>
      </c>
      <c r="G26" s="36"/>
      <c r="H26" s="37">
        <v>379.04</v>
      </c>
      <c r="I26" s="37">
        <v>363.5</v>
      </c>
      <c r="J26" s="37">
        <v>453.49</v>
      </c>
      <c r="K26" s="37">
        <v>375.04</v>
      </c>
      <c r="L26" s="26">
        <f t="shared" si="2"/>
        <v>1571.07</v>
      </c>
      <c r="M26" s="38">
        <v>52.74</v>
      </c>
      <c r="N26" s="27">
        <v>62.233200000000018</v>
      </c>
      <c r="O26" s="38">
        <v>37.200000000000003</v>
      </c>
      <c r="P26" s="27">
        <v>38.69</v>
      </c>
      <c r="Q26" s="28">
        <f t="shared" si="3"/>
        <v>5890.2816000000003</v>
      </c>
      <c r="R26" s="28">
        <f t="shared" si="4"/>
        <v>5648.79</v>
      </c>
      <c r="S26" s="28">
        <f t="shared" si="5"/>
        <v>10676.605768000009</v>
      </c>
      <c r="T26" s="28">
        <f t="shared" si="6"/>
        <v>8829.6417280000078</v>
      </c>
      <c r="U26" s="28">
        <f t="shared" si="7"/>
        <v>31045.319096000014</v>
      </c>
      <c r="V26" s="39"/>
      <c r="W26" s="39"/>
      <c r="X26" s="39"/>
      <c r="Y26" s="29">
        <f t="shared" si="0"/>
        <v>118.00000000000004</v>
      </c>
      <c r="Z26" s="30">
        <f t="shared" si="1"/>
        <v>104.005376344086</v>
      </c>
      <c r="AA26" s="2"/>
      <c r="AD26" s="32">
        <f t="shared" si="8"/>
        <v>-5.3763440860024048E-3</v>
      </c>
    </row>
    <row r="27" spans="1:30" s="40" customFormat="1" ht="51" customHeight="1">
      <c r="A27" s="33">
        <v>2907017553</v>
      </c>
      <c r="B27" s="34" t="s">
        <v>25</v>
      </c>
      <c r="C27" s="35" t="s">
        <v>19</v>
      </c>
      <c r="D27" s="33" t="s">
        <v>41</v>
      </c>
      <c r="E27" s="33"/>
      <c r="F27" s="25" t="s">
        <v>428</v>
      </c>
      <c r="G27" s="36"/>
      <c r="H27" s="37">
        <v>210.91000000000003</v>
      </c>
      <c r="I27" s="37">
        <v>281</v>
      </c>
      <c r="J27" s="37">
        <v>216.15999999999997</v>
      </c>
      <c r="K27" s="37">
        <v>217.38</v>
      </c>
      <c r="L27" s="26">
        <f t="shared" si="2"/>
        <v>925.44999999999993</v>
      </c>
      <c r="M27" s="38">
        <v>51.87</v>
      </c>
      <c r="N27" s="27">
        <v>61.206600000000002</v>
      </c>
      <c r="O27" s="38">
        <v>48.1</v>
      </c>
      <c r="P27" s="27">
        <v>50.02</v>
      </c>
      <c r="Q27" s="28">
        <f t="shared" si="3"/>
        <v>795.13069999999925</v>
      </c>
      <c r="R27" s="28">
        <f t="shared" si="4"/>
        <v>1059.369999999999</v>
      </c>
      <c r="S27" s="28">
        <f t="shared" si="5"/>
        <v>2418.0954559999991</v>
      </c>
      <c r="T27" s="28">
        <f t="shared" si="6"/>
        <v>2431.7431079999997</v>
      </c>
      <c r="U27" s="28">
        <f t="shared" si="7"/>
        <v>6704.3392639999975</v>
      </c>
      <c r="V27" s="39"/>
      <c r="W27" s="39"/>
      <c r="X27" s="39"/>
      <c r="Y27" s="29">
        <f t="shared" si="0"/>
        <v>118.00000000000001</v>
      </c>
      <c r="Z27" s="30">
        <f t="shared" si="1"/>
        <v>103.991683991684</v>
      </c>
      <c r="AA27" s="2"/>
      <c r="AD27" s="32">
        <f t="shared" si="8"/>
        <v>8.316008316000989E-3</v>
      </c>
    </row>
    <row r="28" spans="1:30" s="40" customFormat="1" ht="15" customHeight="1">
      <c r="A28" s="33"/>
      <c r="B28" s="34"/>
      <c r="C28" s="35"/>
      <c r="D28" s="33"/>
      <c r="E28" s="33"/>
      <c r="F28" s="25"/>
      <c r="G28" s="36"/>
      <c r="H28" s="41"/>
      <c r="I28" s="41"/>
      <c r="J28" s="41"/>
      <c r="K28" s="41"/>
      <c r="L28" s="37"/>
      <c r="M28" s="41"/>
      <c r="N28" s="41"/>
      <c r="O28" s="41"/>
      <c r="P28" s="41"/>
      <c r="Q28" s="28"/>
      <c r="R28" s="28"/>
      <c r="S28" s="28"/>
      <c r="T28" s="28"/>
      <c r="U28" s="28"/>
      <c r="V28" s="39"/>
      <c r="W28" s="39"/>
      <c r="X28" s="39"/>
      <c r="Y28" s="29" t="e">
        <f t="shared" si="0"/>
        <v>#DIV/0!</v>
      </c>
      <c r="Z28" s="30" t="e">
        <f t="shared" si="1"/>
        <v>#DIV/0!</v>
      </c>
      <c r="AA28" s="2"/>
      <c r="AD28" s="32" t="e">
        <f t="shared" si="8"/>
        <v>#DIV/0!</v>
      </c>
    </row>
    <row r="29" spans="1:30" s="40" customFormat="1" ht="51" customHeight="1">
      <c r="A29" s="33">
        <v>2908004701</v>
      </c>
      <c r="B29" s="34" t="s">
        <v>43</v>
      </c>
      <c r="C29" s="35" t="s">
        <v>303</v>
      </c>
      <c r="D29" s="33" t="s">
        <v>304</v>
      </c>
      <c r="E29" s="33"/>
      <c r="F29" s="25" t="s">
        <v>428</v>
      </c>
      <c r="G29" s="36"/>
      <c r="H29" s="37">
        <v>10455.674999999999</v>
      </c>
      <c r="I29" s="37">
        <v>9691.4269999999997</v>
      </c>
      <c r="J29" s="37">
        <v>10461.446</v>
      </c>
      <c r="K29" s="37">
        <v>10173.184000000001</v>
      </c>
      <c r="L29" s="26">
        <f t="shared" si="2"/>
        <v>40781.732000000004</v>
      </c>
      <c r="M29" s="38">
        <v>69.81</v>
      </c>
      <c r="N29" s="27">
        <v>82.375800000000027</v>
      </c>
      <c r="O29" s="38">
        <v>41.256114399999994</v>
      </c>
      <c r="P29" s="27">
        <v>42.906358975999993</v>
      </c>
      <c r="Q29" s="28">
        <f t="shared" si="3"/>
        <v>298550.14782078005</v>
      </c>
      <c r="R29" s="28">
        <f t="shared" si="4"/>
        <v>276727.8978587513</v>
      </c>
      <c r="S29" s="28">
        <f t="shared" ref="S29:S31" si="9">(N29-P29)*J29</f>
        <v>412907.42592276103</v>
      </c>
      <c r="T29" s="28">
        <f t="shared" si="6"/>
        <v>401529.8859143008</v>
      </c>
      <c r="U29" s="28">
        <f t="shared" si="7"/>
        <v>1389715.3575165931</v>
      </c>
      <c r="V29" s="39"/>
      <c r="W29" s="39"/>
      <c r="X29" s="39"/>
      <c r="Y29" s="29">
        <f t="shared" si="0"/>
        <v>118.00000000000004</v>
      </c>
      <c r="Z29" s="30">
        <f t="shared" si="1"/>
        <v>104</v>
      </c>
      <c r="AA29" s="2"/>
      <c r="AD29" s="32">
        <f t="shared" si="8"/>
        <v>0</v>
      </c>
    </row>
    <row r="30" spans="1:30" s="40" customFormat="1" ht="51" customHeight="1">
      <c r="A30" s="33">
        <v>2908004701</v>
      </c>
      <c r="B30" s="34" t="s">
        <v>43</v>
      </c>
      <c r="C30" s="35" t="s">
        <v>303</v>
      </c>
      <c r="D30" s="33" t="s">
        <v>305</v>
      </c>
      <c r="E30" s="33"/>
      <c r="F30" s="25" t="s">
        <v>428</v>
      </c>
      <c r="G30" s="36"/>
      <c r="H30" s="37">
        <v>9684.8859999999986</v>
      </c>
      <c r="I30" s="37">
        <v>9255.1990000000005</v>
      </c>
      <c r="J30" s="37">
        <v>10721.526000000002</v>
      </c>
      <c r="K30" s="37">
        <v>10001.27</v>
      </c>
      <c r="L30" s="26">
        <f t="shared" si="2"/>
        <v>39662.881000000001</v>
      </c>
      <c r="M30" s="38">
        <v>146.19</v>
      </c>
      <c r="N30" s="27">
        <v>146.19</v>
      </c>
      <c r="O30" s="38">
        <v>41.256114399999994</v>
      </c>
      <c r="P30" s="27">
        <v>42.906358975999993</v>
      </c>
      <c r="Q30" s="28">
        <f t="shared" si="3"/>
        <v>1016272.7195730414</v>
      </c>
      <c r="R30" s="28">
        <f t="shared" si="4"/>
        <v>971183.99307123444</v>
      </c>
      <c r="S30" s="28">
        <f t="shared" si="9"/>
        <v>1107358.2426134828</v>
      </c>
      <c r="T30" s="28">
        <f t="shared" si="6"/>
        <v>1032967.5804641006</v>
      </c>
      <c r="U30" s="28">
        <f t="shared" si="7"/>
        <v>4127782.535721859</v>
      </c>
      <c r="V30" s="39"/>
      <c r="W30" s="39"/>
      <c r="X30" s="39"/>
      <c r="Y30" s="29">
        <f t="shared" si="0"/>
        <v>100</v>
      </c>
      <c r="Z30" s="30">
        <f t="shared" si="1"/>
        <v>104</v>
      </c>
      <c r="AA30" s="2"/>
      <c r="AD30" s="32">
        <f t="shared" si="8"/>
        <v>0</v>
      </c>
    </row>
    <row r="31" spans="1:30" s="40" customFormat="1" ht="51" customHeight="1">
      <c r="A31" s="33" t="s">
        <v>45</v>
      </c>
      <c r="B31" s="34" t="s">
        <v>46</v>
      </c>
      <c r="C31" s="35" t="s">
        <v>303</v>
      </c>
      <c r="D31" s="33" t="s">
        <v>47</v>
      </c>
      <c r="E31" s="33"/>
      <c r="F31" s="25" t="s">
        <v>428</v>
      </c>
      <c r="G31" s="36"/>
      <c r="H31" s="37">
        <v>3324.259</v>
      </c>
      <c r="I31" s="37">
        <f>3279.338</f>
        <v>3279.3380000000002</v>
      </c>
      <c r="J31" s="37">
        <v>3176.9130000000005</v>
      </c>
      <c r="K31" s="37">
        <v>2921.5050000000001</v>
      </c>
      <c r="L31" s="26">
        <f t="shared" si="2"/>
        <v>12702.014999999999</v>
      </c>
      <c r="M31" s="38">
        <v>54.094099999999997</v>
      </c>
      <c r="N31" s="27">
        <v>63.831038000000007</v>
      </c>
      <c r="O31" s="38">
        <v>39.590000000000003</v>
      </c>
      <c r="P31" s="27">
        <v>41.173600000000008</v>
      </c>
      <c r="Q31" s="28">
        <f t="shared" si="3"/>
        <v>48215.384961899981</v>
      </c>
      <c r="R31" s="28">
        <f t="shared" si="4"/>
        <v>47563.846285799984</v>
      </c>
      <c r="S31" s="28">
        <f t="shared" si="9"/>
        <v>71980.709328894009</v>
      </c>
      <c r="T31" s="28">
        <f t="shared" si="6"/>
        <v>66193.818404189995</v>
      </c>
      <c r="U31" s="28">
        <f t="shared" si="7"/>
        <v>233953.75898078398</v>
      </c>
      <c r="V31" s="39"/>
      <c r="W31" s="39"/>
      <c r="X31" s="39"/>
      <c r="Y31" s="29">
        <f t="shared" si="0"/>
        <v>118.00000000000001</v>
      </c>
      <c r="Z31" s="30">
        <f t="shared" si="1"/>
        <v>104</v>
      </c>
      <c r="AA31" s="2"/>
      <c r="AD31" s="32">
        <f t="shared" si="8"/>
        <v>0</v>
      </c>
    </row>
    <row r="32" spans="1:30" s="40" customFormat="1" ht="15" customHeight="1">
      <c r="A32" s="33"/>
      <c r="B32" s="34"/>
      <c r="C32" s="35"/>
      <c r="D32" s="33"/>
      <c r="E32" s="33"/>
      <c r="F32" s="25"/>
      <c r="G32" s="36"/>
      <c r="H32" s="41"/>
      <c r="I32" s="41"/>
      <c r="J32" s="41"/>
      <c r="K32" s="41"/>
      <c r="L32" s="37"/>
      <c r="M32" s="41"/>
      <c r="N32" s="41"/>
      <c r="O32" s="41"/>
      <c r="P32" s="41"/>
      <c r="Q32" s="28"/>
      <c r="R32" s="28"/>
      <c r="S32" s="28"/>
      <c r="T32" s="28"/>
      <c r="U32" s="28"/>
      <c r="V32" s="39"/>
      <c r="W32" s="39"/>
      <c r="X32" s="39"/>
      <c r="Y32" s="29"/>
      <c r="Z32" s="30"/>
      <c r="AA32" s="2"/>
      <c r="AD32" s="32"/>
    </row>
    <row r="33" spans="1:30" s="40" customFormat="1" ht="66" customHeight="1">
      <c r="A33" s="33">
        <v>2901284489</v>
      </c>
      <c r="B33" s="34" t="s">
        <v>115</v>
      </c>
      <c r="C33" s="35" t="s">
        <v>306</v>
      </c>
      <c r="D33" s="33" t="s">
        <v>376</v>
      </c>
      <c r="E33" s="33"/>
      <c r="F33" s="25" t="s">
        <v>428</v>
      </c>
      <c r="G33" s="36"/>
      <c r="H33" s="37">
        <v>22500</v>
      </c>
      <c r="I33" s="37">
        <v>22500</v>
      </c>
      <c r="J33" s="37">
        <v>22500</v>
      </c>
      <c r="K33" s="37">
        <v>22500</v>
      </c>
      <c r="L33" s="26">
        <f t="shared" si="2"/>
        <v>90000</v>
      </c>
      <c r="M33" s="38">
        <v>60.52</v>
      </c>
      <c r="N33" s="38">
        <v>71.409116000000012</v>
      </c>
      <c r="O33" s="38">
        <v>47.47</v>
      </c>
      <c r="P33" s="38">
        <v>49.37</v>
      </c>
      <c r="Q33" s="28">
        <f t="shared" si="3"/>
        <v>293625.00000000012</v>
      </c>
      <c r="R33" s="28">
        <f t="shared" si="4"/>
        <v>293625.00000000012</v>
      </c>
      <c r="S33" s="28">
        <f t="shared" ref="S33:S37" si="10">(N33-P33)*J33</f>
        <v>495880.11000000034</v>
      </c>
      <c r="T33" s="28">
        <f t="shared" si="6"/>
        <v>495880.11000000034</v>
      </c>
      <c r="U33" s="28">
        <f t="shared" si="7"/>
        <v>1579010.2200000009</v>
      </c>
      <c r="V33" s="39"/>
      <c r="W33" s="39"/>
      <c r="X33" s="39"/>
      <c r="Y33" s="29"/>
      <c r="Z33" s="30"/>
      <c r="AA33" s="2"/>
      <c r="AD33" s="32"/>
    </row>
    <row r="34" spans="1:30" s="40" customFormat="1" ht="60" customHeight="1">
      <c r="A34" s="33">
        <v>2909002440</v>
      </c>
      <c r="B34" s="34" t="s">
        <v>48</v>
      </c>
      <c r="C34" s="35" t="s">
        <v>306</v>
      </c>
      <c r="D34" s="33" t="s">
        <v>307</v>
      </c>
      <c r="E34" s="33"/>
      <c r="F34" s="25" t="s">
        <v>428</v>
      </c>
      <c r="G34" s="36"/>
      <c r="H34" s="37">
        <v>3119</v>
      </c>
      <c r="I34" s="37">
        <v>3119</v>
      </c>
      <c r="J34" s="37">
        <v>3119</v>
      </c>
      <c r="K34" s="37">
        <v>3119</v>
      </c>
      <c r="L34" s="26">
        <f t="shared" si="2"/>
        <v>12476</v>
      </c>
      <c r="M34" s="38">
        <v>46.62</v>
      </c>
      <c r="N34" s="38">
        <v>50.52</v>
      </c>
      <c r="O34" s="38">
        <v>42.7</v>
      </c>
      <c r="P34" s="38">
        <v>44.41</v>
      </c>
      <c r="Q34" s="28">
        <f t="shared" si="3"/>
        <v>12226.479999999983</v>
      </c>
      <c r="R34" s="28">
        <f t="shared" si="4"/>
        <v>12226.479999999983</v>
      </c>
      <c r="S34" s="28">
        <f t="shared" si="10"/>
        <v>19057.090000000022</v>
      </c>
      <c r="T34" s="28">
        <f t="shared" si="6"/>
        <v>19057.090000000022</v>
      </c>
      <c r="U34" s="28">
        <f t="shared" si="7"/>
        <v>62567.140000000014</v>
      </c>
      <c r="V34" s="39"/>
      <c r="W34" s="39"/>
      <c r="X34" s="39"/>
      <c r="Y34" s="29">
        <f>N34/M34*100</f>
        <v>108.36550836550838</v>
      </c>
      <c r="Z34" s="30">
        <f>P34/O34*100</f>
        <v>104.00468384074939</v>
      </c>
      <c r="AA34" s="2" t="s">
        <v>49</v>
      </c>
      <c r="AD34" s="32">
        <f t="shared" si="8"/>
        <v>-4.6838407493936529E-3</v>
      </c>
    </row>
    <row r="35" spans="1:30" s="40" customFormat="1" ht="51" customHeight="1">
      <c r="A35" s="33">
        <v>2909003034</v>
      </c>
      <c r="B35" s="34" t="s">
        <v>50</v>
      </c>
      <c r="C35" s="35" t="s">
        <v>306</v>
      </c>
      <c r="D35" s="33" t="s">
        <v>51</v>
      </c>
      <c r="E35" s="33"/>
      <c r="F35" s="25" t="s">
        <v>428</v>
      </c>
      <c r="G35" s="36"/>
      <c r="H35" s="37">
        <v>1451</v>
      </c>
      <c r="I35" s="37">
        <v>1451</v>
      </c>
      <c r="J35" s="37">
        <v>1451</v>
      </c>
      <c r="K35" s="37">
        <v>1451</v>
      </c>
      <c r="L35" s="26">
        <f t="shared" si="2"/>
        <v>5804</v>
      </c>
      <c r="M35" s="38">
        <v>35.909999999999997</v>
      </c>
      <c r="N35" s="38">
        <v>42.37</v>
      </c>
      <c r="O35" s="38">
        <v>35.909999999999997</v>
      </c>
      <c r="P35" s="27">
        <v>37.35</v>
      </c>
      <c r="Q35" s="28">
        <f t="shared" si="3"/>
        <v>0</v>
      </c>
      <c r="R35" s="28">
        <f t="shared" si="4"/>
        <v>0</v>
      </c>
      <c r="S35" s="28">
        <f t="shared" si="10"/>
        <v>7284.0199999999941</v>
      </c>
      <c r="T35" s="28">
        <f t="shared" si="6"/>
        <v>7284.0199999999941</v>
      </c>
      <c r="U35" s="28">
        <f t="shared" si="7"/>
        <v>14568.039999999988</v>
      </c>
      <c r="V35" s="39"/>
      <c r="W35" s="39"/>
      <c r="X35" s="39"/>
      <c r="Y35" s="29">
        <f>N35/M35*100</f>
        <v>117.989417989418</v>
      </c>
      <c r="Z35" s="30">
        <f>P35/O35*100</f>
        <v>104.01002506265667</v>
      </c>
      <c r="AA35" s="2"/>
      <c r="AD35" s="32">
        <f t="shared" si="8"/>
        <v>-1.002506265666625E-2</v>
      </c>
    </row>
    <row r="36" spans="1:30" s="40" customFormat="1" ht="51" customHeight="1">
      <c r="A36" s="33">
        <v>2909003115</v>
      </c>
      <c r="B36" s="34" t="s">
        <v>53</v>
      </c>
      <c r="C36" s="35" t="s">
        <v>306</v>
      </c>
      <c r="D36" s="33" t="s">
        <v>54</v>
      </c>
      <c r="E36" s="33"/>
      <c r="F36" s="25" t="s">
        <v>428</v>
      </c>
      <c r="G36" s="36"/>
      <c r="H36" s="37">
        <v>2530.6799999999998</v>
      </c>
      <c r="I36" s="37">
        <v>2816.0430000000001</v>
      </c>
      <c r="J36" s="37">
        <v>3104.43</v>
      </c>
      <c r="K36" s="37">
        <v>2631.49</v>
      </c>
      <c r="L36" s="26">
        <f t="shared" si="2"/>
        <v>11082.643</v>
      </c>
      <c r="M36" s="38">
        <v>46.47</v>
      </c>
      <c r="N36" s="38">
        <v>51.23</v>
      </c>
      <c r="O36" s="38">
        <v>42.7</v>
      </c>
      <c r="P36" s="27">
        <v>44.41</v>
      </c>
      <c r="Q36" s="28">
        <f t="shared" si="3"/>
        <v>9540.6635999999889</v>
      </c>
      <c r="R36" s="28">
        <f t="shared" si="4"/>
        <v>10616.48210999999</v>
      </c>
      <c r="S36" s="28">
        <f t="shared" si="10"/>
        <v>21172.212599999999</v>
      </c>
      <c r="T36" s="28">
        <f t="shared" si="6"/>
        <v>17946.7618</v>
      </c>
      <c r="U36" s="28">
        <f t="shared" si="7"/>
        <v>59276.120109999982</v>
      </c>
      <c r="V36" s="39"/>
      <c r="W36" s="39"/>
      <c r="X36" s="39"/>
      <c r="Y36" s="29">
        <f>N36/M36*100</f>
        <v>110.24316763503334</v>
      </c>
      <c r="Z36" s="30">
        <f>P36/O36*100</f>
        <v>104.00468384074939</v>
      </c>
      <c r="AA36" s="2"/>
      <c r="AD36" s="32">
        <f t="shared" si="8"/>
        <v>-4.6838407493936529E-3</v>
      </c>
    </row>
    <row r="37" spans="1:30" s="40" customFormat="1" ht="51" customHeight="1">
      <c r="A37" s="33">
        <v>2909003115</v>
      </c>
      <c r="B37" s="34" t="s">
        <v>53</v>
      </c>
      <c r="C37" s="35" t="s">
        <v>306</v>
      </c>
      <c r="D37" s="33" t="s">
        <v>55</v>
      </c>
      <c r="E37" s="33"/>
      <c r="F37" s="25" t="s">
        <v>428</v>
      </c>
      <c r="G37" s="36"/>
      <c r="H37" s="37">
        <v>21467.5</v>
      </c>
      <c r="I37" s="37">
        <v>21467.5</v>
      </c>
      <c r="J37" s="37">
        <v>21467.5</v>
      </c>
      <c r="K37" s="37">
        <v>21467.5</v>
      </c>
      <c r="L37" s="26">
        <f t="shared" si="2"/>
        <v>85870</v>
      </c>
      <c r="M37" s="38">
        <v>54.72</v>
      </c>
      <c r="N37" s="38">
        <v>63.5</v>
      </c>
      <c r="O37" s="38">
        <v>54.72</v>
      </c>
      <c r="P37" s="27">
        <v>56.91</v>
      </c>
      <c r="Q37" s="28">
        <f t="shared" si="3"/>
        <v>0</v>
      </c>
      <c r="R37" s="28">
        <f t="shared" si="4"/>
        <v>0</v>
      </c>
      <c r="S37" s="28">
        <f t="shared" si="10"/>
        <v>141470.82500000007</v>
      </c>
      <c r="T37" s="28">
        <f t="shared" si="6"/>
        <v>141470.82500000007</v>
      </c>
      <c r="U37" s="28">
        <f t="shared" si="7"/>
        <v>282941.65000000014</v>
      </c>
      <c r="V37" s="39"/>
      <c r="W37" s="39"/>
      <c r="X37" s="39"/>
      <c r="Y37" s="29">
        <f>N37/M37*100</f>
        <v>116.04532163742691</v>
      </c>
      <c r="Z37" s="30">
        <f>P37/O37*100</f>
        <v>104.00219298245614</v>
      </c>
      <c r="AA37" s="2"/>
      <c r="AD37" s="32">
        <f t="shared" si="8"/>
        <v>-2.1929824561368605E-3</v>
      </c>
    </row>
    <row r="38" spans="1:30" s="40" customFormat="1" ht="15" customHeight="1">
      <c r="A38" s="33"/>
      <c r="B38" s="34"/>
      <c r="C38" s="35"/>
      <c r="D38" s="33"/>
      <c r="E38" s="33"/>
      <c r="F38" s="25"/>
      <c r="G38" s="36"/>
      <c r="H38" s="41"/>
      <c r="I38" s="41"/>
      <c r="J38" s="41"/>
      <c r="K38" s="41"/>
      <c r="L38" s="37"/>
      <c r="M38" s="41"/>
      <c r="N38" s="41"/>
      <c r="O38" s="41"/>
      <c r="P38" s="41"/>
      <c r="Q38" s="28"/>
      <c r="R38" s="28"/>
      <c r="S38" s="28"/>
      <c r="T38" s="28"/>
      <c r="U38" s="28"/>
      <c r="V38" s="39"/>
      <c r="W38" s="39"/>
      <c r="X38" s="39"/>
      <c r="Y38" s="29"/>
      <c r="Z38" s="30"/>
      <c r="AA38" s="2"/>
      <c r="AD38" s="32"/>
    </row>
    <row r="39" spans="1:30" s="40" customFormat="1" ht="51.75" customHeight="1">
      <c r="A39" s="33">
        <v>2910005156</v>
      </c>
      <c r="B39" s="34" t="s">
        <v>56</v>
      </c>
      <c r="C39" s="35" t="s">
        <v>298</v>
      </c>
      <c r="D39" s="33" t="s">
        <v>299</v>
      </c>
      <c r="E39" s="33"/>
      <c r="F39" s="25" t="s">
        <v>428</v>
      </c>
      <c r="G39" s="36"/>
      <c r="H39" s="37">
        <v>559.42100000000005</v>
      </c>
      <c r="I39" s="37">
        <v>457.339</v>
      </c>
      <c r="J39" s="37">
        <v>578.351</v>
      </c>
      <c r="K39" s="37">
        <v>556.68299999999999</v>
      </c>
      <c r="L39" s="26">
        <f t="shared" si="2"/>
        <v>2151.7939999999999</v>
      </c>
      <c r="M39" s="38">
        <v>234.38</v>
      </c>
      <c r="N39" s="38">
        <v>271.45</v>
      </c>
      <c r="O39" s="38">
        <v>64</v>
      </c>
      <c r="P39" s="27">
        <v>66.56</v>
      </c>
      <c r="Q39" s="28">
        <f t="shared" si="3"/>
        <v>95314.149980000002</v>
      </c>
      <c r="R39" s="28">
        <f t="shared" si="4"/>
        <v>77921.418819999992</v>
      </c>
      <c r="S39" s="28">
        <f t="shared" ref="S39:S43" si="11">(N39-P39)*J39</f>
        <v>118498.33639</v>
      </c>
      <c r="T39" s="28">
        <f t="shared" si="6"/>
        <v>114058.77986999998</v>
      </c>
      <c r="U39" s="28">
        <f t="shared" si="7"/>
        <v>405792.68505999999</v>
      </c>
      <c r="V39" s="39"/>
      <c r="W39" s="39"/>
      <c r="X39" s="39"/>
      <c r="Y39" s="29">
        <f t="shared" ref="Y39:Y59" si="12">N39/M39*100</f>
        <v>115.81619592115369</v>
      </c>
      <c r="Z39" s="30">
        <f t="shared" ref="Z39:Z59" si="13">P39/O39*100</f>
        <v>104</v>
      </c>
      <c r="AA39" s="2"/>
      <c r="AD39" s="32">
        <f t="shared" si="8"/>
        <v>0</v>
      </c>
    </row>
    <row r="40" spans="1:30" s="40" customFormat="1" ht="51.75" customHeight="1">
      <c r="A40" s="33">
        <v>2910005156</v>
      </c>
      <c r="B40" s="34" t="s">
        <v>56</v>
      </c>
      <c r="C40" s="35" t="s">
        <v>298</v>
      </c>
      <c r="D40" s="33" t="s">
        <v>300</v>
      </c>
      <c r="E40" s="33"/>
      <c r="F40" s="25" t="s">
        <v>428</v>
      </c>
      <c r="G40" s="36"/>
      <c r="H40" s="37">
        <v>273.21100000000001</v>
      </c>
      <c r="I40" s="37">
        <v>307.11099999999999</v>
      </c>
      <c r="J40" s="37">
        <v>365.20400000000001</v>
      </c>
      <c r="K40" s="37">
        <v>255.37700000000001</v>
      </c>
      <c r="L40" s="26">
        <f t="shared" si="2"/>
        <v>1200.903</v>
      </c>
      <c r="M40" s="38">
        <v>217.49</v>
      </c>
      <c r="N40" s="38">
        <v>253.63</v>
      </c>
      <c r="O40" s="38">
        <v>29.85</v>
      </c>
      <c r="P40" s="27">
        <v>31.04</v>
      </c>
      <c r="Q40" s="28">
        <f t="shared" si="3"/>
        <v>51265.312040000004</v>
      </c>
      <c r="R40" s="28">
        <f t="shared" si="4"/>
        <v>57626.308040000004</v>
      </c>
      <c r="S40" s="28">
        <f t="shared" si="11"/>
        <v>81290.758360000007</v>
      </c>
      <c r="T40" s="28">
        <f t="shared" si="6"/>
        <v>56844.366430000002</v>
      </c>
      <c r="U40" s="28">
        <f t="shared" si="7"/>
        <v>247026.74486999999</v>
      </c>
      <c r="V40" s="39"/>
      <c r="W40" s="39"/>
      <c r="X40" s="39"/>
      <c r="Y40" s="29">
        <f t="shared" si="12"/>
        <v>116.61685594739988</v>
      </c>
      <c r="Z40" s="30">
        <f t="shared" si="13"/>
        <v>103.98659966499162</v>
      </c>
      <c r="AA40" s="2"/>
      <c r="AD40" s="32">
        <f t="shared" si="8"/>
        <v>1.3400335008384445E-2</v>
      </c>
    </row>
    <row r="41" spans="1:30" s="40" customFormat="1" ht="51.75" customHeight="1">
      <c r="A41" s="33">
        <v>2910005156</v>
      </c>
      <c r="B41" s="34" t="s">
        <v>56</v>
      </c>
      <c r="C41" s="35" t="s">
        <v>298</v>
      </c>
      <c r="D41" s="33" t="s">
        <v>301</v>
      </c>
      <c r="E41" s="33"/>
      <c r="F41" s="25" t="s">
        <v>428</v>
      </c>
      <c r="G41" s="36"/>
      <c r="H41" s="37">
        <v>2044.883</v>
      </c>
      <c r="I41" s="37">
        <v>2060.6880000000001</v>
      </c>
      <c r="J41" s="37">
        <v>2142.7689999999998</v>
      </c>
      <c r="K41" s="37">
        <v>1927.5629999999999</v>
      </c>
      <c r="L41" s="26">
        <f t="shared" si="2"/>
        <v>8175.9030000000002</v>
      </c>
      <c r="M41" s="38">
        <v>166.69</v>
      </c>
      <c r="N41" s="38">
        <v>191.49</v>
      </c>
      <c r="O41" s="38">
        <v>66.5</v>
      </c>
      <c r="P41" s="27">
        <v>69.16</v>
      </c>
      <c r="Q41" s="28">
        <f t="shared" si="3"/>
        <v>204876.82777</v>
      </c>
      <c r="R41" s="28">
        <f t="shared" si="4"/>
        <v>206460.33072</v>
      </c>
      <c r="S41" s="28">
        <f t="shared" si="11"/>
        <v>262124.93177</v>
      </c>
      <c r="T41" s="28">
        <f t="shared" si="6"/>
        <v>235798.78179000001</v>
      </c>
      <c r="U41" s="28">
        <f t="shared" si="7"/>
        <v>909260.87205000001</v>
      </c>
      <c r="V41" s="39"/>
      <c r="W41" s="39"/>
      <c r="X41" s="39"/>
      <c r="Y41" s="29">
        <f t="shared" si="12"/>
        <v>114.87791709160717</v>
      </c>
      <c r="Z41" s="30">
        <f t="shared" si="13"/>
        <v>104</v>
      </c>
      <c r="AA41" s="2"/>
      <c r="AD41" s="32">
        <f t="shared" si="8"/>
        <v>0</v>
      </c>
    </row>
    <row r="42" spans="1:30" s="40" customFormat="1" ht="51.75" customHeight="1">
      <c r="A42" s="33">
        <v>2922008546</v>
      </c>
      <c r="B42" s="34" t="s">
        <v>59</v>
      </c>
      <c r="C42" s="35" t="s">
        <v>298</v>
      </c>
      <c r="D42" s="33" t="s">
        <v>308</v>
      </c>
      <c r="E42" s="33"/>
      <c r="F42" s="25" t="s">
        <v>428</v>
      </c>
      <c r="G42" s="36"/>
      <c r="H42" s="37">
        <v>7966.72</v>
      </c>
      <c r="I42" s="37">
        <v>5301.76</v>
      </c>
      <c r="J42" s="37">
        <v>7014.75</v>
      </c>
      <c r="K42" s="37">
        <v>6684.8499999999995</v>
      </c>
      <c r="L42" s="26">
        <f t="shared" si="2"/>
        <v>26968.079999999998</v>
      </c>
      <c r="M42" s="38">
        <v>78.03</v>
      </c>
      <c r="N42" s="38">
        <v>85.97</v>
      </c>
      <c r="O42" s="38">
        <v>24.53</v>
      </c>
      <c r="P42" s="27">
        <v>25.51</v>
      </c>
      <c r="Q42" s="28">
        <f t="shared" si="3"/>
        <v>426219.52000000002</v>
      </c>
      <c r="R42" s="28">
        <f t="shared" si="4"/>
        <v>283644.16000000003</v>
      </c>
      <c r="S42" s="28">
        <f t="shared" si="11"/>
        <v>424111.78499999997</v>
      </c>
      <c r="T42" s="28">
        <f t="shared" si="6"/>
        <v>404166.0309999999</v>
      </c>
      <c r="U42" s="28">
        <f t="shared" si="7"/>
        <v>1538141.496</v>
      </c>
      <c r="V42" s="39"/>
      <c r="W42" s="39"/>
      <c r="X42" s="39"/>
      <c r="Y42" s="29">
        <f t="shared" si="12"/>
        <v>110.1755734973728</v>
      </c>
      <c r="Z42" s="30">
        <f t="shared" si="13"/>
        <v>103.99510803098246</v>
      </c>
      <c r="AA42" s="2"/>
      <c r="AD42" s="32">
        <f t="shared" si="8"/>
        <v>4.8919690175353026E-3</v>
      </c>
    </row>
    <row r="43" spans="1:30" s="40" customFormat="1" ht="51.75" customHeight="1">
      <c r="A43" s="33">
        <v>2910005090</v>
      </c>
      <c r="B43" s="34" t="s">
        <v>57</v>
      </c>
      <c r="C43" s="35" t="s">
        <v>298</v>
      </c>
      <c r="D43" s="33" t="s">
        <v>309</v>
      </c>
      <c r="E43" s="33"/>
      <c r="F43" s="25" t="s">
        <v>428</v>
      </c>
      <c r="G43" s="36"/>
      <c r="H43" s="37">
        <v>579.54899999999998</v>
      </c>
      <c r="I43" s="37">
        <v>674.46500000000003</v>
      </c>
      <c r="J43" s="37">
        <v>706.42500000000007</v>
      </c>
      <c r="K43" s="37">
        <v>561.08400000000006</v>
      </c>
      <c r="L43" s="26">
        <f t="shared" si="2"/>
        <v>2521.5230000000001</v>
      </c>
      <c r="M43" s="38">
        <v>77.569999999999993</v>
      </c>
      <c r="N43" s="38">
        <v>91.53</v>
      </c>
      <c r="O43" s="38">
        <v>50.22</v>
      </c>
      <c r="P43" s="27">
        <v>52.23</v>
      </c>
      <c r="Q43" s="28">
        <f t="shared" si="3"/>
        <v>15850.665149999995</v>
      </c>
      <c r="R43" s="28">
        <f t="shared" si="4"/>
        <v>18446.617749999998</v>
      </c>
      <c r="S43" s="28">
        <f t="shared" si="11"/>
        <v>27762.502500000006</v>
      </c>
      <c r="T43" s="28">
        <f t="shared" si="6"/>
        <v>22050.601200000005</v>
      </c>
      <c r="U43" s="28">
        <f t="shared" si="7"/>
        <v>84110.386599999998</v>
      </c>
      <c r="V43" s="39"/>
      <c r="W43" s="39"/>
      <c r="X43" s="39"/>
      <c r="Y43" s="29">
        <f t="shared" si="12"/>
        <v>117.99664818873276</v>
      </c>
      <c r="Z43" s="30">
        <f t="shared" si="13"/>
        <v>104.00238948626045</v>
      </c>
      <c r="AA43" s="2"/>
      <c r="AD43" s="32">
        <f t="shared" si="8"/>
        <v>-2.3894862604549871E-3</v>
      </c>
    </row>
    <row r="44" spans="1:30" s="40" customFormat="1" ht="15" customHeight="1">
      <c r="A44" s="33"/>
      <c r="B44" s="34"/>
      <c r="C44" s="35"/>
      <c r="D44" s="33"/>
      <c r="E44" s="33"/>
      <c r="F44" s="25"/>
      <c r="G44" s="36"/>
      <c r="H44" s="41"/>
      <c r="I44" s="41"/>
      <c r="J44" s="41"/>
      <c r="K44" s="41"/>
      <c r="L44" s="37"/>
      <c r="M44" s="41"/>
      <c r="N44" s="41"/>
      <c r="O44" s="41"/>
      <c r="P44" s="41"/>
      <c r="Q44" s="28"/>
      <c r="R44" s="28"/>
      <c r="S44" s="28"/>
      <c r="T44" s="28"/>
      <c r="U44" s="28"/>
      <c r="V44" s="39"/>
      <c r="W44" s="39"/>
      <c r="X44" s="39"/>
      <c r="Y44" s="29" t="e">
        <f t="shared" si="12"/>
        <v>#DIV/0!</v>
      </c>
      <c r="Z44" s="30" t="e">
        <f t="shared" si="13"/>
        <v>#DIV/0!</v>
      </c>
      <c r="AA44" s="2"/>
      <c r="AD44" s="32" t="e">
        <f t="shared" si="8"/>
        <v>#DIV/0!</v>
      </c>
    </row>
    <row r="45" spans="1:30" s="40" customFormat="1" ht="54.75" customHeight="1">
      <c r="A45" s="33">
        <v>7708503727</v>
      </c>
      <c r="B45" s="34" t="s">
        <v>61</v>
      </c>
      <c r="C45" s="35" t="s">
        <v>62</v>
      </c>
      <c r="D45" s="33" t="s">
        <v>63</v>
      </c>
      <c r="E45" s="33"/>
      <c r="F45" s="25" t="s">
        <v>428</v>
      </c>
      <c r="G45" s="36"/>
      <c r="H45" s="37">
        <v>786.79</v>
      </c>
      <c r="I45" s="37">
        <v>871.79</v>
      </c>
      <c r="J45" s="37">
        <v>259.84199999999998</v>
      </c>
      <c r="K45" s="37">
        <v>785.76800000000003</v>
      </c>
      <c r="L45" s="26">
        <f t="shared" si="2"/>
        <v>2704.19</v>
      </c>
      <c r="M45" s="38">
        <v>47.291311700000001</v>
      </c>
      <c r="N45" s="27">
        <v>54.992384506</v>
      </c>
      <c r="O45" s="38">
        <v>36.084460000000007</v>
      </c>
      <c r="P45" s="27">
        <v>37.527838400000007</v>
      </c>
      <c r="Q45" s="28">
        <f t="shared" si="3"/>
        <v>8817.4388490429956</v>
      </c>
      <c r="R45" s="28">
        <f t="shared" si="4"/>
        <v>9770.0212435429949</v>
      </c>
      <c r="S45" s="28">
        <f t="shared" ref="S45:S47" si="14">(N45-P45)*J45</f>
        <v>4538.0225892752496</v>
      </c>
      <c r="T45" s="28">
        <f t="shared" si="6"/>
        <v>13723.081464619403</v>
      </c>
      <c r="U45" s="28">
        <f t="shared" si="7"/>
        <v>36848.564146480647</v>
      </c>
      <c r="V45" s="39"/>
      <c r="W45" s="39"/>
      <c r="X45" s="39"/>
      <c r="Y45" s="29">
        <f t="shared" si="12"/>
        <v>116.28432904304491</v>
      </c>
      <c r="Z45" s="30">
        <f t="shared" si="13"/>
        <v>104</v>
      </c>
      <c r="AA45" s="2"/>
      <c r="AD45" s="32">
        <f t="shared" si="8"/>
        <v>0</v>
      </c>
    </row>
    <row r="46" spans="1:30" s="40" customFormat="1" ht="67.5" customHeight="1">
      <c r="A46" s="33">
        <v>2901243725</v>
      </c>
      <c r="B46" s="34" t="s">
        <v>65</v>
      </c>
      <c r="C46" s="34" t="s">
        <v>66</v>
      </c>
      <c r="D46" s="42"/>
      <c r="E46" s="42"/>
      <c r="F46" s="25" t="s">
        <v>428</v>
      </c>
      <c r="G46" s="36"/>
      <c r="H46" s="37">
        <v>213710.30900000001</v>
      </c>
      <c r="I46" s="37">
        <f>214445.598-7093.973</f>
        <v>207351.625</v>
      </c>
      <c r="J46" s="37">
        <v>208513.883</v>
      </c>
      <c r="K46" s="37">
        <v>204169.28400000001</v>
      </c>
      <c r="L46" s="26">
        <f t="shared" si="2"/>
        <v>833745.10100000002</v>
      </c>
      <c r="M46" s="38">
        <v>206.02</v>
      </c>
      <c r="N46" s="27">
        <v>361.20540966334778</v>
      </c>
      <c r="O46" s="38">
        <v>36.084460000000007</v>
      </c>
      <c r="P46" s="27">
        <v>37.527838400000007</v>
      </c>
      <c r="Q46" s="28">
        <f t="shared" si="3"/>
        <v>36316976.763481863</v>
      </c>
      <c r="R46" s="28">
        <f t="shared" si="4"/>
        <v>35236410.3642525</v>
      </c>
      <c r="S46" s="28">
        <f t="shared" si="14"/>
        <v>67491267.224129856</v>
      </c>
      <c r="T46" s="28">
        <f t="shared" si="6"/>
        <v>66085017.971696697</v>
      </c>
      <c r="U46" s="28">
        <f t="shared" si="7"/>
        <v>205129672.32356092</v>
      </c>
      <c r="V46" s="39"/>
      <c r="W46" s="39"/>
      <c r="X46" s="39"/>
      <c r="Y46" s="29">
        <f t="shared" si="12"/>
        <v>175.32540999094638</v>
      </c>
      <c r="Z46" s="30">
        <f t="shared" si="13"/>
        <v>104</v>
      </c>
      <c r="AA46" s="2"/>
      <c r="AD46" s="32">
        <f t="shared" si="8"/>
        <v>0</v>
      </c>
    </row>
    <row r="47" spans="1:30" s="40" customFormat="1" ht="67.5" customHeight="1">
      <c r="A47" s="33">
        <v>7726747370</v>
      </c>
      <c r="B47" s="34" t="s">
        <v>68</v>
      </c>
      <c r="C47" s="34" t="s">
        <v>66</v>
      </c>
      <c r="D47" s="33"/>
      <c r="E47" s="33"/>
      <c r="F47" s="25" t="s">
        <v>428</v>
      </c>
      <c r="G47" s="36"/>
      <c r="H47" s="37">
        <f>3881545.69-173778.94</f>
        <v>3707766.75</v>
      </c>
      <c r="I47" s="37">
        <v>3656160.5200000005</v>
      </c>
      <c r="J47" s="37">
        <v>3436458.22</v>
      </c>
      <c r="K47" s="37">
        <v>3832078.22</v>
      </c>
      <c r="L47" s="26">
        <f t="shared" si="2"/>
        <v>14632463.710000001</v>
      </c>
      <c r="M47" s="38">
        <v>54.047587270000001</v>
      </c>
      <c r="N47" s="27">
        <v>69.955476430864053</v>
      </c>
      <c r="O47" s="38">
        <v>36.084460000000007</v>
      </c>
      <c r="P47" s="27">
        <v>37.527838400000007</v>
      </c>
      <c r="Q47" s="28">
        <f t="shared" si="3"/>
        <v>66603086.017724253</v>
      </c>
      <c r="R47" s="28">
        <f t="shared" si="4"/>
        <v>65676076.740309365</v>
      </c>
      <c r="S47" s="28">
        <f t="shared" si="14"/>
        <v>111436223.26634736</v>
      </c>
      <c r="T47" s="28">
        <f t="shared" si="6"/>
        <v>124265245.4241178</v>
      </c>
      <c r="U47" s="28">
        <f t="shared" si="7"/>
        <v>367980631.44849879</v>
      </c>
      <c r="V47" s="39"/>
      <c r="W47" s="39"/>
      <c r="X47" s="39"/>
      <c r="Y47" s="29">
        <f t="shared" si="12"/>
        <v>129.433116193318</v>
      </c>
      <c r="Z47" s="30">
        <f t="shared" si="13"/>
        <v>104</v>
      </c>
      <c r="AA47" s="2"/>
      <c r="AD47" s="32">
        <f t="shared" si="8"/>
        <v>0</v>
      </c>
    </row>
    <row r="48" spans="1:30" s="40" customFormat="1" ht="15" customHeight="1">
      <c r="A48" s="33"/>
      <c r="B48" s="34"/>
      <c r="C48" s="35"/>
      <c r="D48" s="33"/>
      <c r="E48" s="33"/>
      <c r="F48" s="25"/>
      <c r="G48" s="36"/>
      <c r="H48" s="41"/>
      <c r="I48" s="41"/>
      <c r="J48" s="41"/>
      <c r="K48" s="41"/>
      <c r="L48" s="37"/>
      <c r="M48" s="41"/>
      <c r="N48" s="41"/>
      <c r="O48" s="41"/>
      <c r="P48" s="41"/>
      <c r="Q48" s="28"/>
      <c r="R48" s="28"/>
      <c r="S48" s="28"/>
      <c r="T48" s="28"/>
      <c r="U48" s="28"/>
      <c r="V48" s="39"/>
      <c r="W48" s="39"/>
      <c r="X48" s="39"/>
      <c r="Y48" s="29" t="e">
        <f t="shared" si="12"/>
        <v>#DIV/0!</v>
      </c>
      <c r="Z48" s="30" t="e">
        <f t="shared" si="13"/>
        <v>#DIV/0!</v>
      </c>
      <c r="AA48" s="2"/>
      <c r="AD48" s="32" t="e">
        <f t="shared" si="8"/>
        <v>#DIV/0!</v>
      </c>
    </row>
    <row r="49" spans="1:30" s="40" customFormat="1" ht="51.75" customHeight="1">
      <c r="A49" s="33">
        <v>2903011092</v>
      </c>
      <c r="B49" s="34" t="s">
        <v>70</v>
      </c>
      <c r="C49" s="35" t="s">
        <v>71</v>
      </c>
      <c r="D49" s="33" t="s">
        <v>63</v>
      </c>
      <c r="E49" s="33"/>
      <c r="F49" s="25" t="s">
        <v>428</v>
      </c>
      <c r="G49" s="36"/>
      <c r="H49" s="37">
        <v>333454.59999999998</v>
      </c>
      <c r="I49" s="37">
        <v>302738.8</v>
      </c>
      <c r="J49" s="37">
        <v>289830.08</v>
      </c>
      <c r="K49" s="37">
        <v>305615.04000000004</v>
      </c>
      <c r="L49" s="26">
        <f t="shared" si="2"/>
        <v>1231638.52</v>
      </c>
      <c r="M49" s="38">
        <v>69.333823899999999</v>
      </c>
      <c r="N49" s="27">
        <v>82.97</v>
      </c>
      <c r="O49" s="38">
        <v>42.93</v>
      </c>
      <c r="P49" s="27">
        <v>44.647199999999998</v>
      </c>
      <c r="Q49" s="28">
        <f t="shared" si="3"/>
        <v>8804476.5370449387</v>
      </c>
      <c r="R49" s="28">
        <f t="shared" si="4"/>
        <v>7993461.9628973193</v>
      </c>
      <c r="S49" s="28">
        <f>(N49-P49)*J49</f>
        <v>11107100.189824</v>
      </c>
      <c r="T49" s="28">
        <f t="shared" si="6"/>
        <v>11712024.054912001</v>
      </c>
      <c r="U49" s="28">
        <f t="shared" si="7"/>
        <v>39617062.744678259</v>
      </c>
      <c r="V49" s="39"/>
      <c r="W49" s="39"/>
      <c r="X49" s="39"/>
      <c r="Y49" s="29">
        <f t="shared" si="12"/>
        <v>119.66742252622244</v>
      </c>
      <c r="Z49" s="30">
        <f t="shared" si="13"/>
        <v>104</v>
      </c>
      <c r="AA49" s="2"/>
      <c r="AD49" s="32">
        <f t="shared" si="8"/>
        <v>0</v>
      </c>
    </row>
    <row r="50" spans="1:30" s="40" customFormat="1" ht="15" customHeight="1">
      <c r="A50" s="33"/>
      <c r="B50" s="34"/>
      <c r="C50" s="35"/>
      <c r="D50" s="33"/>
      <c r="E50" s="33"/>
      <c r="F50" s="25"/>
      <c r="G50" s="36"/>
      <c r="H50" s="41"/>
      <c r="I50" s="41"/>
      <c r="J50" s="41"/>
      <c r="K50" s="41"/>
      <c r="L50" s="37"/>
      <c r="M50" s="41"/>
      <c r="N50" s="41"/>
      <c r="O50" s="41"/>
      <c r="P50" s="41"/>
      <c r="Q50" s="28"/>
      <c r="R50" s="28"/>
      <c r="S50" s="28"/>
      <c r="T50" s="28"/>
      <c r="U50" s="28"/>
      <c r="V50" s="39"/>
      <c r="W50" s="39"/>
      <c r="X50" s="39"/>
      <c r="Y50" s="29" t="e">
        <f t="shared" si="12"/>
        <v>#DIV/0!</v>
      </c>
      <c r="Z50" s="30" t="e">
        <f t="shared" si="13"/>
        <v>#DIV/0!</v>
      </c>
      <c r="AA50" s="2"/>
      <c r="AD50" s="32" t="e">
        <f t="shared" si="8"/>
        <v>#DIV/0!</v>
      </c>
    </row>
    <row r="51" spans="1:30" s="40" customFormat="1" ht="54" customHeight="1">
      <c r="A51" s="33">
        <v>2905001195</v>
      </c>
      <c r="B51" s="34" t="s">
        <v>72</v>
      </c>
      <c r="C51" s="35" t="s">
        <v>73</v>
      </c>
      <c r="D51" s="33"/>
      <c r="E51" s="33"/>
      <c r="F51" s="25" t="s">
        <v>428</v>
      </c>
      <c r="G51" s="36"/>
      <c r="H51" s="37">
        <v>314236.375</v>
      </c>
      <c r="I51" s="37">
        <v>314236.375</v>
      </c>
      <c r="J51" s="37">
        <v>314236.375</v>
      </c>
      <c r="K51" s="37">
        <v>314236.375</v>
      </c>
      <c r="L51" s="26">
        <f t="shared" si="2"/>
        <v>1256945.5</v>
      </c>
      <c r="M51" s="38">
        <v>25.96</v>
      </c>
      <c r="N51" s="27">
        <v>39.54</v>
      </c>
      <c r="O51" s="38">
        <f>M51</f>
        <v>25.96</v>
      </c>
      <c r="P51" s="27">
        <v>26.99</v>
      </c>
      <c r="Q51" s="28">
        <f t="shared" si="3"/>
        <v>0</v>
      </c>
      <c r="R51" s="28">
        <f t="shared" si="4"/>
        <v>0</v>
      </c>
      <c r="S51" s="28">
        <f>(N51-P51)*J51</f>
        <v>3943666.5062500001</v>
      </c>
      <c r="T51" s="28">
        <f t="shared" si="6"/>
        <v>3943666.5062500001</v>
      </c>
      <c r="U51" s="28">
        <f t="shared" si="7"/>
        <v>7887333.0125000002</v>
      </c>
      <c r="V51" s="39"/>
      <c r="W51" s="39"/>
      <c r="X51" s="39"/>
      <c r="Y51" s="29">
        <f t="shared" si="12"/>
        <v>152.31124807395992</v>
      </c>
      <c r="Z51" s="30">
        <f t="shared" si="13"/>
        <v>103.96764252696455</v>
      </c>
      <c r="AA51" s="2"/>
      <c r="AD51" s="32">
        <f t="shared" si="8"/>
        <v>3.235747303544656E-2</v>
      </c>
    </row>
    <row r="52" spans="1:30" s="40" customFormat="1" ht="15" customHeight="1">
      <c r="A52" s="33"/>
      <c r="B52" s="34"/>
      <c r="C52" s="35"/>
      <c r="D52" s="33"/>
      <c r="E52" s="33"/>
      <c r="F52" s="25"/>
      <c r="G52" s="36"/>
      <c r="H52" s="41"/>
      <c r="I52" s="41"/>
      <c r="J52" s="41"/>
      <c r="K52" s="41"/>
      <c r="L52" s="37"/>
      <c r="M52" s="41"/>
      <c r="N52" s="41"/>
      <c r="O52" s="41"/>
      <c r="P52" s="41"/>
      <c r="Q52" s="28"/>
      <c r="R52" s="28"/>
      <c r="S52" s="28"/>
      <c r="T52" s="28"/>
      <c r="U52" s="28"/>
      <c r="V52" s="39"/>
      <c r="W52" s="39"/>
      <c r="X52" s="39"/>
      <c r="Y52" s="29" t="e">
        <f t="shared" si="12"/>
        <v>#DIV/0!</v>
      </c>
      <c r="Z52" s="30" t="e">
        <f t="shared" si="13"/>
        <v>#DIV/0!</v>
      </c>
      <c r="AA52" s="2"/>
      <c r="AD52" s="32" t="e">
        <f t="shared" si="8"/>
        <v>#DIV/0!</v>
      </c>
    </row>
    <row r="53" spans="1:30" s="40" customFormat="1" ht="51.75" customHeight="1">
      <c r="A53" s="33">
        <v>2904002069</v>
      </c>
      <c r="B53" s="34" t="s">
        <v>77</v>
      </c>
      <c r="C53" s="35" t="s">
        <v>75</v>
      </c>
      <c r="D53" s="33" t="s">
        <v>63</v>
      </c>
      <c r="E53" s="33"/>
      <c r="F53" s="25" t="s">
        <v>428</v>
      </c>
      <c r="G53" s="36"/>
      <c r="H53" s="37">
        <v>619485.255</v>
      </c>
      <c r="I53" s="37">
        <v>618288.47600000002</v>
      </c>
      <c r="J53" s="37">
        <v>584787.076</v>
      </c>
      <c r="K53" s="37">
        <v>609914.78</v>
      </c>
      <c r="L53" s="26">
        <f t="shared" si="2"/>
        <v>2432475.5870000003</v>
      </c>
      <c r="M53" s="38">
        <v>48.68</v>
      </c>
      <c r="N53" s="27">
        <v>58.84</v>
      </c>
      <c r="O53" s="38">
        <v>34.75</v>
      </c>
      <c r="P53" s="27">
        <v>36.14</v>
      </c>
      <c r="Q53" s="28">
        <f t="shared" si="3"/>
        <v>8629429.6021500006</v>
      </c>
      <c r="R53" s="28">
        <f t="shared" si="4"/>
        <v>8612758.4706800003</v>
      </c>
      <c r="S53" s="28">
        <f>(N53-P53)*J53</f>
        <v>13274666.625200002</v>
      </c>
      <c r="T53" s="28">
        <f t="shared" si="6"/>
        <v>13845065.506000003</v>
      </c>
      <c r="U53" s="28">
        <f t="shared" si="7"/>
        <v>44361920.204030007</v>
      </c>
      <c r="V53" s="39"/>
      <c r="W53" s="39"/>
      <c r="X53" s="39"/>
      <c r="Y53" s="29">
        <f t="shared" si="12"/>
        <v>120.87099424815119</v>
      </c>
      <c r="Z53" s="30">
        <f t="shared" si="13"/>
        <v>104</v>
      </c>
      <c r="AA53" s="2"/>
      <c r="AD53" s="32">
        <f t="shared" si="8"/>
        <v>0</v>
      </c>
    </row>
    <row r="54" spans="1:30" s="40" customFormat="1" ht="51.75" customHeight="1">
      <c r="A54" s="33">
        <v>7708503727</v>
      </c>
      <c r="B54" s="34" t="s">
        <v>74</v>
      </c>
      <c r="C54" s="35" t="s">
        <v>75</v>
      </c>
      <c r="D54" s="33" t="s">
        <v>63</v>
      </c>
      <c r="E54" s="33"/>
      <c r="F54" s="25" t="s">
        <v>428</v>
      </c>
      <c r="G54" s="36"/>
      <c r="H54" s="37">
        <v>84489.909</v>
      </c>
      <c r="I54" s="37">
        <v>85028.68299999999</v>
      </c>
      <c r="J54" s="37">
        <v>87119.528999999995</v>
      </c>
      <c r="K54" s="37">
        <v>78858.16</v>
      </c>
      <c r="L54" s="26">
        <f t="shared" si="2"/>
        <v>335496.28099999996</v>
      </c>
      <c r="M54" s="38">
        <v>54.31</v>
      </c>
      <c r="N54" s="27">
        <v>62.85</v>
      </c>
      <c r="O54" s="38">
        <v>34.75</v>
      </c>
      <c r="P54" s="27">
        <v>36.14</v>
      </c>
      <c r="Q54" s="28">
        <f t="shared" si="3"/>
        <v>1652622.6200400002</v>
      </c>
      <c r="R54" s="28">
        <f t="shared" si="4"/>
        <v>1663161.03948</v>
      </c>
      <c r="S54" s="28">
        <f>(N54-P54)*J54</f>
        <v>2326962.6195899998</v>
      </c>
      <c r="T54" s="28">
        <f t="shared" si="6"/>
        <v>2106301.4536000001</v>
      </c>
      <c r="U54" s="28">
        <f t="shared" si="7"/>
        <v>7749047.7327100001</v>
      </c>
      <c r="V54" s="39"/>
      <c r="W54" s="39"/>
      <c r="X54" s="39"/>
      <c r="Y54" s="29">
        <f t="shared" si="12"/>
        <v>115.72454428282084</v>
      </c>
      <c r="Z54" s="30">
        <f t="shared" si="13"/>
        <v>104</v>
      </c>
      <c r="AA54" s="2"/>
      <c r="AD54" s="32">
        <f t="shared" si="8"/>
        <v>0</v>
      </c>
    </row>
    <row r="55" spans="1:30" s="40" customFormat="1" ht="15" customHeight="1">
      <c r="A55" s="33"/>
      <c r="B55" s="34"/>
      <c r="C55" s="35"/>
      <c r="D55" s="33"/>
      <c r="E55" s="33"/>
      <c r="F55" s="25"/>
      <c r="G55" s="36"/>
      <c r="H55" s="41"/>
      <c r="I55" s="41"/>
      <c r="J55" s="41"/>
      <c r="K55" s="41"/>
      <c r="L55" s="37"/>
      <c r="M55" s="41"/>
      <c r="N55" s="41"/>
      <c r="O55" s="41"/>
      <c r="P55" s="41"/>
      <c r="Q55" s="28"/>
      <c r="R55" s="28"/>
      <c r="S55" s="28"/>
      <c r="T55" s="28"/>
      <c r="U55" s="28"/>
      <c r="V55" s="39"/>
      <c r="W55" s="39"/>
      <c r="X55" s="39"/>
      <c r="Y55" s="29" t="e">
        <f t="shared" si="12"/>
        <v>#DIV/0!</v>
      </c>
      <c r="Z55" s="30" t="e">
        <f t="shared" si="13"/>
        <v>#DIV/0!</v>
      </c>
      <c r="AA55" s="2"/>
      <c r="AD55" s="32" t="e">
        <f t="shared" si="8"/>
        <v>#DIV/0!</v>
      </c>
    </row>
    <row r="56" spans="1:30" s="40" customFormat="1" ht="51.75" customHeight="1">
      <c r="A56" s="33">
        <v>2911005590</v>
      </c>
      <c r="B56" s="34" t="s">
        <v>78</v>
      </c>
      <c r="C56" s="35" t="s">
        <v>311</v>
      </c>
      <c r="D56" s="33" t="s">
        <v>80</v>
      </c>
      <c r="E56" s="33"/>
      <c r="F56" s="25" t="s">
        <v>428</v>
      </c>
      <c r="G56" s="36"/>
      <c r="H56" s="37">
        <v>24924.713000000003</v>
      </c>
      <c r="I56" s="37">
        <v>25054.510000000002</v>
      </c>
      <c r="J56" s="37">
        <v>25326.057000000001</v>
      </c>
      <c r="K56" s="37">
        <v>24049.828999999998</v>
      </c>
      <c r="L56" s="26">
        <f t="shared" si="2"/>
        <v>99355.108999999997</v>
      </c>
      <c r="M56" s="38">
        <v>84.11</v>
      </c>
      <c r="N56" s="27">
        <v>96.524800000000013</v>
      </c>
      <c r="O56" s="38">
        <v>58</v>
      </c>
      <c r="P56" s="27">
        <v>60.32</v>
      </c>
      <c r="Q56" s="28">
        <f t="shared" si="3"/>
        <v>650784.25643000007</v>
      </c>
      <c r="R56" s="28">
        <f t="shared" si="4"/>
        <v>654173.2561</v>
      </c>
      <c r="S56" s="28">
        <f t="shared" ref="S56:S61" si="15">(N56-P56)*J56</f>
        <v>916924.82847360033</v>
      </c>
      <c r="T56" s="28">
        <f t="shared" si="6"/>
        <v>870719.24897920026</v>
      </c>
      <c r="U56" s="28">
        <f t="shared" si="7"/>
        <v>3092601.5899828007</v>
      </c>
      <c r="V56" s="39"/>
      <c r="W56" s="39"/>
      <c r="X56" s="39"/>
      <c r="Y56" s="29">
        <f t="shared" si="12"/>
        <v>114.76019498276069</v>
      </c>
      <c r="Z56" s="30">
        <f t="shared" si="13"/>
        <v>104</v>
      </c>
      <c r="AA56" s="2"/>
      <c r="AD56" s="32">
        <f t="shared" si="8"/>
        <v>0</v>
      </c>
    </row>
    <row r="57" spans="1:30" s="40" customFormat="1" ht="69" customHeight="1">
      <c r="A57" s="33">
        <v>2911004356</v>
      </c>
      <c r="B57" s="34" t="s">
        <v>312</v>
      </c>
      <c r="C57" s="35" t="s">
        <v>311</v>
      </c>
      <c r="D57" s="33" t="s">
        <v>313</v>
      </c>
      <c r="E57" s="33"/>
      <c r="F57" s="25" t="s">
        <v>428</v>
      </c>
      <c r="G57" s="36"/>
      <c r="H57" s="37">
        <v>142.5</v>
      </c>
      <c r="I57" s="37">
        <v>142.5</v>
      </c>
      <c r="J57" s="37">
        <v>141.10499999999999</v>
      </c>
      <c r="K57" s="37">
        <v>109.52</v>
      </c>
      <c r="L57" s="26">
        <f t="shared" si="2"/>
        <v>535.625</v>
      </c>
      <c r="M57" s="38">
        <v>144.41</v>
      </c>
      <c r="N57" s="27">
        <v>170.40380000000002</v>
      </c>
      <c r="O57" s="38">
        <v>121</v>
      </c>
      <c r="P57" s="27">
        <v>125.84</v>
      </c>
      <c r="Q57" s="28">
        <f t="shared" si="3"/>
        <v>3335.9249999999997</v>
      </c>
      <c r="R57" s="28">
        <f t="shared" si="4"/>
        <v>3335.9249999999997</v>
      </c>
      <c r="S57" s="28">
        <f t="shared" si="15"/>
        <v>6288.1749990000017</v>
      </c>
      <c r="T57" s="28">
        <f t="shared" si="6"/>
        <v>4880.6273760000013</v>
      </c>
      <c r="U57" s="28">
        <f t="shared" si="7"/>
        <v>17840.652375000001</v>
      </c>
      <c r="V57" s="39"/>
      <c r="W57" s="39"/>
      <c r="X57" s="39"/>
      <c r="Y57" s="29">
        <f t="shared" si="12"/>
        <v>118.00000000000001</v>
      </c>
      <c r="Z57" s="30">
        <f t="shared" si="13"/>
        <v>104</v>
      </c>
      <c r="AA57" s="2"/>
      <c r="AD57" s="32">
        <f t="shared" si="8"/>
        <v>0</v>
      </c>
    </row>
    <row r="58" spans="1:30" s="40" customFormat="1" ht="69" customHeight="1">
      <c r="A58" s="33">
        <v>2911004405</v>
      </c>
      <c r="B58" s="34" t="s">
        <v>314</v>
      </c>
      <c r="C58" s="35" t="s">
        <v>311</v>
      </c>
      <c r="D58" s="33" t="s">
        <v>81</v>
      </c>
      <c r="E58" s="33"/>
      <c r="F58" s="25" t="s">
        <v>428</v>
      </c>
      <c r="G58" s="36"/>
      <c r="H58" s="37">
        <v>1160.1669999999999</v>
      </c>
      <c r="I58" s="37">
        <v>1355.413</v>
      </c>
      <c r="J58" s="37">
        <v>1531.2930000000001</v>
      </c>
      <c r="K58" s="37">
        <v>1072.366</v>
      </c>
      <c r="L58" s="26">
        <f t="shared" si="2"/>
        <v>5119.2389999999996</v>
      </c>
      <c r="M58" s="38">
        <v>142.05000000000001</v>
      </c>
      <c r="N58" s="27">
        <v>142.05000000000001</v>
      </c>
      <c r="O58" s="38">
        <v>107</v>
      </c>
      <c r="P58" s="27">
        <v>111.28</v>
      </c>
      <c r="Q58" s="28">
        <f t="shared" si="3"/>
        <v>40663.853350000012</v>
      </c>
      <c r="R58" s="28">
        <f t="shared" si="4"/>
        <v>47507.225650000015</v>
      </c>
      <c r="S58" s="28">
        <f t="shared" si="15"/>
        <v>47117.885610000019</v>
      </c>
      <c r="T58" s="28">
        <f t="shared" si="6"/>
        <v>32996.701820000009</v>
      </c>
      <c r="U58" s="28">
        <f t="shared" si="7"/>
        <v>168285.66643000007</v>
      </c>
      <c r="V58" s="39"/>
      <c r="W58" s="39"/>
      <c r="X58" s="39"/>
      <c r="Y58" s="29">
        <f t="shared" si="12"/>
        <v>100</v>
      </c>
      <c r="Z58" s="30">
        <f t="shared" si="13"/>
        <v>104</v>
      </c>
      <c r="AA58" s="2"/>
      <c r="AD58" s="32">
        <f t="shared" si="8"/>
        <v>0</v>
      </c>
    </row>
    <row r="59" spans="1:30" s="40" customFormat="1" ht="69" customHeight="1">
      <c r="A59" s="33">
        <v>2911004331</v>
      </c>
      <c r="B59" s="34" t="s">
        <v>315</v>
      </c>
      <c r="C59" s="35" t="s">
        <v>311</v>
      </c>
      <c r="D59" s="33" t="s">
        <v>316</v>
      </c>
      <c r="E59" s="33"/>
      <c r="F59" s="25" t="s">
        <v>428</v>
      </c>
      <c r="G59" s="36"/>
      <c r="H59" s="37">
        <v>2876.25</v>
      </c>
      <c r="I59" s="37">
        <v>2876.25</v>
      </c>
      <c r="J59" s="37">
        <v>2836</v>
      </c>
      <c r="K59" s="37">
        <v>2697.42</v>
      </c>
      <c r="L59" s="26">
        <f t="shared" si="2"/>
        <v>11285.92</v>
      </c>
      <c r="M59" s="38">
        <v>100.19</v>
      </c>
      <c r="N59" s="27">
        <v>118.22420000000002</v>
      </c>
      <c r="O59" s="38">
        <v>92</v>
      </c>
      <c r="P59" s="27">
        <v>95.68</v>
      </c>
      <c r="Q59" s="28">
        <f t="shared" si="3"/>
        <v>23556.487499999992</v>
      </c>
      <c r="R59" s="28">
        <f t="shared" si="4"/>
        <v>23556.487499999992</v>
      </c>
      <c r="S59" s="28">
        <f t="shared" si="15"/>
        <v>63935.351200000048</v>
      </c>
      <c r="T59" s="28">
        <f t="shared" si="6"/>
        <v>60811.175964000053</v>
      </c>
      <c r="U59" s="28">
        <f t="shared" si="7"/>
        <v>171859.50216400009</v>
      </c>
      <c r="V59" s="39"/>
      <c r="W59" s="39"/>
      <c r="X59" s="39"/>
      <c r="Y59" s="29">
        <f t="shared" si="12"/>
        <v>118.00000000000004</v>
      </c>
      <c r="Z59" s="30">
        <f t="shared" si="13"/>
        <v>104</v>
      </c>
      <c r="AA59" s="2"/>
      <c r="AD59" s="32">
        <f t="shared" si="8"/>
        <v>0</v>
      </c>
    </row>
    <row r="60" spans="1:30" s="40" customFormat="1" ht="69" customHeight="1">
      <c r="A60" s="33">
        <v>2911004420</v>
      </c>
      <c r="B60" s="34" t="s">
        <v>317</v>
      </c>
      <c r="C60" s="35" t="s">
        <v>311</v>
      </c>
      <c r="D60" s="33" t="s">
        <v>318</v>
      </c>
      <c r="E60" s="33"/>
      <c r="F60" s="25" t="s">
        <v>428</v>
      </c>
      <c r="G60" s="36"/>
      <c r="H60" s="37">
        <v>1796</v>
      </c>
      <c r="I60" s="37">
        <v>1796</v>
      </c>
      <c r="J60" s="37">
        <v>1796</v>
      </c>
      <c r="K60" s="37">
        <v>1796</v>
      </c>
      <c r="L60" s="26">
        <f t="shared" si="2"/>
        <v>7184</v>
      </c>
      <c r="M60" s="38">
        <v>150.79</v>
      </c>
      <c r="N60" s="27">
        <v>150.79</v>
      </c>
      <c r="O60" s="38">
        <v>117</v>
      </c>
      <c r="P60" s="27">
        <v>121.68</v>
      </c>
      <c r="Q60" s="28">
        <f t="shared" si="3"/>
        <v>60686.839999999989</v>
      </c>
      <c r="R60" s="28">
        <f t="shared" si="4"/>
        <v>60686.839999999989</v>
      </c>
      <c r="S60" s="28">
        <f t="shared" si="15"/>
        <v>52281.559999999976</v>
      </c>
      <c r="T60" s="28">
        <f t="shared" si="6"/>
        <v>52281.559999999976</v>
      </c>
      <c r="U60" s="28">
        <f t="shared" si="7"/>
        <v>225936.79999999993</v>
      </c>
      <c r="V60" s="39"/>
      <c r="W60" s="39"/>
      <c r="X60" s="39"/>
      <c r="Y60" s="29"/>
      <c r="Z60" s="30"/>
      <c r="AA60" s="2"/>
      <c r="AD60" s="32"/>
    </row>
    <row r="61" spans="1:30" s="40" customFormat="1" ht="69" customHeight="1">
      <c r="A61" s="33">
        <v>2911004363</v>
      </c>
      <c r="B61" s="34" t="s">
        <v>82</v>
      </c>
      <c r="C61" s="35" t="s">
        <v>79</v>
      </c>
      <c r="D61" s="33" t="s">
        <v>83</v>
      </c>
      <c r="E61" s="33"/>
      <c r="F61" s="25" t="s">
        <v>428</v>
      </c>
      <c r="G61" s="36" t="s">
        <v>408</v>
      </c>
      <c r="H61" s="37">
        <v>504.5</v>
      </c>
      <c r="I61" s="37">
        <v>504.5</v>
      </c>
      <c r="J61" s="37">
        <v>504.5</v>
      </c>
      <c r="K61" s="37">
        <v>504.5</v>
      </c>
      <c r="L61" s="26">
        <f t="shared" si="2"/>
        <v>2018</v>
      </c>
      <c r="M61" s="38">
        <v>157.1</v>
      </c>
      <c r="N61" s="27">
        <v>165.80160000000004</v>
      </c>
      <c r="O61" s="38">
        <v>117</v>
      </c>
      <c r="P61" s="27">
        <v>121.68</v>
      </c>
      <c r="Q61" s="28">
        <f t="shared" si="3"/>
        <v>20230.449999999997</v>
      </c>
      <c r="R61" s="28">
        <f t="shared" si="4"/>
        <v>20230.449999999997</v>
      </c>
      <c r="S61" s="28">
        <f t="shared" si="15"/>
        <v>22259.347200000015</v>
      </c>
      <c r="T61" s="28">
        <f t="shared" si="6"/>
        <v>22259.347200000015</v>
      </c>
      <c r="U61" s="28">
        <f t="shared" si="7"/>
        <v>84979.594400000031</v>
      </c>
      <c r="V61" s="39"/>
      <c r="W61" s="39"/>
      <c r="X61" s="39"/>
      <c r="Y61" s="29">
        <f t="shared" ref="Y61:Y68" si="16">N61/M61*100</f>
        <v>105.53889242520691</v>
      </c>
      <c r="Z61" s="30">
        <f t="shared" ref="Z61:Z68" si="17">P61/O61*100</f>
        <v>104</v>
      </c>
      <c r="AA61" s="2"/>
      <c r="AD61" s="32">
        <f>104-Z61</f>
        <v>0</v>
      </c>
    </row>
    <row r="62" spans="1:30" s="40" customFormat="1" ht="15" customHeight="1">
      <c r="A62" s="33"/>
      <c r="B62" s="34"/>
      <c r="C62" s="35"/>
      <c r="D62" s="33"/>
      <c r="E62" s="33"/>
      <c r="F62" s="25"/>
      <c r="G62" s="36"/>
      <c r="H62" s="41"/>
      <c r="I62" s="41"/>
      <c r="J62" s="41"/>
      <c r="K62" s="41"/>
      <c r="L62" s="37"/>
      <c r="M62" s="41"/>
      <c r="N62" s="41"/>
      <c r="O62" s="41"/>
      <c r="P62" s="41"/>
      <c r="Q62" s="28"/>
      <c r="R62" s="28"/>
      <c r="S62" s="28"/>
      <c r="T62" s="28"/>
      <c r="U62" s="28"/>
      <c r="V62" s="39"/>
      <c r="W62" s="39"/>
      <c r="X62" s="39"/>
      <c r="Y62" s="29" t="e">
        <f t="shared" si="16"/>
        <v>#DIV/0!</v>
      </c>
      <c r="Z62" s="30" t="e">
        <f t="shared" si="17"/>
        <v>#DIV/0!</v>
      </c>
      <c r="AA62" s="2"/>
      <c r="AD62" s="32" t="e">
        <f t="shared" si="8"/>
        <v>#DIV/0!</v>
      </c>
    </row>
    <row r="63" spans="1:30" s="40" customFormat="1" ht="47.25" customHeight="1">
      <c r="A63" s="33">
        <v>7708503727</v>
      </c>
      <c r="B63" s="34" t="s">
        <v>61</v>
      </c>
      <c r="C63" s="35" t="s">
        <v>86</v>
      </c>
      <c r="D63" s="33" t="s">
        <v>87</v>
      </c>
      <c r="E63" s="33"/>
      <c r="F63" s="25" t="s">
        <v>428</v>
      </c>
      <c r="G63" s="36"/>
      <c r="H63" s="37">
        <v>5793.0060000000003</v>
      </c>
      <c r="I63" s="37">
        <f>5452.371+271.002</f>
        <v>5723.3730000000005</v>
      </c>
      <c r="J63" s="37">
        <v>5815.1939999999995</v>
      </c>
      <c r="K63" s="37">
        <v>5693.1859999999997</v>
      </c>
      <c r="L63" s="26">
        <f t="shared" si="2"/>
        <v>23024.758999999998</v>
      </c>
      <c r="M63" s="38">
        <v>47.291311700000001</v>
      </c>
      <c r="N63" s="27">
        <v>54.992384506</v>
      </c>
      <c r="O63" s="38">
        <v>42.201000000000001</v>
      </c>
      <c r="P63" s="27">
        <v>43.889040000000001</v>
      </c>
      <c r="Q63" s="28">
        <f t="shared" si="3"/>
        <v>29488.206219970205</v>
      </c>
      <c r="R63" s="28">
        <f t="shared" si="4"/>
        <v>29133.752545364106</v>
      </c>
      <c r="S63" s="28">
        <f t="shared" ref="S63:S71" si="18">(N63-P63)*J63</f>
        <v>64568.102351224152</v>
      </c>
      <c r="T63" s="28">
        <f t="shared" si="6"/>
        <v>63213.405494736107</v>
      </c>
      <c r="U63" s="28">
        <f t="shared" si="7"/>
        <v>186403.46661129457</v>
      </c>
      <c r="V63" s="39"/>
      <c r="W63" s="39"/>
      <c r="X63" s="39"/>
      <c r="Y63" s="29">
        <f t="shared" si="16"/>
        <v>116.28432904304491</v>
      </c>
      <c r="Z63" s="30">
        <f t="shared" si="17"/>
        <v>104</v>
      </c>
      <c r="AA63" s="2"/>
      <c r="AD63" s="32">
        <f t="shared" si="8"/>
        <v>0</v>
      </c>
    </row>
    <row r="64" spans="1:30" s="40" customFormat="1" ht="47.25" customHeight="1">
      <c r="A64" s="33">
        <v>2912006998</v>
      </c>
      <c r="B64" s="34" t="s">
        <v>85</v>
      </c>
      <c r="C64" s="35" t="s">
        <v>86</v>
      </c>
      <c r="D64" s="33" t="s">
        <v>87</v>
      </c>
      <c r="E64" s="33"/>
      <c r="F64" s="25" t="s">
        <v>428</v>
      </c>
      <c r="G64" s="36"/>
      <c r="H64" s="37">
        <v>40933.187000000005</v>
      </c>
      <c r="I64" s="37">
        <f>40610.752+314.62</f>
        <v>40925.372000000003</v>
      </c>
      <c r="J64" s="37">
        <v>37909.815000000002</v>
      </c>
      <c r="K64" s="37">
        <v>39247.715000000004</v>
      </c>
      <c r="L64" s="26">
        <f t="shared" si="2"/>
        <v>159016.08900000001</v>
      </c>
      <c r="M64" s="38">
        <v>51.82</v>
      </c>
      <c r="N64" s="27">
        <v>61.899898181465936</v>
      </c>
      <c r="O64" s="38">
        <v>49.15</v>
      </c>
      <c r="P64" s="27">
        <v>51.116</v>
      </c>
      <c r="Q64" s="28">
        <f t="shared" si="3"/>
        <v>109291.60929000008</v>
      </c>
      <c r="R64" s="28">
        <f t="shared" si="4"/>
        <v>109270.74324000008</v>
      </c>
      <c r="S64" s="28">
        <f t="shared" si="18"/>
        <v>408815.58503821009</v>
      </c>
      <c r="T64" s="28">
        <f t="shared" si="6"/>
        <v>423243.36241519341</v>
      </c>
      <c r="U64" s="28">
        <f t="shared" si="7"/>
        <v>1050621.2999834036</v>
      </c>
      <c r="V64" s="39"/>
      <c r="W64" s="39"/>
      <c r="X64" s="39"/>
      <c r="Y64" s="29">
        <f t="shared" si="16"/>
        <v>119.4517525694055</v>
      </c>
      <c r="Z64" s="30">
        <f t="shared" si="17"/>
        <v>104</v>
      </c>
      <c r="AA64" s="2"/>
      <c r="AD64" s="32">
        <f t="shared" si="8"/>
        <v>0</v>
      </c>
    </row>
    <row r="65" spans="1:30" s="40" customFormat="1" ht="47.25" customHeight="1">
      <c r="A65" s="33">
        <v>2912005994</v>
      </c>
      <c r="B65" s="34" t="s">
        <v>92</v>
      </c>
      <c r="C65" s="35" t="s">
        <v>86</v>
      </c>
      <c r="D65" s="33" t="s">
        <v>93</v>
      </c>
      <c r="E65" s="33"/>
      <c r="F65" s="25" t="s">
        <v>428</v>
      </c>
      <c r="G65" s="36"/>
      <c r="H65" s="37">
        <v>733</v>
      </c>
      <c r="I65" s="37">
        <v>761.5</v>
      </c>
      <c r="J65" s="37">
        <v>796.65</v>
      </c>
      <c r="K65" s="37">
        <v>791.56999999999994</v>
      </c>
      <c r="L65" s="26">
        <f t="shared" si="2"/>
        <v>3082.7200000000003</v>
      </c>
      <c r="M65" s="38">
        <v>81.12</v>
      </c>
      <c r="N65" s="27">
        <v>99.897974640263598</v>
      </c>
      <c r="O65" s="38">
        <v>59</v>
      </c>
      <c r="P65" s="27">
        <v>61.36</v>
      </c>
      <c r="Q65" s="28">
        <f t="shared" si="3"/>
        <v>16213.960000000003</v>
      </c>
      <c r="R65" s="28">
        <f t="shared" si="4"/>
        <v>16844.380000000005</v>
      </c>
      <c r="S65" s="28">
        <f t="shared" si="18"/>
        <v>30701.277497165996</v>
      </c>
      <c r="T65" s="28">
        <f t="shared" si="6"/>
        <v>30505.504585993454</v>
      </c>
      <c r="U65" s="28">
        <f t="shared" si="7"/>
        <v>94265.122083159455</v>
      </c>
      <c r="V65" s="39"/>
      <c r="W65" s="39"/>
      <c r="X65" s="39"/>
      <c r="Y65" s="29">
        <f t="shared" si="16"/>
        <v>123.1483908287273</v>
      </c>
      <c r="Z65" s="30">
        <f t="shared" si="17"/>
        <v>104</v>
      </c>
      <c r="AA65" s="2"/>
      <c r="AD65" s="32">
        <f t="shared" si="8"/>
        <v>0</v>
      </c>
    </row>
    <row r="66" spans="1:30" s="40" customFormat="1" ht="47.25" customHeight="1">
      <c r="A66" s="33">
        <v>2912005994</v>
      </c>
      <c r="B66" s="34" t="s">
        <v>92</v>
      </c>
      <c r="C66" s="35" t="s">
        <v>86</v>
      </c>
      <c r="D66" s="33" t="s">
        <v>95</v>
      </c>
      <c r="E66" s="33"/>
      <c r="F66" s="25" t="s">
        <v>428</v>
      </c>
      <c r="G66" s="36"/>
      <c r="H66" s="37">
        <v>968</v>
      </c>
      <c r="I66" s="37">
        <v>954.2700000000001</v>
      </c>
      <c r="J66" s="37">
        <v>955.61999999999989</v>
      </c>
      <c r="K66" s="37">
        <v>978.08</v>
      </c>
      <c r="L66" s="26">
        <f t="shared" si="2"/>
        <v>3855.97</v>
      </c>
      <c r="M66" s="38">
        <v>98.19</v>
      </c>
      <c r="N66" s="27">
        <v>138.73160473246094</v>
      </c>
      <c r="O66" s="38">
        <v>63</v>
      </c>
      <c r="P66" s="27">
        <v>65.52</v>
      </c>
      <c r="Q66" s="28">
        <f t="shared" si="3"/>
        <v>34063.919999999998</v>
      </c>
      <c r="R66" s="28">
        <f t="shared" si="4"/>
        <v>33580.761299999998</v>
      </c>
      <c r="S66" s="28">
        <f t="shared" si="18"/>
        <v>69962.473714434323</v>
      </c>
      <c r="T66" s="28">
        <f t="shared" si="6"/>
        <v>71606.806356725399</v>
      </c>
      <c r="U66" s="28">
        <f t="shared" si="7"/>
        <v>209213.9613711597</v>
      </c>
      <c r="V66" s="39"/>
      <c r="W66" s="39"/>
      <c r="X66" s="39"/>
      <c r="Y66" s="29">
        <f t="shared" si="16"/>
        <v>141.28893444593231</v>
      </c>
      <c r="Z66" s="30">
        <f t="shared" si="17"/>
        <v>104</v>
      </c>
      <c r="AA66" s="2"/>
      <c r="AD66" s="32">
        <f t="shared" si="8"/>
        <v>0</v>
      </c>
    </row>
    <row r="67" spans="1:30" s="40" customFormat="1" ht="47.25" customHeight="1">
      <c r="A67" s="33">
        <v>2912005994</v>
      </c>
      <c r="B67" s="34" t="s">
        <v>92</v>
      </c>
      <c r="C67" s="35" t="s">
        <v>86</v>
      </c>
      <c r="D67" s="33" t="s">
        <v>94</v>
      </c>
      <c r="E67" s="33"/>
      <c r="F67" s="25" t="s">
        <v>428</v>
      </c>
      <c r="G67" s="36"/>
      <c r="H67" s="37">
        <v>102</v>
      </c>
      <c r="I67" s="37">
        <v>104.31</v>
      </c>
      <c r="J67" s="37">
        <v>168.29000000000002</v>
      </c>
      <c r="K67" s="37">
        <v>195.29999999999998</v>
      </c>
      <c r="L67" s="26">
        <f t="shared" si="2"/>
        <v>569.9</v>
      </c>
      <c r="M67" s="38">
        <v>98.19</v>
      </c>
      <c r="N67" s="27">
        <v>138.73160473246094</v>
      </c>
      <c r="O67" s="38">
        <v>74</v>
      </c>
      <c r="P67" s="27">
        <v>76.960000000000008</v>
      </c>
      <c r="Q67" s="28">
        <f t="shared" si="3"/>
        <v>2467.3799999999997</v>
      </c>
      <c r="R67" s="28">
        <f t="shared" si="4"/>
        <v>2523.2588999999998</v>
      </c>
      <c r="S67" s="28">
        <f t="shared" si="18"/>
        <v>10395.543360425851</v>
      </c>
      <c r="T67" s="28">
        <f t="shared" si="6"/>
        <v>12063.994404249619</v>
      </c>
      <c r="U67" s="28">
        <f t="shared" si="7"/>
        <v>27450.17666467547</v>
      </c>
      <c r="V67" s="39"/>
      <c r="W67" s="39"/>
      <c r="X67" s="39"/>
      <c r="Y67" s="29">
        <f t="shared" si="16"/>
        <v>141.28893444593231</v>
      </c>
      <c r="Z67" s="30">
        <f t="shared" si="17"/>
        <v>104</v>
      </c>
      <c r="AA67" s="2"/>
      <c r="AD67" s="32">
        <f t="shared" si="8"/>
        <v>0</v>
      </c>
    </row>
    <row r="68" spans="1:30" s="40" customFormat="1" ht="47.25" customHeight="1">
      <c r="A68" s="33">
        <v>2912005994</v>
      </c>
      <c r="B68" s="34" t="s">
        <v>92</v>
      </c>
      <c r="C68" s="35" t="s">
        <v>86</v>
      </c>
      <c r="D68" s="33" t="s">
        <v>96</v>
      </c>
      <c r="E68" s="33"/>
      <c r="F68" s="25" t="s">
        <v>428</v>
      </c>
      <c r="G68" s="36"/>
      <c r="H68" s="37">
        <v>447</v>
      </c>
      <c r="I68" s="37">
        <v>383.64</v>
      </c>
      <c r="J68" s="37">
        <v>376.73</v>
      </c>
      <c r="K68" s="37">
        <v>333.58000000000004</v>
      </c>
      <c r="L68" s="26">
        <f t="shared" si="2"/>
        <v>1540.9499999999998</v>
      </c>
      <c r="M68" s="38">
        <v>107.7</v>
      </c>
      <c r="N68" s="27">
        <v>149.88822216028171</v>
      </c>
      <c r="O68" s="38">
        <v>59</v>
      </c>
      <c r="P68" s="27">
        <v>61.36</v>
      </c>
      <c r="Q68" s="28">
        <f t="shared" si="3"/>
        <v>21768.9</v>
      </c>
      <c r="R68" s="28">
        <f t="shared" si="4"/>
        <v>18683.268</v>
      </c>
      <c r="S68" s="28">
        <f t="shared" si="18"/>
        <v>33351.237134442934</v>
      </c>
      <c r="T68" s="28">
        <f t="shared" si="6"/>
        <v>29531.244348226777</v>
      </c>
      <c r="U68" s="28">
        <f t="shared" si="7"/>
        <v>103334.64948266972</v>
      </c>
      <c r="V68" s="39"/>
      <c r="W68" s="39"/>
      <c r="X68" s="39"/>
      <c r="Y68" s="29">
        <f t="shared" si="16"/>
        <v>139.17197972171002</v>
      </c>
      <c r="Z68" s="30">
        <f t="shared" si="17"/>
        <v>104</v>
      </c>
      <c r="AA68" s="2"/>
      <c r="AD68" s="32">
        <f t="shared" si="8"/>
        <v>0</v>
      </c>
    </row>
    <row r="69" spans="1:30" s="40" customFormat="1" ht="52.5" customHeight="1">
      <c r="A69" s="33">
        <v>2912005994</v>
      </c>
      <c r="B69" s="34" t="s">
        <v>92</v>
      </c>
      <c r="C69" s="35" t="s">
        <v>86</v>
      </c>
      <c r="D69" s="33" t="s">
        <v>435</v>
      </c>
      <c r="E69" s="33"/>
      <c r="F69" s="36" t="s">
        <v>428</v>
      </c>
      <c r="G69" s="36" t="s">
        <v>440</v>
      </c>
      <c r="H69" s="37">
        <f>3740/4</f>
        <v>935</v>
      </c>
      <c r="I69" s="37">
        <f t="shared" ref="I69:K69" si="19">3740/4</f>
        <v>935</v>
      </c>
      <c r="J69" s="37">
        <f t="shared" si="19"/>
        <v>935</v>
      </c>
      <c r="K69" s="37">
        <f t="shared" si="19"/>
        <v>935</v>
      </c>
      <c r="L69" s="37">
        <f t="shared" si="2"/>
        <v>3740</v>
      </c>
      <c r="M69" s="38">
        <v>56.26</v>
      </c>
      <c r="N69" s="38">
        <v>105.47213608299113</v>
      </c>
      <c r="O69" s="38">
        <v>56.26</v>
      </c>
      <c r="P69" s="38">
        <v>58.510399999999997</v>
      </c>
      <c r="Q69" s="28">
        <f t="shared" si="3"/>
        <v>0</v>
      </c>
      <c r="R69" s="28">
        <f t="shared" si="4"/>
        <v>0</v>
      </c>
      <c r="S69" s="53">
        <f t="shared" si="18"/>
        <v>43909.223237596707</v>
      </c>
      <c r="T69" s="28">
        <f t="shared" si="6"/>
        <v>43909.223237596707</v>
      </c>
      <c r="U69" s="80">
        <f t="shared" si="7"/>
        <v>87818.446475193414</v>
      </c>
      <c r="V69" s="89"/>
      <c r="W69" s="39"/>
      <c r="X69" s="39"/>
      <c r="Y69" s="29"/>
      <c r="Z69" s="30"/>
      <c r="AA69" s="2"/>
      <c r="AD69" s="32"/>
    </row>
    <row r="70" spans="1:30" s="40" customFormat="1" ht="47.25" customHeight="1">
      <c r="A70" s="33">
        <v>2912006155</v>
      </c>
      <c r="B70" s="34" t="s">
        <v>89</v>
      </c>
      <c r="C70" s="35" t="s">
        <v>86</v>
      </c>
      <c r="D70" s="33" t="s">
        <v>90</v>
      </c>
      <c r="E70" s="33"/>
      <c r="F70" s="25" t="s">
        <v>428</v>
      </c>
      <c r="G70" s="36"/>
      <c r="H70" s="37">
        <v>8058.1259999999993</v>
      </c>
      <c r="I70" s="37">
        <v>8800</v>
      </c>
      <c r="J70" s="37">
        <v>9343.3639999999996</v>
      </c>
      <c r="K70" s="37">
        <v>9337.7920000000013</v>
      </c>
      <c r="L70" s="26">
        <f t="shared" si="2"/>
        <v>35539.281999999999</v>
      </c>
      <c r="M70" s="38">
        <v>75.099999999999994</v>
      </c>
      <c r="N70" s="27">
        <v>80.73</v>
      </c>
      <c r="O70" s="38">
        <v>55</v>
      </c>
      <c r="P70" s="27">
        <v>57.2</v>
      </c>
      <c r="Q70" s="28">
        <f t="shared" si="3"/>
        <v>161968.33259999994</v>
      </c>
      <c r="R70" s="28">
        <f t="shared" si="4"/>
        <v>176879.99999999994</v>
      </c>
      <c r="S70" s="28">
        <f t="shared" si="18"/>
        <v>219849.35492000001</v>
      </c>
      <c r="T70" s="28">
        <f t="shared" si="6"/>
        <v>219718.24576000005</v>
      </c>
      <c r="U70" s="28">
        <f t="shared" si="7"/>
        <v>778415.93328</v>
      </c>
      <c r="V70" s="39"/>
      <c r="W70" s="39"/>
      <c r="X70" s="39"/>
      <c r="Y70" s="29">
        <f t="shared" ref="Y70:Y101" si="20">N70/M70*100</f>
        <v>107.4966711051931</v>
      </c>
      <c r="Z70" s="30">
        <f t="shared" ref="Z70:Z101" si="21">P70/O70*100</f>
        <v>104</v>
      </c>
      <c r="AA70" s="2"/>
      <c r="AD70" s="32">
        <f t="shared" si="8"/>
        <v>0</v>
      </c>
    </row>
    <row r="71" spans="1:30" s="40" customFormat="1" ht="47.25" customHeight="1">
      <c r="A71" s="33">
        <v>2912006155</v>
      </c>
      <c r="B71" s="34" t="s">
        <v>89</v>
      </c>
      <c r="C71" s="35" t="s">
        <v>86</v>
      </c>
      <c r="D71" s="33" t="s">
        <v>91</v>
      </c>
      <c r="E71" s="33"/>
      <c r="F71" s="25" t="s">
        <v>428</v>
      </c>
      <c r="G71" s="36"/>
      <c r="H71" s="37">
        <v>728.58699999999999</v>
      </c>
      <c r="I71" s="37">
        <v>446.39699999999999</v>
      </c>
      <c r="J71" s="37">
        <v>450.79600000000005</v>
      </c>
      <c r="K71" s="37">
        <v>347.99600000000004</v>
      </c>
      <c r="L71" s="26">
        <f t="shared" si="2"/>
        <v>1973.7760000000001</v>
      </c>
      <c r="M71" s="38">
        <v>198.11</v>
      </c>
      <c r="N71" s="27">
        <v>205.71320000000003</v>
      </c>
      <c r="O71" s="38">
        <v>63</v>
      </c>
      <c r="P71" s="27">
        <v>65.52</v>
      </c>
      <c r="Q71" s="28">
        <f t="shared" si="3"/>
        <v>98439.389570000014</v>
      </c>
      <c r="R71" s="28">
        <f t="shared" si="4"/>
        <v>60312.698670000005</v>
      </c>
      <c r="S71" s="28">
        <f t="shared" si="18"/>
        <v>63198.533787200031</v>
      </c>
      <c r="T71" s="28">
        <f t="shared" si="6"/>
        <v>48786.672827200018</v>
      </c>
      <c r="U71" s="28">
        <f t="shared" si="7"/>
        <v>270737.29485440004</v>
      </c>
      <c r="V71" s="39"/>
      <c r="W71" s="39"/>
      <c r="X71" s="39"/>
      <c r="Y71" s="29">
        <f t="shared" si="20"/>
        <v>103.83786785119381</v>
      </c>
      <c r="Z71" s="30">
        <f t="shared" si="21"/>
        <v>104</v>
      </c>
      <c r="AA71" s="2"/>
      <c r="AD71" s="32">
        <f t="shared" si="8"/>
        <v>0</v>
      </c>
    </row>
    <row r="72" spans="1:30" s="40" customFormat="1" ht="15" customHeight="1">
      <c r="A72" s="33"/>
      <c r="B72" s="34"/>
      <c r="C72" s="35"/>
      <c r="D72" s="33"/>
      <c r="E72" s="33"/>
      <c r="F72" s="25"/>
      <c r="G72" s="36"/>
      <c r="H72" s="41"/>
      <c r="I72" s="41"/>
      <c r="J72" s="41"/>
      <c r="K72" s="41"/>
      <c r="L72" s="37"/>
      <c r="M72" s="41"/>
      <c r="N72" s="41"/>
      <c r="O72" s="41"/>
      <c r="P72" s="41"/>
      <c r="Q72" s="28"/>
      <c r="R72" s="28"/>
      <c r="S72" s="28"/>
      <c r="T72" s="28"/>
      <c r="U72" s="28"/>
      <c r="V72" s="39"/>
      <c r="W72" s="39"/>
      <c r="X72" s="39"/>
      <c r="Y72" s="29" t="e">
        <f t="shared" si="20"/>
        <v>#DIV/0!</v>
      </c>
      <c r="Z72" s="30" t="e">
        <f t="shared" si="21"/>
        <v>#DIV/0!</v>
      </c>
      <c r="AA72" s="2"/>
      <c r="AD72" s="32" t="e">
        <f t="shared" si="8"/>
        <v>#DIV/0!</v>
      </c>
    </row>
    <row r="73" spans="1:30" s="40" customFormat="1" ht="51.75" customHeight="1">
      <c r="A73" s="33">
        <v>2901302219</v>
      </c>
      <c r="B73" s="34" t="s">
        <v>120</v>
      </c>
      <c r="C73" s="35" t="s">
        <v>97</v>
      </c>
      <c r="D73" s="33" t="s">
        <v>319</v>
      </c>
      <c r="E73" s="33" t="s">
        <v>320</v>
      </c>
      <c r="F73" s="25" t="s">
        <v>428</v>
      </c>
      <c r="G73" s="36" t="s">
        <v>384</v>
      </c>
      <c r="H73" s="37">
        <v>9114.387999999999</v>
      </c>
      <c r="I73" s="37">
        <v>10851.897000000001</v>
      </c>
      <c r="J73" s="37">
        <v>9760.9390000000003</v>
      </c>
      <c r="K73" s="37">
        <v>8430.5240000000013</v>
      </c>
      <c r="L73" s="26">
        <f t="shared" si="2"/>
        <v>38157.748000000007</v>
      </c>
      <c r="M73" s="38">
        <v>185.27</v>
      </c>
      <c r="N73" s="27">
        <v>210.29</v>
      </c>
      <c r="O73" s="38">
        <v>65.41</v>
      </c>
      <c r="P73" s="27">
        <v>68.03</v>
      </c>
      <c r="Q73" s="28">
        <f t="shared" si="3"/>
        <v>1092450.54568</v>
      </c>
      <c r="R73" s="28">
        <f t="shared" si="4"/>
        <v>1300708.3744200002</v>
      </c>
      <c r="S73" s="28">
        <f t="shared" ref="S73:S78" si="22">(N73-P73)*J73</f>
        <v>1388591.1821399999</v>
      </c>
      <c r="T73" s="28">
        <f t="shared" si="6"/>
        <v>1199326.34424</v>
      </c>
      <c r="U73" s="28">
        <f t="shared" si="7"/>
        <v>4981076.4464800004</v>
      </c>
      <c r="V73" s="39"/>
      <c r="W73" s="39"/>
      <c r="X73" s="39"/>
      <c r="Y73" s="29">
        <f t="shared" si="20"/>
        <v>113.50461488638202</v>
      </c>
      <c r="Z73" s="30">
        <f t="shared" si="21"/>
        <v>104.00550374560464</v>
      </c>
      <c r="AA73" s="2"/>
      <c r="AD73" s="32">
        <f t="shared" si="8"/>
        <v>-5.503745604642063E-3</v>
      </c>
    </row>
    <row r="74" spans="1:30" s="40" customFormat="1" ht="51.75" customHeight="1">
      <c r="A74" s="33">
        <v>2901302219</v>
      </c>
      <c r="B74" s="34" t="s">
        <v>120</v>
      </c>
      <c r="C74" s="35" t="s">
        <v>97</v>
      </c>
      <c r="D74" s="33" t="s">
        <v>319</v>
      </c>
      <c r="E74" s="33" t="s">
        <v>321</v>
      </c>
      <c r="F74" s="25" t="s">
        <v>428</v>
      </c>
      <c r="G74" s="36" t="s">
        <v>384</v>
      </c>
      <c r="H74" s="37">
        <v>1684.596</v>
      </c>
      <c r="I74" s="37">
        <v>1661.3069999999998</v>
      </c>
      <c r="J74" s="37">
        <v>1867.1320000000001</v>
      </c>
      <c r="K74" s="37">
        <v>1407.6510000000001</v>
      </c>
      <c r="L74" s="26">
        <f t="shared" si="2"/>
        <v>6620.6859999999997</v>
      </c>
      <c r="M74" s="38">
        <v>185.27</v>
      </c>
      <c r="N74" s="27">
        <v>210.29</v>
      </c>
      <c r="O74" s="38">
        <v>77.64</v>
      </c>
      <c r="P74" s="27">
        <v>80.75</v>
      </c>
      <c r="Q74" s="28">
        <f t="shared" ref="Q74:Q137" si="23">(M74-O74)*H74</f>
        <v>181313.06748000003</v>
      </c>
      <c r="R74" s="28">
        <f t="shared" ref="R74:R137" si="24">(M74-O74)*I74</f>
        <v>178806.47240999999</v>
      </c>
      <c r="S74" s="28">
        <f t="shared" si="22"/>
        <v>241868.27927999999</v>
      </c>
      <c r="T74" s="28">
        <f t="shared" si="6"/>
        <v>182347.11053999999</v>
      </c>
      <c r="U74" s="28">
        <f t="shared" si="7"/>
        <v>784334.92971000005</v>
      </c>
      <c r="V74" s="39"/>
      <c r="W74" s="39"/>
      <c r="X74" s="39"/>
      <c r="Y74" s="29">
        <f t="shared" si="20"/>
        <v>113.50461488638202</v>
      </c>
      <c r="Z74" s="30">
        <f t="shared" si="21"/>
        <v>104.00566718186501</v>
      </c>
      <c r="AA74" s="2"/>
      <c r="AD74" s="32">
        <f t="shared" si="8"/>
        <v>-5.6671818650073646E-3</v>
      </c>
    </row>
    <row r="75" spans="1:30" s="40" customFormat="1" ht="51.75" customHeight="1">
      <c r="A75" s="33">
        <v>2901302219</v>
      </c>
      <c r="B75" s="34" t="s">
        <v>120</v>
      </c>
      <c r="C75" s="35" t="s">
        <v>97</v>
      </c>
      <c r="D75" s="33" t="s">
        <v>104</v>
      </c>
      <c r="E75" s="33"/>
      <c r="F75" s="25" t="s">
        <v>428</v>
      </c>
      <c r="G75" s="36" t="s">
        <v>385</v>
      </c>
      <c r="H75" s="37">
        <v>9222.8070000000007</v>
      </c>
      <c r="I75" s="37">
        <v>9328.4599999999991</v>
      </c>
      <c r="J75" s="37">
        <v>10804.179</v>
      </c>
      <c r="K75" s="37">
        <v>8156.5599999999995</v>
      </c>
      <c r="L75" s="26">
        <f t="shared" si="2"/>
        <v>37512.006000000001</v>
      </c>
      <c r="M75" s="38">
        <v>160.49</v>
      </c>
      <c r="N75" s="27">
        <v>160.49</v>
      </c>
      <c r="O75" s="38">
        <v>85.83</v>
      </c>
      <c r="P75" s="27">
        <v>89.26</v>
      </c>
      <c r="Q75" s="28">
        <f t="shared" si="23"/>
        <v>688574.7706200002</v>
      </c>
      <c r="R75" s="28">
        <f t="shared" si="24"/>
        <v>696462.8236</v>
      </c>
      <c r="S75" s="28">
        <f t="shared" si="22"/>
        <v>769581.67017000006</v>
      </c>
      <c r="T75" s="28">
        <f t="shared" ref="T75:T138" si="25">(N75-P75)*K75</f>
        <v>580991.76879999996</v>
      </c>
      <c r="U75" s="28">
        <f t="shared" si="7"/>
        <v>2735611.0331899999</v>
      </c>
      <c r="V75" s="39"/>
      <c r="W75" s="39"/>
      <c r="X75" s="39"/>
      <c r="Y75" s="29">
        <f t="shared" si="20"/>
        <v>100</v>
      </c>
      <c r="Z75" s="30">
        <f t="shared" si="21"/>
        <v>103.99627169987184</v>
      </c>
      <c r="AA75" s="2"/>
      <c r="AD75" s="32">
        <f t="shared" si="8"/>
        <v>3.7283001281593897E-3</v>
      </c>
    </row>
    <row r="76" spans="1:30" s="40" customFormat="1" ht="51.75" customHeight="1">
      <c r="A76" s="33">
        <v>2901302219</v>
      </c>
      <c r="B76" s="34" t="s">
        <v>120</v>
      </c>
      <c r="C76" s="35" t="s">
        <v>97</v>
      </c>
      <c r="D76" s="33" t="s">
        <v>98</v>
      </c>
      <c r="E76" s="33"/>
      <c r="F76" s="25" t="s">
        <v>428</v>
      </c>
      <c r="G76" s="36"/>
      <c r="H76" s="37">
        <v>824.81100000000015</v>
      </c>
      <c r="I76" s="37">
        <v>1089.5</v>
      </c>
      <c r="J76" s="37">
        <v>1089.5</v>
      </c>
      <c r="K76" s="37">
        <v>1089.5</v>
      </c>
      <c r="L76" s="26">
        <f t="shared" ref="L76:L140" si="26">H76+I76+J76+K76</f>
        <v>4093.3110000000001</v>
      </c>
      <c r="M76" s="38">
        <v>408.41</v>
      </c>
      <c r="N76" s="27">
        <v>408.41</v>
      </c>
      <c r="O76" s="38">
        <v>78.33</v>
      </c>
      <c r="P76" s="27">
        <v>81.459999999999994</v>
      </c>
      <c r="Q76" s="28">
        <f t="shared" si="23"/>
        <v>272253.61488000007</v>
      </c>
      <c r="R76" s="28">
        <f t="shared" si="24"/>
        <v>359622.16000000003</v>
      </c>
      <c r="S76" s="28">
        <f t="shared" si="22"/>
        <v>356212.02500000002</v>
      </c>
      <c r="T76" s="28">
        <f t="shared" si="25"/>
        <v>356212.02500000002</v>
      </c>
      <c r="U76" s="28">
        <f t="shared" ref="U76:U140" si="27">Q76+R76+S76+T76</f>
        <v>1344299.8248800002</v>
      </c>
      <c r="V76" s="39"/>
      <c r="W76" s="39"/>
      <c r="X76" s="39"/>
      <c r="Y76" s="29">
        <f t="shared" si="20"/>
        <v>100</v>
      </c>
      <c r="Z76" s="30">
        <f t="shared" si="21"/>
        <v>103.9959147197753</v>
      </c>
      <c r="AA76" s="2"/>
      <c r="AD76" s="32">
        <f t="shared" si="8"/>
        <v>4.0852802247002273E-3</v>
      </c>
    </row>
    <row r="77" spans="1:30" s="79" customFormat="1" ht="51.75" customHeight="1">
      <c r="A77" s="73">
        <v>2904028490</v>
      </c>
      <c r="B77" s="74" t="s">
        <v>103</v>
      </c>
      <c r="C77" s="75" t="s">
        <v>97</v>
      </c>
      <c r="D77" s="73" t="s">
        <v>98</v>
      </c>
      <c r="E77" s="73" t="s">
        <v>322</v>
      </c>
      <c r="F77" s="25" t="s">
        <v>428</v>
      </c>
      <c r="G77" s="36"/>
      <c r="H77" s="37">
        <f>24220.585-922.696</f>
        <v>23297.888999999999</v>
      </c>
      <c r="I77" s="37">
        <v>23810.504000000001</v>
      </c>
      <c r="J77" s="77">
        <v>20387</v>
      </c>
      <c r="K77" s="37">
        <v>20387</v>
      </c>
      <c r="L77" s="26">
        <f t="shared" si="26"/>
        <v>87882.392999999996</v>
      </c>
      <c r="M77" s="70">
        <v>51.61</v>
      </c>
      <c r="N77" s="45">
        <v>56.98</v>
      </c>
      <c r="O77" s="70">
        <v>51</v>
      </c>
      <c r="P77" s="45">
        <v>53.04</v>
      </c>
      <c r="Q77" s="28">
        <f t="shared" si="23"/>
        <v>14211.712289999987</v>
      </c>
      <c r="R77" s="28">
        <f t="shared" si="24"/>
        <v>14524.407439999986</v>
      </c>
      <c r="S77" s="28">
        <f t="shared" si="22"/>
        <v>80324.779999999955</v>
      </c>
      <c r="T77" s="28">
        <f t="shared" si="25"/>
        <v>80324.779999999955</v>
      </c>
      <c r="U77" s="28">
        <f t="shared" si="27"/>
        <v>189385.67972999989</v>
      </c>
      <c r="V77" s="78"/>
      <c r="W77" s="78"/>
      <c r="X77" s="78"/>
      <c r="Y77" s="43">
        <f t="shared" si="20"/>
        <v>110.4049602790157</v>
      </c>
      <c r="Z77" s="44">
        <f t="shared" si="21"/>
        <v>104</v>
      </c>
      <c r="AA77" s="138" t="s">
        <v>105</v>
      </c>
      <c r="AD77" s="32">
        <f t="shared" si="8"/>
        <v>0</v>
      </c>
    </row>
    <row r="78" spans="1:30" s="100" customFormat="1" ht="72.75" customHeight="1">
      <c r="A78" s="97">
        <v>2904028490</v>
      </c>
      <c r="B78" s="98" t="s">
        <v>103</v>
      </c>
      <c r="C78" s="111" t="s">
        <v>97</v>
      </c>
      <c r="D78" s="73" t="s">
        <v>98</v>
      </c>
      <c r="E78" s="73" t="s">
        <v>323</v>
      </c>
      <c r="F78" s="25" t="s">
        <v>428</v>
      </c>
      <c r="G78" s="99"/>
      <c r="H78" s="77">
        <v>5326.3770000000004</v>
      </c>
      <c r="I78" s="37">
        <v>5679.57</v>
      </c>
      <c r="J78" s="77">
        <v>6427.3</v>
      </c>
      <c r="K78" s="37">
        <v>5296.54</v>
      </c>
      <c r="L78" s="26">
        <f t="shared" si="26"/>
        <v>22729.787</v>
      </c>
      <c r="M78" s="70">
        <v>141.85</v>
      </c>
      <c r="N78" s="45">
        <v>164.47</v>
      </c>
      <c r="O78" s="70">
        <v>51</v>
      </c>
      <c r="P78" s="45">
        <v>53.04</v>
      </c>
      <c r="Q78" s="28">
        <f t="shared" si="23"/>
        <v>483901.35045000003</v>
      </c>
      <c r="R78" s="28">
        <f t="shared" si="24"/>
        <v>515988.93449999992</v>
      </c>
      <c r="S78" s="28">
        <f t="shared" si="22"/>
        <v>716194.03900000011</v>
      </c>
      <c r="T78" s="28">
        <f t="shared" si="25"/>
        <v>590193.45220000006</v>
      </c>
      <c r="U78" s="28">
        <f t="shared" si="27"/>
        <v>2306277.7761500003</v>
      </c>
      <c r="V78" s="164"/>
      <c r="W78" s="164"/>
      <c r="X78" s="164"/>
      <c r="Y78" s="29">
        <f t="shared" si="20"/>
        <v>115.94642227705323</v>
      </c>
      <c r="Z78" s="30">
        <f t="shared" si="21"/>
        <v>104</v>
      </c>
      <c r="AA78" s="138"/>
      <c r="AD78" s="32">
        <f t="shared" si="8"/>
        <v>0</v>
      </c>
    </row>
    <row r="79" spans="1:30" s="40" customFormat="1" ht="15" customHeight="1">
      <c r="A79" s="33"/>
      <c r="B79" s="34"/>
      <c r="C79" s="35"/>
      <c r="D79" s="33"/>
      <c r="E79" s="33"/>
      <c r="F79" s="25"/>
      <c r="G79" s="36"/>
      <c r="H79" s="41"/>
      <c r="I79" s="41"/>
      <c r="J79" s="41"/>
      <c r="K79" s="41"/>
      <c r="L79" s="37"/>
      <c r="M79" s="41"/>
      <c r="N79" s="41"/>
      <c r="O79" s="41"/>
      <c r="P79" s="41"/>
      <c r="Q79" s="28"/>
      <c r="R79" s="28"/>
      <c r="S79" s="28"/>
      <c r="T79" s="28"/>
      <c r="U79" s="28"/>
      <c r="V79" s="39"/>
      <c r="W79" s="39"/>
      <c r="X79" s="39"/>
      <c r="Y79" s="29" t="e">
        <f t="shared" si="20"/>
        <v>#DIV/0!</v>
      </c>
      <c r="Z79" s="30" t="e">
        <f t="shared" si="21"/>
        <v>#DIV/0!</v>
      </c>
      <c r="AA79" s="2"/>
      <c r="AD79" s="32" t="e">
        <f t="shared" si="8"/>
        <v>#DIV/0!</v>
      </c>
    </row>
    <row r="80" spans="1:30" s="40" customFormat="1" ht="51.75" customHeight="1">
      <c r="A80" s="33">
        <v>2914003174</v>
      </c>
      <c r="B80" s="34" t="s">
        <v>106</v>
      </c>
      <c r="C80" s="35" t="s">
        <v>107</v>
      </c>
      <c r="D80" s="33" t="s">
        <v>108</v>
      </c>
      <c r="E80" s="33"/>
      <c r="F80" s="25" t="s">
        <v>428</v>
      </c>
      <c r="G80" s="36"/>
      <c r="H80" s="37">
        <v>2943.3609999999999</v>
      </c>
      <c r="I80" s="37">
        <v>2900.75</v>
      </c>
      <c r="J80" s="37">
        <v>2960.0120000000002</v>
      </c>
      <c r="K80" s="37">
        <v>2894.9989999999998</v>
      </c>
      <c r="L80" s="26">
        <f t="shared" si="26"/>
        <v>11699.121999999999</v>
      </c>
      <c r="M80" s="38">
        <v>66.28</v>
      </c>
      <c r="N80" s="27">
        <v>78.210400000000021</v>
      </c>
      <c r="O80" s="38">
        <v>27.9</v>
      </c>
      <c r="P80" s="27">
        <v>29.015999999999998</v>
      </c>
      <c r="Q80" s="28">
        <f t="shared" si="23"/>
        <v>112966.19518000001</v>
      </c>
      <c r="R80" s="28">
        <f t="shared" si="24"/>
        <v>111330.785</v>
      </c>
      <c r="S80" s="28">
        <f t="shared" ref="S80:S87" si="28">(N80-P80)*J80</f>
        <v>145616.01433280008</v>
      </c>
      <c r="T80" s="28">
        <f t="shared" si="25"/>
        <v>142417.73880560006</v>
      </c>
      <c r="U80" s="28">
        <f t="shared" si="27"/>
        <v>512330.73331840022</v>
      </c>
      <c r="V80" s="39"/>
      <c r="W80" s="39"/>
      <c r="X80" s="39"/>
      <c r="Y80" s="29">
        <f t="shared" si="20"/>
        <v>118.00000000000004</v>
      </c>
      <c r="Z80" s="30">
        <f t="shared" si="21"/>
        <v>104</v>
      </c>
      <c r="AA80" s="2"/>
      <c r="AD80" s="32">
        <f t="shared" si="8"/>
        <v>0</v>
      </c>
    </row>
    <row r="81" spans="1:30" s="40" customFormat="1" ht="51.75" customHeight="1">
      <c r="A81" s="33">
        <v>2904025965</v>
      </c>
      <c r="B81" s="34" t="s">
        <v>277</v>
      </c>
      <c r="C81" s="35" t="s">
        <v>107</v>
      </c>
      <c r="D81" s="33" t="s">
        <v>110</v>
      </c>
      <c r="E81" s="33"/>
      <c r="F81" s="25" t="s">
        <v>428</v>
      </c>
      <c r="G81" s="36"/>
      <c r="H81" s="37">
        <v>6201.5</v>
      </c>
      <c r="I81" s="37">
        <v>6201.5</v>
      </c>
      <c r="J81" s="37">
        <v>6468.5</v>
      </c>
      <c r="K81" s="37">
        <v>6468.5</v>
      </c>
      <c r="L81" s="26">
        <f t="shared" si="26"/>
        <v>25340</v>
      </c>
      <c r="M81" s="38">
        <v>72.307832000000005</v>
      </c>
      <c r="N81" s="27">
        <v>85.323241760000016</v>
      </c>
      <c r="O81" s="38">
        <v>24.6</v>
      </c>
      <c r="P81" s="27">
        <v>25.584000000000003</v>
      </c>
      <c r="Q81" s="28">
        <f t="shared" si="23"/>
        <v>295860.12014800002</v>
      </c>
      <c r="R81" s="28">
        <f t="shared" si="24"/>
        <v>295860.12014800002</v>
      </c>
      <c r="S81" s="28">
        <f t="shared" si="28"/>
        <v>386423.28532456007</v>
      </c>
      <c r="T81" s="28">
        <f t="shared" si="25"/>
        <v>386423.28532456007</v>
      </c>
      <c r="U81" s="28">
        <f t="shared" si="27"/>
        <v>1364566.8109451202</v>
      </c>
      <c r="V81" s="39"/>
      <c r="W81" s="39"/>
      <c r="X81" s="39"/>
      <c r="Y81" s="29">
        <f t="shared" si="20"/>
        <v>118.00000000000001</v>
      </c>
      <c r="Z81" s="30">
        <f t="shared" si="21"/>
        <v>104</v>
      </c>
      <c r="AA81" s="2"/>
      <c r="AD81" s="32">
        <f t="shared" si="8"/>
        <v>0</v>
      </c>
    </row>
    <row r="82" spans="1:30" s="40" customFormat="1" ht="51.75" customHeight="1">
      <c r="A82" s="33">
        <v>2914000511</v>
      </c>
      <c r="B82" s="34" t="s">
        <v>109</v>
      </c>
      <c r="C82" s="35" t="s">
        <v>107</v>
      </c>
      <c r="D82" s="33" t="s">
        <v>108</v>
      </c>
      <c r="E82" s="33"/>
      <c r="F82" s="25" t="s">
        <v>428</v>
      </c>
      <c r="G82" s="36"/>
      <c r="H82" s="37">
        <v>125</v>
      </c>
      <c r="I82" s="37">
        <v>125</v>
      </c>
      <c r="J82" s="37">
        <v>125</v>
      </c>
      <c r="K82" s="37">
        <v>125</v>
      </c>
      <c r="L82" s="26">
        <f t="shared" si="26"/>
        <v>500</v>
      </c>
      <c r="M82" s="38">
        <v>41.48</v>
      </c>
      <c r="N82" s="27">
        <v>41.48</v>
      </c>
      <c r="O82" s="38">
        <v>27.9</v>
      </c>
      <c r="P82" s="27">
        <v>29.015999999999998</v>
      </c>
      <c r="Q82" s="28">
        <f t="shared" si="23"/>
        <v>1697.4999999999998</v>
      </c>
      <c r="R82" s="28">
        <f t="shared" si="24"/>
        <v>1697.4999999999998</v>
      </c>
      <c r="S82" s="28">
        <f t="shared" si="28"/>
        <v>1557.9999999999998</v>
      </c>
      <c r="T82" s="28">
        <f t="shared" si="25"/>
        <v>1557.9999999999998</v>
      </c>
      <c r="U82" s="28">
        <f t="shared" si="27"/>
        <v>6510.9999999999991</v>
      </c>
      <c r="V82" s="39"/>
      <c r="W82" s="39"/>
      <c r="X82" s="39"/>
      <c r="Y82" s="29">
        <f t="shared" si="20"/>
        <v>100</v>
      </c>
      <c r="Z82" s="30">
        <f t="shared" si="21"/>
        <v>104</v>
      </c>
      <c r="AA82" s="2"/>
      <c r="AD82" s="32">
        <f>104-Z82</f>
        <v>0</v>
      </c>
    </row>
    <row r="83" spans="1:30" s="40" customFormat="1" ht="15" customHeight="1">
      <c r="A83" s="33"/>
      <c r="B83" s="34"/>
      <c r="C83" s="35"/>
      <c r="D83" s="33"/>
      <c r="E83" s="33"/>
      <c r="F83" s="25"/>
      <c r="G83" s="36"/>
      <c r="H83" s="41"/>
      <c r="I83" s="41"/>
      <c r="J83" s="41"/>
      <c r="K83" s="41"/>
      <c r="L83" s="37"/>
      <c r="M83" s="41"/>
      <c r="N83" s="41"/>
      <c r="O83" s="41"/>
      <c r="P83" s="41"/>
      <c r="Q83" s="28"/>
      <c r="R83" s="28"/>
      <c r="S83" s="28"/>
      <c r="T83" s="28"/>
      <c r="U83" s="28"/>
      <c r="V83" s="39"/>
      <c r="W83" s="39"/>
      <c r="X83" s="39"/>
      <c r="Y83" s="29" t="e">
        <f t="shared" si="20"/>
        <v>#DIV/0!</v>
      </c>
      <c r="Z83" s="30" t="e">
        <f t="shared" si="21"/>
        <v>#DIV/0!</v>
      </c>
      <c r="AA83" s="2"/>
      <c r="AD83" s="32" t="e">
        <f t="shared" si="8"/>
        <v>#DIV/0!</v>
      </c>
    </row>
    <row r="84" spans="1:30" s="40" customFormat="1" ht="51" customHeight="1">
      <c r="A84" s="33" t="s">
        <v>111</v>
      </c>
      <c r="B84" s="34" t="s">
        <v>112</v>
      </c>
      <c r="C84" s="35" t="s">
        <v>113</v>
      </c>
      <c r="D84" s="33" t="s">
        <v>114</v>
      </c>
      <c r="E84" s="33"/>
      <c r="F84" s="25" t="s">
        <v>428</v>
      </c>
      <c r="G84" s="36"/>
      <c r="H84" s="37">
        <v>1301.58</v>
      </c>
      <c r="I84" s="37">
        <v>1286.53</v>
      </c>
      <c r="J84" s="37">
        <v>1397.96</v>
      </c>
      <c r="K84" s="37">
        <v>1243.92</v>
      </c>
      <c r="L84" s="26">
        <f t="shared" si="26"/>
        <v>5229.99</v>
      </c>
      <c r="M84" s="38">
        <v>149.32</v>
      </c>
      <c r="N84" s="27">
        <v>156.52000000000001</v>
      </c>
      <c r="O84" s="38">
        <v>42.03</v>
      </c>
      <c r="P84" s="27">
        <v>43.71</v>
      </c>
      <c r="Q84" s="28">
        <f t="shared" si="23"/>
        <v>139646.51819999999</v>
      </c>
      <c r="R84" s="28">
        <f t="shared" si="24"/>
        <v>138031.80369999999</v>
      </c>
      <c r="S84" s="28">
        <f t="shared" si="28"/>
        <v>157703.8676</v>
      </c>
      <c r="T84" s="28">
        <f t="shared" si="25"/>
        <v>140326.6152</v>
      </c>
      <c r="U84" s="28">
        <f t="shared" si="27"/>
        <v>575708.80469999998</v>
      </c>
      <c r="V84" s="39"/>
      <c r="W84" s="39"/>
      <c r="X84" s="39"/>
      <c r="Y84" s="29">
        <f t="shared" si="20"/>
        <v>104.82185909456203</v>
      </c>
      <c r="Z84" s="30">
        <f t="shared" si="21"/>
        <v>103.99714489650249</v>
      </c>
      <c r="AA84" s="2"/>
      <c r="AD84" s="32">
        <f t="shared" ref="AD84:AD148" si="29">104-Z84</f>
        <v>2.8551034975095035E-3</v>
      </c>
    </row>
    <row r="85" spans="1:30" s="40" customFormat="1" ht="51" customHeight="1">
      <c r="A85" s="33">
        <v>2901284489</v>
      </c>
      <c r="B85" s="34" t="s">
        <v>115</v>
      </c>
      <c r="C85" s="35" t="s">
        <v>113</v>
      </c>
      <c r="D85" s="33" t="s">
        <v>324</v>
      </c>
      <c r="E85" s="33"/>
      <c r="F85" s="25" t="s">
        <v>428</v>
      </c>
      <c r="G85" s="36" t="s">
        <v>325</v>
      </c>
      <c r="H85" s="37">
        <v>8116.0299999999988</v>
      </c>
      <c r="I85" s="37">
        <v>8590.4089999999997</v>
      </c>
      <c r="J85" s="37">
        <v>6967.2349999999997</v>
      </c>
      <c r="K85" s="37">
        <v>6433.5360000000001</v>
      </c>
      <c r="L85" s="26">
        <f t="shared" si="26"/>
        <v>30107.21</v>
      </c>
      <c r="M85" s="38">
        <v>164.2</v>
      </c>
      <c r="N85" s="27">
        <v>207.58</v>
      </c>
      <c r="O85" s="38">
        <v>38.119999999999997</v>
      </c>
      <c r="P85" s="27">
        <v>39.64</v>
      </c>
      <c r="Q85" s="28">
        <f t="shared" si="23"/>
        <v>1023269.0623999997</v>
      </c>
      <c r="R85" s="28">
        <f t="shared" si="24"/>
        <v>1083078.7667199997</v>
      </c>
      <c r="S85" s="28">
        <f t="shared" si="28"/>
        <v>1170077.4458999999</v>
      </c>
      <c r="T85" s="28">
        <f t="shared" si="25"/>
        <v>1080448.03584</v>
      </c>
      <c r="U85" s="28">
        <f t="shared" si="27"/>
        <v>4356873.3108599996</v>
      </c>
      <c r="V85" s="39"/>
      <c r="W85" s="39"/>
      <c r="X85" s="39"/>
      <c r="Y85" s="29">
        <f t="shared" si="20"/>
        <v>126.41900121802681</v>
      </c>
      <c r="Z85" s="30">
        <f t="shared" si="21"/>
        <v>103.98740818467998</v>
      </c>
      <c r="AA85" s="2"/>
      <c r="AD85" s="32">
        <f t="shared" si="29"/>
        <v>1.2591815320021738E-2</v>
      </c>
    </row>
    <row r="86" spans="1:30" s="40" customFormat="1" ht="51" customHeight="1">
      <c r="A86" s="33">
        <v>7736186950</v>
      </c>
      <c r="B86" s="34" t="s">
        <v>117</v>
      </c>
      <c r="C86" s="35" t="s">
        <v>113</v>
      </c>
      <c r="D86" s="33" t="s">
        <v>118</v>
      </c>
      <c r="E86" s="33"/>
      <c r="F86" s="25" t="s">
        <v>428</v>
      </c>
      <c r="G86" s="36"/>
      <c r="H86" s="37">
        <f>16945.384-237.917-7.797</f>
        <v>16699.669999999998</v>
      </c>
      <c r="I86" s="37">
        <v>16630.146000000001</v>
      </c>
      <c r="J86" s="37">
        <f>16464.81</f>
        <v>16464.810000000001</v>
      </c>
      <c r="K86" s="37">
        <v>16245.277</v>
      </c>
      <c r="L86" s="26">
        <f t="shared" si="26"/>
        <v>66039.903000000006</v>
      </c>
      <c r="M86" s="38">
        <v>57.23</v>
      </c>
      <c r="N86" s="27">
        <v>71.23</v>
      </c>
      <c r="O86" s="38">
        <v>23</v>
      </c>
      <c r="P86" s="27">
        <v>23.92</v>
      </c>
      <c r="Q86" s="28">
        <f t="shared" si="23"/>
        <v>571629.70409999986</v>
      </c>
      <c r="R86" s="28">
        <f t="shared" si="24"/>
        <v>569249.89757999999</v>
      </c>
      <c r="S86" s="28">
        <f t="shared" si="28"/>
        <v>778950.16110000014</v>
      </c>
      <c r="T86" s="28">
        <f t="shared" si="25"/>
        <v>768564.05486999999</v>
      </c>
      <c r="U86" s="28">
        <f t="shared" si="27"/>
        <v>2688393.8176500001</v>
      </c>
      <c r="V86" s="39"/>
      <c r="W86" s="39"/>
      <c r="X86" s="39"/>
      <c r="Y86" s="29">
        <f t="shared" si="20"/>
        <v>124.46269439105366</v>
      </c>
      <c r="Z86" s="30">
        <f t="shared" si="21"/>
        <v>104</v>
      </c>
      <c r="AA86" s="2"/>
      <c r="AD86" s="32">
        <f t="shared" si="29"/>
        <v>0</v>
      </c>
    </row>
    <row r="87" spans="1:30" s="40" customFormat="1" ht="51" customHeight="1">
      <c r="A87" s="33">
        <v>2915004011</v>
      </c>
      <c r="B87" s="34" t="s">
        <v>119</v>
      </c>
      <c r="C87" s="35" t="s">
        <v>113</v>
      </c>
      <c r="D87" s="33" t="s">
        <v>118</v>
      </c>
      <c r="E87" s="33"/>
      <c r="F87" s="25" t="s">
        <v>428</v>
      </c>
      <c r="G87" s="36" t="s">
        <v>413</v>
      </c>
      <c r="H87" s="37">
        <v>5372.25</v>
      </c>
      <c r="I87" s="37">
        <v>5372.25</v>
      </c>
      <c r="J87" s="37">
        <v>5372.25</v>
      </c>
      <c r="K87" s="37">
        <v>5372.25</v>
      </c>
      <c r="L87" s="26">
        <f t="shared" si="26"/>
        <v>21489</v>
      </c>
      <c r="M87" s="38">
        <v>84.71</v>
      </c>
      <c r="N87" s="27">
        <v>100.14</v>
      </c>
      <c r="O87" s="38">
        <v>37.020000000000003</v>
      </c>
      <c r="P87" s="27">
        <v>38.5</v>
      </c>
      <c r="Q87" s="28">
        <f t="shared" si="23"/>
        <v>256202.60249999995</v>
      </c>
      <c r="R87" s="28">
        <f t="shared" si="24"/>
        <v>256202.60249999995</v>
      </c>
      <c r="S87" s="28">
        <f t="shared" si="28"/>
        <v>331145.49</v>
      </c>
      <c r="T87" s="28">
        <f t="shared" si="25"/>
        <v>331145.49</v>
      </c>
      <c r="U87" s="28">
        <f t="shared" si="27"/>
        <v>1174696.1849999998</v>
      </c>
      <c r="V87" s="39"/>
      <c r="W87" s="39"/>
      <c r="X87" s="39"/>
      <c r="Y87" s="29">
        <f t="shared" si="20"/>
        <v>118.21508676661551</v>
      </c>
      <c r="Z87" s="30">
        <f t="shared" si="21"/>
        <v>103.99783900594272</v>
      </c>
      <c r="AA87" s="2"/>
      <c r="AD87" s="32">
        <f t="shared" si="29"/>
        <v>2.1609940572773212E-3</v>
      </c>
    </row>
    <row r="88" spans="1:30" s="40" customFormat="1" ht="15" customHeight="1">
      <c r="A88" s="33"/>
      <c r="B88" s="34"/>
      <c r="C88" s="35"/>
      <c r="D88" s="33"/>
      <c r="E88" s="33"/>
      <c r="F88" s="25"/>
      <c r="G88" s="36"/>
      <c r="H88" s="41"/>
      <c r="I88" s="41"/>
      <c r="J88" s="41"/>
      <c r="K88" s="41"/>
      <c r="L88" s="37"/>
      <c r="M88" s="41"/>
      <c r="N88" s="41"/>
      <c r="O88" s="41"/>
      <c r="P88" s="41"/>
      <c r="Q88" s="28"/>
      <c r="R88" s="28"/>
      <c r="S88" s="28"/>
      <c r="T88" s="28"/>
      <c r="U88" s="28"/>
      <c r="V88" s="39"/>
      <c r="W88" s="39"/>
      <c r="X88" s="39"/>
      <c r="Y88" s="29" t="e">
        <f t="shared" si="20"/>
        <v>#DIV/0!</v>
      </c>
      <c r="Z88" s="30" t="e">
        <f t="shared" si="21"/>
        <v>#DIV/0!</v>
      </c>
      <c r="AA88" s="2"/>
      <c r="AD88" s="32" t="e">
        <f t="shared" ref="AD88" si="30">104-Z88</f>
        <v>#DIV/0!</v>
      </c>
    </row>
    <row r="89" spans="1:30" s="40" customFormat="1" ht="48.75" customHeight="1">
      <c r="A89" s="33">
        <v>2901302219</v>
      </c>
      <c r="B89" s="34" t="s">
        <v>120</v>
      </c>
      <c r="C89" s="35" t="s">
        <v>121</v>
      </c>
      <c r="D89" s="33" t="s">
        <v>63</v>
      </c>
      <c r="E89" s="33"/>
      <c r="F89" s="25" t="s">
        <v>428</v>
      </c>
      <c r="G89" s="36" t="s">
        <v>101</v>
      </c>
      <c r="H89" s="37">
        <f>21528.788-905.593</f>
        <v>20623.195</v>
      </c>
      <c r="I89" s="37">
        <v>18691.107</v>
      </c>
      <c r="J89" s="37">
        <v>20529.962</v>
      </c>
      <c r="K89" s="37">
        <v>19135.057000000001</v>
      </c>
      <c r="L89" s="26">
        <f t="shared" si="26"/>
        <v>78979.320999999996</v>
      </c>
      <c r="M89" s="38">
        <v>201.14</v>
      </c>
      <c r="N89" s="27">
        <v>201.14</v>
      </c>
      <c r="O89" s="38">
        <v>62.03</v>
      </c>
      <c r="P89" s="27">
        <v>64.510000000000005</v>
      </c>
      <c r="Q89" s="28">
        <f t="shared" si="23"/>
        <v>2868892.6564499997</v>
      </c>
      <c r="R89" s="28">
        <f t="shared" si="24"/>
        <v>2600119.8947699997</v>
      </c>
      <c r="S89" s="28">
        <f>(N89-P89)*J89</f>
        <v>2805008.7080599996</v>
      </c>
      <c r="T89" s="28">
        <f t="shared" si="25"/>
        <v>2614422.8379100002</v>
      </c>
      <c r="U89" s="28">
        <f t="shared" si="27"/>
        <v>10888444.09719</v>
      </c>
      <c r="V89" s="39"/>
      <c r="W89" s="39"/>
      <c r="X89" s="39"/>
      <c r="Y89" s="29">
        <f t="shared" si="20"/>
        <v>100</v>
      </c>
      <c r="Z89" s="30">
        <f t="shared" si="21"/>
        <v>103.99806545220056</v>
      </c>
      <c r="AA89" s="2"/>
      <c r="AD89" s="32">
        <f t="shared" si="29"/>
        <v>1.9345477994363591E-3</v>
      </c>
    </row>
    <row r="90" spans="1:30" s="40" customFormat="1" ht="15" customHeight="1">
      <c r="A90" s="33"/>
      <c r="B90" s="34"/>
      <c r="C90" s="35"/>
      <c r="D90" s="33"/>
      <c r="E90" s="33"/>
      <c r="F90" s="25"/>
      <c r="G90" s="36"/>
      <c r="H90" s="41"/>
      <c r="I90" s="41"/>
      <c r="J90" s="41"/>
      <c r="K90" s="41"/>
      <c r="L90" s="37"/>
      <c r="M90" s="41"/>
      <c r="N90" s="41"/>
      <c r="O90" s="41"/>
      <c r="P90" s="41"/>
      <c r="Q90" s="28"/>
      <c r="R90" s="28"/>
      <c r="S90" s="28"/>
      <c r="T90" s="28"/>
      <c r="U90" s="28"/>
      <c r="V90" s="39"/>
      <c r="W90" s="39"/>
      <c r="X90" s="39"/>
      <c r="Y90" s="29" t="e">
        <f t="shared" si="20"/>
        <v>#DIV/0!</v>
      </c>
      <c r="Z90" s="30" t="e">
        <f t="shared" si="21"/>
        <v>#DIV/0!</v>
      </c>
      <c r="AA90" s="2"/>
      <c r="AD90" s="32" t="e">
        <f t="shared" si="29"/>
        <v>#DIV/0!</v>
      </c>
    </row>
    <row r="91" spans="1:30" s="40" customFormat="1" ht="60.75" customHeight="1">
      <c r="A91" s="33">
        <v>2917125967</v>
      </c>
      <c r="B91" s="34" t="s">
        <v>122</v>
      </c>
      <c r="C91" s="35" t="s">
        <v>123</v>
      </c>
      <c r="D91" s="33" t="s">
        <v>124</v>
      </c>
      <c r="E91" s="33"/>
      <c r="F91" s="25" t="s">
        <v>428</v>
      </c>
      <c r="G91" s="36" t="s">
        <v>414</v>
      </c>
      <c r="H91" s="37">
        <v>1860</v>
      </c>
      <c r="I91" s="37">
        <v>1860</v>
      </c>
      <c r="J91" s="37">
        <v>1860</v>
      </c>
      <c r="K91" s="37">
        <v>1860</v>
      </c>
      <c r="L91" s="26">
        <f t="shared" si="26"/>
        <v>7440</v>
      </c>
      <c r="M91" s="38">
        <v>43.07</v>
      </c>
      <c r="N91" s="27">
        <v>49.765300000000003</v>
      </c>
      <c r="O91" s="38">
        <v>43.07</v>
      </c>
      <c r="P91" s="38">
        <v>44.7928</v>
      </c>
      <c r="Q91" s="28">
        <f t="shared" si="23"/>
        <v>0</v>
      </c>
      <c r="R91" s="28">
        <f t="shared" si="24"/>
        <v>0</v>
      </c>
      <c r="S91" s="28">
        <f>(N91-P91)*J91</f>
        <v>9248.8500000000076</v>
      </c>
      <c r="T91" s="28">
        <f t="shared" si="25"/>
        <v>9248.8500000000076</v>
      </c>
      <c r="U91" s="28">
        <f t="shared" si="27"/>
        <v>18497.700000000015</v>
      </c>
      <c r="V91" s="39"/>
      <c r="W91" s="39"/>
      <c r="X91" s="39"/>
      <c r="Y91" s="29">
        <f t="shared" si="20"/>
        <v>115.54515904341768</v>
      </c>
      <c r="Z91" s="30">
        <f t="shared" si="21"/>
        <v>104</v>
      </c>
      <c r="AA91" s="2"/>
      <c r="AD91" s="32">
        <f t="shared" si="29"/>
        <v>0</v>
      </c>
    </row>
    <row r="92" spans="1:30" s="40" customFormat="1" ht="119.25" customHeight="1">
      <c r="A92" s="33">
        <v>2901302219</v>
      </c>
      <c r="B92" s="34" t="s">
        <v>120</v>
      </c>
      <c r="C92" s="35" t="s">
        <v>123</v>
      </c>
      <c r="D92" s="33" t="s">
        <v>326</v>
      </c>
      <c r="E92" s="33"/>
      <c r="F92" s="25" t="s">
        <v>428</v>
      </c>
      <c r="G92" s="36" t="s">
        <v>125</v>
      </c>
      <c r="H92" s="37">
        <f>19831.704-65.491</f>
        <v>19766.213</v>
      </c>
      <c r="I92" s="37">
        <v>19812.165000000001</v>
      </c>
      <c r="J92" s="37">
        <v>21614.526999999998</v>
      </c>
      <c r="K92" s="37">
        <v>20295</v>
      </c>
      <c r="L92" s="26">
        <f t="shared" si="26"/>
        <v>81487.904999999999</v>
      </c>
      <c r="M92" s="38">
        <v>227.22</v>
      </c>
      <c r="N92" s="27">
        <v>227.22</v>
      </c>
      <c r="O92" s="38">
        <v>63.75</v>
      </c>
      <c r="P92" s="27">
        <v>66.3</v>
      </c>
      <c r="Q92" s="28">
        <f t="shared" si="23"/>
        <v>3231182.8391100001</v>
      </c>
      <c r="R92" s="28">
        <f t="shared" si="24"/>
        <v>3238694.6125500002</v>
      </c>
      <c r="S92" s="28">
        <f>(N92-P92)*J92</f>
        <v>3478209.6848400002</v>
      </c>
      <c r="T92" s="28">
        <f t="shared" si="25"/>
        <v>3265871.4000000004</v>
      </c>
      <c r="U92" s="28">
        <f t="shared" si="27"/>
        <v>13213958.536500001</v>
      </c>
      <c r="V92" s="39"/>
      <c r="W92" s="39"/>
      <c r="X92" s="39"/>
      <c r="Y92" s="29">
        <f t="shared" si="20"/>
        <v>100</v>
      </c>
      <c r="Z92" s="30">
        <f t="shared" si="21"/>
        <v>104</v>
      </c>
      <c r="AA92" s="2"/>
      <c r="AD92" s="32">
        <f t="shared" si="29"/>
        <v>0</v>
      </c>
    </row>
    <row r="93" spans="1:30" s="40" customFormat="1" ht="15" customHeight="1">
      <c r="A93" s="33"/>
      <c r="B93" s="34"/>
      <c r="C93" s="35"/>
      <c r="D93" s="33"/>
      <c r="E93" s="33"/>
      <c r="F93" s="25"/>
      <c r="G93" s="36"/>
      <c r="H93" s="41"/>
      <c r="I93" s="41"/>
      <c r="J93" s="41"/>
      <c r="K93" s="41"/>
      <c r="L93" s="37"/>
      <c r="M93" s="41"/>
      <c r="N93" s="41"/>
      <c r="O93" s="41"/>
      <c r="P93" s="41"/>
      <c r="Q93" s="28"/>
      <c r="R93" s="28"/>
      <c r="S93" s="28"/>
      <c r="T93" s="28"/>
      <c r="U93" s="28"/>
      <c r="V93" s="39"/>
      <c r="W93" s="39"/>
      <c r="X93" s="39"/>
      <c r="Y93" s="29" t="e">
        <f t="shared" si="20"/>
        <v>#DIV/0!</v>
      </c>
      <c r="Z93" s="30" t="e">
        <f t="shared" si="21"/>
        <v>#DIV/0!</v>
      </c>
      <c r="AA93" s="2"/>
      <c r="AD93" s="32" t="e">
        <f t="shared" si="29"/>
        <v>#DIV/0!</v>
      </c>
    </row>
    <row r="94" spans="1:30" s="49" customFormat="1" ht="58.5" customHeight="1">
      <c r="A94" s="50">
        <v>2925003747</v>
      </c>
      <c r="B94" s="51" t="s">
        <v>126</v>
      </c>
      <c r="C94" s="52" t="s">
        <v>127</v>
      </c>
      <c r="D94" s="50"/>
      <c r="E94" s="50"/>
      <c r="F94" s="25" t="s">
        <v>428</v>
      </c>
      <c r="G94" s="46" t="s">
        <v>327</v>
      </c>
      <c r="H94" s="37">
        <f>1587941/4</f>
        <v>396985.25</v>
      </c>
      <c r="I94" s="37">
        <f t="shared" ref="I94:K94" si="31">1587941/4</f>
        <v>396985.25</v>
      </c>
      <c r="J94" s="37">
        <f t="shared" si="31"/>
        <v>396985.25</v>
      </c>
      <c r="K94" s="37">
        <f t="shared" si="31"/>
        <v>396985.25</v>
      </c>
      <c r="L94" s="26">
        <f t="shared" si="26"/>
        <v>1587941</v>
      </c>
      <c r="M94" s="38">
        <v>30.095897069999999</v>
      </c>
      <c r="N94" s="27">
        <v>32.804510567252329</v>
      </c>
      <c r="O94" s="38">
        <v>30.095897069999999</v>
      </c>
      <c r="P94" s="27">
        <v>31.299732952799999</v>
      </c>
      <c r="Q94" s="28">
        <f t="shared" si="23"/>
        <v>0</v>
      </c>
      <c r="R94" s="28">
        <f t="shared" si="24"/>
        <v>0</v>
      </c>
      <c r="S94" s="28">
        <f>(N94-P94)*J94</f>
        <v>597374.51746776176</v>
      </c>
      <c r="T94" s="28">
        <f t="shared" si="25"/>
        <v>597374.51746776176</v>
      </c>
      <c r="U94" s="28">
        <f t="shared" si="27"/>
        <v>1194749.0349355235</v>
      </c>
      <c r="V94" s="47"/>
      <c r="W94" s="47"/>
      <c r="X94" s="47"/>
      <c r="Y94" s="43">
        <f t="shared" si="20"/>
        <v>108.99994271960848</v>
      </c>
      <c r="Z94" s="44">
        <f t="shared" si="21"/>
        <v>104</v>
      </c>
      <c r="AA94" s="48"/>
      <c r="AD94" s="32">
        <f t="shared" si="29"/>
        <v>0</v>
      </c>
    </row>
    <row r="95" spans="1:30" s="40" customFormat="1" ht="15" customHeight="1">
      <c r="A95" s="33"/>
      <c r="B95" s="34"/>
      <c r="C95" s="35"/>
      <c r="D95" s="33"/>
      <c r="E95" s="33"/>
      <c r="F95" s="25"/>
      <c r="G95" s="36"/>
      <c r="H95" s="41"/>
      <c r="I95" s="41"/>
      <c r="J95" s="41"/>
      <c r="K95" s="41"/>
      <c r="L95" s="37"/>
      <c r="M95" s="41"/>
      <c r="N95" s="41"/>
      <c r="O95" s="41"/>
      <c r="P95" s="41"/>
      <c r="Q95" s="28"/>
      <c r="R95" s="28"/>
      <c r="S95" s="28"/>
      <c r="T95" s="28"/>
      <c r="U95" s="28"/>
      <c r="V95" s="39"/>
      <c r="W95" s="39"/>
      <c r="X95" s="39"/>
      <c r="Y95" s="29" t="e">
        <f t="shared" si="20"/>
        <v>#DIV/0!</v>
      </c>
      <c r="Z95" s="30" t="e">
        <f t="shared" si="21"/>
        <v>#DIV/0!</v>
      </c>
      <c r="AA95" s="2"/>
      <c r="AD95" s="32" t="e">
        <f t="shared" si="29"/>
        <v>#DIV/0!</v>
      </c>
    </row>
    <row r="96" spans="1:30" s="40" customFormat="1" ht="61.5" customHeight="1">
      <c r="A96" s="33">
        <v>2918002171</v>
      </c>
      <c r="B96" s="34" t="s">
        <v>128</v>
      </c>
      <c r="C96" s="35" t="s">
        <v>129</v>
      </c>
      <c r="D96" s="33" t="s">
        <v>328</v>
      </c>
      <c r="E96" s="33" t="s">
        <v>329</v>
      </c>
      <c r="F96" s="25" t="s">
        <v>428</v>
      </c>
      <c r="G96" s="36"/>
      <c r="H96" s="37">
        <v>999.56600000000003</v>
      </c>
      <c r="I96" s="37">
        <v>957.02400000000011</v>
      </c>
      <c r="J96" s="37">
        <v>974.33500000000004</v>
      </c>
      <c r="K96" s="37">
        <v>919.13900000000001</v>
      </c>
      <c r="L96" s="26">
        <f t="shared" si="26"/>
        <v>3850.0640000000003</v>
      </c>
      <c r="M96" s="38">
        <v>305.02</v>
      </c>
      <c r="N96" s="27">
        <v>337.11571558600008</v>
      </c>
      <c r="O96" s="38">
        <v>81</v>
      </c>
      <c r="P96" s="27">
        <v>84.240000000000009</v>
      </c>
      <c r="Q96" s="28">
        <f t="shared" si="23"/>
        <v>223922.77531999999</v>
      </c>
      <c r="R96" s="28">
        <f t="shared" si="24"/>
        <v>214392.51648000002</v>
      </c>
      <c r="S96" s="28">
        <f t="shared" ref="S96:S101" si="32">(N96-P96)*J96</f>
        <v>246385.66034548538</v>
      </c>
      <c r="T96" s="28">
        <f t="shared" si="25"/>
        <v>232427.93234800053</v>
      </c>
      <c r="U96" s="28">
        <f t="shared" si="27"/>
        <v>917128.88449348602</v>
      </c>
      <c r="V96" s="39"/>
      <c r="W96" s="39"/>
      <c r="X96" s="39"/>
      <c r="Y96" s="29">
        <f t="shared" si="20"/>
        <v>110.52249543833194</v>
      </c>
      <c r="Z96" s="30">
        <f t="shared" si="21"/>
        <v>104</v>
      </c>
      <c r="AA96" s="2"/>
      <c r="AD96" s="32">
        <f t="shared" si="29"/>
        <v>0</v>
      </c>
    </row>
    <row r="97" spans="1:30" s="40" customFormat="1" ht="54" customHeight="1">
      <c r="A97" s="33">
        <v>2918002171</v>
      </c>
      <c r="B97" s="34" t="s">
        <v>128</v>
      </c>
      <c r="C97" s="35" t="s">
        <v>129</v>
      </c>
      <c r="D97" s="33" t="s">
        <v>328</v>
      </c>
      <c r="E97" s="33" t="s">
        <v>330</v>
      </c>
      <c r="F97" s="25" t="s">
        <v>428</v>
      </c>
      <c r="G97" s="36"/>
      <c r="H97" s="37">
        <v>176.625</v>
      </c>
      <c r="I97" s="37">
        <v>174.60300000000001</v>
      </c>
      <c r="J97" s="37">
        <v>172.77699999999999</v>
      </c>
      <c r="K97" s="37">
        <v>161.89699999999999</v>
      </c>
      <c r="L97" s="26">
        <f t="shared" si="26"/>
        <v>685.90200000000004</v>
      </c>
      <c r="M97" s="38">
        <v>305.02</v>
      </c>
      <c r="N97" s="27">
        <v>337.11571558600008</v>
      </c>
      <c r="O97" s="38">
        <v>77</v>
      </c>
      <c r="P97" s="27">
        <v>80.08</v>
      </c>
      <c r="Q97" s="28">
        <f t="shared" si="23"/>
        <v>40274.032499999994</v>
      </c>
      <c r="R97" s="28">
        <f t="shared" si="24"/>
        <v>39812.976060000001</v>
      </c>
      <c r="S97" s="28">
        <f t="shared" si="32"/>
        <v>44409.859831802336</v>
      </c>
      <c r="T97" s="28">
        <f t="shared" si="25"/>
        <v>41613.311246226658</v>
      </c>
      <c r="U97" s="28">
        <f t="shared" si="27"/>
        <v>166110.17963802899</v>
      </c>
      <c r="V97" s="39"/>
      <c r="W97" s="39"/>
      <c r="X97" s="39"/>
      <c r="Y97" s="29">
        <f t="shared" si="20"/>
        <v>110.52249543833194</v>
      </c>
      <c r="Z97" s="30">
        <f t="shared" si="21"/>
        <v>104</v>
      </c>
      <c r="AA97" s="2"/>
      <c r="AD97" s="32">
        <f t="shared" si="29"/>
        <v>0</v>
      </c>
    </row>
    <row r="98" spans="1:30" s="40" customFormat="1" ht="54" customHeight="1">
      <c r="A98" s="33">
        <v>2918002171</v>
      </c>
      <c r="B98" s="34" t="s">
        <v>128</v>
      </c>
      <c r="C98" s="35" t="s">
        <v>129</v>
      </c>
      <c r="D98" s="33" t="s">
        <v>328</v>
      </c>
      <c r="E98" s="33" t="s">
        <v>331</v>
      </c>
      <c r="F98" s="25" t="s">
        <v>428</v>
      </c>
      <c r="G98" s="36"/>
      <c r="H98" s="37">
        <v>610.34699999999998</v>
      </c>
      <c r="I98" s="37">
        <v>597.375</v>
      </c>
      <c r="J98" s="37">
        <v>578.67200000000003</v>
      </c>
      <c r="K98" s="37">
        <v>556.83100000000002</v>
      </c>
      <c r="L98" s="26">
        <f t="shared" si="26"/>
        <v>2343.2249999999999</v>
      </c>
      <c r="M98" s="38">
        <v>305.02</v>
      </c>
      <c r="N98" s="27">
        <v>337.11571558600008</v>
      </c>
      <c r="O98" s="38">
        <v>24.3</v>
      </c>
      <c r="P98" s="27">
        <v>25.272000000000002</v>
      </c>
      <c r="Q98" s="28">
        <f t="shared" si="23"/>
        <v>171336.60983999999</v>
      </c>
      <c r="R98" s="28">
        <f t="shared" si="24"/>
        <v>167695.10999999999</v>
      </c>
      <c r="S98" s="28">
        <f t="shared" si="32"/>
        <v>180455.22658558184</v>
      </c>
      <c r="T98" s="28">
        <f t="shared" si="25"/>
        <v>173644.24799346802</v>
      </c>
      <c r="U98" s="28">
        <f t="shared" si="27"/>
        <v>693131.19441904989</v>
      </c>
      <c r="V98" s="39"/>
      <c r="W98" s="39"/>
      <c r="X98" s="39"/>
      <c r="Y98" s="29">
        <f t="shared" si="20"/>
        <v>110.52249543833194</v>
      </c>
      <c r="Z98" s="30">
        <f t="shared" si="21"/>
        <v>104</v>
      </c>
      <c r="AA98" s="2"/>
      <c r="AD98" s="32">
        <f t="shared" si="29"/>
        <v>0</v>
      </c>
    </row>
    <row r="99" spans="1:30" s="40" customFormat="1" ht="54" customHeight="1">
      <c r="A99" s="33">
        <v>2918002171</v>
      </c>
      <c r="B99" s="34" t="s">
        <v>128</v>
      </c>
      <c r="C99" s="35" t="s">
        <v>129</v>
      </c>
      <c r="D99" s="33" t="s">
        <v>132</v>
      </c>
      <c r="E99" s="33"/>
      <c r="F99" s="25" t="s">
        <v>428</v>
      </c>
      <c r="G99" s="36" t="s">
        <v>407</v>
      </c>
      <c r="H99" s="37">
        <v>3416</v>
      </c>
      <c r="I99" s="37">
        <v>3447.3609999999999</v>
      </c>
      <c r="J99" s="37">
        <v>3394.25</v>
      </c>
      <c r="K99" s="37">
        <v>2392.0280000000002</v>
      </c>
      <c r="L99" s="26">
        <f t="shared" si="26"/>
        <v>12649.639000000001</v>
      </c>
      <c r="M99" s="38">
        <v>86.21</v>
      </c>
      <c r="N99" s="27">
        <v>101.72780000000002</v>
      </c>
      <c r="O99" s="38">
        <v>43.97</v>
      </c>
      <c r="P99" s="27">
        <v>45.7288</v>
      </c>
      <c r="Q99" s="28">
        <f t="shared" si="23"/>
        <v>144291.84</v>
      </c>
      <c r="R99" s="28">
        <f t="shared" si="24"/>
        <v>145616.52863999997</v>
      </c>
      <c r="S99" s="28">
        <f t="shared" si="32"/>
        <v>190074.60575000005</v>
      </c>
      <c r="T99" s="28">
        <f t="shared" si="25"/>
        <v>133951.17597200006</v>
      </c>
      <c r="U99" s="28">
        <f t="shared" si="27"/>
        <v>613934.1503620001</v>
      </c>
      <c r="V99" s="39"/>
      <c r="W99" s="39"/>
      <c r="X99" s="39"/>
      <c r="Y99" s="29">
        <f t="shared" si="20"/>
        <v>118.00000000000004</v>
      </c>
      <c r="Z99" s="30">
        <f t="shared" si="21"/>
        <v>104</v>
      </c>
      <c r="AA99" s="2"/>
      <c r="AD99" s="32">
        <f t="shared" si="29"/>
        <v>0</v>
      </c>
    </row>
    <row r="100" spans="1:30" s="40" customFormat="1" ht="54" customHeight="1">
      <c r="A100" s="33">
        <v>2918012010</v>
      </c>
      <c r="B100" s="34" t="s">
        <v>131</v>
      </c>
      <c r="C100" s="35" t="s">
        <v>129</v>
      </c>
      <c r="D100" s="33" t="s">
        <v>130</v>
      </c>
      <c r="E100" s="33"/>
      <c r="F100" s="25" t="s">
        <v>428</v>
      </c>
      <c r="G100" s="36"/>
      <c r="H100" s="37">
        <f>95875.367-53.803</f>
        <v>95821.563999999998</v>
      </c>
      <c r="I100" s="37">
        <v>89847.9</v>
      </c>
      <c r="J100" s="37">
        <v>99068.733999999997</v>
      </c>
      <c r="K100" s="37">
        <v>93994.226999999999</v>
      </c>
      <c r="L100" s="26">
        <f t="shared" si="26"/>
        <v>378732.42499999999</v>
      </c>
      <c r="M100" s="38">
        <v>84.552899999999994</v>
      </c>
      <c r="N100" s="27">
        <v>98.436191000000008</v>
      </c>
      <c r="O100" s="38">
        <v>52.2</v>
      </c>
      <c r="P100" s="27">
        <v>54.288000000000004</v>
      </c>
      <c r="Q100" s="28">
        <f t="shared" si="23"/>
        <v>3100105.4779355992</v>
      </c>
      <c r="R100" s="28">
        <f t="shared" si="24"/>
        <v>2906840.1239099992</v>
      </c>
      <c r="S100" s="28">
        <f t="shared" si="32"/>
        <v>4373705.3907601945</v>
      </c>
      <c r="T100" s="28">
        <f t="shared" si="25"/>
        <v>4149675.0864933576</v>
      </c>
      <c r="U100" s="28">
        <f t="shared" si="27"/>
        <v>14530326.07909915</v>
      </c>
      <c r="V100" s="39"/>
      <c r="W100" s="39"/>
      <c r="X100" s="39"/>
      <c r="Y100" s="29">
        <f t="shared" si="20"/>
        <v>116.41965089310953</v>
      </c>
      <c r="Z100" s="30">
        <f t="shared" si="21"/>
        <v>104</v>
      </c>
      <c r="AA100" s="2"/>
      <c r="AD100" s="32">
        <f t="shared" si="29"/>
        <v>0</v>
      </c>
    </row>
    <row r="101" spans="1:30" s="40" customFormat="1" ht="84" customHeight="1">
      <c r="A101" s="33">
        <v>7708503727</v>
      </c>
      <c r="B101" s="34" t="s">
        <v>61</v>
      </c>
      <c r="C101" s="35" t="s">
        <v>129</v>
      </c>
      <c r="D101" s="33" t="s">
        <v>130</v>
      </c>
      <c r="E101" s="33"/>
      <c r="F101" s="25" t="s">
        <v>428</v>
      </c>
      <c r="G101" s="36"/>
      <c r="H101" s="37">
        <v>3841.7190000000001</v>
      </c>
      <c r="I101" s="37">
        <f>2831.809+9.641</f>
        <v>2841.4500000000003</v>
      </c>
      <c r="J101" s="37">
        <v>2804.681</v>
      </c>
      <c r="K101" s="37">
        <v>3247.4890000000005</v>
      </c>
      <c r="L101" s="26">
        <f t="shared" si="26"/>
        <v>12735.339</v>
      </c>
      <c r="M101" s="38">
        <v>47.291311700000001</v>
      </c>
      <c r="N101" s="27">
        <v>54.992384506</v>
      </c>
      <c r="O101" s="38">
        <v>43.5</v>
      </c>
      <c r="P101" s="27">
        <v>45.24</v>
      </c>
      <c r="Q101" s="28">
        <f t="shared" si="23"/>
        <v>14565.154192812306</v>
      </c>
      <c r="R101" s="28">
        <f t="shared" si="24"/>
        <v>10772.822629965005</v>
      </c>
      <c r="S101" s="28">
        <f t="shared" si="32"/>
        <v>27352.327528672584</v>
      </c>
      <c r="T101" s="28">
        <f t="shared" si="25"/>
        <v>31670.761407005433</v>
      </c>
      <c r="U101" s="28">
        <f t="shared" si="27"/>
        <v>84361.065758455326</v>
      </c>
      <c r="V101" s="39"/>
      <c r="W101" s="39"/>
      <c r="X101" s="39"/>
      <c r="Y101" s="29">
        <f t="shared" si="20"/>
        <v>116.28432904304491</v>
      </c>
      <c r="Z101" s="30">
        <f t="shared" si="21"/>
        <v>104</v>
      </c>
      <c r="AA101" s="112" t="s">
        <v>133</v>
      </c>
      <c r="AD101" s="32">
        <f t="shared" si="29"/>
        <v>0</v>
      </c>
    </row>
    <row r="102" spans="1:30" s="40" customFormat="1" ht="15" customHeight="1">
      <c r="A102" s="33"/>
      <c r="B102" s="34"/>
      <c r="C102" s="35"/>
      <c r="D102" s="33"/>
      <c r="E102" s="33"/>
      <c r="F102" s="25"/>
      <c r="G102" s="36"/>
      <c r="H102" s="41"/>
      <c r="I102" s="41"/>
      <c r="J102" s="41"/>
      <c r="K102" s="41"/>
      <c r="L102" s="37"/>
      <c r="M102" s="41"/>
      <c r="N102" s="41"/>
      <c r="O102" s="41"/>
      <c r="P102" s="41"/>
      <c r="Q102" s="28"/>
      <c r="R102" s="28"/>
      <c r="S102" s="28"/>
      <c r="T102" s="28"/>
      <c r="U102" s="28"/>
      <c r="V102" s="39"/>
      <c r="W102" s="39"/>
      <c r="X102" s="39"/>
      <c r="Y102" s="29" t="e">
        <f t="shared" ref="Y102:Y128" si="33">N102/M102*100</f>
        <v>#DIV/0!</v>
      </c>
      <c r="Z102" s="30" t="e">
        <f t="shared" ref="Z102:Z128" si="34">P102/O102*100</f>
        <v>#DIV/0!</v>
      </c>
      <c r="AA102" s="2"/>
      <c r="AD102" s="32" t="e">
        <f t="shared" si="29"/>
        <v>#DIV/0!</v>
      </c>
    </row>
    <row r="103" spans="1:30" s="40" customFormat="1" ht="64.5" customHeight="1">
      <c r="A103" s="33">
        <v>7708503727</v>
      </c>
      <c r="B103" s="34" t="s">
        <v>61</v>
      </c>
      <c r="C103" s="35" t="s">
        <v>134</v>
      </c>
      <c r="D103" s="33" t="s">
        <v>135</v>
      </c>
      <c r="E103" s="33"/>
      <c r="F103" s="25" t="s">
        <v>428</v>
      </c>
      <c r="G103" s="36"/>
      <c r="H103" s="37">
        <f>8378.317+133.265</f>
        <v>8511.5819999999985</v>
      </c>
      <c r="I103" s="37">
        <f>8909.42</f>
        <v>8909.42</v>
      </c>
      <c r="J103" s="37">
        <v>8819.9140000000007</v>
      </c>
      <c r="K103" s="37">
        <v>8490.76</v>
      </c>
      <c r="L103" s="26">
        <f t="shared" si="26"/>
        <v>34731.675999999999</v>
      </c>
      <c r="M103" s="38">
        <v>47.291311700000001</v>
      </c>
      <c r="N103" s="27">
        <v>54.992384506</v>
      </c>
      <c r="O103" s="38">
        <v>43.5</v>
      </c>
      <c r="P103" s="27">
        <v>45.24</v>
      </c>
      <c r="Q103" s="28">
        <f t="shared" si="23"/>
        <v>32270.060422109407</v>
      </c>
      <c r="R103" s="28">
        <f t="shared" si="24"/>
        <v>33778.388286214016</v>
      </c>
      <c r="S103" s="28">
        <f t="shared" ref="S103:S110" si="35">(N103-P103)*J103</f>
        <v>86015.19263785248</v>
      </c>
      <c r="T103" s="28">
        <f t="shared" si="25"/>
        <v>82805.156268164545</v>
      </c>
      <c r="U103" s="28">
        <f t="shared" si="27"/>
        <v>234868.79761434047</v>
      </c>
      <c r="V103" s="39"/>
      <c r="W103" s="39"/>
      <c r="X103" s="39"/>
      <c r="Y103" s="29">
        <f t="shared" si="33"/>
        <v>116.28432904304491</v>
      </c>
      <c r="Z103" s="30">
        <f t="shared" si="34"/>
        <v>104</v>
      </c>
      <c r="AA103" s="2"/>
      <c r="AD103" s="32">
        <f t="shared" si="29"/>
        <v>0</v>
      </c>
    </row>
    <row r="104" spans="1:30" s="40" customFormat="1" ht="64.5" customHeight="1">
      <c r="A104" s="33">
        <v>2906008059</v>
      </c>
      <c r="B104" s="34" t="s">
        <v>137</v>
      </c>
      <c r="C104" s="35" t="s">
        <v>134</v>
      </c>
      <c r="D104" s="33" t="s">
        <v>138</v>
      </c>
      <c r="E104" s="33"/>
      <c r="F104" s="25" t="s">
        <v>428</v>
      </c>
      <c r="G104" s="36"/>
      <c r="H104" s="37">
        <v>123931.12400000001</v>
      </c>
      <c r="I104" s="37">
        <v>124007.5</v>
      </c>
      <c r="J104" s="37">
        <v>123270.46699999999</v>
      </c>
      <c r="K104" s="37">
        <v>120203.095</v>
      </c>
      <c r="L104" s="26">
        <f t="shared" si="26"/>
        <v>491412.18599999999</v>
      </c>
      <c r="M104" s="38">
        <v>61.67</v>
      </c>
      <c r="N104" s="27">
        <v>84.57</v>
      </c>
      <c r="O104" s="38">
        <v>42.930400000000006</v>
      </c>
      <c r="P104" s="27">
        <v>44.647616000000006</v>
      </c>
      <c r="Q104" s="28">
        <f t="shared" si="23"/>
        <v>2322419.6913103997</v>
      </c>
      <c r="R104" s="28">
        <f t="shared" si="24"/>
        <v>2323850.9469999997</v>
      </c>
      <c r="S104" s="28">
        <f t="shared" si="35"/>
        <v>4921250.9194333255</v>
      </c>
      <c r="T104" s="28">
        <f t="shared" si="25"/>
        <v>4798794.1165784784</v>
      </c>
      <c r="U104" s="28">
        <f t="shared" si="27"/>
        <v>14366315.674322203</v>
      </c>
      <c r="V104" s="39"/>
      <c r="W104" s="39"/>
      <c r="X104" s="39"/>
      <c r="Y104" s="29">
        <f t="shared" si="33"/>
        <v>137.13312793903029</v>
      </c>
      <c r="Z104" s="30">
        <f t="shared" si="34"/>
        <v>104</v>
      </c>
      <c r="AA104" s="2"/>
      <c r="AD104" s="32">
        <f t="shared" si="29"/>
        <v>0</v>
      </c>
    </row>
    <row r="105" spans="1:30" s="40" customFormat="1" ht="63" customHeight="1">
      <c r="A105" s="33">
        <v>2906008154</v>
      </c>
      <c r="B105" s="34" t="s">
        <v>140</v>
      </c>
      <c r="C105" s="35" t="s">
        <v>134</v>
      </c>
      <c r="D105" s="33" t="s">
        <v>332</v>
      </c>
      <c r="E105" s="33" t="s">
        <v>333</v>
      </c>
      <c r="F105" s="25" t="s">
        <v>428</v>
      </c>
      <c r="G105" s="36"/>
      <c r="H105" s="37">
        <v>5167.5879999999997</v>
      </c>
      <c r="I105" s="37">
        <v>5138.97</v>
      </c>
      <c r="J105" s="37">
        <f>4575.328+562.74</f>
        <v>5138.0680000000002</v>
      </c>
      <c r="K105" s="37">
        <f>4426.162+561.209</f>
        <v>4987.3710000000001</v>
      </c>
      <c r="L105" s="26">
        <f t="shared" si="26"/>
        <v>20431.996999999999</v>
      </c>
      <c r="M105" s="38">
        <v>108.63</v>
      </c>
      <c r="N105" s="27">
        <v>128.18</v>
      </c>
      <c r="O105" s="38">
        <v>43</v>
      </c>
      <c r="P105" s="27">
        <v>44.72</v>
      </c>
      <c r="Q105" s="28">
        <f t="shared" si="23"/>
        <v>339148.80043999996</v>
      </c>
      <c r="R105" s="28">
        <f t="shared" si="24"/>
        <v>337270.60109999997</v>
      </c>
      <c r="S105" s="28">
        <f t="shared" si="35"/>
        <v>428823.15528000006</v>
      </c>
      <c r="T105" s="28">
        <f t="shared" si="25"/>
        <v>416245.98366000003</v>
      </c>
      <c r="U105" s="28">
        <f t="shared" si="27"/>
        <v>1521488.54048</v>
      </c>
      <c r="V105" s="39"/>
      <c r="W105" s="39"/>
      <c r="X105" s="39"/>
      <c r="Y105" s="29">
        <f t="shared" si="33"/>
        <v>117.99687010954618</v>
      </c>
      <c r="Z105" s="30">
        <f t="shared" si="34"/>
        <v>104</v>
      </c>
      <c r="AA105" s="2"/>
      <c r="AD105" s="32">
        <f t="shared" si="29"/>
        <v>0</v>
      </c>
    </row>
    <row r="106" spans="1:30" s="40" customFormat="1" ht="87.75" customHeight="1">
      <c r="A106" s="33">
        <v>2906008154</v>
      </c>
      <c r="B106" s="34" t="s">
        <v>140</v>
      </c>
      <c r="C106" s="35" t="s">
        <v>134</v>
      </c>
      <c r="D106" s="33" t="s">
        <v>334</v>
      </c>
      <c r="E106" s="33" t="s">
        <v>335</v>
      </c>
      <c r="F106" s="25" t="s">
        <v>428</v>
      </c>
      <c r="G106" s="36"/>
      <c r="H106" s="37">
        <f>1530.446+850*3</f>
        <v>4080.4459999999999</v>
      </c>
      <c r="I106" s="37">
        <f>1448.176+850*3</f>
        <v>3998.1759999999999</v>
      </c>
      <c r="J106" s="37">
        <f>1500.266+2581.595</f>
        <v>4081.8609999999999</v>
      </c>
      <c r="K106" s="37">
        <f>1455.358+2451.261</f>
        <v>3906.6189999999997</v>
      </c>
      <c r="L106" s="26">
        <f t="shared" si="26"/>
        <v>16067.101999999999</v>
      </c>
      <c r="M106" s="38">
        <v>115.32</v>
      </c>
      <c r="N106" s="27">
        <v>115.32</v>
      </c>
      <c r="O106" s="38">
        <v>81.61</v>
      </c>
      <c r="P106" s="27">
        <v>84.87</v>
      </c>
      <c r="Q106" s="28">
        <f t="shared" si="23"/>
        <v>137551.83465999996</v>
      </c>
      <c r="R106" s="28">
        <f t="shared" si="24"/>
        <v>134778.51295999996</v>
      </c>
      <c r="S106" s="28">
        <f t="shared" si="35"/>
        <v>124292.66744999995</v>
      </c>
      <c r="T106" s="28">
        <f t="shared" si="25"/>
        <v>118956.54854999995</v>
      </c>
      <c r="U106" s="28">
        <f t="shared" si="27"/>
        <v>515579.5636199998</v>
      </c>
      <c r="V106" s="39"/>
      <c r="W106" s="39"/>
      <c r="X106" s="39"/>
      <c r="Y106" s="29">
        <f t="shared" si="33"/>
        <v>100</v>
      </c>
      <c r="Z106" s="30">
        <f t="shared" si="34"/>
        <v>103.99460850385982</v>
      </c>
      <c r="AA106" s="2"/>
      <c r="AD106" s="32">
        <f t="shared" si="29"/>
        <v>5.3914961401773098E-3</v>
      </c>
    </row>
    <row r="107" spans="1:30" s="40" customFormat="1" ht="63" customHeight="1">
      <c r="A107" s="33">
        <v>2906008154</v>
      </c>
      <c r="B107" s="34" t="s">
        <v>140</v>
      </c>
      <c r="C107" s="35" t="s">
        <v>134</v>
      </c>
      <c r="D107" s="33" t="s">
        <v>336</v>
      </c>
      <c r="E107" s="33" t="s">
        <v>337</v>
      </c>
      <c r="F107" s="25" t="s">
        <v>428</v>
      </c>
      <c r="G107" s="36"/>
      <c r="H107" s="37">
        <v>1019.28</v>
      </c>
      <c r="I107" s="37">
        <v>1060.048</v>
      </c>
      <c r="J107" s="37">
        <v>1003.929</v>
      </c>
      <c r="K107" s="37">
        <v>978.96100000000001</v>
      </c>
      <c r="L107" s="26">
        <f t="shared" si="26"/>
        <v>4062.2179999999998</v>
      </c>
      <c r="M107" s="38">
        <v>118.26</v>
      </c>
      <c r="N107" s="27">
        <v>139.55000000000001</v>
      </c>
      <c r="O107" s="38">
        <v>81.61</v>
      </c>
      <c r="P107" s="27">
        <v>84.87</v>
      </c>
      <c r="Q107" s="28">
        <f t="shared" si="23"/>
        <v>37356.612000000008</v>
      </c>
      <c r="R107" s="28">
        <f t="shared" si="24"/>
        <v>38850.759200000008</v>
      </c>
      <c r="S107" s="28">
        <f t="shared" si="35"/>
        <v>54894.837720000003</v>
      </c>
      <c r="T107" s="28">
        <f t="shared" si="25"/>
        <v>53529.587480000009</v>
      </c>
      <c r="U107" s="28">
        <f t="shared" si="27"/>
        <v>184631.79640000005</v>
      </c>
      <c r="V107" s="39"/>
      <c r="W107" s="39"/>
      <c r="X107" s="39"/>
      <c r="Y107" s="29">
        <f t="shared" si="33"/>
        <v>118.00270590224929</v>
      </c>
      <c r="Z107" s="30">
        <f t="shared" si="34"/>
        <v>103.99460850385982</v>
      </c>
      <c r="AA107" s="2"/>
      <c r="AD107" s="32">
        <f t="shared" si="29"/>
        <v>5.3914961401773098E-3</v>
      </c>
    </row>
    <row r="108" spans="1:30" s="40" customFormat="1" ht="63" customHeight="1">
      <c r="A108" s="33">
        <v>2906008154</v>
      </c>
      <c r="B108" s="34" t="s">
        <v>140</v>
      </c>
      <c r="C108" s="35" t="s">
        <v>134</v>
      </c>
      <c r="D108" s="33" t="s">
        <v>338</v>
      </c>
      <c r="E108" s="33" t="s">
        <v>339</v>
      </c>
      <c r="F108" s="25" t="s">
        <v>428</v>
      </c>
      <c r="G108" s="36"/>
      <c r="H108" s="37">
        <v>1401.346</v>
      </c>
      <c r="I108" s="37">
        <v>1426.5129999999999</v>
      </c>
      <c r="J108" s="37">
        <v>1364.653</v>
      </c>
      <c r="K108" s="37">
        <v>1271.7550000000001</v>
      </c>
      <c r="L108" s="26">
        <f t="shared" si="26"/>
        <v>5464.2669999999998</v>
      </c>
      <c r="M108" s="38">
        <v>77.83</v>
      </c>
      <c r="N108" s="27">
        <v>90.69</v>
      </c>
      <c r="O108" s="38">
        <v>31</v>
      </c>
      <c r="P108" s="27">
        <v>32.24</v>
      </c>
      <c r="Q108" s="28">
        <f t="shared" si="23"/>
        <v>65625.033179999999</v>
      </c>
      <c r="R108" s="28">
        <f t="shared" si="24"/>
        <v>66803.603789999994</v>
      </c>
      <c r="S108" s="28">
        <f t="shared" si="35"/>
        <v>79763.967850000001</v>
      </c>
      <c r="T108" s="28">
        <f t="shared" si="25"/>
        <v>74334.079750000004</v>
      </c>
      <c r="U108" s="28">
        <f t="shared" si="27"/>
        <v>286526.68457000004</v>
      </c>
      <c r="V108" s="39"/>
      <c r="W108" s="39"/>
      <c r="X108" s="39"/>
      <c r="Y108" s="29">
        <f t="shared" si="33"/>
        <v>116.5231915713735</v>
      </c>
      <c r="Z108" s="30">
        <f t="shared" si="34"/>
        <v>104</v>
      </c>
      <c r="AA108" s="2"/>
      <c r="AD108" s="32">
        <f t="shared" si="29"/>
        <v>0</v>
      </c>
    </row>
    <row r="109" spans="1:30" s="40" customFormat="1" ht="58.5" customHeight="1">
      <c r="A109" s="33">
        <v>2906007552</v>
      </c>
      <c r="B109" s="34" t="s">
        <v>139</v>
      </c>
      <c r="C109" s="35" t="s">
        <v>134</v>
      </c>
      <c r="D109" s="33" t="s">
        <v>340</v>
      </c>
      <c r="E109" s="33" t="s">
        <v>341</v>
      </c>
      <c r="F109" s="25" t="s">
        <v>428</v>
      </c>
      <c r="G109" s="36"/>
      <c r="H109" s="37">
        <v>3888.6109999999999</v>
      </c>
      <c r="I109" s="37">
        <v>3974.5540000000001</v>
      </c>
      <c r="J109" s="37">
        <v>3725.9790000000003</v>
      </c>
      <c r="K109" s="37">
        <v>3973.5209999999997</v>
      </c>
      <c r="L109" s="26">
        <f t="shared" si="26"/>
        <v>15562.665000000001</v>
      </c>
      <c r="M109" s="38">
        <v>113.6</v>
      </c>
      <c r="N109" s="27">
        <v>134.05000000000001</v>
      </c>
      <c r="O109" s="38">
        <v>39</v>
      </c>
      <c r="P109" s="27">
        <v>40.56</v>
      </c>
      <c r="Q109" s="28">
        <f t="shared" si="23"/>
        <v>290090.38059999997</v>
      </c>
      <c r="R109" s="28">
        <f t="shared" si="24"/>
        <v>296501.72839999996</v>
      </c>
      <c r="S109" s="28">
        <f t="shared" si="35"/>
        <v>348341.77671000006</v>
      </c>
      <c r="T109" s="28">
        <f t="shared" si="25"/>
        <v>371484.47829</v>
      </c>
      <c r="U109" s="28">
        <f t="shared" si="27"/>
        <v>1306418.3640000001</v>
      </c>
      <c r="V109" s="39"/>
      <c r="W109" s="39"/>
      <c r="X109" s="39"/>
      <c r="Y109" s="29">
        <f t="shared" si="33"/>
        <v>118.0017605633803</v>
      </c>
      <c r="Z109" s="30">
        <f t="shared" si="34"/>
        <v>104</v>
      </c>
      <c r="AA109" s="2"/>
      <c r="AD109" s="32">
        <f t="shared" si="29"/>
        <v>0</v>
      </c>
    </row>
    <row r="110" spans="1:30" s="40" customFormat="1" ht="58.5" customHeight="1">
      <c r="A110" s="33">
        <v>2906007552</v>
      </c>
      <c r="B110" s="34" t="s">
        <v>139</v>
      </c>
      <c r="C110" s="35" t="s">
        <v>134</v>
      </c>
      <c r="D110" s="33" t="s">
        <v>340</v>
      </c>
      <c r="E110" s="33" t="s">
        <v>342</v>
      </c>
      <c r="F110" s="25" t="s">
        <v>428</v>
      </c>
      <c r="G110" s="36"/>
      <c r="H110" s="37">
        <v>3068.5539999999996</v>
      </c>
      <c r="I110" s="37">
        <v>3322.558</v>
      </c>
      <c r="J110" s="37">
        <v>2998.5499999999997</v>
      </c>
      <c r="K110" s="37">
        <v>3195.5969999999998</v>
      </c>
      <c r="L110" s="26">
        <f t="shared" si="26"/>
        <v>12585.258999999998</v>
      </c>
      <c r="M110" s="38">
        <v>65.84</v>
      </c>
      <c r="N110" s="27">
        <v>65.84</v>
      </c>
      <c r="O110" s="38">
        <v>39</v>
      </c>
      <c r="P110" s="27">
        <v>40.56</v>
      </c>
      <c r="Q110" s="28">
        <f t="shared" si="23"/>
        <v>82359.989360000007</v>
      </c>
      <c r="R110" s="28">
        <f t="shared" si="24"/>
        <v>89177.456720000017</v>
      </c>
      <c r="S110" s="28">
        <f t="shared" si="35"/>
        <v>75803.343999999997</v>
      </c>
      <c r="T110" s="28">
        <f t="shared" si="25"/>
        <v>80784.692159999991</v>
      </c>
      <c r="U110" s="28">
        <f t="shared" si="27"/>
        <v>328125.48223999998</v>
      </c>
      <c r="V110" s="39"/>
      <c r="W110" s="39"/>
      <c r="X110" s="39"/>
      <c r="Y110" s="29">
        <f t="shared" si="33"/>
        <v>100</v>
      </c>
      <c r="Z110" s="30">
        <f t="shared" si="34"/>
        <v>104</v>
      </c>
      <c r="AA110" s="2"/>
      <c r="AD110" s="32">
        <f t="shared" si="29"/>
        <v>0</v>
      </c>
    </row>
    <row r="111" spans="1:30" s="40" customFormat="1" ht="15" customHeight="1">
      <c r="A111" s="33"/>
      <c r="B111" s="34"/>
      <c r="C111" s="35"/>
      <c r="D111" s="33"/>
      <c r="E111" s="33"/>
      <c r="F111" s="25"/>
      <c r="G111" s="36"/>
      <c r="H111" s="41"/>
      <c r="I111" s="41"/>
      <c r="J111" s="41"/>
      <c r="K111" s="41"/>
      <c r="L111" s="37"/>
      <c r="M111" s="41"/>
      <c r="N111" s="41"/>
      <c r="O111" s="41"/>
      <c r="P111" s="41"/>
      <c r="Q111" s="28"/>
      <c r="R111" s="28"/>
      <c r="S111" s="28"/>
      <c r="T111" s="28"/>
      <c r="U111" s="28"/>
      <c r="V111" s="39"/>
      <c r="W111" s="39"/>
      <c r="X111" s="39"/>
      <c r="Y111" s="29" t="e">
        <f t="shared" si="33"/>
        <v>#DIV/0!</v>
      </c>
      <c r="Z111" s="30" t="e">
        <f t="shared" si="34"/>
        <v>#DIV/0!</v>
      </c>
      <c r="AA111" s="2"/>
      <c r="AD111" s="32" t="e">
        <f t="shared" si="29"/>
        <v>#DIV/0!</v>
      </c>
    </row>
    <row r="112" spans="1:30" s="40" customFormat="1" ht="53.25" customHeight="1">
      <c r="A112" s="33">
        <v>2901280678</v>
      </c>
      <c r="B112" s="34" t="s">
        <v>141</v>
      </c>
      <c r="C112" s="35" t="s">
        <v>142</v>
      </c>
      <c r="D112" s="33" t="s">
        <v>143</v>
      </c>
      <c r="E112" s="33"/>
      <c r="F112" s="25" t="s">
        <v>428</v>
      </c>
      <c r="G112" s="36"/>
      <c r="H112" s="37">
        <v>635.91399999999999</v>
      </c>
      <c r="I112" s="37">
        <v>593.803</v>
      </c>
      <c r="J112" s="37">
        <v>686.99300000000005</v>
      </c>
      <c r="K112" s="37">
        <v>633.85</v>
      </c>
      <c r="L112" s="26">
        <f t="shared" si="26"/>
        <v>2550.56</v>
      </c>
      <c r="M112" s="38">
        <v>312.20999999999998</v>
      </c>
      <c r="N112" s="38">
        <v>338.56</v>
      </c>
      <c r="O112" s="38">
        <v>82.5</v>
      </c>
      <c r="P112" s="27">
        <v>85.8</v>
      </c>
      <c r="Q112" s="28">
        <f t="shared" si="23"/>
        <v>146075.80493999997</v>
      </c>
      <c r="R112" s="28">
        <f t="shared" si="24"/>
        <v>136402.48712999999</v>
      </c>
      <c r="S112" s="28">
        <f t="shared" ref="S112:S118" si="36">(N112-P112)*J112</f>
        <v>173644.35068</v>
      </c>
      <c r="T112" s="28">
        <f t="shared" si="25"/>
        <v>160211.92600000001</v>
      </c>
      <c r="U112" s="28">
        <f t="shared" si="27"/>
        <v>616334.56874999998</v>
      </c>
      <c r="V112" s="39"/>
      <c r="W112" s="39"/>
      <c r="X112" s="39"/>
      <c r="Y112" s="29">
        <f t="shared" si="33"/>
        <v>108.43983216424844</v>
      </c>
      <c r="Z112" s="30">
        <f t="shared" si="34"/>
        <v>104</v>
      </c>
      <c r="AA112" s="2"/>
      <c r="AD112" s="32">
        <f t="shared" si="29"/>
        <v>0</v>
      </c>
    </row>
    <row r="113" spans="1:30" s="40" customFormat="1" ht="53.25" customHeight="1">
      <c r="A113" s="33">
        <v>2919000794</v>
      </c>
      <c r="B113" s="34" t="s">
        <v>152</v>
      </c>
      <c r="C113" s="35" t="s">
        <v>142</v>
      </c>
      <c r="D113" s="33" t="s">
        <v>153</v>
      </c>
      <c r="E113" s="33"/>
      <c r="F113" s="25" t="s">
        <v>428</v>
      </c>
      <c r="G113" s="36"/>
      <c r="H113" s="37">
        <f>8337.027-12.83</f>
        <v>8324.1970000000001</v>
      </c>
      <c r="I113" s="37">
        <v>8290.5960000000014</v>
      </c>
      <c r="J113" s="37">
        <v>8436.4519999999993</v>
      </c>
      <c r="K113" s="37">
        <v>8231.018</v>
      </c>
      <c r="L113" s="26">
        <f t="shared" si="26"/>
        <v>33282.263000000006</v>
      </c>
      <c r="M113" s="38">
        <v>155.19</v>
      </c>
      <c r="N113" s="38">
        <v>164.67</v>
      </c>
      <c r="O113" s="38">
        <v>107.27</v>
      </c>
      <c r="P113" s="27">
        <v>111.56</v>
      </c>
      <c r="Q113" s="28">
        <f t="shared" si="23"/>
        <v>398895.52024000004</v>
      </c>
      <c r="R113" s="28">
        <f t="shared" si="24"/>
        <v>397285.36032000009</v>
      </c>
      <c r="S113" s="28">
        <f t="shared" si="36"/>
        <v>448059.96571999986</v>
      </c>
      <c r="T113" s="28">
        <f t="shared" si="25"/>
        <v>437149.36597999989</v>
      </c>
      <c r="U113" s="28">
        <f t="shared" si="27"/>
        <v>1681390.2122599999</v>
      </c>
      <c r="V113" s="39"/>
      <c r="W113" s="39"/>
      <c r="X113" s="39"/>
      <c r="Y113" s="29">
        <f t="shared" si="33"/>
        <v>106.10864102068432</v>
      </c>
      <c r="Z113" s="30">
        <f t="shared" si="34"/>
        <v>103.99925421832759</v>
      </c>
      <c r="AA113" s="2"/>
      <c r="AD113" s="32">
        <f t="shared" si="29"/>
        <v>7.4578167240701987E-4</v>
      </c>
    </row>
    <row r="114" spans="1:30" s="40" customFormat="1" ht="53.25" customHeight="1">
      <c r="A114" s="33">
        <v>2919000794</v>
      </c>
      <c r="B114" s="34" t="s">
        <v>152</v>
      </c>
      <c r="C114" s="35" t="s">
        <v>142</v>
      </c>
      <c r="D114" s="33" t="s">
        <v>154</v>
      </c>
      <c r="E114" s="33"/>
      <c r="F114" s="25" t="s">
        <v>428</v>
      </c>
      <c r="G114" s="36"/>
      <c r="H114" s="37">
        <f>19487.536-7.583</f>
        <v>19479.953000000001</v>
      </c>
      <c r="I114" s="37">
        <v>18795.073999999997</v>
      </c>
      <c r="J114" s="37">
        <v>18011.317999999999</v>
      </c>
      <c r="K114" s="37">
        <v>16455.407999999999</v>
      </c>
      <c r="L114" s="26">
        <f t="shared" si="26"/>
        <v>72741.752999999997</v>
      </c>
      <c r="M114" s="38">
        <v>100.52</v>
      </c>
      <c r="N114" s="38">
        <v>116.85</v>
      </c>
      <c r="O114" s="38">
        <v>72</v>
      </c>
      <c r="P114" s="27">
        <v>74.88</v>
      </c>
      <c r="Q114" s="28">
        <f t="shared" si="23"/>
        <v>555568.25955999992</v>
      </c>
      <c r="R114" s="28">
        <f t="shared" si="24"/>
        <v>536035.51047999982</v>
      </c>
      <c r="S114" s="28">
        <f t="shared" si="36"/>
        <v>755935.01645999996</v>
      </c>
      <c r="T114" s="28">
        <f t="shared" si="25"/>
        <v>690633.47375999996</v>
      </c>
      <c r="U114" s="28">
        <f t="shared" si="27"/>
        <v>2538172.2602599999</v>
      </c>
      <c r="V114" s="39"/>
      <c r="W114" s="39"/>
      <c r="X114" s="39"/>
      <c r="Y114" s="29">
        <f t="shared" si="33"/>
        <v>116.24552327894946</v>
      </c>
      <c r="Z114" s="30">
        <f t="shared" si="34"/>
        <v>104</v>
      </c>
      <c r="AA114" s="2"/>
      <c r="AD114" s="32">
        <f t="shared" si="29"/>
        <v>0</v>
      </c>
    </row>
    <row r="115" spans="1:30" s="40" customFormat="1" ht="51" customHeight="1">
      <c r="A115" s="33">
        <v>2919006299</v>
      </c>
      <c r="B115" s="34" t="s">
        <v>148</v>
      </c>
      <c r="C115" s="35" t="s">
        <v>142</v>
      </c>
      <c r="D115" s="33" t="s">
        <v>149</v>
      </c>
      <c r="E115" s="33"/>
      <c r="F115" s="25" t="s">
        <v>428</v>
      </c>
      <c r="G115" s="36"/>
      <c r="H115" s="37">
        <f>7320.2+1316</f>
        <v>8636.2000000000007</v>
      </c>
      <c r="I115" s="37">
        <f>7409.7+1316</f>
        <v>8725.7000000000007</v>
      </c>
      <c r="J115" s="37">
        <v>7408</v>
      </c>
      <c r="K115" s="37">
        <v>9617.2000000000007</v>
      </c>
      <c r="L115" s="26">
        <f t="shared" si="26"/>
        <v>34387.100000000006</v>
      </c>
      <c r="M115" s="38">
        <v>169.2</v>
      </c>
      <c r="N115" s="38">
        <v>178.13</v>
      </c>
      <c r="O115" s="38">
        <v>62</v>
      </c>
      <c r="P115" s="27">
        <v>64.48</v>
      </c>
      <c r="Q115" s="28">
        <f t="shared" si="23"/>
        <v>925800.64</v>
      </c>
      <c r="R115" s="28">
        <f t="shared" si="24"/>
        <v>935395.03999999992</v>
      </c>
      <c r="S115" s="28">
        <f t="shared" si="36"/>
        <v>841919.2</v>
      </c>
      <c r="T115" s="28">
        <f t="shared" si="25"/>
        <v>1092994.78</v>
      </c>
      <c r="U115" s="28">
        <f t="shared" si="27"/>
        <v>3796109.66</v>
      </c>
      <c r="V115" s="39"/>
      <c r="W115" s="39"/>
      <c r="X115" s="39"/>
      <c r="Y115" s="29">
        <f t="shared" si="33"/>
        <v>105.27777777777779</v>
      </c>
      <c r="Z115" s="30">
        <f t="shared" si="34"/>
        <v>104</v>
      </c>
      <c r="AA115" s="2"/>
      <c r="AD115" s="32">
        <f t="shared" si="29"/>
        <v>0</v>
      </c>
    </row>
    <row r="116" spans="1:30" s="40" customFormat="1" ht="51" customHeight="1">
      <c r="A116" s="33">
        <v>2919007479</v>
      </c>
      <c r="B116" s="35" t="s">
        <v>155</v>
      </c>
      <c r="C116" s="35" t="s">
        <v>142</v>
      </c>
      <c r="D116" s="33" t="s">
        <v>156</v>
      </c>
      <c r="E116" s="33"/>
      <c r="F116" s="25" t="s">
        <v>428</v>
      </c>
      <c r="G116" s="36"/>
      <c r="H116" s="37">
        <v>6764</v>
      </c>
      <c r="I116" s="37">
        <v>6764</v>
      </c>
      <c r="J116" s="37">
        <v>6764</v>
      </c>
      <c r="K116" s="37">
        <v>6764</v>
      </c>
      <c r="L116" s="26">
        <f t="shared" si="26"/>
        <v>27056</v>
      </c>
      <c r="M116" s="38">
        <v>67.290000000000006</v>
      </c>
      <c r="N116" s="38">
        <v>74.3</v>
      </c>
      <c r="O116" s="38">
        <v>65</v>
      </c>
      <c r="P116" s="27">
        <v>67.599999999999994</v>
      </c>
      <c r="Q116" s="28">
        <f t="shared" si="23"/>
        <v>15489.560000000043</v>
      </c>
      <c r="R116" s="28">
        <f t="shared" si="24"/>
        <v>15489.560000000043</v>
      </c>
      <c r="S116" s="28">
        <f t="shared" si="36"/>
        <v>45318.800000000017</v>
      </c>
      <c r="T116" s="28">
        <f t="shared" si="25"/>
        <v>45318.800000000017</v>
      </c>
      <c r="U116" s="28">
        <f t="shared" si="27"/>
        <v>121616.72000000012</v>
      </c>
      <c r="V116" s="39"/>
      <c r="W116" s="39"/>
      <c r="X116" s="39"/>
      <c r="Y116" s="29">
        <f t="shared" si="33"/>
        <v>110.41759548224104</v>
      </c>
      <c r="Z116" s="30">
        <f t="shared" si="34"/>
        <v>103.99999999999999</v>
      </c>
      <c r="AA116" s="2"/>
      <c r="AD116" s="32">
        <f t="shared" si="29"/>
        <v>0</v>
      </c>
    </row>
    <row r="117" spans="1:30" s="40" customFormat="1" ht="51" customHeight="1">
      <c r="A117" s="33">
        <v>2919000794</v>
      </c>
      <c r="B117" s="34" t="s">
        <v>152</v>
      </c>
      <c r="C117" s="35" t="s">
        <v>142</v>
      </c>
      <c r="D117" s="33" t="s">
        <v>150</v>
      </c>
      <c r="E117" s="33"/>
      <c r="F117" s="25" t="s">
        <v>428</v>
      </c>
      <c r="G117" s="36" t="s">
        <v>415</v>
      </c>
      <c r="H117" s="37">
        <v>765.9</v>
      </c>
      <c r="I117" s="37">
        <v>688.5</v>
      </c>
      <c r="J117" s="37">
        <v>722</v>
      </c>
      <c r="K117" s="37">
        <v>627.79999999999995</v>
      </c>
      <c r="L117" s="37">
        <f t="shared" si="26"/>
        <v>2804.2</v>
      </c>
      <c r="M117" s="38">
        <v>434.14</v>
      </c>
      <c r="N117" s="38">
        <v>512.29</v>
      </c>
      <c r="O117" s="38">
        <v>107.27</v>
      </c>
      <c r="P117" s="27">
        <v>111.56</v>
      </c>
      <c r="Q117" s="28">
        <f t="shared" si="23"/>
        <v>250349.73300000001</v>
      </c>
      <c r="R117" s="28">
        <f t="shared" si="24"/>
        <v>225049.995</v>
      </c>
      <c r="S117" s="28">
        <f t="shared" si="36"/>
        <v>289327.06</v>
      </c>
      <c r="T117" s="28">
        <f t="shared" si="25"/>
        <v>251578.29399999997</v>
      </c>
      <c r="U117" s="28">
        <f t="shared" si="27"/>
        <v>1016305.0819999999</v>
      </c>
      <c r="V117" s="39"/>
      <c r="W117" s="39"/>
      <c r="X117" s="39"/>
      <c r="Y117" s="29">
        <f t="shared" si="33"/>
        <v>118.00110563412724</v>
      </c>
      <c r="Z117" s="30">
        <f t="shared" si="34"/>
        <v>103.99925421832759</v>
      </c>
      <c r="AA117" s="2"/>
      <c r="AD117" s="32">
        <f>104-Z117</f>
        <v>7.4578167240701987E-4</v>
      </c>
    </row>
    <row r="118" spans="1:30" s="40" customFormat="1" ht="51" customHeight="1">
      <c r="A118" s="33" t="s">
        <v>144</v>
      </c>
      <c r="B118" s="34" t="s">
        <v>145</v>
      </c>
      <c r="C118" s="35" t="s">
        <v>142</v>
      </c>
      <c r="D118" s="33" t="s">
        <v>146</v>
      </c>
      <c r="E118" s="33"/>
      <c r="F118" s="25" t="s">
        <v>428</v>
      </c>
      <c r="G118" s="36"/>
      <c r="H118" s="37">
        <v>9807</v>
      </c>
      <c r="I118" s="37">
        <v>9807</v>
      </c>
      <c r="J118" s="37">
        <v>11386.948</v>
      </c>
      <c r="K118" s="37">
        <v>9074.732</v>
      </c>
      <c r="L118" s="26">
        <f t="shared" si="26"/>
        <v>40075.68</v>
      </c>
      <c r="M118" s="38">
        <v>68.48</v>
      </c>
      <c r="N118" s="38">
        <v>80.81</v>
      </c>
      <c r="O118" s="38">
        <v>68.48</v>
      </c>
      <c r="P118" s="27">
        <v>71.22</v>
      </c>
      <c r="Q118" s="28">
        <f t="shared" si="23"/>
        <v>0</v>
      </c>
      <c r="R118" s="28">
        <f t="shared" si="24"/>
        <v>0</v>
      </c>
      <c r="S118" s="28">
        <f t="shared" si="36"/>
        <v>109200.83132000004</v>
      </c>
      <c r="T118" s="28">
        <f t="shared" si="25"/>
        <v>87026.679880000025</v>
      </c>
      <c r="U118" s="28">
        <f t="shared" si="27"/>
        <v>196227.51120000007</v>
      </c>
      <c r="V118" s="39"/>
      <c r="W118" s="39"/>
      <c r="X118" s="39"/>
      <c r="Y118" s="29">
        <f t="shared" si="33"/>
        <v>118.00525700934578</v>
      </c>
      <c r="Z118" s="30">
        <f t="shared" si="34"/>
        <v>104.00116822429905</v>
      </c>
      <c r="AA118" s="2"/>
      <c r="AD118" s="32">
        <f>104-Z118</f>
        <v>-1.16822429905028E-3</v>
      </c>
    </row>
    <row r="119" spans="1:30" s="40" customFormat="1" ht="15" customHeight="1">
      <c r="A119" s="33"/>
      <c r="B119" s="34"/>
      <c r="C119" s="35"/>
      <c r="D119" s="33"/>
      <c r="E119" s="33"/>
      <c r="F119" s="25"/>
      <c r="G119" s="36"/>
      <c r="H119" s="41"/>
      <c r="I119" s="41"/>
      <c r="J119" s="41"/>
      <c r="K119" s="41"/>
      <c r="L119" s="37"/>
      <c r="M119" s="41"/>
      <c r="N119" s="41"/>
      <c r="O119" s="41"/>
      <c r="P119" s="41"/>
      <c r="Q119" s="28"/>
      <c r="R119" s="28"/>
      <c r="S119" s="28"/>
      <c r="T119" s="28"/>
      <c r="U119" s="28"/>
      <c r="V119" s="39"/>
      <c r="W119" s="39"/>
      <c r="X119" s="39"/>
      <c r="Y119" s="29" t="e">
        <f t="shared" si="33"/>
        <v>#DIV/0!</v>
      </c>
      <c r="Z119" s="30" t="e">
        <f t="shared" si="34"/>
        <v>#DIV/0!</v>
      </c>
      <c r="AA119" s="2"/>
      <c r="AD119" s="32" t="e">
        <f t="shared" si="29"/>
        <v>#DIV/0!</v>
      </c>
    </row>
    <row r="120" spans="1:30" s="40" customFormat="1" ht="51.75" customHeight="1">
      <c r="A120" s="33">
        <v>2920011448</v>
      </c>
      <c r="B120" s="34" t="s">
        <v>164</v>
      </c>
      <c r="C120" s="35" t="s">
        <v>343</v>
      </c>
      <c r="D120" s="33" t="s">
        <v>436</v>
      </c>
      <c r="E120" s="33"/>
      <c r="F120" s="25" t="s">
        <v>428</v>
      </c>
      <c r="G120" s="36"/>
      <c r="H120" s="37">
        <v>5140.393</v>
      </c>
      <c r="I120" s="37">
        <v>5089.1109999999999</v>
      </c>
      <c r="J120" s="37">
        <v>5056.5739999999996</v>
      </c>
      <c r="K120" s="37">
        <v>5045.4930000000004</v>
      </c>
      <c r="L120" s="26">
        <f t="shared" si="26"/>
        <v>20331.571000000004</v>
      </c>
      <c r="M120" s="38">
        <v>126.61</v>
      </c>
      <c r="N120" s="27">
        <v>144.19999999999999</v>
      </c>
      <c r="O120" s="38">
        <v>86.5</v>
      </c>
      <c r="P120" s="27">
        <v>89.96</v>
      </c>
      <c r="Q120" s="28">
        <f t="shared" si="23"/>
        <v>206181.16323000001</v>
      </c>
      <c r="R120" s="28">
        <f t="shared" si="24"/>
        <v>204124.24221</v>
      </c>
      <c r="S120" s="28">
        <f t="shared" ref="S120:S130" si="37">(N120-P120)*J120</f>
        <v>274268.57375999994</v>
      </c>
      <c r="T120" s="28">
        <f t="shared" si="25"/>
        <v>273667.54031999997</v>
      </c>
      <c r="U120" s="28">
        <f t="shared" si="27"/>
        <v>958241.51951999986</v>
      </c>
      <c r="V120" s="39"/>
      <c r="W120" s="39"/>
      <c r="X120" s="39"/>
      <c r="Y120" s="29">
        <f t="shared" si="33"/>
        <v>113.89305742042492</v>
      </c>
      <c r="Z120" s="30">
        <f t="shared" si="34"/>
        <v>104</v>
      </c>
      <c r="AA120" s="2"/>
      <c r="AD120" s="32">
        <f t="shared" si="29"/>
        <v>0</v>
      </c>
    </row>
    <row r="121" spans="1:30" s="40" customFormat="1" ht="51.75" customHeight="1">
      <c r="A121" s="33">
        <v>2920011448</v>
      </c>
      <c r="B121" s="34" t="s">
        <v>164</v>
      </c>
      <c r="C121" s="35" t="s">
        <v>343</v>
      </c>
      <c r="D121" s="33" t="s">
        <v>437</v>
      </c>
      <c r="E121" s="33"/>
      <c r="F121" s="25" t="s">
        <v>428</v>
      </c>
      <c r="G121" s="36"/>
      <c r="H121" s="37">
        <v>567.74</v>
      </c>
      <c r="I121" s="37">
        <v>427.01</v>
      </c>
      <c r="J121" s="37">
        <v>559.73</v>
      </c>
      <c r="K121" s="37">
        <v>442.76300000000003</v>
      </c>
      <c r="L121" s="26">
        <f t="shared" si="26"/>
        <v>1997.2429999999999</v>
      </c>
      <c r="M121" s="38">
        <v>240.04</v>
      </c>
      <c r="N121" s="27">
        <v>241.77</v>
      </c>
      <c r="O121" s="38">
        <v>78.5</v>
      </c>
      <c r="P121" s="27">
        <v>81.64</v>
      </c>
      <c r="Q121" s="28">
        <f t="shared" si="23"/>
        <v>91712.719599999997</v>
      </c>
      <c r="R121" s="28">
        <f t="shared" si="24"/>
        <v>68979.195399999997</v>
      </c>
      <c r="S121" s="28">
        <f t="shared" si="37"/>
        <v>89629.564899999998</v>
      </c>
      <c r="T121" s="28">
        <f t="shared" si="25"/>
        <v>70899.639190000002</v>
      </c>
      <c r="U121" s="28">
        <f t="shared" si="27"/>
        <v>321221.11908999999</v>
      </c>
      <c r="V121" s="39"/>
      <c r="W121" s="39"/>
      <c r="X121" s="39"/>
      <c r="Y121" s="29">
        <f t="shared" si="33"/>
        <v>100.72071321446425</v>
      </c>
      <c r="Z121" s="30">
        <f t="shared" si="34"/>
        <v>104</v>
      </c>
      <c r="AA121" s="2"/>
      <c r="AD121" s="32">
        <f t="shared" si="29"/>
        <v>0</v>
      </c>
    </row>
    <row r="122" spans="1:30" s="40" customFormat="1" ht="51.75" customHeight="1">
      <c r="A122" s="33">
        <v>2920016774</v>
      </c>
      <c r="B122" s="34" t="s">
        <v>167</v>
      </c>
      <c r="C122" s="35" t="s">
        <v>343</v>
      </c>
      <c r="D122" s="33" t="s">
        <v>344</v>
      </c>
      <c r="E122" s="33"/>
      <c r="F122" s="25" t="s">
        <v>428</v>
      </c>
      <c r="G122" s="36"/>
      <c r="H122" s="37">
        <v>65979.013999999996</v>
      </c>
      <c r="I122" s="37">
        <v>59227.919000000002</v>
      </c>
      <c r="J122" s="37">
        <v>53821.607000000004</v>
      </c>
      <c r="K122" s="37">
        <v>60989.759999999995</v>
      </c>
      <c r="L122" s="26">
        <f t="shared" si="26"/>
        <v>240018.3</v>
      </c>
      <c r="M122" s="38">
        <v>39.729999999999997</v>
      </c>
      <c r="N122" s="27">
        <v>47.21</v>
      </c>
      <c r="O122" s="38">
        <v>34</v>
      </c>
      <c r="P122" s="27">
        <v>35.36</v>
      </c>
      <c r="Q122" s="28">
        <f t="shared" si="23"/>
        <v>378059.75021999975</v>
      </c>
      <c r="R122" s="28">
        <f t="shared" si="24"/>
        <v>339375.97586999985</v>
      </c>
      <c r="S122" s="28">
        <f t="shared" si="37"/>
        <v>637786.04295000015</v>
      </c>
      <c r="T122" s="28">
        <f t="shared" si="25"/>
        <v>722728.65600000008</v>
      </c>
      <c r="U122" s="28">
        <f t="shared" si="27"/>
        <v>2077950.4250399997</v>
      </c>
      <c r="V122" s="39"/>
      <c r="W122" s="39"/>
      <c r="X122" s="39"/>
      <c r="Y122" s="29">
        <f t="shared" si="33"/>
        <v>118.82708280896051</v>
      </c>
      <c r="Z122" s="30">
        <f t="shared" si="34"/>
        <v>104</v>
      </c>
      <c r="AA122" s="2"/>
      <c r="AD122" s="32">
        <f t="shared" si="29"/>
        <v>0</v>
      </c>
    </row>
    <row r="123" spans="1:30" s="40" customFormat="1" ht="51.75" customHeight="1">
      <c r="A123" s="33">
        <v>2920016125</v>
      </c>
      <c r="B123" s="34" t="s">
        <v>161</v>
      </c>
      <c r="C123" s="35" t="s">
        <v>343</v>
      </c>
      <c r="D123" s="33" t="s">
        <v>345</v>
      </c>
      <c r="E123" s="33"/>
      <c r="F123" s="25" t="s">
        <v>428</v>
      </c>
      <c r="G123" s="36"/>
      <c r="H123" s="37">
        <v>1260</v>
      </c>
      <c r="I123" s="37">
        <v>1260</v>
      </c>
      <c r="J123" s="37">
        <v>1260</v>
      </c>
      <c r="K123" s="37">
        <v>1260</v>
      </c>
      <c r="L123" s="26">
        <f t="shared" si="26"/>
        <v>5040</v>
      </c>
      <c r="M123" s="38">
        <v>201.66</v>
      </c>
      <c r="N123" s="27">
        <v>227.09</v>
      </c>
      <c r="O123" s="38">
        <v>97</v>
      </c>
      <c r="P123" s="27">
        <v>100.88</v>
      </c>
      <c r="Q123" s="28">
        <f t="shared" si="23"/>
        <v>131871.6</v>
      </c>
      <c r="R123" s="28">
        <f t="shared" si="24"/>
        <v>131871.6</v>
      </c>
      <c r="S123" s="28">
        <f t="shared" si="37"/>
        <v>159024.6</v>
      </c>
      <c r="T123" s="28">
        <f t="shared" si="25"/>
        <v>159024.6</v>
      </c>
      <c r="U123" s="28">
        <f t="shared" si="27"/>
        <v>581792.4</v>
      </c>
      <c r="V123" s="39"/>
      <c r="W123" s="39"/>
      <c r="X123" s="39"/>
      <c r="Y123" s="29">
        <f t="shared" si="33"/>
        <v>112.61033422592483</v>
      </c>
      <c r="Z123" s="30">
        <f t="shared" si="34"/>
        <v>104</v>
      </c>
      <c r="AA123" s="2"/>
      <c r="AD123" s="32">
        <f t="shared" si="29"/>
        <v>0</v>
      </c>
    </row>
    <row r="124" spans="1:30" s="40" customFormat="1" ht="51.75" customHeight="1">
      <c r="A124" s="33">
        <v>2920015308</v>
      </c>
      <c r="B124" s="34" t="s">
        <v>163</v>
      </c>
      <c r="C124" s="35" t="s">
        <v>343</v>
      </c>
      <c r="D124" s="33" t="s">
        <v>346</v>
      </c>
      <c r="E124" s="33"/>
      <c r="F124" s="25" t="s">
        <v>428</v>
      </c>
      <c r="G124" s="36"/>
      <c r="H124" s="37">
        <v>69503.254000000001</v>
      </c>
      <c r="I124" s="37">
        <v>65422.506999999998</v>
      </c>
      <c r="J124" s="37">
        <v>68792.967999999993</v>
      </c>
      <c r="K124" s="37">
        <v>68808.898000000001</v>
      </c>
      <c r="L124" s="26">
        <f t="shared" si="26"/>
        <v>272527.62699999998</v>
      </c>
      <c r="M124" s="38">
        <v>72.6518485</v>
      </c>
      <c r="N124" s="27">
        <v>85.729181230000023</v>
      </c>
      <c r="O124" s="38">
        <v>49.745601000000008</v>
      </c>
      <c r="P124" s="27">
        <v>51.73542504000001</v>
      </c>
      <c r="Q124" s="28">
        <f t="shared" si="23"/>
        <v>1592058.7381793645</v>
      </c>
      <c r="R124" s="28">
        <f t="shared" si="24"/>
        <v>1498584.1374124819</v>
      </c>
      <c r="S124" s="28">
        <f t="shared" si="37"/>
        <v>2338531.3817784726</v>
      </c>
      <c r="T124" s="28">
        <f t="shared" si="25"/>
        <v>2339072.9023145796</v>
      </c>
      <c r="U124" s="28">
        <f t="shared" si="27"/>
        <v>7768247.1596848983</v>
      </c>
      <c r="V124" s="39"/>
      <c r="W124" s="39"/>
      <c r="X124" s="39"/>
      <c r="Y124" s="29">
        <f t="shared" si="33"/>
        <v>118.00000000000004</v>
      </c>
      <c r="Z124" s="30">
        <f t="shared" si="34"/>
        <v>104</v>
      </c>
      <c r="AA124" s="2"/>
      <c r="AD124" s="32">
        <f t="shared" si="29"/>
        <v>0</v>
      </c>
    </row>
    <row r="125" spans="1:30" s="40" customFormat="1" ht="51.75" customHeight="1">
      <c r="A125" s="33">
        <v>2920016929</v>
      </c>
      <c r="B125" s="34" t="s">
        <v>158</v>
      </c>
      <c r="C125" s="35" t="s">
        <v>343</v>
      </c>
      <c r="D125" s="33" t="s">
        <v>347</v>
      </c>
      <c r="E125" s="33"/>
      <c r="F125" s="25" t="s">
        <v>428</v>
      </c>
      <c r="G125" s="36"/>
      <c r="H125" s="37">
        <v>8290.14</v>
      </c>
      <c r="I125" s="37">
        <v>7183.5830000000005</v>
      </c>
      <c r="J125" s="37">
        <v>7926.9400000000005</v>
      </c>
      <c r="K125" s="37">
        <v>7769.7430000000004</v>
      </c>
      <c r="L125" s="26">
        <f t="shared" si="26"/>
        <v>31170.406000000003</v>
      </c>
      <c r="M125" s="38">
        <v>115.33</v>
      </c>
      <c r="N125" s="38">
        <v>115.33</v>
      </c>
      <c r="O125" s="38">
        <v>34</v>
      </c>
      <c r="P125" s="27">
        <v>35.36</v>
      </c>
      <c r="Q125" s="28">
        <f t="shared" si="23"/>
        <v>674237.0861999999</v>
      </c>
      <c r="R125" s="28">
        <f t="shared" si="24"/>
        <v>584240.80538999999</v>
      </c>
      <c r="S125" s="28">
        <f t="shared" si="37"/>
        <v>633917.39179999998</v>
      </c>
      <c r="T125" s="28">
        <f t="shared" si="25"/>
        <v>621346.34771</v>
      </c>
      <c r="U125" s="28">
        <f t="shared" si="27"/>
        <v>2513741.6310999999</v>
      </c>
      <c r="V125" s="39"/>
      <c r="W125" s="39"/>
      <c r="X125" s="39"/>
      <c r="Y125" s="29">
        <f t="shared" si="33"/>
        <v>100</v>
      </c>
      <c r="Z125" s="30">
        <f t="shared" si="34"/>
        <v>104</v>
      </c>
      <c r="AA125" s="2"/>
      <c r="AD125" s="32">
        <f>104-Z125</f>
        <v>0</v>
      </c>
    </row>
    <row r="126" spans="1:30" s="40" customFormat="1" ht="51.75" customHeight="1">
      <c r="A126" s="33">
        <v>2920016929</v>
      </c>
      <c r="B126" s="34" t="s">
        <v>158</v>
      </c>
      <c r="C126" s="35" t="s">
        <v>343</v>
      </c>
      <c r="D126" s="33" t="s">
        <v>348</v>
      </c>
      <c r="E126" s="33"/>
      <c r="F126" s="25" t="s">
        <v>428</v>
      </c>
      <c r="G126" s="36"/>
      <c r="H126" s="37">
        <v>16693.326000000001</v>
      </c>
      <c r="I126" s="37">
        <v>22685.004000000001</v>
      </c>
      <c r="J126" s="37">
        <v>18912.190999999999</v>
      </c>
      <c r="K126" s="37">
        <v>17541.462</v>
      </c>
      <c r="L126" s="26">
        <f t="shared" si="26"/>
        <v>75831.983000000007</v>
      </c>
      <c r="M126" s="38">
        <v>98.72</v>
      </c>
      <c r="N126" s="27">
        <v>116.49</v>
      </c>
      <c r="O126" s="38">
        <v>38.04</v>
      </c>
      <c r="P126" s="27">
        <v>39.56</v>
      </c>
      <c r="Q126" s="28">
        <f t="shared" si="23"/>
        <v>1012951.02168</v>
      </c>
      <c r="R126" s="28">
        <f t="shared" si="24"/>
        <v>1376526.04272</v>
      </c>
      <c r="S126" s="28">
        <f t="shared" si="37"/>
        <v>1454914.8536299998</v>
      </c>
      <c r="T126" s="28">
        <f t="shared" si="25"/>
        <v>1349464.6716599998</v>
      </c>
      <c r="U126" s="28">
        <f t="shared" si="27"/>
        <v>5193856.5896899998</v>
      </c>
      <c r="V126" s="39"/>
      <c r="W126" s="39"/>
      <c r="X126" s="39"/>
      <c r="Y126" s="29">
        <f t="shared" si="33"/>
        <v>118.00040518638572</v>
      </c>
      <c r="Z126" s="30">
        <f t="shared" si="34"/>
        <v>103.99579390115667</v>
      </c>
      <c r="AA126" s="2"/>
      <c r="AD126" s="32">
        <f t="shared" si="29"/>
        <v>4.2060988433263446E-3</v>
      </c>
    </row>
    <row r="127" spans="1:30" s="40" customFormat="1" ht="51.75" customHeight="1">
      <c r="A127" s="33">
        <v>7708503727</v>
      </c>
      <c r="B127" s="34" t="s">
        <v>61</v>
      </c>
      <c r="C127" s="35" t="s">
        <v>343</v>
      </c>
      <c r="D127" s="33" t="s">
        <v>349</v>
      </c>
      <c r="E127" s="33"/>
      <c r="F127" s="25" t="s">
        <v>428</v>
      </c>
      <c r="G127" s="36"/>
      <c r="H127" s="37">
        <f>2581.525-15.084</f>
        <v>2566.4410000000003</v>
      </c>
      <c r="I127" s="37">
        <v>2520.5920000000001</v>
      </c>
      <c r="J127" s="37">
        <v>2236.6819999999998</v>
      </c>
      <c r="K127" s="37">
        <v>2924.0709999999999</v>
      </c>
      <c r="L127" s="26">
        <f t="shared" si="26"/>
        <v>10247.786</v>
      </c>
      <c r="M127" s="38">
        <v>47.291311700000001</v>
      </c>
      <c r="N127" s="27">
        <v>54.992384506</v>
      </c>
      <c r="O127" s="38">
        <v>31.7</v>
      </c>
      <c r="P127" s="27">
        <v>32.968000000000004</v>
      </c>
      <c r="Q127" s="28">
        <f t="shared" si="23"/>
        <v>40014.181590659711</v>
      </c>
      <c r="R127" s="28">
        <f t="shared" si="24"/>
        <v>39299.335540526408</v>
      </c>
      <c r="S127" s="28">
        <f t="shared" si="37"/>
        <v>49261.544385649082</v>
      </c>
      <c r="T127" s="28">
        <f t="shared" si="25"/>
        <v>64400.864026843912</v>
      </c>
      <c r="U127" s="28">
        <f t="shared" si="27"/>
        <v>192975.92554367913</v>
      </c>
      <c r="V127" s="39"/>
      <c r="W127" s="39"/>
      <c r="X127" s="39"/>
      <c r="Y127" s="29">
        <f t="shared" si="33"/>
        <v>116.28432904304491</v>
      </c>
      <c r="Z127" s="30">
        <f t="shared" si="34"/>
        <v>104</v>
      </c>
      <c r="AA127" s="2"/>
      <c r="AD127" s="32">
        <f t="shared" si="29"/>
        <v>0</v>
      </c>
    </row>
    <row r="128" spans="1:30" s="40" customFormat="1" ht="51.75" customHeight="1">
      <c r="A128" s="33">
        <v>2920011448</v>
      </c>
      <c r="B128" s="34" t="s">
        <v>164</v>
      </c>
      <c r="C128" s="35" t="s">
        <v>343</v>
      </c>
      <c r="D128" s="33" t="s">
        <v>438</v>
      </c>
      <c r="E128" s="33"/>
      <c r="F128" s="25" t="s">
        <v>428</v>
      </c>
      <c r="G128" s="36" t="s">
        <v>411</v>
      </c>
      <c r="H128" s="37">
        <v>60</v>
      </c>
      <c r="I128" s="37">
        <v>60</v>
      </c>
      <c r="J128" s="37">
        <v>60</v>
      </c>
      <c r="K128" s="37">
        <v>60</v>
      </c>
      <c r="L128" s="26">
        <f t="shared" si="26"/>
        <v>240</v>
      </c>
      <c r="M128" s="38">
        <v>205.91</v>
      </c>
      <c r="N128" s="27">
        <v>235.79</v>
      </c>
      <c r="O128" s="38">
        <v>78.5</v>
      </c>
      <c r="P128" s="27">
        <v>81.64</v>
      </c>
      <c r="Q128" s="28">
        <f t="shared" si="23"/>
        <v>7644.5999999999995</v>
      </c>
      <c r="R128" s="28">
        <f t="shared" si="24"/>
        <v>7644.5999999999995</v>
      </c>
      <c r="S128" s="28">
        <f t="shared" si="37"/>
        <v>9248.9999999999982</v>
      </c>
      <c r="T128" s="28">
        <f t="shared" si="25"/>
        <v>9248.9999999999982</v>
      </c>
      <c r="U128" s="28">
        <f t="shared" si="27"/>
        <v>33787.199999999997</v>
      </c>
      <c r="V128" s="39"/>
      <c r="W128" s="39"/>
      <c r="X128" s="39"/>
      <c r="Y128" s="29">
        <f t="shared" si="33"/>
        <v>114.51119421106308</v>
      </c>
      <c r="Z128" s="30">
        <f t="shared" si="34"/>
        <v>104</v>
      </c>
      <c r="AA128" s="2"/>
      <c r="AD128" s="32">
        <f t="shared" si="29"/>
        <v>0</v>
      </c>
    </row>
    <row r="129" spans="1:30" s="96" customFormat="1" ht="51.75" customHeight="1">
      <c r="A129" s="33">
        <v>2924005075</v>
      </c>
      <c r="B129" s="34" t="s">
        <v>262</v>
      </c>
      <c r="C129" s="35" t="s">
        <v>441</v>
      </c>
      <c r="D129" s="33" t="s">
        <v>443</v>
      </c>
      <c r="E129" s="33"/>
      <c r="F129" s="25" t="s">
        <v>428</v>
      </c>
      <c r="G129" s="36"/>
      <c r="H129" s="37">
        <f>82385.2314814815/4/1000</f>
        <v>20.596307870370374</v>
      </c>
      <c r="I129" s="37">
        <f>H129</f>
        <v>20.596307870370374</v>
      </c>
      <c r="J129" s="37">
        <f>H129</f>
        <v>20.596307870370374</v>
      </c>
      <c r="K129" s="37">
        <f>H129</f>
        <v>20.596307870370374</v>
      </c>
      <c r="L129" s="26">
        <f t="shared" si="26"/>
        <v>82.385231481481497</v>
      </c>
      <c r="M129" s="38">
        <v>18.036819770000001</v>
      </c>
      <c r="N129" s="27">
        <v>21.283447328600005</v>
      </c>
      <c r="O129" s="38">
        <v>18.036819770000001</v>
      </c>
      <c r="P129" s="27">
        <f>O129*1.04</f>
        <v>18.758292560800001</v>
      </c>
      <c r="Q129" s="28">
        <f t="shared" si="23"/>
        <v>0</v>
      </c>
      <c r="R129" s="28">
        <f t="shared" si="24"/>
        <v>0</v>
      </c>
      <c r="S129" s="28">
        <f t="shared" si="37"/>
        <v>52.00886501794249</v>
      </c>
      <c r="T129" s="28">
        <f t="shared" si="25"/>
        <v>52.00886501794249</v>
      </c>
      <c r="U129" s="28">
        <f t="shared" si="27"/>
        <v>104.01773003588498</v>
      </c>
      <c r="V129" s="39"/>
      <c r="W129" s="39"/>
      <c r="X129" s="39"/>
      <c r="Y129" s="29"/>
      <c r="Z129" s="30"/>
      <c r="AA129" s="2"/>
      <c r="AD129" s="32"/>
    </row>
    <row r="130" spans="1:30" s="40" customFormat="1" ht="51.75" customHeight="1">
      <c r="A130" s="33">
        <v>2920017016</v>
      </c>
      <c r="B130" s="34" t="s">
        <v>444</v>
      </c>
      <c r="C130" s="35" t="s">
        <v>343</v>
      </c>
      <c r="D130" s="33" t="s">
        <v>439</v>
      </c>
      <c r="E130" s="33"/>
      <c r="F130" s="25" t="s">
        <v>428</v>
      </c>
      <c r="G130" s="36" t="s">
        <v>398</v>
      </c>
      <c r="H130" s="37">
        <f>166209/4</f>
        <v>41552.25</v>
      </c>
      <c r="I130" s="37">
        <f t="shared" ref="I130:K130" si="38">166209/4</f>
        <v>41552.25</v>
      </c>
      <c r="J130" s="37">
        <f t="shared" si="38"/>
        <v>41552.25</v>
      </c>
      <c r="K130" s="37">
        <f t="shared" si="38"/>
        <v>41552.25</v>
      </c>
      <c r="L130" s="26">
        <f t="shared" si="26"/>
        <v>166209</v>
      </c>
      <c r="M130" s="38">
        <v>32.6</v>
      </c>
      <c r="N130" s="27">
        <v>38.468000000000011</v>
      </c>
      <c r="O130" s="38">
        <v>32.6</v>
      </c>
      <c r="P130" s="27">
        <v>33.9</v>
      </c>
      <c r="Q130" s="28">
        <f t="shared" si="23"/>
        <v>0</v>
      </c>
      <c r="R130" s="28">
        <f t="shared" si="24"/>
        <v>0</v>
      </c>
      <c r="S130" s="28">
        <f t="shared" si="37"/>
        <v>189810.67800000051</v>
      </c>
      <c r="T130" s="28">
        <f t="shared" si="25"/>
        <v>189810.67800000051</v>
      </c>
      <c r="U130" s="28">
        <f t="shared" si="27"/>
        <v>379621.35600000102</v>
      </c>
      <c r="V130" s="39"/>
      <c r="W130" s="39"/>
      <c r="X130" s="39"/>
      <c r="Y130" s="29">
        <f t="shared" ref="Y130:Y161" si="39">N130/M130*100</f>
        <v>118.00000000000004</v>
      </c>
      <c r="Z130" s="30">
        <f t="shared" ref="Z130:Z161" si="40">P130/O130*100</f>
        <v>103.98773006134969</v>
      </c>
      <c r="AA130" s="2"/>
      <c r="AD130" s="32">
        <f>104-Z130</f>
        <v>1.2269938650305789E-2</v>
      </c>
    </row>
    <row r="131" spans="1:30" s="40" customFormat="1" ht="15" customHeight="1">
      <c r="A131" s="33"/>
      <c r="B131" s="34"/>
      <c r="C131" s="35"/>
      <c r="D131" s="33"/>
      <c r="E131" s="33"/>
      <c r="F131" s="25"/>
      <c r="G131" s="36"/>
      <c r="H131" s="41"/>
      <c r="I131" s="41"/>
      <c r="J131" s="41"/>
      <c r="K131" s="41"/>
      <c r="L131" s="37"/>
      <c r="M131" s="41"/>
      <c r="N131" s="41"/>
      <c r="O131" s="41"/>
      <c r="P131" s="41"/>
      <c r="Q131" s="28"/>
      <c r="R131" s="28"/>
      <c r="S131" s="28"/>
      <c r="T131" s="28"/>
      <c r="U131" s="28"/>
      <c r="V131" s="39"/>
      <c r="W131" s="39"/>
      <c r="X131" s="39"/>
      <c r="Y131" s="29" t="e">
        <f t="shared" si="39"/>
        <v>#DIV/0!</v>
      </c>
      <c r="Z131" s="30" t="e">
        <f t="shared" si="40"/>
        <v>#DIV/0!</v>
      </c>
      <c r="AA131" s="2"/>
      <c r="AD131" s="32" t="e">
        <f t="shared" si="29"/>
        <v>#DIV/0!</v>
      </c>
    </row>
    <row r="132" spans="1:30" s="40" customFormat="1" ht="96" customHeight="1">
      <c r="A132" s="33">
        <v>2921127389</v>
      </c>
      <c r="B132" s="34" t="s">
        <v>195</v>
      </c>
      <c r="C132" s="35" t="s">
        <v>170</v>
      </c>
      <c r="D132" s="33" t="s">
        <v>351</v>
      </c>
      <c r="E132" s="33" t="s">
        <v>352</v>
      </c>
      <c r="F132" s="25" t="s">
        <v>428</v>
      </c>
      <c r="G132" s="36"/>
      <c r="H132" s="37">
        <v>13140.509999999998</v>
      </c>
      <c r="I132" s="37">
        <v>12835.63</v>
      </c>
      <c r="J132" s="37">
        <v>9723.84</v>
      </c>
      <c r="K132" s="37">
        <v>9077.11</v>
      </c>
      <c r="L132" s="26">
        <f t="shared" si="26"/>
        <v>44777.09</v>
      </c>
      <c r="M132" s="38">
        <v>99.23</v>
      </c>
      <c r="N132" s="27">
        <v>161.51</v>
      </c>
      <c r="O132" s="38">
        <v>25.15</v>
      </c>
      <c r="P132" s="27">
        <v>26.16</v>
      </c>
      <c r="Q132" s="28">
        <f t="shared" si="23"/>
        <v>973448.98080000002</v>
      </c>
      <c r="R132" s="28">
        <f t="shared" si="24"/>
        <v>950863.47040000011</v>
      </c>
      <c r="S132" s="28">
        <f t="shared" ref="S132:S151" si="41">(N132-P132)*J132</f>
        <v>1316121.7439999999</v>
      </c>
      <c r="T132" s="28">
        <f t="shared" si="25"/>
        <v>1228586.8385000001</v>
      </c>
      <c r="U132" s="28">
        <f t="shared" si="27"/>
        <v>4469021.0337000005</v>
      </c>
      <c r="V132" s="39"/>
      <c r="W132" s="39"/>
      <c r="X132" s="39"/>
      <c r="Y132" s="29">
        <f t="shared" si="39"/>
        <v>162.76327723470723</v>
      </c>
      <c r="Z132" s="30">
        <f t="shared" si="40"/>
        <v>104.01590457256462</v>
      </c>
      <c r="AA132" s="2"/>
      <c r="AD132" s="32">
        <f t="shared" si="29"/>
        <v>-1.5904572564622299E-2</v>
      </c>
    </row>
    <row r="133" spans="1:30" s="40" customFormat="1" ht="51" customHeight="1">
      <c r="A133" s="33">
        <v>2901165080</v>
      </c>
      <c r="B133" s="34" t="s">
        <v>433</v>
      </c>
      <c r="C133" s="35" t="s">
        <v>170</v>
      </c>
      <c r="D133" s="33" t="s">
        <v>353</v>
      </c>
      <c r="E133" s="33" t="s">
        <v>354</v>
      </c>
      <c r="F133" s="25" t="s">
        <v>428</v>
      </c>
      <c r="G133" s="36"/>
      <c r="H133" s="37">
        <v>3769.56</v>
      </c>
      <c r="I133" s="37">
        <f>3596.76+246.58</f>
        <v>3843.34</v>
      </c>
      <c r="J133" s="37">
        <v>3640.47</v>
      </c>
      <c r="K133" s="37">
        <v>3789.71</v>
      </c>
      <c r="L133" s="26">
        <f t="shared" si="26"/>
        <v>15043.079999999998</v>
      </c>
      <c r="M133" s="38">
        <v>168.34</v>
      </c>
      <c r="N133" s="27">
        <v>189.91</v>
      </c>
      <c r="O133" s="38">
        <v>34.17</v>
      </c>
      <c r="P133" s="27">
        <v>35.54</v>
      </c>
      <c r="Q133" s="28">
        <f t="shared" si="23"/>
        <v>505761.86520000006</v>
      </c>
      <c r="R133" s="28">
        <f t="shared" si="24"/>
        <v>515660.92780000006</v>
      </c>
      <c r="S133" s="28">
        <f t="shared" si="41"/>
        <v>561979.35389999999</v>
      </c>
      <c r="T133" s="28">
        <f t="shared" si="25"/>
        <v>585017.53269999998</v>
      </c>
      <c r="U133" s="28">
        <f t="shared" si="27"/>
        <v>2168419.6795999999</v>
      </c>
      <c r="V133" s="39"/>
      <c r="W133" s="39"/>
      <c r="X133" s="39"/>
      <c r="Y133" s="29">
        <f t="shared" si="39"/>
        <v>112.81335392657716</v>
      </c>
      <c r="Z133" s="30">
        <f t="shared" si="40"/>
        <v>104.00936494000585</v>
      </c>
      <c r="AA133" s="2"/>
      <c r="AD133" s="32">
        <f t="shared" si="29"/>
        <v>-9.3649400058524179E-3</v>
      </c>
    </row>
    <row r="134" spans="1:30" s="40" customFormat="1" ht="51" customHeight="1">
      <c r="A134" s="33">
        <v>2921128103</v>
      </c>
      <c r="B134" s="34" t="s">
        <v>183</v>
      </c>
      <c r="C134" s="35" t="s">
        <v>170</v>
      </c>
      <c r="D134" s="33" t="s">
        <v>285</v>
      </c>
      <c r="E134" s="33" t="s">
        <v>355</v>
      </c>
      <c r="F134" s="25" t="s">
        <v>428</v>
      </c>
      <c r="G134" s="36"/>
      <c r="H134" s="37">
        <v>7583.8</v>
      </c>
      <c r="I134" s="37">
        <v>7604.8670000000002</v>
      </c>
      <c r="J134" s="37">
        <v>6918.6569999999992</v>
      </c>
      <c r="K134" s="37">
        <v>7862.9030000000002</v>
      </c>
      <c r="L134" s="26">
        <f t="shared" si="26"/>
        <v>29970.226999999999</v>
      </c>
      <c r="M134" s="38">
        <v>126.09</v>
      </c>
      <c r="N134" s="27">
        <v>139.01</v>
      </c>
      <c r="O134" s="38">
        <v>41.28</v>
      </c>
      <c r="P134" s="27">
        <v>42.93</v>
      </c>
      <c r="Q134" s="28">
        <f t="shared" si="23"/>
        <v>643182.07799999998</v>
      </c>
      <c r="R134" s="28">
        <f t="shared" si="24"/>
        <v>644968.77026999998</v>
      </c>
      <c r="S134" s="28">
        <f t="shared" si="41"/>
        <v>664744.56455999985</v>
      </c>
      <c r="T134" s="28">
        <f t="shared" si="25"/>
        <v>755467.72023999994</v>
      </c>
      <c r="U134" s="28">
        <f t="shared" si="27"/>
        <v>2708363.1330699995</v>
      </c>
      <c r="V134" s="39"/>
      <c r="W134" s="39"/>
      <c r="X134" s="39"/>
      <c r="Y134" s="29">
        <f t="shared" si="39"/>
        <v>110.24664921881195</v>
      </c>
      <c r="Z134" s="30">
        <f t="shared" si="40"/>
        <v>103.99709302325581</v>
      </c>
      <c r="AA134" s="2"/>
      <c r="AD134" s="32">
        <f t="shared" si="29"/>
        <v>2.9069767441853855E-3</v>
      </c>
    </row>
    <row r="135" spans="1:30" s="40" customFormat="1" ht="51" customHeight="1">
      <c r="A135" s="33">
        <v>2921128103</v>
      </c>
      <c r="B135" s="34" t="s">
        <v>183</v>
      </c>
      <c r="C135" s="35" t="s">
        <v>170</v>
      </c>
      <c r="D135" s="33" t="s">
        <v>285</v>
      </c>
      <c r="E135" s="33" t="s">
        <v>356</v>
      </c>
      <c r="F135" s="25" t="s">
        <v>428</v>
      </c>
      <c r="G135" s="36"/>
      <c r="H135" s="37">
        <v>565.79999999999995</v>
      </c>
      <c r="I135" s="37">
        <v>666.4</v>
      </c>
      <c r="J135" s="37">
        <v>687</v>
      </c>
      <c r="K135" s="37">
        <v>566</v>
      </c>
      <c r="L135" s="26">
        <f t="shared" si="26"/>
        <v>2485.1999999999998</v>
      </c>
      <c r="M135" s="38">
        <v>331.74</v>
      </c>
      <c r="N135" s="27">
        <v>612.23</v>
      </c>
      <c r="O135" s="38">
        <v>41.28</v>
      </c>
      <c r="P135" s="27">
        <v>42.93</v>
      </c>
      <c r="Q135" s="28">
        <f t="shared" si="23"/>
        <v>164342.26800000001</v>
      </c>
      <c r="R135" s="28">
        <f t="shared" si="24"/>
        <v>193562.54400000002</v>
      </c>
      <c r="S135" s="28">
        <f t="shared" si="41"/>
        <v>391109.10000000003</v>
      </c>
      <c r="T135" s="28">
        <f t="shared" si="25"/>
        <v>322223.80000000005</v>
      </c>
      <c r="U135" s="28">
        <f t="shared" si="27"/>
        <v>1071237.7120000001</v>
      </c>
      <c r="V135" s="39"/>
      <c r="W135" s="39"/>
      <c r="X135" s="39"/>
      <c r="Y135" s="29">
        <f t="shared" si="39"/>
        <v>184.55115451859888</v>
      </c>
      <c r="Z135" s="30">
        <f t="shared" si="40"/>
        <v>103.99709302325581</v>
      </c>
      <c r="AA135" s="2"/>
      <c r="AD135" s="32">
        <f t="shared" si="29"/>
        <v>2.9069767441853855E-3</v>
      </c>
    </row>
    <row r="136" spans="1:30" s="40" customFormat="1" ht="51" customHeight="1">
      <c r="A136" s="33">
        <v>2921128103</v>
      </c>
      <c r="B136" s="34" t="s">
        <v>183</v>
      </c>
      <c r="C136" s="35" t="s">
        <v>170</v>
      </c>
      <c r="D136" s="33" t="s">
        <v>285</v>
      </c>
      <c r="E136" s="33" t="s">
        <v>357</v>
      </c>
      <c r="F136" s="25" t="s">
        <v>428</v>
      </c>
      <c r="G136" s="36"/>
      <c r="H136" s="37">
        <v>4891.8980000000001</v>
      </c>
      <c r="I136" s="37">
        <v>5373.3389999999999</v>
      </c>
      <c r="J136" s="37">
        <v>5595.277</v>
      </c>
      <c r="K136" s="37">
        <v>4572.5379999999996</v>
      </c>
      <c r="L136" s="26">
        <f t="shared" si="26"/>
        <v>20433.052</v>
      </c>
      <c r="M136" s="38">
        <v>115.28</v>
      </c>
      <c r="N136" s="27">
        <v>163.13999999999999</v>
      </c>
      <c r="O136" s="38">
        <v>36</v>
      </c>
      <c r="P136" s="27">
        <v>37.44</v>
      </c>
      <c r="Q136" s="28">
        <f t="shared" si="23"/>
        <v>387829.67344000004</v>
      </c>
      <c r="R136" s="28">
        <f t="shared" si="24"/>
        <v>425998.31592000002</v>
      </c>
      <c r="S136" s="28">
        <f t="shared" si="41"/>
        <v>703326.31889999995</v>
      </c>
      <c r="T136" s="28">
        <f t="shared" si="25"/>
        <v>574768.02659999987</v>
      </c>
      <c r="U136" s="28">
        <f t="shared" si="27"/>
        <v>2091922.3348599998</v>
      </c>
      <c r="V136" s="39"/>
      <c r="W136" s="39"/>
      <c r="X136" s="39"/>
      <c r="Y136" s="29">
        <f t="shared" si="39"/>
        <v>141.51630811936153</v>
      </c>
      <c r="Z136" s="30">
        <f t="shared" si="40"/>
        <v>104</v>
      </c>
      <c r="AA136" s="2"/>
      <c r="AD136" s="32">
        <f t="shared" si="29"/>
        <v>0</v>
      </c>
    </row>
    <row r="137" spans="1:30" s="40" customFormat="1" ht="51" customHeight="1">
      <c r="A137" s="33">
        <v>2921128103</v>
      </c>
      <c r="B137" s="34" t="s">
        <v>183</v>
      </c>
      <c r="C137" s="35" t="s">
        <v>170</v>
      </c>
      <c r="D137" s="33" t="s">
        <v>187</v>
      </c>
      <c r="E137" s="33"/>
      <c r="F137" s="25" t="s">
        <v>428</v>
      </c>
      <c r="G137" s="36"/>
      <c r="H137" s="37">
        <v>9995.17</v>
      </c>
      <c r="I137" s="37">
        <v>10826.48</v>
      </c>
      <c r="J137" s="37">
        <v>10965.89</v>
      </c>
      <c r="K137" s="37">
        <v>10476</v>
      </c>
      <c r="L137" s="26">
        <f t="shared" si="26"/>
        <v>42263.54</v>
      </c>
      <c r="M137" s="38">
        <v>74.95</v>
      </c>
      <c r="N137" s="27">
        <v>89.63</v>
      </c>
      <c r="O137" s="38">
        <v>23</v>
      </c>
      <c r="P137" s="27">
        <v>23.92</v>
      </c>
      <c r="Q137" s="28">
        <f t="shared" si="23"/>
        <v>519249.08150000003</v>
      </c>
      <c r="R137" s="28">
        <f t="shared" si="24"/>
        <v>562435.63600000006</v>
      </c>
      <c r="S137" s="28">
        <f t="shared" si="41"/>
        <v>720568.63189999992</v>
      </c>
      <c r="T137" s="28">
        <f t="shared" si="25"/>
        <v>688377.96</v>
      </c>
      <c r="U137" s="28">
        <f t="shared" si="27"/>
        <v>2490631.3093999997</v>
      </c>
      <c r="V137" s="39"/>
      <c r="W137" s="39"/>
      <c r="X137" s="39"/>
      <c r="Y137" s="29">
        <f t="shared" si="39"/>
        <v>119.58639092728485</v>
      </c>
      <c r="Z137" s="30">
        <f t="shared" si="40"/>
        <v>104</v>
      </c>
      <c r="AA137" s="2"/>
      <c r="AD137" s="32">
        <f t="shared" si="29"/>
        <v>0</v>
      </c>
    </row>
    <row r="138" spans="1:30" s="40" customFormat="1" ht="51" customHeight="1">
      <c r="A138" s="33">
        <v>2921127533</v>
      </c>
      <c r="B138" s="34" t="s">
        <v>186</v>
      </c>
      <c r="C138" s="35" t="s">
        <v>170</v>
      </c>
      <c r="D138" s="33" t="s">
        <v>187</v>
      </c>
      <c r="E138" s="33"/>
      <c r="F138" s="25" t="s">
        <v>428</v>
      </c>
      <c r="G138" s="36"/>
      <c r="H138" s="37">
        <f>3406.888+452.434</f>
        <v>3859.3220000000001</v>
      </c>
      <c r="I138" s="37">
        <f>3457.758+452.434</f>
        <v>3910.192</v>
      </c>
      <c r="J138" s="37">
        <v>3271.0010000000002</v>
      </c>
      <c r="K138" s="37">
        <v>3793.761</v>
      </c>
      <c r="L138" s="26">
        <f t="shared" si="26"/>
        <v>14834.276</v>
      </c>
      <c r="M138" s="38">
        <v>378.68</v>
      </c>
      <c r="N138" s="27">
        <v>439.48</v>
      </c>
      <c r="O138" s="38">
        <v>30.4</v>
      </c>
      <c r="P138" s="27">
        <v>31.62</v>
      </c>
      <c r="Q138" s="28">
        <f t="shared" ref="Q138:Q201" si="42">(M138-O138)*H138</f>
        <v>1344124.6661600003</v>
      </c>
      <c r="R138" s="28">
        <f t="shared" ref="R138:R201" si="43">(M138-O138)*I138</f>
        <v>1361841.6697600002</v>
      </c>
      <c r="S138" s="28">
        <f t="shared" si="41"/>
        <v>1334110.4678600002</v>
      </c>
      <c r="T138" s="28">
        <f t="shared" si="25"/>
        <v>1547323.36146</v>
      </c>
      <c r="U138" s="28">
        <f t="shared" si="27"/>
        <v>5587400.1652400009</v>
      </c>
      <c r="V138" s="39"/>
      <c r="W138" s="39"/>
      <c r="X138" s="39"/>
      <c r="Y138" s="29">
        <f t="shared" si="39"/>
        <v>116.05577268406041</v>
      </c>
      <c r="Z138" s="30">
        <f t="shared" si="40"/>
        <v>104.01315789473684</v>
      </c>
      <c r="AA138" s="2"/>
      <c r="AD138" s="32">
        <f t="shared" si="29"/>
        <v>-1.3157894736835374E-2</v>
      </c>
    </row>
    <row r="139" spans="1:30" s="40" customFormat="1" ht="51" customHeight="1">
      <c r="A139" s="33">
        <v>2921127290</v>
      </c>
      <c r="B139" s="34" t="s">
        <v>169</v>
      </c>
      <c r="C139" s="35" t="s">
        <v>170</v>
      </c>
      <c r="D139" s="33" t="s">
        <v>358</v>
      </c>
      <c r="E139" s="33" t="s">
        <v>359</v>
      </c>
      <c r="F139" s="25" t="s">
        <v>428</v>
      </c>
      <c r="G139" s="36"/>
      <c r="H139" s="37">
        <v>873</v>
      </c>
      <c r="I139" s="37">
        <v>842</v>
      </c>
      <c r="J139" s="37">
        <v>842</v>
      </c>
      <c r="K139" s="37">
        <v>869</v>
      </c>
      <c r="L139" s="26">
        <f t="shared" si="26"/>
        <v>3426</v>
      </c>
      <c r="M139" s="38">
        <v>328.86</v>
      </c>
      <c r="N139" s="27">
        <v>440.06525870321082</v>
      </c>
      <c r="O139" s="38">
        <v>27.3</v>
      </c>
      <c r="P139" s="27">
        <v>28.392000000000003</v>
      </c>
      <c r="Q139" s="28">
        <f t="shared" si="42"/>
        <v>263261.88</v>
      </c>
      <c r="R139" s="28">
        <f t="shared" si="43"/>
        <v>253913.52</v>
      </c>
      <c r="S139" s="28">
        <f t="shared" si="41"/>
        <v>346628.88382810348</v>
      </c>
      <c r="T139" s="28">
        <f t="shared" ref="T139:T202" si="44">(N139-P139)*K139</f>
        <v>357744.06181309023</v>
      </c>
      <c r="U139" s="28">
        <f t="shared" si="27"/>
        <v>1221548.3456411937</v>
      </c>
      <c r="V139" s="39"/>
      <c r="W139" s="39"/>
      <c r="X139" s="39"/>
      <c r="Y139" s="29">
        <f t="shared" si="39"/>
        <v>133.81538001070692</v>
      </c>
      <c r="Z139" s="30">
        <f t="shared" si="40"/>
        <v>104</v>
      </c>
      <c r="AA139" s="2"/>
      <c r="AD139" s="32">
        <f t="shared" si="29"/>
        <v>0</v>
      </c>
    </row>
    <row r="140" spans="1:30" s="49" customFormat="1" ht="51" customHeight="1">
      <c r="A140" s="50">
        <v>2921127290</v>
      </c>
      <c r="B140" s="51" t="s">
        <v>169</v>
      </c>
      <c r="C140" s="52" t="s">
        <v>170</v>
      </c>
      <c r="D140" s="50" t="s">
        <v>358</v>
      </c>
      <c r="E140" s="50" t="s">
        <v>360</v>
      </c>
      <c r="F140" s="25" t="s">
        <v>428</v>
      </c>
      <c r="G140" s="46"/>
      <c r="H140" s="37">
        <v>4661</v>
      </c>
      <c r="I140" s="37">
        <v>4585</v>
      </c>
      <c r="J140" s="37">
        <v>4688</v>
      </c>
      <c r="K140" s="37">
        <v>4670</v>
      </c>
      <c r="L140" s="26">
        <f t="shared" si="26"/>
        <v>18604</v>
      </c>
      <c r="M140" s="38">
        <v>154.83000000000001</v>
      </c>
      <c r="N140" s="27">
        <v>216.46116061351103</v>
      </c>
      <c r="O140" s="38">
        <v>36.40748</v>
      </c>
      <c r="P140" s="27">
        <v>37.863779200000003</v>
      </c>
      <c r="Q140" s="28">
        <f t="shared" si="42"/>
        <v>551967.36572000012</v>
      </c>
      <c r="R140" s="28">
        <f t="shared" si="43"/>
        <v>542967.25420000008</v>
      </c>
      <c r="S140" s="28">
        <f t="shared" si="41"/>
        <v>837264.5240665396</v>
      </c>
      <c r="T140" s="28">
        <f t="shared" si="44"/>
        <v>834049.77120109648</v>
      </c>
      <c r="U140" s="28">
        <f t="shared" si="27"/>
        <v>2766248.9151876364</v>
      </c>
      <c r="V140" s="47"/>
      <c r="W140" s="47"/>
      <c r="X140" s="47"/>
      <c r="Y140" s="43">
        <f t="shared" si="39"/>
        <v>139.80569696668024</v>
      </c>
      <c r="Z140" s="44">
        <f t="shared" si="40"/>
        <v>104</v>
      </c>
      <c r="AA140" s="48"/>
      <c r="AD140" s="32">
        <f t="shared" si="29"/>
        <v>0</v>
      </c>
    </row>
    <row r="141" spans="1:30" s="40" customFormat="1" ht="51" customHeight="1">
      <c r="A141" s="33">
        <v>2921127290</v>
      </c>
      <c r="B141" s="34" t="s">
        <v>169</v>
      </c>
      <c r="C141" s="35" t="s">
        <v>170</v>
      </c>
      <c r="D141" s="33" t="s">
        <v>358</v>
      </c>
      <c r="E141" s="33" t="s">
        <v>361</v>
      </c>
      <c r="F141" s="25" t="s">
        <v>428</v>
      </c>
      <c r="G141" s="36"/>
      <c r="H141" s="37">
        <v>3375</v>
      </c>
      <c r="I141" s="37">
        <v>3280</v>
      </c>
      <c r="J141" s="37">
        <v>3390</v>
      </c>
      <c r="K141" s="37">
        <v>3320</v>
      </c>
      <c r="L141" s="26">
        <f t="shared" ref="L141:L202" si="45">H141+I141+J141+K141</f>
        <v>13365</v>
      </c>
      <c r="M141" s="38">
        <v>98.6</v>
      </c>
      <c r="N141" s="27">
        <v>98.6</v>
      </c>
      <c r="O141" s="38">
        <v>27.3</v>
      </c>
      <c r="P141" s="27">
        <v>28.392000000000003</v>
      </c>
      <c r="Q141" s="28">
        <f t="shared" si="42"/>
        <v>240637.5</v>
      </c>
      <c r="R141" s="28">
        <f t="shared" si="43"/>
        <v>233864</v>
      </c>
      <c r="S141" s="28">
        <f t="shared" si="41"/>
        <v>238005.12</v>
      </c>
      <c r="T141" s="28">
        <f t="shared" si="44"/>
        <v>233090.56</v>
      </c>
      <c r="U141" s="28">
        <f t="shared" ref="U141:U203" si="46">Q141+R141+S141+T141</f>
        <v>945597.17999999993</v>
      </c>
      <c r="V141" s="39"/>
      <c r="W141" s="39"/>
      <c r="X141" s="39"/>
      <c r="Y141" s="29">
        <f t="shared" si="39"/>
        <v>100</v>
      </c>
      <c r="Z141" s="30">
        <f t="shared" si="40"/>
        <v>104</v>
      </c>
      <c r="AA141" s="2"/>
      <c r="AD141" s="32">
        <f t="shared" si="29"/>
        <v>0</v>
      </c>
    </row>
    <row r="142" spans="1:30" s="40" customFormat="1" ht="51" customHeight="1">
      <c r="A142" s="33">
        <v>2901291983</v>
      </c>
      <c r="B142" s="34" t="s">
        <v>177</v>
      </c>
      <c r="C142" s="35" t="s">
        <v>170</v>
      </c>
      <c r="D142" s="33" t="s">
        <v>362</v>
      </c>
      <c r="E142" s="33" t="s">
        <v>363</v>
      </c>
      <c r="F142" s="25" t="s">
        <v>428</v>
      </c>
      <c r="G142" s="36"/>
      <c r="H142" s="37">
        <f>51443.98+938.475</f>
        <v>52382.455000000002</v>
      </c>
      <c r="I142" s="37">
        <f>51243.53+938.48</f>
        <v>52182.01</v>
      </c>
      <c r="J142" s="37">
        <v>49284.84</v>
      </c>
      <c r="K142" s="37">
        <v>50483.11</v>
      </c>
      <c r="L142" s="26">
        <f t="shared" si="45"/>
        <v>204332.41499999998</v>
      </c>
      <c r="M142" s="38">
        <v>50.29</v>
      </c>
      <c r="N142" s="27">
        <v>59.34</v>
      </c>
      <c r="O142" s="38">
        <v>31.44</v>
      </c>
      <c r="P142" s="27">
        <v>32.700000000000003</v>
      </c>
      <c r="Q142" s="28">
        <f t="shared" si="42"/>
        <v>987409.27674999996</v>
      </c>
      <c r="R142" s="28">
        <f t="shared" si="43"/>
        <v>983630.88849999988</v>
      </c>
      <c r="S142" s="28">
        <f t="shared" si="41"/>
        <v>1312948.1376</v>
      </c>
      <c r="T142" s="28">
        <f t="shared" si="44"/>
        <v>1344870.0504000001</v>
      </c>
      <c r="U142" s="28">
        <f t="shared" si="46"/>
        <v>4628858.3532499997</v>
      </c>
      <c r="V142" s="39"/>
      <c r="W142" s="39"/>
      <c r="X142" s="39"/>
      <c r="Y142" s="29">
        <f t="shared" si="39"/>
        <v>117.99562537283754</v>
      </c>
      <c r="Z142" s="30">
        <f t="shared" si="40"/>
        <v>104.00763358778626</v>
      </c>
      <c r="AA142" s="2"/>
      <c r="AD142" s="32">
        <f t="shared" si="29"/>
        <v>-7.6335877862589996E-3</v>
      </c>
    </row>
    <row r="143" spans="1:30" s="40" customFormat="1" ht="201.75" customHeight="1">
      <c r="A143" s="33">
        <v>2901294173</v>
      </c>
      <c r="B143" s="34" t="s">
        <v>179</v>
      </c>
      <c r="C143" s="35" t="s">
        <v>170</v>
      </c>
      <c r="D143" s="33" t="s">
        <v>180</v>
      </c>
      <c r="E143" s="33" t="s">
        <v>364</v>
      </c>
      <c r="F143" s="25" t="s">
        <v>428</v>
      </c>
      <c r="G143" s="36"/>
      <c r="H143" s="37">
        <v>36407.534</v>
      </c>
      <c r="I143" s="37">
        <f>35033.61+2073.228</f>
        <v>37106.838000000003</v>
      </c>
      <c r="J143" s="37">
        <v>35130.641000000003</v>
      </c>
      <c r="K143" s="37">
        <v>35574.851000000002</v>
      </c>
      <c r="L143" s="26">
        <f t="shared" si="45"/>
        <v>144219.864</v>
      </c>
      <c r="M143" s="38">
        <v>140.79</v>
      </c>
      <c r="N143" s="27">
        <v>168</v>
      </c>
      <c r="O143" s="38">
        <v>38.340000000000003</v>
      </c>
      <c r="P143" s="27">
        <v>39.880000000000003</v>
      </c>
      <c r="Q143" s="28">
        <f t="shared" si="42"/>
        <v>3729951.8582999995</v>
      </c>
      <c r="R143" s="28">
        <f t="shared" si="43"/>
        <v>3801595.5531000001</v>
      </c>
      <c r="S143" s="28">
        <f t="shared" si="41"/>
        <v>4500937.7249200009</v>
      </c>
      <c r="T143" s="28">
        <f t="shared" si="44"/>
        <v>4557849.9101200001</v>
      </c>
      <c r="U143" s="28">
        <f t="shared" si="46"/>
        <v>16590335.046440002</v>
      </c>
      <c r="V143" s="39"/>
      <c r="W143" s="39"/>
      <c r="X143" s="39"/>
      <c r="Y143" s="29">
        <f t="shared" si="39"/>
        <v>119.32665672277862</v>
      </c>
      <c r="Z143" s="30">
        <f t="shared" si="40"/>
        <v>104.01669274908711</v>
      </c>
      <c r="AA143" s="2"/>
      <c r="AD143" s="32">
        <f t="shared" si="29"/>
        <v>-1.6692749087113157E-2</v>
      </c>
    </row>
    <row r="144" spans="1:30" s="40" customFormat="1" ht="51.75" customHeight="1">
      <c r="A144" s="33">
        <v>2901294173</v>
      </c>
      <c r="B144" s="34" t="s">
        <v>179</v>
      </c>
      <c r="C144" s="35" t="s">
        <v>170</v>
      </c>
      <c r="D144" s="33" t="s">
        <v>362</v>
      </c>
      <c r="E144" s="33" t="s">
        <v>365</v>
      </c>
      <c r="F144" s="25" t="s">
        <v>428</v>
      </c>
      <c r="G144" s="36" t="s">
        <v>397</v>
      </c>
      <c r="H144" s="37">
        <f>2857.24+659.35</f>
        <v>3516.5899999999997</v>
      </c>
      <c r="I144" s="37">
        <f>2616.5+452.24</f>
        <v>3068.74</v>
      </c>
      <c r="J144" s="37">
        <f>2573.52+516.98</f>
        <v>3090.5</v>
      </c>
      <c r="K144" s="37">
        <f>1751.35+949.78+343.39</f>
        <v>3044.52</v>
      </c>
      <c r="L144" s="26">
        <f t="shared" si="45"/>
        <v>12720.35</v>
      </c>
      <c r="M144" s="38">
        <v>229.87</v>
      </c>
      <c r="N144" s="27">
        <v>255.5397000000001</v>
      </c>
      <c r="O144" s="38">
        <v>32.76</v>
      </c>
      <c r="P144" s="27">
        <v>34.070399999999999</v>
      </c>
      <c r="Q144" s="28">
        <f t="shared" si="42"/>
        <v>693155.05489999999</v>
      </c>
      <c r="R144" s="28">
        <f t="shared" si="43"/>
        <v>604879.34140000003</v>
      </c>
      <c r="S144" s="28">
        <f t="shared" si="41"/>
        <v>684450.87165000022</v>
      </c>
      <c r="T144" s="28">
        <f t="shared" si="44"/>
        <v>674267.71323600027</v>
      </c>
      <c r="U144" s="28">
        <f t="shared" si="46"/>
        <v>2656752.9811860006</v>
      </c>
      <c r="V144" s="39"/>
      <c r="W144" s="39"/>
      <c r="X144" s="39"/>
      <c r="Y144" s="29">
        <f t="shared" si="39"/>
        <v>111.16705094183672</v>
      </c>
      <c r="Z144" s="30">
        <f t="shared" si="40"/>
        <v>104</v>
      </c>
      <c r="AA144" s="2"/>
      <c r="AD144" s="32">
        <f t="shared" si="29"/>
        <v>0</v>
      </c>
    </row>
    <row r="145" spans="1:30" s="40" customFormat="1" ht="51.75" customHeight="1">
      <c r="A145" s="33">
        <v>2901243725</v>
      </c>
      <c r="B145" s="34" t="s">
        <v>65</v>
      </c>
      <c r="C145" s="35" t="s">
        <v>170</v>
      </c>
      <c r="D145" s="33" t="s">
        <v>358</v>
      </c>
      <c r="E145" s="33" t="s">
        <v>366</v>
      </c>
      <c r="F145" s="25" t="s">
        <v>428</v>
      </c>
      <c r="G145" s="36" t="s">
        <v>403</v>
      </c>
      <c r="H145" s="37">
        <v>3996</v>
      </c>
      <c r="I145" s="37">
        <v>3897</v>
      </c>
      <c r="J145" s="37">
        <v>3659.8490000000002</v>
      </c>
      <c r="K145" s="37">
        <v>2193.3049999999998</v>
      </c>
      <c r="L145" s="26">
        <f t="shared" si="45"/>
        <v>13746.154</v>
      </c>
      <c r="M145" s="38">
        <v>206.02</v>
      </c>
      <c r="N145" s="27">
        <v>361.20540966334778</v>
      </c>
      <c r="O145" s="38">
        <v>29</v>
      </c>
      <c r="P145" s="27">
        <v>30.16</v>
      </c>
      <c r="Q145" s="28">
        <f t="shared" si="42"/>
        <v>707371.92</v>
      </c>
      <c r="R145" s="28">
        <f t="shared" si="43"/>
        <v>689846.94000000006</v>
      </c>
      <c r="S145" s="28">
        <f t="shared" si="41"/>
        <v>1211576.2115109938</v>
      </c>
      <c r="T145" s="28">
        <f t="shared" si="44"/>
        <v>726083.55224166892</v>
      </c>
      <c r="U145" s="28">
        <f t="shared" si="46"/>
        <v>3334878.6237526629</v>
      </c>
      <c r="V145" s="39"/>
      <c r="W145" s="39"/>
      <c r="X145" s="39"/>
      <c r="Y145" s="29">
        <f t="shared" si="39"/>
        <v>175.32540999094638</v>
      </c>
      <c r="Z145" s="30">
        <f t="shared" si="40"/>
        <v>104</v>
      </c>
      <c r="AA145" s="2"/>
      <c r="AD145" s="32">
        <f t="shared" si="29"/>
        <v>0</v>
      </c>
    </row>
    <row r="146" spans="1:30" s="40" customFormat="1" ht="51.75" customHeight="1">
      <c r="A146" s="33">
        <v>2901179251</v>
      </c>
      <c r="B146" s="34" t="s">
        <v>192</v>
      </c>
      <c r="C146" s="35" t="s">
        <v>170</v>
      </c>
      <c r="D146" s="33" t="s">
        <v>193</v>
      </c>
      <c r="E146" s="33"/>
      <c r="F146" s="25" t="s">
        <v>428</v>
      </c>
      <c r="G146" s="36"/>
      <c r="H146" s="37">
        <v>6578.2279999999992</v>
      </c>
      <c r="I146" s="37">
        <v>6731.1720000000005</v>
      </c>
      <c r="J146" s="37">
        <v>9393.8189999999995</v>
      </c>
      <c r="K146" s="37">
        <v>6261.2699999999995</v>
      </c>
      <c r="L146" s="26">
        <f t="shared" si="45"/>
        <v>28964.488999999998</v>
      </c>
      <c r="M146" s="38">
        <v>183.54</v>
      </c>
      <c r="N146" s="38">
        <v>210.58220000000003</v>
      </c>
      <c r="O146" s="27">
        <v>53.496280000000006</v>
      </c>
      <c r="P146" s="27">
        <v>55.636131200000008</v>
      </c>
      <c r="Q146" s="28">
        <f t="shared" si="42"/>
        <v>855457.24012815976</v>
      </c>
      <c r="R146" s="28">
        <f t="shared" si="43"/>
        <v>875346.64683983987</v>
      </c>
      <c r="S146" s="28">
        <f t="shared" si="41"/>
        <v>1455535.3250687474</v>
      </c>
      <c r="T146" s="28">
        <f t="shared" si="44"/>
        <v>970159.17219537613</v>
      </c>
      <c r="U146" s="28">
        <f t="shared" si="46"/>
        <v>4156498.3842321234</v>
      </c>
      <c r="V146" s="39"/>
      <c r="W146" s="39"/>
      <c r="X146" s="39"/>
      <c r="Y146" s="29">
        <f t="shared" si="39"/>
        <v>114.7336820311649</v>
      </c>
      <c r="Z146" s="30">
        <f t="shared" si="40"/>
        <v>104</v>
      </c>
      <c r="AA146" s="2"/>
      <c r="AD146" s="32">
        <f t="shared" si="29"/>
        <v>0</v>
      </c>
    </row>
    <row r="147" spans="1:30" s="40" customFormat="1" ht="124.5" customHeight="1">
      <c r="A147" s="33">
        <v>2901295850</v>
      </c>
      <c r="B147" s="34" t="s">
        <v>184</v>
      </c>
      <c r="C147" s="35" t="s">
        <v>170</v>
      </c>
      <c r="D147" s="33" t="s">
        <v>351</v>
      </c>
      <c r="E147" s="33" t="s">
        <v>367</v>
      </c>
      <c r="F147" s="25" t="s">
        <v>428</v>
      </c>
      <c r="G147" s="36"/>
      <c r="H147" s="37">
        <f>2908.71-32.444</f>
        <v>2876.2660000000001</v>
      </c>
      <c r="I147" s="37">
        <v>2188.9100000000003</v>
      </c>
      <c r="J147" s="37">
        <v>2392.84</v>
      </c>
      <c r="K147" s="37">
        <v>2127.4760000000001</v>
      </c>
      <c r="L147" s="26">
        <f t="shared" si="45"/>
        <v>9585.4920000000002</v>
      </c>
      <c r="M147" s="38">
        <v>117.62</v>
      </c>
      <c r="N147" s="27">
        <v>117.62</v>
      </c>
      <c r="O147" s="27">
        <v>27.3</v>
      </c>
      <c r="P147" s="27">
        <v>28.39</v>
      </c>
      <c r="Q147" s="28">
        <f t="shared" si="42"/>
        <v>259784.34512000004</v>
      </c>
      <c r="R147" s="28">
        <f t="shared" si="43"/>
        <v>197702.35120000003</v>
      </c>
      <c r="S147" s="28">
        <f t="shared" si="41"/>
        <v>213513.11320000002</v>
      </c>
      <c r="T147" s="28">
        <f t="shared" si="44"/>
        <v>189834.68348000001</v>
      </c>
      <c r="U147" s="28">
        <f t="shared" si="46"/>
        <v>860834.49300000013</v>
      </c>
      <c r="V147" s="39"/>
      <c r="W147" s="39"/>
      <c r="X147" s="39"/>
      <c r="Y147" s="29">
        <f t="shared" si="39"/>
        <v>100</v>
      </c>
      <c r="Z147" s="30">
        <f t="shared" si="40"/>
        <v>103.992673992674</v>
      </c>
      <c r="AA147" s="2"/>
      <c r="AD147" s="32">
        <f t="shared" si="29"/>
        <v>7.3260073260001946E-3</v>
      </c>
    </row>
    <row r="148" spans="1:30" s="40" customFormat="1" ht="51.75" customHeight="1">
      <c r="A148" s="33">
        <v>2901150333</v>
      </c>
      <c r="B148" s="34" t="s">
        <v>368</v>
      </c>
      <c r="C148" s="35" t="s">
        <v>170</v>
      </c>
      <c r="D148" s="33" t="s">
        <v>351</v>
      </c>
      <c r="E148" s="33" t="s">
        <v>369</v>
      </c>
      <c r="F148" s="25" t="s">
        <v>428</v>
      </c>
      <c r="G148" s="36"/>
      <c r="H148" s="37">
        <f>9687.026+22.857</f>
        <v>9709.8829999999998</v>
      </c>
      <c r="I148" s="37">
        <v>9969.8840000000018</v>
      </c>
      <c r="J148" s="37">
        <v>10590.242</v>
      </c>
      <c r="K148" s="37">
        <v>10641.885</v>
      </c>
      <c r="L148" s="26">
        <f t="shared" si="45"/>
        <v>40911.894</v>
      </c>
      <c r="M148" s="38">
        <v>154.78</v>
      </c>
      <c r="N148" s="27">
        <v>154.78</v>
      </c>
      <c r="O148" s="38">
        <v>27.3</v>
      </c>
      <c r="P148" s="27">
        <v>28.39</v>
      </c>
      <c r="Q148" s="28">
        <f t="shared" si="42"/>
        <v>1237815.88484</v>
      </c>
      <c r="R148" s="28">
        <f t="shared" si="43"/>
        <v>1270960.8123200003</v>
      </c>
      <c r="S148" s="28">
        <f t="shared" si="41"/>
        <v>1338500.6863800001</v>
      </c>
      <c r="T148" s="28">
        <f t="shared" si="44"/>
        <v>1345027.84515</v>
      </c>
      <c r="U148" s="28">
        <f t="shared" si="46"/>
        <v>5192305.2286900003</v>
      </c>
      <c r="V148" s="39"/>
      <c r="W148" s="39"/>
      <c r="X148" s="39"/>
      <c r="Y148" s="29">
        <f t="shared" si="39"/>
        <v>100</v>
      </c>
      <c r="Z148" s="30">
        <f t="shared" si="40"/>
        <v>103.992673992674</v>
      </c>
      <c r="AA148" s="2"/>
      <c r="AD148" s="32">
        <f t="shared" si="29"/>
        <v>7.3260073260001946E-3</v>
      </c>
    </row>
    <row r="149" spans="1:30" s="40" customFormat="1" ht="51.75" customHeight="1">
      <c r="A149" s="33">
        <v>2903003687</v>
      </c>
      <c r="B149" s="34" t="s">
        <v>189</v>
      </c>
      <c r="C149" s="35" t="s">
        <v>170</v>
      </c>
      <c r="D149" s="33" t="s">
        <v>353</v>
      </c>
      <c r="E149" s="33" t="s">
        <v>370</v>
      </c>
      <c r="F149" s="25" t="s">
        <v>428</v>
      </c>
      <c r="G149" s="36"/>
      <c r="H149" s="37">
        <f>23396.291+2397.615</f>
        <v>25793.906000000003</v>
      </c>
      <c r="I149" s="37">
        <f>23859.452+2397.615</f>
        <v>26257.067000000003</v>
      </c>
      <c r="J149" s="37">
        <v>23156.911</v>
      </c>
      <c r="K149" s="37">
        <v>21390.26</v>
      </c>
      <c r="L149" s="26">
        <f t="shared" si="45"/>
        <v>96598.144</v>
      </c>
      <c r="M149" s="38">
        <v>154.96</v>
      </c>
      <c r="N149" s="27">
        <v>273.7</v>
      </c>
      <c r="O149" s="38">
        <v>33.94</v>
      </c>
      <c r="P149" s="27">
        <v>35.299999999999997</v>
      </c>
      <c r="Q149" s="28">
        <f t="shared" si="42"/>
        <v>3121578.5041200006</v>
      </c>
      <c r="R149" s="28">
        <f t="shared" si="43"/>
        <v>3177630.2483400004</v>
      </c>
      <c r="S149" s="28">
        <f t="shared" si="41"/>
        <v>5520607.5823999997</v>
      </c>
      <c r="T149" s="28">
        <f t="shared" si="44"/>
        <v>5099437.9839999992</v>
      </c>
      <c r="U149" s="28">
        <f t="shared" si="46"/>
        <v>16919254.318860002</v>
      </c>
      <c r="V149" s="39"/>
      <c r="W149" s="39"/>
      <c r="X149" s="39"/>
      <c r="Y149" s="29">
        <f t="shared" si="39"/>
        <v>176.62622612287041</v>
      </c>
      <c r="Z149" s="30">
        <f t="shared" si="40"/>
        <v>104.00707130229819</v>
      </c>
      <c r="AA149" s="2"/>
      <c r="AD149" s="32">
        <f t="shared" ref="AD149:AD214" si="47">104-Z149</f>
        <v>-7.0713022981863105E-3</v>
      </c>
    </row>
    <row r="150" spans="1:30" s="40" customFormat="1" ht="51.75" customHeight="1">
      <c r="A150" s="33">
        <v>2901286983</v>
      </c>
      <c r="B150" s="34" t="s">
        <v>175</v>
      </c>
      <c r="C150" s="35" t="s">
        <v>170</v>
      </c>
      <c r="D150" s="33" t="s">
        <v>371</v>
      </c>
      <c r="E150" s="33" t="s">
        <v>372</v>
      </c>
      <c r="F150" s="25" t="s">
        <v>428</v>
      </c>
      <c r="G150" s="36"/>
      <c r="H150" s="37">
        <v>31123.906999999999</v>
      </c>
      <c r="I150" s="37">
        <v>31495.370999999999</v>
      </c>
      <c r="J150" s="37">
        <v>31703.370999999999</v>
      </c>
      <c r="K150" s="37">
        <v>31819.370999999999</v>
      </c>
      <c r="L150" s="26">
        <f t="shared" si="45"/>
        <v>126142.02</v>
      </c>
      <c r="M150" s="38">
        <v>147.41</v>
      </c>
      <c r="N150" s="38">
        <v>173.95</v>
      </c>
      <c r="O150" s="38">
        <v>38.72</v>
      </c>
      <c r="P150" s="27">
        <v>40.270000000000003</v>
      </c>
      <c r="Q150" s="28">
        <f t="shared" si="42"/>
        <v>3382857.4518299997</v>
      </c>
      <c r="R150" s="28">
        <f t="shared" si="43"/>
        <v>3423231.8739899998</v>
      </c>
      <c r="S150" s="28">
        <f t="shared" si="41"/>
        <v>4238106.6352799991</v>
      </c>
      <c r="T150" s="28">
        <f t="shared" si="44"/>
        <v>4253613.515279999</v>
      </c>
      <c r="U150" s="28">
        <f t="shared" si="46"/>
        <v>15297809.476379996</v>
      </c>
      <c r="V150" s="39"/>
      <c r="W150" s="39"/>
      <c r="X150" s="39"/>
      <c r="Y150" s="29">
        <f t="shared" si="39"/>
        <v>118.00420595617665</v>
      </c>
      <c r="Z150" s="30">
        <f t="shared" si="40"/>
        <v>104.00309917355372</v>
      </c>
      <c r="AA150" s="2"/>
      <c r="AD150" s="32">
        <f t="shared" si="47"/>
        <v>-3.0991735537213572E-3</v>
      </c>
    </row>
    <row r="151" spans="1:30" s="40" customFormat="1" ht="51.75" customHeight="1">
      <c r="A151" s="33">
        <v>2901207290</v>
      </c>
      <c r="B151" s="34" t="s">
        <v>173</v>
      </c>
      <c r="C151" s="35" t="s">
        <v>170</v>
      </c>
      <c r="D151" s="33" t="s">
        <v>371</v>
      </c>
      <c r="E151" s="33" t="s">
        <v>373</v>
      </c>
      <c r="F151" s="25" t="s">
        <v>428</v>
      </c>
      <c r="G151" s="36"/>
      <c r="H151" s="37">
        <v>6032.54</v>
      </c>
      <c r="I151" s="37">
        <v>6058.72</v>
      </c>
      <c r="J151" s="37">
        <v>5915.5599999999995</v>
      </c>
      <c r="K151" s="37">
        <v>5252.75</v>
      </c>
      <c r="L151" s="26">
        <f t="shared" si="45"/>
        <v>23259.57</v>
      </c>
      <c r="M151" s="38">
        <v>123.9</v>
      </c>
      <c r="N151" s="38">
        <v>146.19999999999999</v>
      </c>
      <c r="O151" s="38">
        <v>26.2</v>
      </c>
      <c r="P151" s="27">
        <v>27.25</v>
      </c>
      <c r="Q151" s="28">
        <f t="shared" si="42"/>
        <v>589379.15800000005</v>
      </c>
      <c r="R151" s="28">
        <f t="shared" si="43"/>
        <v>591936.94400000002</v>
      </c>
      <c r="S151" s="28">
        <f t="shared" si="41"/>
        <v>703655.86199999985</v>
      </c>
      <c r="T151" s="28">
        <f t="shared" si="44"/>
        <v>624814.61249999993</v>
      </c>
      <c r="U151" s="28">
        <f t="shared" si="46"/>
        <v>2509786.5764999995</v>
      </c>
      <c r="V151" s="39"/>
      <c r="W151" s="39"/>
      <c r="X151" s="39"/>
      <c r="Y151" s="29">
        <f t="shared" si="39"/>
        <v>117.99838579499595</v>
      </c>
      <c r="Z151" s="30">
        <f t="shared" si="40"/>
        <v>104.00763358778626</v>
      </c>
      <c r="AA151" s="2"/>
      <c r="AD151" s="32">
        <f t="shared" si="47"/>
        <v>-7.6335877862589996E-3</v>
      </c>
    </row>
    <row r="152" spans="1:30" s="40" customFormat="1" ht="15" customHeight="1">
      <c r="A152" s="33"/>
      <c r="B152" s="34"/>
      <c r="C152" s="35"/>
      <c r="D152" s="33"/>
      <c r="E152" s="33"/>
      <c r="F152" s="25"/>
      <c r="G152" s="36"/>
      <c r="H152" s="41"/>
      <c r="I152" s="41"/>
      <c r="J152" s="41"/>
      <c r="K152" s="41"/>
      <c r="L152" s="37"/>
      <c r="M152" s="41"/>
      <c r="N152" s="41"/>
      <c r="O152" s="41"/>
      <c r="P152" s="41"/>
      <c r="Q152" s="28"/>
      <c r="R152" s="28"/>
      <c r="S152" s="28"/>
      <c r="T152" s="28"/>
      <c r="U152" s="28"/>
      <c r="V152" s="39"/>
      <c r="W152" s="39"/>
      <c r="X152" s="39"/>
      <c r="Y152" s="29" t="e">
        <f t="shared" si="39"/>
        <v>#DIV/0!</v>
      </c>
      <c r="Z152" s="30" t="e">
        <f t="shared" si="40"/>
        <v>#DIV/0!</v>
      </c>
      <c r="AA152" s="2"/>
      <c r="AD152" s="32" t="e">
        <f t="shared" si="47"/>
        <v>#DIV/0!</v>
      </c>
    </row>
    <row r="153" spans="1:30" s="49" customFormat="1" ht="51.75" customHeight="1">
      <c r="A153" s="50">
        <v>2902060361</v>
      </c>
      <c r="B153" s="51" t="s">
        <v>198</v>
      </c>
      <c r="C153" s="52" t="s">
        <v>199</v>
      </c>
      <c r="D153" s="50"/>
      <c r="E153" s="50"/>
      <c r="F153" s="25" t="s">
        <v>428</v>
      </c>
      <c r="G153" s="46"/>
      <c r="H153" s="37">
        <v>264838.96100000001</v>
      </c>
      <c r="I153" s="37">
        <v>238769.79699999999</v>
      </c>
      <c r="J153" s="37">
        <v>226746.56799999997</v>
      </c>
      <c r="K153" s="37">
        <v>253824.57900000003</v>
      </c>
      <c r="L153" s="26">
        <f t="shared" si="45"/>
        <v>984179.90500000003</v>
      </c>
      <c r="M153" s="38">
        <v>54.05</v>
      </c>
      <c r="N153" s="27">
        <v>55.925223000000017</v>
      </c>
      <c r="O153" s="38">
        <v>31.77</v>
      </c>
      <c r="P153" s="27">
        <v>33.040799999999997</v>
      </c>
      <c r="Q153" s="28">
        <f t="shared" si="42"/>
        <v>5900612.0510799997</v>
      </c>
      <c r="R153" s="28">
        <f t="shared" si="43"/>
        <v>5319791.0771599989</v>
      </c>
      <c r="S153" s="28">
        <f>(N153-P153)*J153</f>
        <v>5188964.3759102682</v>
      </c>
      <c r="T153" s="28">
        <f t="shared" si="44"/>
        <v>5808629.0336329229</v>
      </c>
      <c r="U153" s="28">
        <f t="shared" si="46"/>
        <v>22217996.537783191</v>
      </c>
      <c r="V153" s="47"/>
      <c r="W153" s="47"/>
      <c r="X153" s="47"/>
      <c r="Y153" s="43">
        <f t="shared" si="39"/>
        <v>103.46942275670679</v>
      </c>
      <c r="Z153" s="44">
        <f t="shared" si="40"/>
        <v>104</v>
      </c>
      <c r="AA153" s="48"/>
      <c r="AD153" s="32">
        <f t="shared" si="47"/>
        <v>0</v>
      </c>
    </row>
    <row r="154" spans="1:30" s="49" customFormat="1" ht="51.75" customHeight="1">
      <c r="A154" s="50">
        <v>2902059091</v>
      </c>
      <c r="B154" s="51" t="s">
        <v>200</v>
      </c>
      <c r="C154" s="52" t="s">
        <v>199</v>
      </c>
      <c r="D154" s="50"/>
      <c r="E154" s="50"/>
      <c r="F154" s="25" t="s">
        <v>428</v>
      </c>
      <c r="G154" s="46" t="s">
        <v>310</v>
      </c>
      <c r="H154" s="37">
        <f>5860000/4</f>
        <v>1465000</v>
      </c>
      <c r="I154" s="37">
        <f t="shared" ref="I154:K154" si="48">5860000/4</f>
        <v>1465000</v>
      </c>
      <c r="J154" s="37">
        <f t="shared" si="48"/>
        <v>1465000</v>
      </c>
      <c r="K154" s="37">
        <f t="shared" si="48"/>
        <v>1465000</v>
      </c>
      <c r="L154" s="26">
        <f t="shared" si="45"/>
        <v>5860000</v>
      </c>
      <c r="M154" s="38">
        <v>31.765540519999998</v>
      </c>
      <c r="N154" s="27">
        <v>52.475469199676397</v>
      </c>
      <c r="O154" s="38">
        <v>31.765540519999998</v>
      </c>
      <c r="P154" s="27">
        <v>33.036162140800002</v>
      </c>
      <c r="Q154" s="28">
        <f t="shared" si="42"/>
        <v>0</v>
      </c>
      <c r="R154" s="28">
        <f t="shared" si="43"/>
        <v>0</v>
      </c>
      <c r="S154" s="28">
        <f>(N154-P154)*J154</f>
        <v>28478584.841253918</v>
      </c>
      <c r="T154" s="28">
        <f t="shared" si="44"/>
        <v>28478584.841253918</v>
      </c>
      <c r="U154" s="28">
        <f t="shared" si="46"/>
        <v>56957169.682507835</v>
      </c>
      <c r="V154" s="47"/>
      <c r="W154" s="47"/>
      <c r="X154" s="47"/>
      <c r="Y154" s="43">
        <f t="shared" si="39"/>
        <v>165.19621054972183</v>
      </c>
      <c r="Z154" s="44">
        <f t="shared" si="40"/>
        <v>104</v>
      </c>
      <c r="AA154" s="48"/>
      <c r="AD154" s="32">
        <f t="shared" si="47"/>
        <v>0</v>
      </c>
    </row>
    <row r="155" spans="1:30" s="40" customFormat="1" ht="15" customHeight="1">
      <c r="A155" s="33"/>
      <c r="B155" s="34"/>
      <c r="C155" s="35"/>
      <c r="D155" s="33"/>
      <c r="E155" s="33"/>
      <c r="F155" s="25"/>
      <c r="G155" s="36"/>
      <c r="H155" s="41"/>
      <c r="I155" s="41"/>
      <c r="J155" s="41"/>
      <c r="K155" s="41"/>
      <c r="L155" s="37"/>
      <c r="M155" s="41"/>
      <c r="N155" s="41"/>
      <c r="O155" s="41"/>
      <c r="P155" s="41"/>
      <c r="Q155" s="28"/>
      <c r="R155" s="28"/>
      <c r="S155" s="28"/>
      <c r="T155" s="28"/>
      <c r="U155" s="28"/>
      <c r="V155" s="39"/>
      <c r="W155" s="39"/>
      <c r="X155" s="39"/>
      <c r="Y155" s="29" t="e">
        <f t="shared" si="39"/>
        <v>#DIV/0!</v>
      </c>
      <c r="Z155" s="30" t="e">
        <f t="shared" si="40"/>
        <v>#DIV/0!</v>
      </c>
      <c r="AA155" s="2"/>
      <c r="AD155" s="32" t="e">
        <f t="shared" si="47"/>
        <v>#DIV/0!</v>
      </c>
    </row>
    <row r="156" spans="1:30" s="40" customFormat="1" ht="51" customHeight="1">
      <c r="A156" s="33">
        <v>2922008546</v>
      </c>
      <c r="B156" s="34" t="s">
        <v>59</v>
      </c>
      <c r="C156" s="35" t="s">
        <v>203</v>
      </c>
      <c r="D156" s="33" t="s">
        <v>206</v>
      </c>
      <c r="E156" s="33"/>
      <c r="F156" s="25" t="s">
        <v>428</v>
      </c>
      <c r="G156" s="36"/>
      <c r="H156" s="37">
        <v>1145.71</v>
      </c>
      <c r="I156" s="37">
        <v>1160.22</v>
      </c>
      <c r="J156" s="37">
        <v>1230.49</v>
      </c>
      <c r="K156" s="37">
        <v>1019.4100000000001</v>
      </c>
      <c r="L156" s="26">
        <f t="shared" si="45"/>
        <v>4555.83</v>
      </c>
      <c r="M156" s="38">
        <v>76.13</v>
      </c>
      <c r="N156" s="27">
        <v>130.71</v>
      </c>
      <c r="O156" s="38">
        <v>30</v>
      </c>
      <c r="P156" s="27">
        <v>31.200000000000003</v>
      </c>
      <c r="Q156" s="28">
        <f t="shared" si="42"/>
        <v>52851.602299999999</v>
      </c>
      <c r="R156" s="28">
        <f t="shared" si="43"/>
        <v>53520.948599999996</v>
      </c>
      <c r="S156" s="28">
        <f t="shared" ref="S156:S166" si="49">(N156-P156)*J156</f>
        <v>122446.05990000001</v>
      </c>
      <c r="T156" s="28">
        <f t="shared" si="44"/>
        <v>101441.48910000001</v>
      </c>
      <c r="U156" s="28">
        <f t="shared" si="46"/>
        <v>330260.09990000003</v>
      </c>
      <c r="V156" s="39"/>
      <c r="W156" s="39"/>
      <c r="X156" s="39"/>
      <c r="Y156" s="29">
        <f t="shared" si="39"/>
        <v>171.69315644292661</v>
      </c>
      <c r="Z156" s="30">
        <f t="shared" si="40"/>
        <v>104</v>
      </c>
      <c r="AA156" s="2"/>
      <c r="AD156" s="32">
        <f t="shared" si="47"/>
        <v>0</v>
      </c>
    </row>
    <row r="157" spans="1:30" s="40" customFormat="1" ht="51" customHeight="1">
      <c r="A157" s="33">
        <v>2922008546</v>
      </c>
      <c r="B157" s="34" t="s">
        <v>59</v>
      </c>
      <c r="C157" s="35" t="s">
        <v>203</v>
      </c>
      <c r="D157" s="33" t="s">
        <v>205</v>
      </c>
      <c r="E157" s="33"/>
      <c r="F157" s="25" t="s">
        <v>428</v>
      </c>
      <c r="G157" s="36"/>
      <c r="H157" s="37">
        <v>50973.729999999996</v>
      </c>
      <c r="I157" s="37">
        <v>47848.56</v>
      </c>
      <c r="J157" s="37">
        <v>49621.3</v>
      </c>
      <c r="K157" s="37">
        <v>47394.26</v>
      </c>
      <c r="L157" s="26">
        <f t="shared" si="45"/>
        <v>195837.85</v>
      </c>
      <c r="M157" s="38">
        <v>68</v>
      </c>
      <c r="N157" s="27">
        <v>205.52692711180359</v>
      </c>
      <c r="O157" s="38">
        <v>38.21</v>
      </c>
      <c r="P157" s="27">
        <v>39.738400000000006</v>
      </c>
      <c r="Q157" s="28">
        <f t="shared" si="42"/>
        <v>1518507.4166999999</v>
      </c>
      <c r="R157" s="28">
        <f t="shared" si="43"/>
        <v>1425408.6024</v>
      </c>
      <c r="S157" s="28">
        <f t="shared" si="49"/>
        <v>8226642.240372939</v>
      </c>
      <c r="T157" s="28">
        <f t="shared" si="44"/>
        <v>7857424.5589538682</v>
      </c>
      <c r="U157" s="28">
        <f t="shared" si="46"/>
        <v>19027982.81842681</v>
      </c>
      <c r="V157" s="39"/>
      <c r="W157" s="39"/>
      <c r="X157" s="39"/>
      <c r="Y157" s="29">
        <f t="shared" si="39"/>
        <v>302.24548104677001</v>
      </c>
      <c r="Z157" s="30">
        <f t="shared" si="40"/>
        <v>104</v>
      </c>
      <c r="AA157" s="2"/>
      <c r="AD157" s="32">
        <f t="shared" si="47"/>
        <v>0</v>
      </c>
    </row>
    <row r="158" spans="1:30" s="40" customFormat="1" ht="51" customHeight="1">
      <c r="A158" s="33">
        <v>2922009317</v>
      </c>
      <c r="B158" s="34" t="s">
        <v>202</v>
      </c>
      <c r="C158" s="35" t="s">
        <v>203</v>
      </c>
      <c r="D158" s="33" t="s">
        <v>204</v>
      </c>
      <c r="E158" s="33"/>
      <c r="F158" s="25" t="s">
        <v>428</v>
      </c>
      <c r="G158" s="36"/>
      <c r="H158" s="37">
        <v>7418.2610000000004</v>
      </c>
      <c r="I158" s="37">
        <v>7618.848</v>
      </c>
      <c r="J158" s="37">
        <v>8236.2920000000013</v>
      </c>
      <c r="K158" s="37">
        <v>10921.228999999999</v>
      </c>
      <c r="L158" s="26">
        <f t="shared" si="45"/>
        <v>34194.630000000005</v>
      </c>
      <c r="M158" s="38">
        <v>98.57</v>
      </c>
      <c r="N158" s="27">
        <v>117.1871375919453</v>
      </c>
      <c r="O158" s="38">
        <v>38.712488200000003</v>
      </c>
      <c r="P158" s="27">
        <v>40.260987728000003</v>
      </c>
      <c r="Q158" s="28">
        <f t="shared" si="42"/>
        <v>444038.64534297975</v>
      </c>
      <c r="R158" s="28">
        <f t="shared" si="43"/>
        <v>456045.28406240634</v>
      </c>
      <c r="S158" s="28">
        <f t="shared" si="49"/>
        <v>633586.23271521379</v>
      </c>
      <c r="T158" s="28">
        <f t="shared" si="44"/>
        <v>840128.09875246545</v>
      </c>
      <c r="U158" s="28">
        <f t="shared" si="46"/>
        <v>2373798.2608730653</v>
      </c>
      <c r="V158" s="39"/>
      <c r="W158" s="39"/>
      <c r="X158" s="39"/>
      <c r="Y158" s="29">
        <f t="shared" si="39"/>
        <v>118.8872249081316</v>
      </c>
      <c r="Z158" s="30">
        <f t="shared" si="40"/>
        <v>104</v>
      </c>
      <c r="AA158" s="2"/>
      <c r="AD158" s="32">
        <f t="shared" si="47"/>
        <v>0</v>
      </c>
    </row>
    <row r="159" spans="1:30" s="40" customFormat="1" ht="51" customHeight="1">
      <c r="A159" s="33">
        <v>2922008803</v>
      </c>
      <c r="B159" s="34" t="s">
        <v>215</v>
      </c>
      <c r="C159" s="35" t="s">
        <v>203</v>
      </c>
      <c r="D159" s="33" t="s">
        <v>216</v>
      </c>
      <c r="E159" s="33"/>
      <c r="F159" s="25" t="s">
        <v>428</v>
      </c>
      <c r="G159" s="36"/>
      <c r="H159" s="37">
        <v>14428.892</v>
      </c>
      <c r="I159" s="37">
        <v>13844.735000000001</v>
      </c>
      <c r="J159" s="37">
        <v>14243.411</v>
      </c>
      <c r="K159" s="37">
        <v>13674.692000000001</v>
      </c>
      <c r="L159" s="26">
        <f t="shared" si="45"/>
        <v>56191.73</v>
      </c>
      <c r="M159" s="38">
        <v>64.459999999999994</v>
      </c>
      <c r="N159" s="27">
        <v>87.446668285027698</v>
      </c>
      <c r="O159" s="38">
        <v>36</v>
      </c>
      <c r="P159" s="27">
        <v>37.44</v>
      </c>
      <c r="Q159" s="28">
        <f t="shared" si="42"/>
        <v>410646.26631999988</v>
      </c>
      <c r="R159" s="28">
        <f t="shared" si="43"/>
        <v>394021.15809999994</v>
      </c>
      <c r="S159" s="28">
        <f t="shared" si="49"/>
        <v>712265.52912431466</v>
      </c>
      <c r="T159" s="28">
        <f t="shared" si="44"/>
        <v>683825.78674392204</v>
      </c>
      <c r="U159" s="28">
        <f t="shared" si="46"/>
        <v>2200758.7402882366</v>
      </c>
      <c r="V159" s="39"/>
      <c r="W159" s="39"/>
      <c r="X159" s="39"/>
      <c r="Y159" s="29">
        <f t="shared" si="39"/>
        <v>135.66036035530206</v>
      </c>
      <c r="Z159" s="30">
        <f t="shared" si="40"/>
        <v>104</v>
      </c>
      <c r="AA159" s="2"/>
      <c r="AD159" s="32">
        <f t="shared" si="47"/>
        <v>0</v>
      </c>
    </row>
    <row r="160" spans="1:30" s="40" customFormat="1" ht="51" customHeight="1">
      <c r="A160" s="33">
        <v>2922007704</v>
      </c>
      <c r="B160" s="34" t="s">
        <v>207</v>
      </c>
      <c r="C160" s="35" t="s">
        <v>203</v>
      </c>
      <c r="D160" s="33" t="s">
        <v>208</v>
      </c>
      <c r="E160" s="33"/>
      <c r="F160" s="25" t="s">
        <v>428</v>
      </c>
      <c r="G160" s="36"/>
      <c r="H160" s="37">
        <v>4479.0739999999996</v>
      </c>
      <c r="I160" s="37">
        <v>5099.4279999999999</v>
      </c>
      <c r="J160" s="37">
        <v>5281.665</v>
      </c>
      <c r="K160" s="37">
        <v>4613.0309999999999</v>
      </c>
      <c r="L160" s="26">
        <f t="shared" si="45"/>
        <v>19473.198</v>
      </c>
      <c r="M160" s="38">
        <v>65.069999999999993</v>
      </c>
      <c r="N160" s="27">
        <v>94.72</v>
      </c>
      <c r="O160" s="38">
        <v>35</v>
      </c>
      <c r="P160" s="27">
        <v>36.4</v>
      </c>
      <c r="Q160" s="28">
        <f t="shared" si="42"/>
        <v>134685.75517999995</v>
      </c>
      <c r="R160" s="28">
        <f t="shared" si="43"/>
        <v>153339.79995999997</v>
      </c>
      <c r="S160" s="28">
        <f t="shared" si="49"/>
        <v>308026.70280000003</v>
      </c>
      <c r="T160" s="28">
        <f t="shared" si="44"/>
        <v>269031.96792000002</v>
      </c>
      <c r="U160" s="28">
        <f t="shared" si="46"/>
        <v>865084.22585999989</v>
      </c>
      <c r="V160" s="39"/>
      <c r="W160" s="39"/>
      <c r="X160" s="39"/>
      <c r="Y160" s="29">
        <f t="shared" si="39"/>
        <v>145.56631320116799</v>
      </c>
      <c r="Z160" s="30">
        <f t="shared" si="40"/>
        <v>104</v>
      </c>
      <c r="AA160" s="2"/>
      <c r="AD160" s="32">
        <f>104-Z160</f>
        <v>0</v>
      </c>
    </row>
    <row r="161" spans="1:30" s="40" customFormat="1" ht="56.25" customHeight="1">
      <c r="A161" s="33" t="s">
        <v>209</v>
      </c>
      <c r="B161" s="34" t="s">
        <v>210</v>
      </c>
      <c r="C161" s="35" t="s">
        <v>203</v>
      </c>
      <c r="D161" s="33" t="s">
        <v>211</v>
      </c>
      <c r="E161" s="33"/>
      <c r="F161" s="25" t="s">
        <v>428</v>
      </c>
      <c r="G161" s="36" t="s">
        <v>404</v>
      </c>
      <c r="H161" s="37">
        <v>2526.8650000000002</v>
      </c>
      <c r="I161" s="37">
        <v>2378.44</v>
      </c>
      <c r="J161" s="37">
        <v>2594.94</v>
      </c>
      <c r="K161" s="37">
        <v>2317.9699999999998</v>
      </c>
      <c r="L161" s="26">
        <f t="shared" si="45"/>
        <v>9818.2150000000001</v>
      </c>
      <c r="M161" s="38">
        <v>61.9</v>
      </c>
      <c r="N161" s="27">
        <v>73.042000000000002</v>
      </c>
      <c r="O161" s="38">
        <v>32.9497</v>
      </c>
      <c r="P161" s="27">
        <v>34.267688</v>
      </c>
      <c r="Q161" s="28">
        <f t="shared" si="42"/>
        <v>73153.499809500005</v>
      </c>
      <c r="R161" s="28">
        <f t="shared" si="43"/>
        <v>68856.551531999998</v>
      </c>
      <c r="S161" s="28">
        <f t="shared" si="49"/>
        <v>100617.01318128001</v>
      </c>
      <c r="T161" s="28">
        <f t="shared" si="44"/>
        <v>89877.691986639999</v>
      </c>
      <c r="U161" s="28">
        <f t="shared" si="46"/>
        <v>332504.75650942</v>
      </c>
      <c r="V161" s="39"/>
      <c r="W161" s="39"/>
      <c r="X161" s="39"/>
      <c r="Y161" s="29">
        <f t="shared" si="39"/>
        <v>118.00000000000001</v>
      </c>
      <c r="Z161" s="30">
        <f t="shared" si="40"/>
        <v>104</v>
      </c>
      <c r="AA161" s="2"/>
      <c r="AD161" s="32">
        <f t="shared" si="47"/>
        <v>0</v>
      </c>
    </row>
    <row r="162" spans="1:30" s="40" customFormat="1" ht="56.25" customHeight="1">
      <c r="A162" s="33" t="s">
        <v>209</v>
      </c>
      <c r="B162" s="34" t="s">
        <v>210</v>
      </c>
      <c r="C162" s="35" t="s">
        <v>203</v>
      </c>
      <c r="D162" s="33" t="s">
        <v>212</v>
      </c>
      <c r="E162" s="33"/>
      <c r="F162" s="25" t="s">
        <v>428</v>
      </c>
      <c r="G162" s="36" t="s">
        <v>405</v>
      </c>
      <c r="H162" s="37">
        <v>696</v>
      </c>
      <c r="I162" s="37">
        <v>696</v>
      </c>
      <c r="J162" s="37">
        <v>485.83000000000004</v>
      </c>
      <c r="K162" s="37">
        <f>326.75+165.78</f>
        <v>492.53</v>
      </c>
      <c r="L162" s="26">
        <f t="shared" si="45"/>
        <v>2370.3599999999997</v>
      </c>
      <c r="M162" s="38">
        <v>76.75</v>
      </c>
      <c r="N162" s="27">
        <v>90.565000000000026</v>
      </c>
      <c r="O162" s="38">
        <v>65.961200000000005</v>
      </c>
      <c r="P162" s="27">
        <v>68.599648000000002</v>
      </c>
      <c r="Q162" s="28">
        <f t="shared" si="42"/>
        <v>7509.0047999999961</v>
      </c>
      <c r="R162" s="28">
        <f t="shared" si="43"/>
        <v>7509.0047999999961</v>
      </c>
      <c r="S162" s="28">
        <f t="shared" si="49"/>
        <v>10671.426962160012</v>
      </c>
      <c r="T162" s="28">
        <f t="shared" si="44"/>
        <v>10818.594820560011</v>
      </c>
      <c r="U162" s="28">
        <f t="shared" si="46"/>
        <v>36508.031382720015</v>
      </c>
      <c r="V162" s="39"/>
      <c r="W162" s="39"/>
      <c r="X162" s="39"/>
      <c r="Y162" s="29">
        <f t="shared" ref="Y162:Y185" si="50">N162/M162*100</f>
        <v>118.00000000000004</v>
      </c>
      <c r="Z162" s="30">
        <f t="shared" ref="Z162:Z185" si="51">P162/O162*100</f>
        <v>104</v>
      </c>
      <c r="AA162" s="2"/>
      <c r="AD162" s="32">
        <f t="shared" si="47"/>
        <v>0</v>
      </c>
    </row>
    <row r="163" spans="1:30" s="40" customFormat="1" ht="56.25" customHeight="1">
      <c r="A163" s="33" t="s">
        <v>209</v>
      </c>
      <c r="B163" s="34" t="s">
        <v>210</v>
      </c>
      <c r="C163" s="35" t="s">
        <v>203</v>
      </c>
      <c r="D163" s="33" t="s">
        <v>213</v>
      </c>
      <c r="E163" s="33"/>
      <c r="F163" s="25" t="s">
        <v>428</v>
      </c>
      <c r="G163" s="36" t="s">
        <v>406</v>
      </c>
      <c r="H163" s="37">
        <v>539.62400000000002</v>
      </c>
      <c r="I163" s="37">
        <v>783.28</v>
      </c>
      <c r="J163" s="37">
        <v>780.14999999999986</v>
      </c>
      <c r="K163" s="37">
        <v>754.22</v>
      </c>
      <c r="L163" s="26">
        <f t="shared" si="45"/>
        <v>2857.2740000000003</v>
      </c>
      <c r="M163" s="38">
        <v>74.47</v>
      </c>
      <c r="N163" s="27">
        <v>87.874600000000015</v>
      </c>
      <c r="O163" s="38">
        <v>32.9497</v>
      </c>
      <c r="P163" s="27">
        <v>34.267688</v>
      </c>
      <c r="Q163" s="28">
        <f t="shared" si="42"/>
        <v>22405.350367200001</v>
      </c>
      <c r="R163" s="28">
        <f t="shared" si="43"/>
        <v>32522.020583999998</v>
      </c>
      <c r="S163" s="28">
        <f t="shared" si="49"/>
        <v>41821.432396800003</v>
      </c>
      <c r="T163" s="28">
        <f t="shared" si="44"/>
        <v>40431.405168640013</v>
      </c>
      <c r="U163" s="28">
        <f t="shared" si="46"/>
        <v>137180.20851664001</v>
      </c>
      <c r="V163" s="39"/>
      <c r="W163" s="39"/>
      <c r="X163" s="39"/>
      <c r="Y163" s="29">
        <f t="shared" si="50"/>
        <v>118.00000000000001</v>
      </c>
      <c r="Z163" s="30">
        <f t="shared" si="51"/>
        <v>104</v>
      </c>
      <c r="AA163" s="2"/>
      <c r="AD163" s="32">
        <f t="shared" si="47"/>
        <v>0</v>
      </c>
    </row>
    <row r="164" spans="1:30" s="40" customFormat="1" ht="56.25" customHeight="1">
      <c r="A164" s="33" t="s">
        <v>217</v>
      </c>
      <c r="B164" s="34" t="s">
        <v>218</v>
      </c>
      <c r="C164" s="35" t="s">
        <v>203</v>
      </c>
      <c r="D164" s="33" t="s">
        <v>219</v>
      </c>
      <c r="E164" s="33"/>
      <c r="F164" s="25" t="s">
        <v>428</v>
      </c>
      <c r="G164" s="36" t="s">
        <v>400</v>
      </c>
      <c r="H164" s="37">
        <v>2495.652</v>
      </c>
      <c r="I164" s="37">
        <v>2533.0590000000002</v>
      </c>
      <c r="J164" s="37">
        <v>2671.1639999999998</v>
      </c>
      <c r="K164" s="37">
        <v>2663.21</v>
      </c>
      <c r="L164" s="26">
        <f t="shared" si="45"/>
        <v>10363.084999999999</v>
      </c>
      <c r="M164" s="38">
        <v>81.42</v>
      </c>
      <c r="N164" s="27">
        <v>96.075600000000023</v>
      </c>
      <c r="O164" s="38">
        <v>32.9497</v>
      </c>
      <c r="P164" s="27">
        <v>34.267688</v>
      </c>
      <c r="Q164" s="28">
        <f t="shared" si="42"/>
        <v>120965.0011356</v>
      </c>
      <c r="R164" s="28">
        <f t="shared" si="43"/>
        <v>122778.12964770001</v>
      </c>
      <c r="S164" s="28">
        <f t="shared" si="49"/>
        <v>165099.06944956805</v>
      </c>
      <c r="T164" s="28">
        <f t="shared" si="44"/>
        <v>164607.44931752008</v>
      </c>
      <c r="U164" s="28">
        <f t="shared" si="46"/>
        <v>573449.6495503881</v>
      </c>
      <c r="V164" s="39"/>
      <c r="W164" s="39"/>
      <c r="X164" s="39"/>
      <c r="Y164" s="29">
        <f t="shared" si="50"/>
        <v>118.00000000000001</v>
      </c>
      <c r="Z164" s="30">
        <f t="shared" si="51"/>
        <v>104</v>
      </c>
      <c r="AA164" s="2"/>
      <c r="AD164" s="32">
        <f t="shared" si="47"/>
        <v>0</v>
      </c>
    </row>
    <row r="165" spans="1:30" s="40" customFormat="1" ht="51" customHeight="1">
      <c r="A165" s="33" t="s">
        <v>217</v>
      </c>
      <c r="B165" s="34" t="s">
        <v>218</v>
      </c>
      <c r="C165" s="35" t="s">
        <v>203</v>
      </c>
      <c r="D165" s="33" t="s">
        <v>374</v>
      </c>
      <c r="E165" s="33"/>
      <c r="F165" s="25" t="s">
        <v>428</v>
      </c>
      <c r="G165" s="36" t="s">
        <v>401</v>
      </c>
      <c r="H165" s="37">
        <v>1042.184</v>
      </c>
      <c r="I165" s="37">
        <v>1128.701</v>
      </c>
      <c r="J165" s="37">
        <v>1166.79</v>
      </c>
      <c r="K165" s="37">
        <v>1296.6300000000001</v>
      </c>
      <c r="L165" s="26">
        <f t="shared" si="45"/>
        <v>4634.3050000000003</v>
      </c>
      <c r="M165" s="38">
        <v>80.23</v>
      </c>
      <c r="N165" s="27">
        <v>94.67140000000002</v>
      </c>
      <c r="O165" s="38">
        <v>32.9497</v>
      </c>
      <c r="P165" s="27">
        <v>34.267688</v>
      </c>
      <c r="Q165" s="28">
        <f t="shared" si="42"/>
        <v>49274.7721752</v>
      </c>
      <c r="R165" s="28">
        <f t="shared" si="43"/>
        <v>53365.321890300009</v>
      </c>
      <c r="S165" s="28">
        <f t="shared" si="49"/>
        <v>70478.447124480022</v>
      </c>
      <c r="T165" s="28">
        <f t="shared" si="44"/>
        <v>78321.265090560031</v>
      </c>
      <c r="U165" s="28">
        <f t="shared" si="46"/>
        <v>251439.80628054007</v>
      </c>
      <c r="V165" s="39"/>
      <c r="W165" s="39"/>
      <c r="X165" s="39"/>
      <c r="Y165" s="29">
        <f t="shared" si="50"/>
        <v>118.00000000000001</v>
      </c>
      <c r="Z165" s="30">
        <f t="shared" si="51"/>
        <v>104</v>
      </c>
      <c r="AA165" s="2"/>
      <c r="AD165" s="32">
        <f t="shared" si="47"/>
        <v>0</v>
      </c>
    </row>
    <row r="166" spans="1:30" s="40" customFormat="1" ht="51" customHeight="1">
      <c r="A166" s="33" t="s">
        <v>217</v>
      </c>
      <c r="B166" s="34" t="s">
        <v>218</v>
      </c>
      <c r="C166" s="35" t="s">
        <v>203</v>
      </c>
      <c r="D166" s="33" t="s">
        <v>220</v>
      </c>
      <c r="E166" s="33"/>
      <c r="F166" s="25" t="s">
        <v>428</v>
      </c>
      <c r="G166" s="36" t="s">
        <v>402</v>
      </c>
      <c r="H166" s="37">
        <v>516.91300000000001</v>
      </c>
      <c r="I166" s="37">
        <v>398.95000000000005</v>
      </c>
      <c r="J166" s="37">
        <v>543.67999999999995</v>
      </c>
      <c r="K166" s="37">
        <v>636.50599999999997</v>
      </c>
      <c r="L166" s="26">
        <f t="shared" si="45"/>
        <v>2096.049</v>
      </c>
      <c r="M166" s="38">
        <v>74.87</v>
      </c>
      <c r="N166" s="27">
        <v>88.346600000000024</v>
      </c>
      <c r="O166" s="38">
        <v>32.9497</v>
      </c>
      <c r="P166" s="27">
        <v>34.267688</v>
      </c>
      <c r="Q166" s="28">
        <f t="shared" si="42"/>
        <v>21669.148033900005</v>
      </c>
      <c r="R166" s="28">
        <f t="shared" si="43"/>
        <v>16724.103685000005</v>
      </c>
      <c r="S166" s="28">
        <f t="shared" si="49"/>
        <v>29401.62287616001</v>
      </c>
      <c r="T166" s="28">
        <f t="shared" si="44"/>
        <v>34421.551961472011</v>
      </c>
      <c r="U166" s="28">
        <f t="shared" si="46"/>
        <v>102216.42655653202</v>
      </c>
      <c r="V166" s="39"/>
      <c r="W166" s="39"/>
      <c r="X166" s="39"/>
      <c r="Y166" s="29">
        <f t="shared" si="50"/>
        <v>118.00000000000001</v>
      </c>
      <c r="Z166" s="30">
        <f t="shared" si="51"/>
        <v>104</v>
      </c>
      <c r="AA166" s="2"/>
      <c r="AD166" s="32">
        <f t="shared" si="47"/>
        <v>0</v>
      </c>
    </row>
    <row r="167" spans="1:30" s="40" customFormat="1" ht="15" customHeight="1">
      <c r="A167" s="33"/>
      <c r="B167" s="34"/>
      <c r="C167" s="35"/>
      <c r="D167" s="33"/>
      <c r="E167" s="33"/>
      <c r="F167" s="25"/>
      <c r="G167" s="36"/>
      <c r="H167" s="41"/>
      <c r="I167" s="41"/>
      <c r="J167" s="41"/>
      <c r="K167" s="41"/>
      <c r="L167" s="37"/>
      <c r="M167" s="41"/>
      <c r="N167" s="41"/>
      <c r="O167" s="41"/>
      <c r="P167" s="41"/>
      <c r="Q167" s="28"/>
      <c r="R167" s="28"/>
      <c r="S167" s="28"/>
      <c r="T167" s="28"/>
      <c r="U167" s="28"/>
      <c r="V167" s="39"/>
      <c r="W167" s="39"/>
      <c r="X167" s="39"/>
      <c r="Y167" s="29" t="e">
        <f t="shared" si="50"/>
        <v>#DIV/0!</v>
      </c>
      <c r="Z167" s="30" t="e">
        <f t="shared" si="51"/>
        <v>#DIV/0!</v>
      </c>
      <c r="AA167" s="2"/>
      <c r="AD167" s="32" t="e">
        <f t="shared" si="47"/>
        <v>#DIV/0!</v>
      </c>
    </row>
    <row r="168" spans="1:30" s="40" customFormat="1" ht="51" customHeight="1">
      <c r="A168" s="33">
        <v>2923007640</v>
      </c>
      <c r="B168" s="34" t="s">
        <v>222</v>
      </c>
      <c r="C168" s="35" t="s">
        <v>223</v>
      </c>
      <c r="D168" s="33" t="s">
        <v>228</v>
      </c>
      <c r="E168" s="33"/>
      <c r="F168" s="25" t="s">
        <v>428</v>
      </c>
      <c r="G168" s="36"/>
      <c r="H168" s="37">
        <v>18024.654000000002</v>
      </c>
      <c r="I168" s="37">
        <v>17348.275000000001</v>
      </c>
      <c r="J168" s="37">
        <v>18087.983</v>
      </c>
      <c r="K168" s="37">
        <v>10128.808999999999</v>
      </c>
      <c r="L168" s="26">
        <f t="shared" si="45"/>
        <v>63589.721000000005</v>
      </c>
      <c r="M168" s="38">
        <v>67.099999999999994</v>
      </c>
      <c r="N168" s="27">
        <v>76.94</v>
      </c>
      <c r="O168" s="38">
        <v>50</v>
      </c>
      <c r="P168" s="27">
        <v>52</v>
      </c>
      <c r="Q168" s="28">
        <f t="shared" si="42"/>
        <v>308221.58339999994</v>
      </c>
      <c r="R168" s="28">
        <f t="shared" si="43"/>
        <v>296655.50249999994</v>
      </c>
      <c r="S168" s="28">
        <f t="shared" ref="S168:S176" si="52">(N168-P168)*J168</f>
        <v>451114.29601999995</v>
      </c>
      <c r="T168" s="28">
        <f t="shared" si="44"/>
        <v>252612.49645999997</v>
      </c>
      <c r="U168" s="28">
        <f t="shared" si="46"/>
        <v>1308603.8783799999</v>
      </c>
      <c r="V168" s="39"/>
      <c r="W168" s="39"/>
      <c r="X168" s="39"/>
      <c r="Y168" s="29">
        <f t="shared" si="50"/>
        <v>114.66467958271238</v>
      </c>
      <c r="Z168" s="30">
        <f t="shared" si="51"/>
        <v>104</v>
      </c>
      <c r="AA168" s="2"/>
      <c r="AD168" s="32">
        <f t="shared" si="47"/>
        <v>0</v>
      </c>
    </row>
    <row r="169" spans="1:30" s="40" customFormat="1" ht="51" customHeight="1">
      <c r="A169" s="33">
        <v>2923007640</v>
      </c>
      <c r="B169" s="34" t="s">
        <v>222</v>
      </c>
      <c r="C169" s="35" t="s">
        <v>223</v>
      </c>
      <c r="D169" s="33" t="s">
        <v>226</v>
      </c>
      <c r="E169" s="33"/>
      <c r="F169" s="25" t="s">
        <v>428</v>
      </c>
      <c r="G169" s="36"/>
      <c r="H169" s="37">
        <v>3352.4029999999993</v>
      </c>
      <c r="I169" s="37">
        <v>3750.5430000000001</v>
      </c>
      <c r="J169" s="37">
        <v>3960.8379999999997</v>
      </c>
      <c r="K169" s="37">
        <v>3373.77</v>
      </c>
      <c r="L169" s="26">
        <f t="shared" si="45"/>
        <v>14437.554</v>
      </c>
      <c r="M169" s="38">
        <v>94.44</v>
      </c>
      <c r="N169" s="27">
        <v>104.05</v>
      </c>
      <c r="O169" s="38">
        <v>76</v>
      </c>
      <c r="P169" s="27">
        <v>79.040000000000006</v>
      </c>
      <c r="Q169" s="28">
        <f t="shared" si="42"/>
        <v>61818.311319999979</v>
      </c>
      <c r="R169" s="28">
        <f t="shared" si="43"/>
        <v>69160.012919999994</v>
      </c>
      <c r="S169" s="28">
        <f t="shared" si="52"/>
        <v>99060.558379999959</v>
      </c>
      <c r="T169" s="28">
        <f t="shared" si="44"/>
        <v>84377.987699999969</v>
      </c>
      <c r="U169" s="28">
        <f t="shared" si="46"/>
        <v>314416.87031999987</v>
      </c>
      <c r="V169" s="39"/>
      <c r="W169" s="39"/>
      <c r="X169" s="39"/>
      <c r="Y169" s="29">
        <f t="shared" si="50"/>
        <v>110.17577297755187</v>
      </c>
      <c r="Z169" s="30">
        <f t="shared" si="51"/>
        <v>104</v>
      </c>
      <c r="AA169" s="2"/>
      <c r="AD169" s="32">
        <f t="shared" si="47"/>
        <v>0</v>
      </c>
    </row>
    <row r="170" spans="1:30" s="40" customFormat="1" ht="51" customHeight="1">
      <c r="A170" s="33">
        <v>2923007640</v>
      </c>
      <c r="B170" s="34" t="s">
        <v>222</v>
      </c>
      <c r="C170" s="35" t="s">
        <v>223</v>
      </c>
      <c r="D170" s="33" t="s">
        <v>224</v>
      </c>
      <c r="E170" s="33"/>
      <c r="F170" s="25" t="s">
        <v>428</v>
      </c>
      <c r="G170" s="36"/>
      <c r="H170" s="37">
        <v>2729.7669999999998</v>
      </c>
      <c r="I170" s="37">
        <v>2973.6289999999999</v>
      </c>
      <c r="J170" s="37">
        <v>3475.5860000000002</v>
      </c>
      <c r="K170" s="37">
        <v>3124.1869999999999</v>
      </c>
      <c r="L170" s="26">
        <f t="shared" si="45"/>
        <v>12303.169</v>
      </c>
      <c r="M170" s="38">
        <v>171.78</v>
      </c>
      <c r="N170" s="27">
        <v>200.88</v>
      </c>
      <c r="O170" s="38">
        <v>100</v>
      </c>
      <c r="P170" s="27">
        <v>104</v>
      </c>
      <c r="Q170" s="28">
        <f t="shared" si="42"/>
        <v>195942.67525999999</v>
      </c>
      <c r="R170" s="28">
        <f t="shared" si="43"/>
        <v>213447.08961999998</v>
      </c>
      <c r="S170" s="28">
        <f t="shared" si="52"/>
        <v>336714.77168000001</v>
      </c>
      <c r="T170" s="28">
        <f t="shared" si="44"/>
        <v>302671.23655999999</v>
      </c>
      <c r="U170" s="28">
        <f t="shared" si="46"/>
        <v>1048775.77312</v>
      </c>
      <c r="V170" s="39"/>
      <c r="W170" s="39"/>
      <c r="X170" s="39"/>
      <c r="Y170" s="29">
        <f t="shared" si="50"/>
        <v>116.94027244149494</v>
      </c>
      <c r="Z170" s="30">
        <f t="shared" si="51"/>
        <v>104</v>
      </c>
      <c r="AA170" s="2"/>
      <c r="AD170" s="32">
        <f t="shared" si="47"/>
        <v>0</v>
      </c>
    </row>
    <row r="171" spans="1:30" s="40" customFormat="1" ht="51" customHeight="1">
      <c r="A171" s="33">
        <v>2923006012</v>
      </c>
      <c r="B171" s="34" t="s">
        <v>234</v>
      </c>
      <c r="C171" s="35" t="s">
        <v>223</v>
      </c>
      <c r="D171" s="33" t="s">
        <v>235</v>
      </c>
      <c r="E171" s="33"/>
      <c r="F171" s="25" t="s">
        <v>428</v>
      </c>
      <c r="G171" s="36"/>
      <c r="H171" s="37">
        <f>9736.248+216.884</f>
        <v>9953.1319999999996</v>
      </c>
      <c r="I171" s="37">
        <v>9947.4279999999999</v>
      </c>
      <c r="J171" s="37">
        <v>9816.8819999999996</v>
      </c>
      <c r="K171" s="37">
        <v>9811.9750000000004</v>
      </c>
      <c r="L171" s="26">
        <f t="shared" si="45"/>
        <v>39529.416999999994</v>
      </c>
      <c r="M171" s="38">
        <v>92</v>
      </c>
      <c r="N171" s="27">
        <v>114.79</v>
      </c>
      <c r="O171" s="38">
        <v>77</v>
      </c>
      <c r="P171" s="27">
        <v>80.08</v>
      </c>
      <c r="Q171" s="28">
        <f t="shared" si="42"/>
        <v>149296.97999999998</v>
      </c>
      <c r="R171" s="28">
        <f t="shared" si="43"/>
        <v>149211.41999999998</v>
      </c>
      <c r="S171" s="28">
        <f t="shared" si="52"/>
        <v>340743.97422000009</v>
      </c>
      <c r="T171" s="28">
        <f t="shared" si="44"/>
        <v>340573.6522500001</v>
      </c>
      <c r="U171" s="28">
        <f t="shared" si="46"/>
        <v>979826.02647000016</v>
      </c>
      <c r="V171" s="39"/>
      <c r="W171" s="39"/>
      <c r="X171" s="39"/>
      <c r="Y171" s="29">
        <f t="shared" si="50"/>
        <v>124.7717391304348</v>
      </c>
      <c r="Z171" s="30">
        <f t="shared" si="51"/>
        <v>104</v>
      </c>
      <c r="AA171" s="2"/>
      <c r="AD171" s="32">
        <f t="shared" si="47"/>
        <v>0</v>
      </c>
    </row>
    <row r="172" spans="1:30" s="40" customFormat="1" ht="51" customHeight="1">
      <c r="A172" s="33">
        <v>2923007312</v>
      </c>
      <c r="B172" s="34" t="s">
        <v>230</v>
      </c>
      <c r="C172" s="35" t="s">
        <v>223</v>
      </c>
      <c r="D172" s="33" t="s">
        <v>231</v>
      </c>
      <c r="E172" s="33"/>
      <c r="F172" s="25" t="s">
        <v>428</v>
      </c>
      <c r="G172" s="36"/>
      <c r="H172" s="37">
        <v>23136.68</v>
      </c>
      <c r="I172" s="37">
        <v>24517.660000000003</v>
      </c>
      <c r="J172" s="37">
        <v>23654.33</v>
      </c>
      <c r="K172" s="37">
        <v>22550.48</v>
      </c>
      <c r="L172" s="26">
        <f t="shared" si="45"/>
        <v>93859.150000000009</v>
      </c>
      <c r="M172" s="38">
        <v>100.85</v>
      </c>
      <c r="N172" s="27">
        <v>151.71</v>
      </c>
      <c r="O172" s="38">
        <v>77</v>
      </c>
      <c r="P172" s="27">
        <v>80.08</v>
      </c>
      <c r="Q172" s="28">
        <f t="shared" si="42"/>
        <v>551809.81799999985</v>
      </c>
      <c r="R172" s="28">
        <f t="shared" si="43"/>
        <v>584746.19099999999</v>
      </c>
      <c r="S172" s="28">
        <f t="shared" si="52"/>
        <v>1694359.6579000005</v>
      </c>
      <c r="T172" s="28">
        <f t="shared" si="44"/>
        <v>1615290.8824000002</v>
      </c>
      <c r="U172" s="28">
        <f t="shared" si="46"/>
        <v>4446206.549300001</v>
      </c>
      <c r="V172" s="39"/>
      <c r="W172" s="39"/>
      <c r="X172" s="39"/>
      <c r="Y172" s="29">
        <f t="shared" si="50"/>
        <v>150.43133366385723</v>
      </c>
      <c r="Z172" s="30">
        <f t="shared" si="51"/>
        <v>104</v>
      </c>
      <c r="AA172" s="2"/>
      <c r="AD172" s="32">
        <f t="shared" si="47"/>
        <v>0</v>
      </c>
    </row>
    <row r="173" spans="1:30" s="40" customFormat="1" ht="51" customHeight="1">
      <c r="A173" s="33">
        <v>2923007312</v>
      </c>
      <c r="B173" s="34" t="s">
        <v>230</v>
      </c>
      <c r="C173" s="35" t="s">
        <v>223</v>
      </c>
      <c r="D173" s="33" t="s">
        <v>232</v>
      </c>
      <c r="E173" s="33"/>
      <c r="F173" s="25" t="s">
        <v>428</v>
      </c>
      <c r="G173" s="36"/>
      <c r="H173" s="37">
        <v>10442.380000000001</v>
      </c>
      <c r="I173" s="37">
        <v>10321.27</v>
      </c>
      <c r="J173" s="37">
        <v>10521.73</v>
      </c>
      <c r="K173" s="37">
        <v>10047</v>
      </c>
      <c r="L173" s="26">
        <f t="shared" si="45"/>
        <v>41332.380000000005</v>
      </c>
      <c r="M173" s="38">
        <v>100.85</v>
      </c>
      <c r="N173" s="27">
        <v>151.71</v>
      </c>
      <c r="O173" s="38">
        <v>77</v>
      </c>
      <c r="P173" s="27">
        <v>80.08</v>
      </c>
      <c r="Q173" s="28">
        <f t="shared" si="42"/>
        <v>249050.76299999998</v>
      </c>
      <c r="R173" s="28">
        <f t="shared" si="43"/>
        <v>246162.28949999996</v>
      </c>
      <c r="S173" s="28">
        <f t="shared" si="52"/>
        <v>753671.51990000007</v>
      </c>
      <c r="T173" s="28">
        <f t="shared" si="44"/>
        <v>719666.6100000001</v>
      </c>
      <c r="U173" s="28">
        <f t="shared" si="46"/>
        <v>1968551.1824</v>
      </c>
      <c r="V173" s="39"/>
      <c r="W173" s="39"/>
      <c r="X173" s="39"/>
      <c r="Y173" s="29">
        <f t="shared" si="50"/>
        <v>150.43133366385723</v>
      </c>
      <c r="Z173" s="30">
        <f t="shared" si="51"/>
        <v>104</v>
      </c>
      <c r="AA173" s="2"/>
      <c r="AD173" s="32">
        <f t="shared" si="47"/>
        <v>0</v>
      </c>
    </row>
    <row r="174" spans="1:30" s="40" customFormat="1" ht="51" customHeight="1">
      <c r="A174" s="33">
        <v>2923006943</v>
      </c>
      <c r="B174" s="34" t="s">
        <v>237</v>
      </c>
      <c r="C174" s="35" t="s">
        <v>223</v>
      </c>
      <c r="D174" s="33" t="s">
        <v>44</v>
      </c>
      <c r="E174" s="33"/>
      <c r="F174" s="25" t="s">
        <v>428</v>
      </c>
      <c r="G174" s="36"/>
      <c r="H174" s="37">
        <v>2541.5360000000001</v>
      </c>
      <c r="I174" s="37">
        <v>2399.6750000000002</v>
      </c>
      <c r="J174" s="37">
        <v>2520.5259999999998</v>
      </c>
      <c r="K174" s="37">
        <v>2520.5259999999998</v>
      </c>
      <c r="L174" s="26">
        <f t="shared" si="45"/>
        <v>9982.262999999999</v>
      </c>
      <c r="M174" s="38">
        <v>188.24</v>
      </c>
      <c r="N174" s="27">
        <v>252.82</v>
      </c>
      <c r="O174" s="38">
        <v>120</v>
      </c>
      <c r="P174" s="27">
        <v>124.80000000000001</v>
      </c>
      <c r="Q174" s="28">
        <f t="shared" si="42"/>
        <v>173434.41664000004</v>
      </c>
      <c r="R174" s="28">
        <f t="shared" si="43"/>
        <v>163753.82200000004</v>
      </c>
      <c r="S174" s="28">
        <f t="shared" si="52"/>
        <v>322677.73851999996</v>
      </c>
      <c r="T174" s="28">
        <f t="shared" si="44"/>
        <v>322677.73851999996</v>
      </c>
      <c r="U174" s="28">
        <f t="shared" si="46"/>
        <v>982543.71567999991</v>
      </c>
      <c r="V174" s="39"/>
      <c r="W174" s="39"/>
      <c r="X174" s="39"/>
      <c r="Y174" s="29">
        <f t="shared" si="50"/>
        <v>134.30726731831703</v>
      </c>
      <c r="Z174" s="30">
        <f t="shared" si="51"/>
        <v>104</v>
      </c>
      <c r="AA174" s="2"/>
      <c r="AD174" s="32">
        <f t="shared" si="47"/>
        <v>0</v>
      </c>
    </row>
    <row r="175" spans="1:30" s="40" customFormat="1" ht="51" customHeight="1">
      <c r="A175" s="33" t="s">
        <v>238</v>
      </c>
      <c r="B175" s="34" t="s">
        <v>239</v>
      </c>
      <c r="C175" s="35" t="s">
        <v>223</v>
      </c>
      <c r="D175" s="33" t="s">
        <v>240</v>
      </c>
      <c r="E175" s="33"/>
      <c r="F175" s="25" t="s">
        <v>428</v>
      </c>
      <c r="G175" s="36" t="s">
        <v>375</v>
      </c>
      <c r="H175" s="37">
        <v>3094.4479999999999</v>
      </c>
      <c r="I175" s="37">
        <v>3158.902</v>
      </c>
      <c r="J175" s="37">
        <v>3606.0220000000004</v>
      </c>
      <c r="K175" s="37">
        <v>3433.1729999999998</v>
      </c>
      <c r="L175" s="26">
        <f t="shared" si="45"/>
        <v>13292.545000000002</v>
      </c>
      <c r="M175" s="38">
        <v>101.86</v>
      </c>
      <c r="N175" s="27">
        <v>137.29</v>
      </c>
      <c r="O175" s="38">
        <v>92</v>
      </c>
      <c r="P175" s="27">
        <v>95.68</v>
      </c>
      <c r="Q175" s="28">
        <f t="shared" si="42"/>
        <v>30511.257279999998</v>
      </c>
      <c r="R175" s="28">
        <f t="shared" si="43"/>
        <v>31146.773719999997</v>
      </c>
      <c r="S175" s="28">
        <f t="shared" si="52"/>
        <v>150046.57541999995</v>
      </c>
      <c r="T175" s="28">
        <f t="shared" si="44"/>
        <v>142854.32852999994</v>
      </c>
      <c r="U175" s="28">
        <f t="shared" si="46"/>
        <v>354558.93494999991</v>
      </c>
      <c r="V175" s="39"/>
      <c r="W175" s="39"/>
      <c r="X175" s="39"/>
      <c r="Y175" s="29">
        <f t="shared" si="50"/>
        <v>134.78303553897507</v>
      </c>
      <c r="Z175" s="30">
        <f t="shared" si="51"/>
        <v>104</v>
      </c>
      <c r="AA175" s="2"/>
      <c r="AD175" s="32">
        <f t="shared" si="47"/>
        <v>0</v>
      </c>
    </row>
    <row r="176" spans="1:30" s="40" customFormat="1" ht="51" customHeight="1">
      <c r="A176" s="33">
        <v>2923005900</v>
      </c>
      <c r="B176" s="34" t="s">
        <v>241</v>
      </c>
      <c r="C176" s="35" t="s">
        <v>223</v>
      </c>
      <c r="D176" s="33" t="s">
        <v>242</v>
      </c>
      <c r="E176" s="33"/>
      <c r="F176" s="25" t="s">
        <v>428</v>
      </c>
      <c r="G176" s="36"/>
      <c r="H176" s="37">
        <v>9199.3000000000011</v>
      </c>
      <c r="I176" s="37">
        <v>10958.849999999999</v>
      </c>
      <c r="J176" s="37">
        <v>9177.7000000000007</v>
      </c>
      <c r="K176" s="37">
        <v>7908</v>
      </c>
      <c r="L176" s="26">
        <f t="shared" si="45"/>
        <v>37243.850000000006</v>
      </c>
      <c r="M176" s="38">
        <v>63.69</v>
      </c>
      <c r="N176" s="38">
        <v>83.01</v>
      </c>
      <c r="O176" s="38">
        <f>M176</f>
        <v>63.69</v>
      </c>
      <c r="P176" s="38">
        <v>66.2376</v>
      </c>
      <c r="Q176" s="28">
        <f t="shared" si="42"/>
        <v>0</v>
      </c>
      <c r="R176" s="28">
        <f t="shared" si="43"/>
        <v>0</v>
      </c>
      <c r="S176" s="28">
        <f t="shared" si="52"/>
        <v>153932.05548000007</v>
      </c>
      <c r="T176" s="28">
        <f t="shared" si="44"/>
        <v>132636.13920000003</v>
      </c>
      <c r="U176" s="28">
        <f t="shared" si="46"/>
        <v>286568.19468000007</v>
      </c>
      <c r="V176" s="39"/>
      <c r="W176" s="39"/>
      <c r="X176" s="39"/>
      <c r="Y176" s="29">
        <f t="shared" si="50"/>
        <v>130.3344324069713</v>
      </c>
      <c r="Z176" s="30">
        <f t="shared" si="51"/>
        <v>104</v>
      </c>
      <c r="AA176" s="2"/>
      <c r="AD176" s="32">
        <f t="shared" si="47"/>
        <v>0</v>
      </c>
    </row>
    <row r="177" spans="1:30" s="40" customFormat="1" ht="15" customHeight="1">
      <c r="A177" s="33"/>
      <c r="B177" s="34"/>
      <c r="C177" s="35"/>
      <c r="D177" s="33"/>
      <c r="E177" s="33"/>
      <c r="F177" s="25"/>
      <c r="G177" s="36"/>
      <c r="H177" s="41"/>
      <c r="I177" s="41"/>
      <c r="J177" s="41"/>
      <c r="K177" s="41"/>
      <c r="L177" s="37"/>
      <c r="M177" s="41"/>
      <c r="N177" s="27"/>
      <c r="O177" s="41"/>
      <c r="P177" s="41"/>
      <c r="Q177" s="28"/>
      <c r="R177" s="28"/>
      <c r="S177" s="28"/>
      <c r="T177" s="28"/>
      <c r="U177" s="28"/>
      <c r="V177" s="39"/>
      <c r="W177" s="39"/>
      <c r="X177" s="39"/>
      <c r="Y177" s="29" t="e">
        <f t="shared" si="50"/>
        <v>#DIV/0!</v>
      </c>
      <c r="Z177" s="30" t="e">
        <f t="shared" si="51"/>
        <v>#DIV/0!</v>
      </c>
      <c r="AA177" s="2"/>
      <c r="AD177" s="32" t="e">
        <f t="shared" si="47"/>
        <v>#DIV/0!</v>
      </c>
    </row>
    <row r="178" spans="1:30" s="40" customFormat="1" ht="69" customHeight="1">
      <c r="A178" s="33" t="s">
        <v>243</v>
      </c>
      <c r="B178" s="34" t="s">
        <v>244</v>
      </c>
      <c r="C178" s="35" t="s">
        <v>245</v>
      </c>
      <c r="D178" s="33" t="s">
        <v>246</v>
      </c>
      <c r="E178" s="33"/>
      <c r="F178" s="25" t="s">
        <v>428</v>
      </c>
      <c r="G178" s="36"/>
      <c r="H178" s="37">
        <v>3777.61</v>
      </c>
      <c r="I178" s="37">
        <v>3713.67</v>
      </c>
      <c r="J178" s="37">
        <v>3714.5560000000005</v>
      </c>
      <c r="K178" s="37">
        <v>3603.4500000000003</v>
      </c>
      <c r="L178" s="26">
        <f t="shared" si="45"/>
        <v>14809.286000000002</v>
      </c>
      <c r="M178" s="38">
        <v>83.29</v>
      </c>
      <c r="N178" s="38">
        <v>91.84</v>
      </c>
      <c r="O178" s="38">
        <v>38.85</v>
      </c>
      <c r="P178" s="27">
        <v>40.4</v>
      </c>
      <c r="Q178" s="28">
        <f t="shared" si="42"/>
        <v>167876.98840000003</v>
      </c>
      <c r="R178" s="28">
        <f t="shared" si="43"/>
        <v>165035.49480000001</v>
      </c>
      <c r="S178" s="28">
        <f>(N178-P178)*J178</f>
        <v>191076.76064000005</v>
      </c>
      <c r="T178" s="28">
        <f t="shared" si="44"/>
        <v>185361.46800000002</v>
      </c>
      <c r="U178" s="28">
        <f t="shared" si="46"/>
        <v>709350.71184000012</v>
      </c>
      <c r="V178" s="39"/>
      <c r="W178" s="39"/>
      <c r="X178" s="39"/>
      <c r="Y178" s="29">
        <f t="shared" si="50"/>
        <v>110.26533797574739</v>
      </c>
      <c r="Z178" s="30">
        <f t="shared" si="51"/>
        <v>103.98970398970397</v>
      </c>
      <c r="AA178" s="2"/>
      <c r="AD178" s="32">
        <f t="shared" si="47"/>
        <v>1.0296010296031E-2</v>
      </c>
    </row>
    <row r="179" spans="1:30" s="40" customFormat="1" ht="15" customHeight="1">
      <c r="A179" s="33"/>
      <c r="B179" s="34"/>
      <c r="C179" s="35"/>
      <c r="D179" s="33"/>
      <c r="E179" s="33"/>
      <c r="F179" s="36"/>
      <c r="G179" s="36"/>
      <c r="H179" s="41"/>
      <c r="I179" s="41"/>
      <c r="J179" s="41"/>
      <c r="K179" s="41"/>
      <c r="L179" s="37"/>
      <c r="M179" s="41"/>
      <c r="N179" s="41"/>
      <c r="O179" s="41"/>
      <c r="P179" s="41"/>
      <c r="Q179" s="28"/>
      <c r="R179" s="28"/>
      <c r="S179" s="28"/>
      <c r="T179" s="28"/>
      <c r="U179" s="28"/>
      <c r="V179" s="39"/>
      <c r="W179" s="39"/>
      <c r="X179" s="39"/>
      <c r="Y179" s="29" t="e">
        <f t="shared" si="50"/>
        <v>#DIV/0!</v>
      </c>
      <c r="Z179" s="30" t="e">
        <f t="shared" si="51"/>
        <v>#DIV/0!</v>
      </c>
      <c r="AA179" s="2"/>
      <c r="AD179" s="32" t="e">
        <f t="shared" si="47"/>
        <v>#DIV/0!</v>
      </c>
    </row>
    <row r="180" spans="1:30" s="31" customFormat="1" ht="56.25" customHeight="1">
      <c r="A180" s="33" t="s">
        <v>247</v>
      </c>
      <c r="B180" s="34" t="s">
        <v>248</v>
      </c>
      <c r="C180" s="35" t="s">
        <v>19</v>
      </c>
      <c r="D180" s="33" t="s">
        <v>20</v>
      </c>
      <c r="E180" s="33"/>
      <c r="F180" s="36" t="s">
        <v>429</v>
      </c>
      <c r="G180" s="36"/>
      <c r="H180" s="37">
        <v>1376.885</v>
      </c>
      <c r="I180" s="37">
        <v>1226.385</v>
      </c>
      <c r="J180" s="37">
        <v>864.10400000000004</v>
      </c>
      <c r="K180" s="37">
        <v>1017.549</v>
      </c>
      <c r="L180" s="26">
        <f t="shared" si="45"/>
        <v>4484.9229999999998</v>
      </c>
      <c r="M180" s="38">
        <v>85.51</v>
      </c>
      <c r="N180" s="27">
        <v>95.63</v>
      </c>
      <c r="O180" s="38">
        <v>33.39</v>
      </c>
      <c r="P180" s="27">
        <v>34.72</v>
      </c>
      <c r="Q180" s="28">
        <f t="shared" si="42"/>
        <v>71763.246200000009</v>
      </c>
      <c r="R180" s="28">
        <f t="shared" si="43"/>
        <v>63919.186200000004</v>
      </c>
      <c r="S180" s="28">
        <f>(N180-P180)*J180</f>
        <v>52632.574639999999</v>
      </c>
      <c r="T180" s="28">
        <f t="shared" si="44"/>
        <v>61978.909589999996</v>
      </c>
      <c r="U180" s="28">
        <f t="shared" si="46"/>
        <v>250293.91663000002</v>
      </c>
      <c r="V180" s="53"/>
      <c r="W180" s="53"/>
      <c r="X180" s="53"/>
      <c r="Y180" s="29">
        <f t="shared" si="50"/>
        <v>111.83487311425564</v>
      </c>
      <c r="Z180" s="30">
        <f t="shared" si="51"/>
        <v>103.98322851153038</v>
      </c>
      <c r="AA180" s="54"/>
      <c r="AD180" s="32">
        <f t="shared" si="47"/>
        <v>1.6771488469615292E-2</v>
      </c>
    </row>
    <row r="181" spans="1:30" s="31" customFormat="1" ht="56.25" customHeight="1">
      <c r="A181" s="33">
        <v>3525369837</v>
      </c>
      <c r="B181" s="34" t="s">
        <v>250</v>
      </c>
      <c r="C181" s="35" t="s">
        <v>19</v>
      </c>
      <c r="D181" s="33" t="s">
        <v>20</v>
      </c>
      <c r="E181" s="33"/>
      <c r="F181" s="36" t="s">
        <v>429</v>
      </c>
      <c r="G181" s="36" t="s">
        <v>412</v>
      </c>
      <c r="H181" s="37">
        <v>1950</v>
      </c>
      <c r="I181" s="37">
        <v>1950</v>
      </c>
      <c r="J181" s="37">
        <v>1950</v>
      </c>
      <c r="K181" s="37">
        <v>1950</v>
      </c>
      <c r="L181" s="26">
        <f t="shared" si="45"/>
        <v>7800</v>
      </c>
      <c r="M181" s="38">
        <v>85.51</v>
      </c>
      <c r="N181" s="27">
        <v>95.63</v>
      </c>
      <c r="O181" s="38">
        <v>33.39</v>
      </c>
      <c r="P181" s="27">
        <v>34.72</v>
      </c>
      <c r="Q181" s="28">
        <f t="shared" si="42"/>
        <v>101634.00000000001</v>
      </c>
      <c r="R181" s="28">
        <f t="shared" si="43"/>
        <v>101634.00000000001</v>
      </c>
      <c r="S181" s="28">
        <f>(N181-P181)*J181</f>
        <v>118774.5</v>
      </c>
      <c r="T181" s="28">
        <f t="shared" si="44"/>
        <v>118774.5</v>
      </c>
      <c r="U181" s="28">
        <f t="shared" si="46"/>
        <v>440817</v>
      </c>
      <c r="V181" s="53"/>
      <c r="W181" s="53"/>
      <c r="X181" s="53"/>
      <c r="Y181" s="29">
        <f t="shared" si="50"/>
        <v>111.83487311425564</v>
      </c>
      <c r="Z181" s="30">
        <f t="shared" si="51"/>
        <v>103.98322851153038</v>
      </c>
      <c r="AA181" s="54"/>
      <c r="AD181" s="32">
        <f t="shared" si="47"/>
        <v>1.6771488469615292E-2</v>
      </c>
    </row>
    <row r="182" spans="1:30" s="40" customFormat="1" ht="15" customHeight="1">
      <c r="A182" s="33"/>
      <c r="B182" s="34"/>
      <c r="C182" s="35"/>
      <c r="D182" s="33"/>
      <c r="E182" s="33"/>
      <c r="F182" s="36"/>
      <c r="G182" s="36"/>
      <c r="H182" s="41"/>
      <c r="I182" s="41"/>
      <c r="J182" s="41"/>
      <c r="K182" s="41"/>
      <c r="L182" s="37"/>
      <c r="M182" s="41"/>
      <c r="N182" s="41"/>
      <c r="O182" s="41"/>
      <c r="P182" s="41"/>
      <c r="Q182" s="28"/>
      <c r="R182" s="28"/>
      <c r="S182" s="28"/>
      <c r="T182" s="28"/>
      <c r="U182" s="28"/>
      <c r="V182" s="39"/>
      <c r="W182" s="39"/>
      <c r="X182" s="39"/>
      <c r="Y182" s="29" t="e">
        <f t="shared" si="50"/>
        <v>#DIV/0!</v>
      </c>
      <c r="Z182" s="30" t="e">
        <f t="shared" si="51"/>
        <v>#DIV/0!</v>
      </c>
      <c r="AA182" s="2"/>
      <c r="AD182" s="32" t="e">
        <f t="shared" ref="AD182:AD183" si="53">104-Z182</f>
        <v>#DIV/0!</v>
      </c>
    </row>
    <row r="183" spans="1:30" s="40" customFormat="1" ht="56.25" customHeight="1">
      <c r="A183" s="33">
        <v>2924005075</v>
      </c>
      <c r="B183" s="34" t="s">
        <v>262</v>
      </c>
      <c r="C183" s="35" t="s">
        <v>303</v>
      </c>
      <c r="D183" s="33" t="s">
        <v>377</v>
      </c>
      <c r="E183" s="33"/>
      <c r="F183" s="36" t="s">
        <v>429</v>
      </c>
      <c r="G183" s="36" t="s">
        <v>410</v>
      </c>
      <c r="H183" s="37">
        <v>5594</v>
      </c>
      <c r="I183" s="37">
        <v>5594</v>
      </c>
      <c r="J183" s="37">
        <v>5594</v>
      </c>
      <c r="K183" s="37">
        <v>5594</v>
      </c>
      <c r="L183" s="26">
        <f t="shared" si="45"/>
        <v>22376</v>
      </c>
      <c r="M183" s="38">
        <v>146.19</v>
      </c>
      <c r="N183" s="27">
        <v>146.19</v>
      </c>
      <c r="O183" s="38">
        <v>37.57</v>
      </c>
      <c r="P183" s="27">
        <v>39.07</v>
      </c>
      <c r="Q183" s="28">
        <f t="shared" si="42"/>
        <v>607620.28</v>
      </c>
      <c r="R183" s="28">
        <f t="shared" si="43"/>
        <v>607620.28</v>
      </c>
      <c r="S183" s="28">
        <f>(N183-P183)*J183</f>
        <v>599229.28</v>
      </c>
      <c r="T183" s="28">
        <f t="shared" si="44"/>
        <v>599229.28</v>
      </c>
      <c r="U183" s="28">
        <f t="shared" si="46"/>
        <v>2413699.12</v>
      </c>
      <c r="V183" s="28"/>
      <c r="W183" s="39"/>
      <c r="X183" s="39"/>
      <c r="Y183" s="29">
        <f t="shared" si="50"/>
        <v>100</v>
      </c>
      <c r="Z183" s="30">
        <f t="shared" si="51"/>
        <v>103.99254724514239</v>
      </c>
      <c r="AA183" s="2"/>
      <c r="AD183" s="32">
        <f t="shared" si="53"/>
        <v>7.4527548576099889E-3</v>
      </c>
    </row>
    <row r="184" spans="1:30" s="40" customFormat="1" ht="15" customHeight="1">
      <c r="A184" s="33"/>
      <c r="B184" s="34"/>
      <c r="C184" s="35"/>
      <c r="D184" s="33"/>
      <c r="E184" s="33"/>
      <c r="F184" s="36"/>
      <c r="G184" s="36"/>
      <c r="H184" s="41"/>
      <c r="I184" s="41"/>
      <c r="J184" s="41"/>
      <c r="K184" s="41"/>
      <c r="L184" s="37"/>
      <c r="M184" s="41"/>
      <c r="N184" s="41"/>
      <c r="O184" s="41"/>
      <c r="P184" s="41"/>
      <c r="Q184" s="28"/>
      <c r="R184" s="28"/>
      <c r="S184" s="28"/>
      <c r="T184" s="28"/>
      <c r="U184" s="28"/>
      <c r="V184" s="39"/>
      <c r="W184" s="39"/>
      <c r="X184" s="39"/>
      <c r="Y184" s="29" t="e">
        <f t="shared" si="50"/>
        <v>#DIV/0!</v>
      </c>
      <c r="Z184" s="30" t="e">
        <f t="shared" si="51"/>
        <v>#DIV/0!</v>
      </c>
      <c r="AA184" s="2"/>
      <c r="AD184" s="32" t="e">
        <f t="shared" si="47"/>
        <v>#DIV/0!</v>
      </c>
    </row>
    <row r="185" spans="1:30" s="40" customFormat="1" ht="124.5" customHeight="1">
      <c r="A185" s="33" t="s">
        <v>99</v>
      </c>
      <c r="B185" s="34" t="s">
        <v>100</v>
      </c>
      <c r="C185" s="35" t="s">
        <v>62</v>
      </c>
      <c r="D185" s="33" t="s">
        <v>290</v>
      </c>
      <c r="E185" s="33"/>
      <c r="F185" s="36" t="s">
        <v>429</v>
      </c>
      <c r="G185" s="36"/>
      <c r="H185" s="37">
        <v>19213.143</v>
      </c>
      <c r="I185" s="37">
        <v>16702.169999999998</v>
      </c>
      <c r="J185" s="37">
        <v>15035.05</v>
      </c>
      <c r="K185" s="37">
        <v>18069.759999999998</v>
      </c>
      <c r="L185" s="26">
        <f t="shared" si="45"/>
        <v>69020.122999999992</v>
      </c>
      <c r="M185" s="38">
        <f>M46</f>
        <v>206.02</v>
      </c>
      <c r="N185" s="38">
        <f t="shared" ref="N185:P185" si="54">N46</f>
        <v>361.20540966334778</v>
      </c>
      <c r="O185" s="38">
        <f t="shared" si="54"/>
        <v>36.084460000000007</v>
      </c>
      <c r="P185" s="38">
        <f t="shared" si="54"/>
        <v>37.527838400000007</v>
      </c>
      <c r="Q185" s="28">
        <f t="shared" si="42"/>
        <v>3264995.8308022199</v>
      </c>
      <c r="R185" s="28">
        <f t="shared" si="43"/>
        <v>2838292.2781217997</v>
      </c>
      <c r="S185" s="28">
        <f>(N185-P185)*J185</f>
        <v>4866508.4678229969</v>
      </c>
      <c r="T185" s="28">
        <f t="shared" si="44"/>
        <v>5848776.0301115904</v>
      </c>
      <c r="U185" s="28">
        <f t="shared" si="46"/>
        <v>16818572.606858607</v>
      </c>
      <c r="V185" s="39"/>
      <c r="W185" s="39"/>
      <c r="X185" s="39"/>
      <c r="Y185" s="29">
        <f t="shared" si="50"/>
        <v>175.32540999094638</v>
      </c>
      <c r="Z185" s="30">
        <f t="shared" si="51"/>
        <v>104</v>
      </c>
      <c r="AA185" s="2"/>
      <c r="AD185" s="32">
        <f t="shared" si="47"/>
        <v>0</v>
      </c>
    </row>
    <row r="186" spans="1:30" s="40" customFormat="1" ht="117" customHeight="1">
      <c r="A186" s="33" t="s">
        <v>99</v>
      </c>
      <c r="B186" s="34" t="s">
        <v>100</v>
      </c>
      <c r="C186" s="35" t="s">
        <v>62</v>
      </c>
      <c r="D186" s="33" t="s">
        <v>291</v>
      </c>
      <c r="E186" s="33"/>
      <c r="F186" s="36" t="s">
        <v>429</v>
      </c>
      <c r="G186" s="36"/>
      <c r="H186" s="37">
        <v>59723.473999999995</v>
      </c>
      <c r="I186" s="37">
        <v>53846.1</v>
      </c>
      <c r="J186" s="37">
        <v>48471.49</v>
      </c>
      <c r="K186" s="37">
        <v>58255.07</v>
      </c>
      <c r="L186" s="26">
        <f t="shared" si="45"/>
        <v>220296.13399999999</v>
      </c>
      <c r="M186" s="38">
        <f>M47</f>
        <v>54.047587270000001</v>
      </c>
      <c r="N186" s="38">
        <f t="shared" ref="N186:P186" si="55">N47</f>
        <v>69.955476430864053</v>
      </c>
      <c r="O186" s="38">
        <f t="shared" si="55"/>
        <v>36.084460000000007</v>
      </c>
      <c r="P186" s="38">
        <f t="shared" si="55"/>
        <v>37.527838400000007</v>
      </c>
      <c r="Q186" s="28">
        <f t="shared" si="42"/>
        <v>1072820.3644685356</v>
      </c>
      <c r="R186" s="28">
        <f t="shared" si="43"/>
        <v>967244.34729314665</v>
      </c>
      <c r="S186" s="28">
        <f>(N186-P186)*J186</f>
        <v>1571815.9325366463</v>
      </c>
      <c r="T186" s="28">
        <f t="shared" si="44"/>
        <v>1889074.3234226471</v>
      </c>
      <c r="U186" s="28">
        <f t="shared" si="46"/>
        <v>5500954.9677209761</v>
      </c>
      <c r="V186" s="39"/>
      <c r="W186" s="39"/>
      <c r="X186" s="39"/>
      <c r="Y186" s="29"/>
      <c r="Z186" s="30"/>
      <c r="AA186" s="2"/>
      <c r="AD186" s="32"/>
    </row>
    <row r="187" spans="1:30" s="40" customFormat="1" ht="15" customHeight="1">
      <c r="A187" s="33"/>
      <c r="B187" s="34"/>
      <c r="C187" s="35"/>
      <c r="D187" s="33"/>
      <c r="E187" s="33"/>
      <c r="F187" s="36"/>
      <c r="G187" s="36"/>
      <c r="H187" s="41"/>
      <c r="I187" s="41"/>
      <c r="J187" s="41"/>
      <c r="K187" s="41"/>
      <c r="L187" s="37"/>
      <c r="M187" s="41"/>
      <c r="N187" s="41"/>
      <c r="O187" s="41"/>
      <c r="P187" s="41"/>
      <c r="Q187" s="28"/>
      <c r="R187" s="28"/>
      <c r="S187" s="28"/>
      <c r="T187" s="28"/>
      <c r="U187" s="28"/>
      <c r="V187" s="39"/>
      <c r="W187" s="39"/>
      <c r="X187" s="39"/>
      <c r="Y187" s="29" t="e">
        <f>N187/M187*100</f>
        <v>#DIV/0!</v>
      </c>
      <c r="Z187" s="30" t="e">
        <f>P187/O187*100</f>
        <v>#DIV/0!</v>
      </c>
      <c r="AA187" s="2"/>
      <c r="AD187" s="32" t="e">
        <f t="shared" si="47"/>
        <v>#DIV/0!</v>
      </c>
    </row>
    <row r="188" spans="1:30" s="40" customFormat="1" ht="56.25" customHeight="1">
      <c r="A188" s="33" t="s">
        <v>60</v>
      </c>
      <c r="B188" s="34" t="s">
        <v>74</v>
      </c>
      <c r="C188" s="35" t="s">
        <v>75</v>
      </c>
      <c r="D188" s="33" t="s">
        <v>63</v>
      </c>
      <c r="E188" s="33"/>
      <c r="F188" s="36" t="s">
        <v>429</v>
      </c>
      <c r="G188" s="36"/>
      <c r="H188" s="37">
        <v>5540.5379999999996</v>
      </c>
      <c r="I188" s="37">
        <v>5201.7179999999998</v>
      </c>
      <c r="J188" s="37">
        <v>4082.7219999999998</v>
      </c>
      <c r="K188" s="37">
        <v>5101.8580000000002</v>
      </c>
      <c r="L188" s="26">
        <f t="shared" si="45"/>
        <v>19926.835999999999</v>
      </c>
      <c r="M188" s="45">
        <v>48.68</v>
      </c>
      <c r="N188" s="45">
        <v>58.84</v>
      </c>
      <c r="O188" s="45">
        <v>34.75</v>
      </c>
      <c r="P188" s="45">
        <v>36.14</v>
      </c>
      <c r="Q188" s="28">
        <f t="shared" si="42"/>
        <v>77179.694339999987</v>
      </c>
      <c r="R188" s="28">
        <f t="shared" si="43"/>
        <v>72459.93174</v>
      </c>
      <c r="S188" s="28">
        <f t="shared" ref="S188:S190" si="56">(N188-P188)*J188</f>
        <v>92677.789400000009</v>
      </c>
      <c r="T188" s="28">
        <f t="shared" si="44"/>
        <v>115812.17660000002</v>
      </c>
      <c r="U188" s="28">
        <f t="shared" si="46"/>
        <v>358129.59208000003</v>
      </c>
      <c r="V188" s="39"/>
      <c r="W188" s="39"/>
      <c r="X188" s="39"/>
      <c r="Y188" s="29">
        <f>N188/M188*100</f>
        <v>120.87099424815119</v>
      </c>
      <c r="Z188" s="30">
        <f>P188/O188*100</f>
        <v>104</v>
      </c>
      <c r="AA188" s="2"/>
      <c r="AD188" s="32">
        <f t="shared" si="47"/>
        <v>0</v>
      </c>
    </row>
    <row r="189" spans="1:30" s="40" customFormat="1" ht="56.25" customHeight="1">
      <c r="A189" s="33" t="s">
        <v>251</v>
      </c>
      <c r="B189" s="34" t="s">
        <v>252</v>
      </c>
      <c r="C189" s="35" t="s">
        <v>75</v>
      </c>
      <c r="D189" s="33" t="s">
        <v>253</v>
      </c>
      <c r="E189" s="33"/>
      <c r="F189" s="36" t="s">
        <v>429</v>
      </c>
      <c r="G189" s="36"/>
      <c r="H189" s="37">
        <v>55614.073999999993</v>
      </c>
      <c r="I189" s="37">
        <v>54048.392999999996</v>
      </c>
      <c r="J189" s="37">
        <v>41338.046999999999</v>
      </c>
      <c r="K189" s="37">
        <v>53245.422000000006</v>
      </c>
      <c r="L189" s="26">
        <f t="shared" si="45"/>
        <v>204245.93599999999</v>
      </c>
      <c r="M189" s="38">
        <v>48.68</v>
      </c>
      <c r="N189" s="38">
        <v>58.84</v>
      </c>
      <c r="O189" s="38">
        <v>34.75</v>
      </c>
      <c r="P189" s="38">
        <v>36.14</v>
      </c>
      <c r="Q189" s="28">
        <f t="shared" si="42"/>
        <v>774704.05081999989</v>
      </c>
      <c r="R189" s="28">
        <f t="shared" si="43"/>
        <v>752894.11448999995</v>
      </c>
      <c r="S189" s="28">
        <f t="shared" si="56"/>
        <v>938373.66690000007</v>
      </c>
      <c r="T189" s="28">
        <f t="shared" si="44"/>
        <v>1208671.0794000004</v>
      </c>
      <c r="U189" s="28">
        <f t="shared" si="46"/>
        <v>3674642.9116099998</v>
      </c>
      <c r="V189" s="39"/>
      <c r="W189" s="39"/>
      <c r="X189" s="39"/>
      <c r="Y189" s="29">
        <f>N189/M189*100</f>
        <v>120.87099424815119</v>
      </c>
      <c r="Z189" s="30">
        <f>P189/O189*100</f>
        <v>104</v>
      </c>
      <c r="AA189" s="2"/>
      <c r="AD189" s="32">
        <f t="shared" si="47"/>
        <v>0</v>
      </c>
    </row>
    <row r="190" spans="1:30" s="40" customFormat="1" ht="56.25" customHeight="1">
      <c r="A190" s="33" t="s">
        <v>251</v>
      </c>
      <c r="B190" s="34" t="s">
        <v>252</v>
      </c>
      <c r="C190" s="35" t="s">
        <v>75</v>
      </c>
      <c r="D190" s="33" t="s">
        <v>254</v>
      </c>
      <c r="E190" s="33"/>
      <c r="F190" s="36" t="s">
        <v>429</v>
      </c>
      <c r="G190" s="36"/>
      <c r="H190" s="37">
        <v>27996.404000000002</v>
      </c>
      <c r="I190" s="37">
        <v>27428.894999999997</v>
      </c>
      <c r="J190" s="37">
        <v>20895.951999999997</v>
      </c>
      <c r="K190" s="37">
        <v>26251.089999999997</v>
      </c>
      <c r="L190" s="26">
        <f t="shared" si="45"/>
        <v>102572.34099999999</v>
      </c>
      <c r="M190" s="38">
        <v>54.31</v>
      </c>
      <c r="N190" s="38">
        <v>62.85</v>
      </c>
      <c r="O190" s="38">
        <v>34.75</v>
      </c>
      <c r="P190" s="38">
        <v>36.14</v>
      </c>
      <c r="Q190" s="28">
        <f t="shared" si="42"/>
        <v>547609.66224000009</v>
      </c>
      <c r="R190" s="28">
        <f t="shared" si="43"/>
        <v>536509.1862</v>
      </c>
      <c r="S190" s="28">
        <f t="shared" si="56"/>
        <v>558130.87792</v>
      </c>
      <c r="T190" s="28">
        <f t="shared" si="44"/>
        <v>701166.61389999988</v>
      </c>
      <c r="U190" s="28">
        <f t="shared" si="46"/>
        <v>2343416.34026</v>
      </c>
      <c r="V190" s="39"/>
      <c r="W190" s="39"/>
      <c r="X190" s="39"/>
      <c r="Y190" s="29">
        <f>N190/M190*100</f>
        <v>115.72454428282084</v>
      </c>
      <c r="Z190" s="30">
        <f>P190/O190*100</f>
        <v>104</v>
      </c>
      <c r="AA190" s="2"/>
      <c r="AD190" s="32">
        <f t="shared" si="47"/>
        <v>0</v>
      </c>
    </row>
    <row r="191" spans="1:30" s="40" customFormat="1" ht="15" customHeight="1">
      <c r="A191" s="33"/>
      <c r="B191" s="34"/>
      <c r="C191" s="35"/>
      <c r="D191" s="33"/>
      <c r="E191" s="33"/>
      <c r="F191" s="36"/>
      <c r="G191" s="36"/>
      <c r="H191" s="41"/>
      <c r="I191" s="41"/>
      <c r="J191" s="41"/>
      <c r="K191" s="41"/>
      <c r="L191" s="37"/>
      <c r="M191" s="41"/>
      <c r="N191" s="41"/>
      <c r="O191" s="41"/>
      <c r="P191" s="41"/>
      <c r="Q191" s="28"/>
      <c r="R191" s="28"/>
      <c r="S191" s="28"/>
      <c r="T191" s="28"/>
      <c r="U191" s="28"/>
      <c r="V191" s="39"/>
      <c r="W191" s="39"/>
      <c r="X191" s="39"/>
      <c r="Y191" s="29" t="e">
        <f>N191/M191*100</f>
        <v>#DIV/0!</v>
      </c>
      <c r="Z191" s="30" t="e">
        <f>P191/O191*100</f>
        <v>#DIV/0!</v>
      </c>
      <c r="AA191" s="2"/>
      <c r="AD191" s="32" t="e">
        <f t="shared" si="47"/>
        <v>#DIV/0!</v>
      </c>
    </row>
    <row r="192" spans="1:30" s="40" customFormat="1" ht="56.25" customHeight="1">
      <c r="A192" s="33">
        <v>2912007007</v>
      </c>
      <c r="B192" s="34" t="s">
        <v>292</v>
      </c>
      <c r="C192" s="35" t="s">
        <v>86</v>
      </c>
      <c r="D192" s="33" t="s">
        <v>87</v>
      </c>
      <c r="E192" s="33"/>
      <c r="F192" s="36" t="s">
        <v>429</v>
      </c>
      <c r="G192" s="36" t="s">
        <v>409</v>
      </c>
      <c r="H192" s="37">
        <f>1313.287+857.041</f>
        <v>2170.328</v>
      </c>
      <c r="I192" s="37">
        <f>1057.625+469.612</f>
        <v>1527.2370000000001</v>
      </c>
      <c r="J192" s="37">
        <f>590.086+182.54</f>
        <v>772.62599999999998</v>
      </c>
      <c r="K192" s="37">
        <f>1165.325+623.877</f>
        <v>1789.202</v>
      </c>
      <c r="L192" s="26">
        <f t="shared" si="45"/>
        <v>6259.393</v>
      </c>
      <c r="M192" s="38">
        <v>51.82</v>
      </c>
      <c r="N192" s="27">
        <v>61.899898181465936</v>
      </c>
      <c r="O192" s="38">
        <v>43.18</v>
      </c>
      <c r="P192" s="27">
        <v>44.907200000000003</v>
      </c>
      <c r="Q192" s="28">
        <f t="shared" si="42"/>
        <v>18751.63392</v>
      </c>
      <c r="R192" s="28">
        <f t="shared" si="43"/>
        <v>13195.327680000002</v>
      </c>
      <c r="S192" s="28">
        <f>(N192-P192)*J192</f>
        <v>13129.000425153297</v>
      </c>
      <c r="T192" s="28">
        <f t="shared" si="44"/>
        <v>30403.369571675208</v>
      </c>
      <c r="U192" s="28">
        <f t="shared" si="46"/>
        <v>75479.331596828502</v>
      </c>
      <c r="V192" s="39"/>
      <c r="W192" s="39"/>
      <c r="X192" s="39"/>
      <c r="Y192" s="29"/>
      <c r="Z192" s="30"/>
      <c r="AA192" s="2"/>
      <c r="AD192" s="32"/>
    </row>
    <row r="193" spans="1:30" s="40" customFormat="1" ht="56.25" customHeight="1">
      <c r="A193" s="33" t="s">
        <v>60</v>
      </c>
      <c r="B193" s="34" t="s">
        <v>61</v>
      </c>
      <c r="C193" s="35" t="s">
        <v>86</v>
      </c>
      <c r="D193" s="33" t="s">
        <v>87</v>
      </c>
      <c r="E193" s="33"/>
      <c r="F193" s="36" t="s">
        <v>429</v>
      </c>
      <c r="G193" s="36"/>
      <c r="H193" s="37">
        <f>177.376-16.039</f>
        <v>161.33699999999999</v>
      </c>
      <c r="I193" s="37">
        <v>135.376</v>
      </c>
      <c r="J193" s="37">
        <v>116.188</v>
      </c>
      <c r="K193" s="37">
        <v>123.98</v>
      </c>
      <c r="L193" s="26">
        <f t="shared" si="45"/>
        <v>536.88099999999997</v>
      </c>
      <c r="M193" s="38">
        <v>47.29</v>
      </c>
      <c r="N193" s="27">
        <v>54.992384506</v>
      </c>
      <c r="O193" s="38">
        <v>42.2</v>
      </c>
      <c r="P193" s="27">
        <v>43.888000000000005</v>
      </c>
      <c r="Q193" s="28">
        <f t="shared" si="42"/>
        <v>821.20532999999932</v>
      </c>
      <c r="R193" s="28">
        <f t="shared" si="43"/>
        <v>689.06383999999957</v>
      </c>
      <c r="S193" s="28">
        <f>(N193-P193)*J193</f>
        <v>1290.1962269831274</v>
      </c>
      <c r="T193" s="28">
        <f t="shared" si="44"/>
        <v>1376.7215910538794</v>
      </c>
      <c r="U193" s="28">
        <f t="shared" si="46"/>
        <v>4177.186988037005</v>
      </c>
      <c r="V193" s="39"/>
      <c r="W193" s="39"/>
      <c r="X193" s="39"/>
      <c r="Y193" s="29">
        <f t="shared" ref="Y193:Y214" si="57">N193/M193*100</f>
        <v>116.28755446394588</v>
      </c>
      <c r="Z193" s="30">
        <f t="shared" ref="Z193:Z214" si="58">P193/O193*100</f>
        <v>104</v>
      </c>
      <c r="AA193" s="2"/>
      <c r="AD193" s="32">
        <f t="shared" si="47"/>
        <v>0</v>
      </c>
    </row>
    <row r="194" spans="1:30" s="40" customFormat="1" ht="15" customHeight="1">
      <c r="A194" s="33"/>
      <c r="B194" s="34"/>
      <c r="C194" s="35"/>
      <c r="D194" s="33"/>
      <c r="E194" s="33"/>
      <c r="F194" s="36"/>
      <c r="G194" s="36"/>
      <c r="H194" s="41"/>
      <c r="I194" s="41"/>
      <c r="J194" s="41"/>
      <c r="K194" s="41"/>
      <c r="L194" s="37"/>
      <c r="M194" s="41"/>
      <c r="N194" s="41"/>
      <c r="O194" s="41"/>
      <c r="P194" s="41"/>
      <c r="Q194" s="28"/>
      <c r="R194" s="28"/>
      <c r="S194" s="28"/>
      <c r="T194" s="28"/>
      <c r="U194" s="28"/>
      <c r="V194" s="39"/>
      <c r="W194" s="39"/>
      <c r="X194" s="39"/>
      <c r="Y194" s="29" t="e">
        <f t="shared" si="57"/>
        <v>#DIV/0!</v>
      </c>
      <c r="Z194" s="30" t="e">
        <f t="shared" si="58"/>
        <v>#DIV/0!</v>
      </c>
      <c r="AA194" s="2"/>
      <c r="AD194" s="32" t="e">
        <f t="shared" si="47"/>
        <v>#DIV/0!</v>
      </c>
    </row>
    <row r="195" spans="1:30" s="40" customFormat="1" ht="56.25" customHeight="1">
      <c r="A195" s="33">
        <v>2901294110</v>
      </c>
      <c r="B195" s="34" t="s">
        <v>294</v>
      </c>
      <c r="C195" s="35" t="s">
        <v>97</v>
      </c>
      <c r="D195" s="33" t="s">
        <v>104</v>
      </c>
      <c r="E195" s="33"/>
      <c r="F195" s="36" t="s">
        <v>429</v>
      </c>
      <c r="G195" s="36" t="s">
        <v>101</v>
      </c>
      <c r="H195" s="37">
        <v>860.44399999999996</v>
      </c>
      <c r="I195" s="37">
        <v>1207.7660000000001</v>
      </c>
      <c r="J195" s="37">
        <v>849.58400000000006</v>
      </c>
      <c r="K195" s="37">
        <v>874.54600000000005</v>
      </c>
      <c r="L195" s="26">
        <f t="shared" si="45"/>
        <v>3792.34</v>
      </c>
      <c r="M195" s="38">
        <v>160.49</v>
      </c>
      <c r="N195" s="27">
        <v>160.49</v>
      </c>
      <c r="O195" s="38">
        <v>85.83</v>
      </c>
      <c r="P195" s="27">
        <v>89.26</v>
      </c>
      <c r="Q195" s="28">
        <f t="shared" si="42"/>
        <v>64240.74904000001</v>
      </c>
      <c r="R195" s="28">
        <f t="shared" si="43"/>
        <v>90171.809560000023</v>
      </c>
      <c r="S195" s="28">
        <f t="shared" ref="S195:S197" si="59">(N195-P195)*J195</f>
        <v>60515.868320000009</v>
      </c>
      <c r="T195" s="28">
        <f t="shared" si="44"/>
        <v>62293.911580000007</v>
      </c>
      <c r="U195" s="28">
        <f t="shared" si="46"/>
        <v>277222.33850000007</v>
      </c>
      <c r="V195" s="39"/>
      <c r="W195" s="39"/>
      <c r="X195" s="39"/>
      <c r="Y195" s="29">
        <f t="shared" si="57"/>
        <v>100</v>
      </c>
      <c r="Z195" s="30">
        <f t="shared" si="58"/>
        <v>103.99627169987184</v>
      </c>
      <c r="AA195" s="2"/>
      <c r="AD195" s="32">
        <f t="shared" si="47"/>
        <v>3.7283001281593897E-3</v>
      </c>
    </row>
    <row r="196" spans="1:30" s="40" customFormat="1" ht="56.25" customHeight="1">
      <c r="A196" s="33">
        <v>2901294110</v>
      </c>
      <c r="B196" s="34" t="s">
        <v>294</v>
      </c>
      <c r="C196" s="35" t="s">
        <v>97</v>
      </c>
      <c r="D196" s="33" t="s">
        <v>255</v>
      </c>
      <c r="E196" s="33"/>
      <c r="F196" s="36" t="s">
        <v>429</v>
      </c>
      <c r="G196" s="36" t="s">
        <v>293</v>
      </c>
      <c r="H196" s="37">
        <v>1337.848</v>
      </c>
      <c r="I196" s="37">
        <v>1100.518</v>
      </c>
      <c r="J196" s="37">
        <v>1016.353</v>
      </c>
      <c r="K196" s="37">
        <v>1056.6399999999999</v>
      </c>
      <c r="L196" s="26">
        <f t="shared" si="45"/>
        <v>4511.3590000000004</v>
      </c>
      <c r="M196" s="38">
        <v>185.27</v>
      </c>
      <c r="N196" s="27">
        <v>210.29</v>
      </c>
      <c r="O196" s="38">
        <v>77.64</v>
      </c>
      <c r="P196" s="27">
        <v>80.75</v>
      </c>
      <c r="Q196" s="28">
        <f t="shared" si="42"/>
        <v>143992.58024000001</v>
      </c>
      <c r="R196" s="28">
        <f t="shared" si="43"/>
        <v>118448.75234000002</v>
      </c>
      <c r="S196" s="28">
        <f t="shared" si="59"/>
        <v>131658.36761999998</v>
      </c>
      <c r="T196" s="28">
        <f t="shared" si="44"/>
        <v>136877.14559999999</v>
      </c>
      <c r="U196" s="28">
        <f t="shared" si="46"/>
        <v>530976.84580000001</v>
      </c>
      <c r="V196" s="39"/>
      <c r="W196" s="39"/>
      <c r="X196" s="39"/>
      <c r="Y196" s="29">
        <f t="shared" si="57"/>
        <v>113.50461488638202</v>
      </c>
      <c r="Z196" s="30">
        <f t="shared" si="58"/>
        <v>104.00566718186501</v>
      </c>
      <c r="AA196" s="116"/>
      <c r="AD196" s="32">
        <f t="shared" si="47"/>
        <v>-5.6671818650073646E-3</v>
      </c>
    </row>
    <row r="197" spans="1:30" s="40" customFormat="1" ht="56.25" customHeight="1">
      <c r="A197" s="33">
        <v>2901294110</v>
      </c>
      <c r="B197" s="34" t="s">
        <v>294</v>
      </c>
      <c r="C197" s="35" t="s">
        <v>97</v>
      </c>
      <c r="D197" s="33" t="s">
        <v>295</v>
      </c>
      <c r="E197" s="33"/>
      <c r="F197" s="36" t="s">
        <v>429</v>
      </c>
      <c r="G197" s="36" t="s">
        <v>293</v>
      </c>
      <c r="H197" s="37">
        <v>4589.1759999999995</v>
      </c>
      <c r="I197" s="37">
        <v>4859.7780000000002</v>
      </c>
      <c r="J197" s="37">
        <v>3754.3440000000001</v>
      </c>
      <c r="K197" s="37">
        <v>3871.1950000000002</v>
      </c>
      <c r="L197" s="26">
        <f t="shared" si="45"/>
        <v>17074.492999999999</v>
      </c>
      <c r="M197" s="38">
        <v>185.27</v>
      </c>
      <c r="N197" s="27">
        <v>210.29</v>
      </c>
      <c r="O197" s="38">
        <v>65.41</v>
      </c>
      <c r="P197" s="27">
        <v>68.03</v>
      </c>
      <c r="Q197" s="28">
        <f t="shared" si="42"/>
        <v>550058.63535999996</v>
      </c>
      <c r="R197" s="28">
        <f t="shared" si="43"/>
        <v>582492.99108000007</v>
      </c>
      <c r="S197" s="28">
        <f t="shared" si="59"/>
        <v>534092.97743999993</v>
      </c>
      <c r="T197" s="28">
        <f t="shared" si="44"/>
        <v>550716.20070000004</v>
      </c>
      <c r="U197" s="28">
        <f t="shared" si="46"/>
        <v>2217360.8045799998</v>
      </c>
      <c r="V197" s="39"/>
      <c r="W197" s="39"/>
      <c r="X197" s="39"/>
      <c r="Y197" s="29">
        <f t="shared" si="57"/>
        <v>113.50461488638202</v>
      </c>
      <c r="Z197" s="30">
        <f t="shared" si="58"/>
        <v>104.00550374560464</v>
      </c>
      <c r="AA197" s="116"/>
      <c r="AD197" s="32">
        <f t="shared" si="47"/>
        <v>-5.503745604642063E-3</v>
      </c>
    </row>
    <row r="198" spans="1:30" s="96" customFormat="1" ht="15" customHeight="1">
      <c r="A198" s="33"/>
      <c r="B198" s="34"/>
      <c r="C198" s="35"/>
      <c r="D198" s="33"/>
      <c r="E198" s="33"/>
      <c r="F198" s="36"/>
      <c r="G198" s="36"/>
      <c r="H198" s="41"/>
      <c r="I198" s="41"/>
      <c r="J198" s="41"/>
      <c r="K198" s="41"/>
      <c r="L198" s="37"/>
      <c r="M198" s="41"/>
      <c r="N198" s="41"/>
      <c r="O198" s="41"/>
      <c r="P198" s="41"/>
      <c r="Q198" s="28"/>
      <c r="R198" s="28"/>
      <c r="S198" s="28"/>
      <c r="T198" s="28"/>
      <c r="U198" s="28"/>
      <c r="V198" s="165"/>
      <c r="W198" s="165"/>
      <c r="X198" s="165"/>
      <c r="Y198" s="29" t="e">
        <f t="shared" si="57"/>
        <v>#DIV/0!</v>
      </c>
      <c r="Z198" s="30" t="e">
        <f t="shared" si="58"/>
        <v>#DIV/0!</v>
      </c>
      <c r="AA198" s="116"/>
      <c r="AD198" s="32" t="e">
        <f t="shared" si="47"/>
        <v>#DIV/0!</v>
      </c>
    </row>
    <row r="199" spans="1:30" s="40" customFormat="1" ht="56.25" customHeight="1">
      <c r="A199" s="33" t="s">
        <v>116</v>
      </c>
      <c r="B199" s="34" t="s">
        <v>117</v>
      </c>
      <c r="C199" s="35" t="s">
        <v>113</v>
      </c>
      <c r="D199" s="33" t="s">
        <v>118</v>
      </c>
      <c r="E199" s="33"/>
      <c r="F199" s="36" t="s">
        <v>429</v>
      </c>
      <c r="G199" s="36"/>
      <c r="H199" s="37">
        <v>2537.6400000000003</v>
      </c>
      <c r="I199" s="37">
        <f>2543.968-26.554</f>
        <v>2517.4139999999998</v>
      </c>
      <c r="J199" s="37">
        <v>2610.3009999999999</v>
      </c>
      <c r="K199" s="37">
        <v>2462.4870000000001</v>
      </c>
      <c r="L199" s="26">
        <f t="shared" si="45"/>
        <v>10127.842000000001</v>
      </c>
      <c r="M199" s="38">
        <f>M86</f>
        <v>57.23</v>
      </c>
      <c r="N199" s="38">
        <f>N86</f>
        <v>71.23</v>
      </c>
      <c r="O199" s="38">
        <f>O86</f>
        <v>23</v>
      </c>
      <c r="P199" s="38">
        <f>P86</f>
        <v>23.92</v>
      </c>
      <c r="Q199" s="28">
        <f t="shared" si="42"/>
        <v>86863.417199999996</v>
      </c>
      <c r="R199" s="28">
        <f t="shared" si="43"/>
        <v>86171.081219999978</v>
      </c>
      <c r="S199" s="28">
        <f>(N199-P199)*J199</f>
        <v>123493.34031</v>
      </c>
      <c r="T199" s="28">
        <f t="shared" si="44"/>
        <v>116500.25997000001</v>
      </c>
      <c r="U199" s="28">
        <f t="shared" si="46"/>
        <v>413028.09869999997</v>
      </c>
      <c r="V199" s="39"/>
      <c r="W199" s="39"/>
      <c r="X199" s="39"/>
      <c r="Y199" s="29">
        <f t="shared" si="57"/>
        <v>124.46269439105366</v>
      </c>
      <c r="Z199" s="30">
        <f t="shared" si="58"/>
        <v>104</v>
      </c>
      <c r="AA199" s="2"/>
      <c r="AD199" s="32">
        <f t="shared" si="47"/>
        <v>0</v>
      </c>
    </row>
    <row r="200" spans="1:30" s="40" customFormat="1" ht="15" customHeight="1">
      <c r="A200" s="33"/>
      <c r="B200" s="34"/>
      <c r="C200" s="35"/>
      <c r="D200" s="33"/>
      <c r="E200" s="33"/>
      <c r="F200" s="36"/>
      <c r="G200" s="36"/>
      <c r="H200" s="41"/>
      <c r="I200" s="41"/>
      <c r="J200" s="41"/>
      <c r="K200" s="41"/>
      <c r="L200" s="37"/>
      <c r="M200" s="41"/>
      <c r="N200" s="41"/>
      <c r="O200" s="41"/>
      <c r="P200" s="41"/>
      <c r="Q200" s="28"/>
      <c r="R200" s="28"/>
      <c r="S200" s="28"/>
      <c r="T200" s="28"/>
      <c r="U200" s="28"/>
      <c r="V200" s="39"/>
      <c r="W200" s="39"/>
      <c r="X200" s="39"/>
      <c r="Y200" s="29" t="e">
        <f t="shared" si="57"/>
        <v>#DIV/0!</v>
      </c>
      <c r="Z200" s="30" t="e">
        <f t="shared" si="58"/>
        <v>#DIV/0!</v>
      </c>
      <c r="AA200" s="2"/>
      <c r="AD200" s="32" t="e">
        <f t="shared" si="47"/>
        <v>#DIV/0!</v>
      </c>
    </row>
    <row r="201" spans="1:30" s="40" customFormat="1" ht="56.25" customHeight="1">
      <c r="A201" s="33" t="s">
        <v>256</v>
      </c>
      <c r="B201" s="34" t="s">
        <v>257</v>
      </c>
      <c r="C201" s="35" t="s">
        <v>129</v>
      </c>
      <c r="D201" s="33" t="s">
        <v>130</v>
      </c>
      <c r="E201" s="33"/>
      <c r="F201" s="36" t="s">
        <v>429</v>
      </c>
      <c r="G201" s="36" t="s">
        <v>101</v>
      </c>
      <c r="H201" s="37">
        <v>25439.89</v>
      </c>
      <c r="I201" s="37">
        <f>17976.03+46.51</f>
        <v>18022.539999999997</v>
      </c>
      <c r="J201" s="37">
        <v>5647.29</v>
      </c>
      <c r="K201" s="37">
        <v>19628.623</v>
      </c>
      <c r="L201" s="26">
        <f t="shared" si="45"/>
        <v>68738.342999999993</v>
      </c>
      <c r="M201" s="38">
        <v>84.55</v>
      </c>
      <c r="N201" s="27">
        <v>98.436191000000008</v>
      </c>
      <c r="O201" s="38">
        <v>47.7</v>
      </c>
      <c r="P201" s="27">
        <v>49.608000000000004</v>
      </c>
      <c r="Q201" s="28">
        <f t="shared" si="42"/>
        <v>937459.94649999985</v>
      </c>
      <c r="R201" s="28">
        <f t="shared" si="43"/>
        <v>664130.59899999981</v>
      </c>
      <c r="S201" s="28">
        <f t="shared" ref="S201:S203" si="60">(N201-P201)*J201</f>
        <v>275746.95475239004</v>
      </c>
      <c r="T201" s="28">
        <f t="shared" si="44"/>
        <v>958430.15291099309</v>
      </c>
      <c r="U201" s="28">
        <f t="shared" si="46"/>
        <v>2835767.6531633828</v>
      </c>
      <c r="V201" s="39"/>
      <c r="W201" s="39"/>
      <c r="X201" s="39"/>
      <c r="Y201" s="29">
        <f t="shared" si="57"/>
        <v>116.42364399763454</v>
      </c>
      <c r="Z201" s="30">
        <f t="shared" si="58"/>
        <v>104</v>
      </c>
      <c r="AA201" s="2"/>
      <c r="AD201" s="32">
        <f t="shared" si="47"/>
        <v>0</v>
      </c>
    </row>
    <row r="202" spans="1:30" s="40" customFormat="1" ht="56.25" customHeight="1">
      <c r="A202" s="33" t="s">
        <v>60</v>
      </c>
      <c r="B202" s="34" t="s">
        <v>61</v>
      </c>
      <c r="C202" s="35" t="s">
        <v>129</v>
      </c>
      <c r="D202" s="33" t="s">
        <v>258</v>
      </c>
      <c r="E202" s="33"/>
      <c r="F202" s="36" t="s">
        <v>429</v>
      </c>
      <c r="G202" s="36"/>
      <c r="H202" s="37">
        <v>622.02099999999996</v>
      </c>
      <c r="I202" s="37">
        <v>483.65099999999995</v>
      </c>
      <c r="J202" s="37">
        <v>545.42200000000003</v>
      </c>
      <c r="K202" s="37">
        <v>1007.8899999999999</v>
      </c>
      <c r="L202" s="26">
        <f t="shared" si="45"/>
        <v>2658.9839999999999</v>
      </c>
      <c r="M202" s="38">
        <v>47.29</v>
      </c>
      <c r="N202" s="27">
        <v>54.992384506</v>
      </c>
      <c r="O202" s="38">
        <v>43.5</v>
      </c>
      <c r="P202" s="27">
        <v>45.24</v>
      </c>
      <c r="Q202" s="28">
        <f t="shared" ref="Q202:Q262" si="61">(M202-O202)*H202</f>
        <v>2357.4595899999995</v>
      </c>
      <c r="R202" s="28">
        <f t="shared" ref="R202:R262" si="62">(M202-O202)*I202</f>
        <v>1833.0372899999993</v>
      </c>
      <c r="S202" s="28">
        <f t="shared" si="60"/>
        <v>5319.1650620315313</v>
      </c>
      <c r="T202" s="28">
        <f t="shared" si="44"/>
        <v>9829.3308197523365</v>
      </c>
      <c r="U202" s="28">
        <f t="shared" si="46"/>
        <v>19338.992761783866</v>
      </c>
      <c r="V202" s="39"/>
      <c r="W202" s="39"/>
      <c r="X202" s="39"/>
      <c r="Y202" s="29">
        <f t="shared" si="57"/>
        <v>116.28755446394588</v>
      </c>
      <c r="Z202" s="30">
        <f t="shared" si="58"/>
        <v>104</v>
      </c>
      <c r="AA202" s="2"/>
      <c r="AD202" s="32">
        <f t="shared" si="47"/>
        <v>0</v>
      </c>
    </row>
    <row r="203" spans="1:30" s="40" customFormat="1" ht="69.75" customHeight="1">
      <c r="A203" s="33" t="s">
        <v>60</v>
      </c>
      <c r="B203" s="34" t="s">
        <v>61</v>
      </c>
      <c r="C203" s="35" t="s">
        <v>129</v>
      </c>
      <c r="D203" s="33" t="s">
        <v>259</v>
      </c>
      <c r="E203" s="33"/>
      <c r="F203" s="36" t="s">
        <v>429</v>
      </c>
      <c r="G203" s="36"/>
      <c r="H203" s="37">
        <v>1542.2309999999998</v>
      </c>
      <c r="I203" s="37">
        <v>1112.7450000000001</v>
      </c>
      <c r="J203" s="37">
        <v>1228.5740000000001</v>
      </c>
      <c r="K203" s="37">
        <v>1748.5060000000001</v>
      </c>
      <c r="L203" s="26">
        <f t="shared" ref="L203:L265" si="63">H203+I203+J203+K203</f>
        <v>5632.0559999999996</v>
      </c>
      <c r="M203" s="38">
        <v>84.55</v>
      </c>
      <c r="N203" s="27">
        <v>98.436191000000008</v>
      </c>
      <c r="O203" s="38">
        <v>43.5</v>
      </c>
      <c r="P203" s="27">
        <v>45.24</v>
      </c>
      <c r="Q203" s="28">
        <f t="shared" si="61"/>
        <v>63308.582549999985</v>
      </c>
      <c r="R203" s="28">
        <f t="shared" si="62"/>
        <v>45678.182250000005</v>
      </c>
      <c r="S203" s="28">
        <f t="shared" si="60"/>
        <v>65355.457161634011</v>
      </c>
      <c r="T203" s="28">
        <f t="shared" ref="T203:T264" si="64">(N203-P203)*K203</f>
        <v>93013.859140646018</v>
      </c>
      <c r="U203" s="28">
        <f t="shared" si="46"/>
        <v>267356.08110228</v>
      </c>
      <c r="V203" s="39"/>
      <c r="W203" s="39"/>
      <c r="X203" s="39"/>
      <c r="Y203" s="29">
        <f t="shared" si="57"/>
        <v>116.42364399763454</v>
      </c>
      <c r="Z203" s="30">
        <f t="shared" si="58"/>
        <v>104</v>
      </c>
      <c r="AA203" s="2"/>
      <c r="AD203" s="32">
        <f t="shared" si="47"/>
        <v>0</v>
      </c>
    </row>
    <row r="204" spans="1:30" s="40" customFormat="1" ht="15" customHeight="1">
      <c r="A204" s="33"/>
      <c r="B204" s="34"/>
      <c r="C204" s="35"/>
      <c r="D204" s="33"/>
      <c r="E204" s="33"/>
      <c r="F204" s="36"/>
      <c r="G204" s="36"/>
      <c r="H204" s="41"/>
      <c r="I204" s="41"/>
      <c r="J204" s="41"/>
      <c r="K204" s="41"/>
      <c r="L204" s="37"/>
      <c r="M204" s="41"/>
      <c r="N204" s="41"/>
      <c r="O204" s="41"/>
      <c r="P204" s="41"/>
      <c r="Q204" s="28"/>
      <c r="R204" s="28"/>
      <c r="S204" s="28"/>
      <c r="T204" s="28"/>
      <c r="U204" s="28"/>
      <c r="V204" s="39"/>
      <c r="W204" s="39"/>
      <c r="X204" s="39"/>
      <c r="Y204" s="29" t="e">
        <f t="shared" si="57"/>
        <v>#DIV/0!</v>
      </c>
      <c r="Z204" s="30" t="e">
        <f t="shared" si="58"/>
        <v>#DIV/0!</v>
      </c>
      <c r="AA204" s="2"/>
      <c r="AD204" s="32" t="e">
        <f t="shared" si="47"/>
        <v>#DIV/0!</v>
      </c>
    </row>
    <row r="205" spans="1:30" s="40" customFormat="1" ht="56.25" customHeight="1">
      <c r="A205" s="33" t="s">
        <v>260</v>
      </c>
      <c r="B205" s="34" t="s">
        <v>261</v>
      </c>
      <c r="C205" s="35" t="s">
        <v>134</v>
      </c>
      <c r="D205" s="33" t="s">
        <v>135</v>
      </c>
      <c r="E205" s="33"/>
      <c r="F205" s="36" t="s">
        <v>429</v>
      </c>
      <c r="G205" s="36"/>
      <c r="H205" s="37">
        <v>3299.7670000000003</v>
      </c>
      <c r="I205" s="37">
        <v>3256.8440000000001</v>
      </c>
      <c r="J205" s="37">
        <v>2501.3560000000002</v>
      </c>
      <c r="K205" s="37">
        <v>3050.0450000000001</v>
      </c>
      <c r="L205" s="26">
        <f t="shared" si="63"/>
        <v>12108.012000000001</v>
      </c>
      <c r="M205" s="38">
        <v>47.29</v>
      </c>
      <c r="N205" s="27">
        <v>54.99</v>
      </c>
      <c r="O205" s="38">
        <v>43.5</v>
      </c>
      <c r="P205" s="27">
        <v>45.24</v>
      </c>
      <c r="Q205" s="28">
        <f t="shared" si="61"/>
        <v>12506.116929999998</v>
      </c>
      <c r="R205" s="28">
        <f t="shared" si="62"/>
        <v>12343.438759999997</v>
      </c>
      <c r="S205" s="28">
        <f>(N205-P205)*J205</f>
        <v>24388.221000000001</v>
      </c>
      <c r="T205" s="28">
        <f t="shared" si="64"/>
        <v>29737.938750000001</v>
      </c>
      <c r="U205" s="28">
        <f t="shared" ref="U205:U268" si="65">Q205+R205+S205+T205</f>
        <v>78975.71544</v>
      </c>
      <c r="V205" s="39"/>
      <c r="W205" s="39"/>
      <c r="X205" s="39"/>
      <c r="Y205" s="29">
        <f t="shared" si="57"/>
        <v>116.28251215901884</v>
      </c>
      <c r="Z205" s="30">
        <f t="shared" si="58"/>
        <v>104</v>
      </c>
      <c r="AA205" s="2"/>
      <c r="AD205" s="32">
        <f t="shared" si="47"/>
        <v>0</v>
      </c>
    </row>
    <row r="206" spans="1:30" s="40" customFormat="1" ht="56.25" customHeight="1">
      <c r="A206" s="33" t="s">
        <v>60</v>
      </c>
      <c r="B206" s="34" t="s">
        <v>61</v>
      </c>
      <c r="C206" s="35" t="s">
        <v>134</v>
      </c>
      <c r="D206" s="33" t="s">
        <v>135</v>
      </c>
      <c r="E206" s="33"/>
      <c r="F206" s="36" t="s">
        <v>429</v>
      </c>
      <c r="G206" s="36"/>
      <c r="H206" s="37">
        <v>25</v>
      </c>
      <c r="I206" s="37">
        <v>23</v>
      </c>
      <c r="J206" s="37">
        <v>3</v>
      </c>
      <c r="K206" s="37">
        <v>2</v>
      </c>
      <c r="L206" s="26">
        <f t="shared" si="63"/>
        <v>53</v>
      </c>
      <c r="M206" s="38">
        <v>47.29</v>
      </c>
      <c r="N206" s="27">
        <v>54.992384506</v>
      </c>
      <c r="O206" s="38">
        <v>43.5</v>
      </c>
      <c r="P206" s="27">
        <v>45.24</v>
      </c>
      <c r="Q206" s="28">
        <f t="shared" si="61"/>
        <v>94.749999999999972</v>
      </c>
      <c r="R206" s="28">
        <f t="shared" si="62"/>
        <v>87.169999999999987</v>
      </c>
      <c r="S206" s="28">
        <f>(N206-P206)*J206</f>
        <v>29.257153517999996</v>
      </c>
      <c r="T206" s="28">
        <f t="shared" si="64"/>
        <v>19.504769011999997</v>
      </c>
      <c r="U206" s="28">
        <f t="shared" si="65"/>
        <v>230.68192252999995</v>
      </c>
      <c r="V206" s="39"/>
      <c r="W206" s="39"/>
      <c r="X206" s="39"/>
      <c r="Y206" s="29">
        <f t="shared" si="57"/>
        <v>116.28755446394588</v>
      </c>
      <c r="Z206" s="30">
        <f t="shared" si="58"/>
        <v>104</v>
      </c>
      <c r="AA206" s="2"/>
      <c r="AD206" s="32">
        <f t="shared" si="47"/>
        <v>0</v>
      </c>
    </row>
    <row r="207" spans="1:30" s="40" customFormat="1" ht="15" customHeight="1">
      <c r="A207" s="33"/>
      <c r="B207" s="34"/>
      <c r="C207" s="35"/>
      <c r="D207" s="33"/>
      <c r="E207" s="33"/>
      <c r="F207" s="36"/>
      <c r="G207" s="36"/>
      <c r="H207" s="41"/>
      <c r="I207" s="41"/>
      <c r="J207" s="41"/>
      <c r="K207" s="41"/>
      <c r="L207" s="37"/>
      <c r="M207" s="41"/>
      <c r="N207" s="41"/>
      <c r="O207" s="41"/>
      <c r="P207" s="41"/>
      <c r="Q207" s="28"/>
      <c r="R207" s="28"/>
      <c r="S207" s="28"/>
      <c r="T207" s="28"/>
      <c r="U207" s="28"/>
      <c r="V207" s="39"/>
      <c r="W207" s="39"/>
      <c r="X207" s="39"/>
      <c r="Y207" s="29" t="e">
        <f t="shared" si="57"/>
        <v>#DIV/0!</v>
      </c>
      <c r="Z207" s="30" t="e">
        <f t="shared" si="58"/>
        <v>#DIV/0!</v>
      </c>
      <c r="AA207" s="2"/>
      <c r="AD207" s="32" t="e">
        <f t="shared" si="47"/>
        <v>#DIV/0!</v>
      </c>
    </row>
    <row r="208" spans="1:30" s="40" customFormat="1" ht="56.25" customHeight="1">
      <c r="A208" s="33" t="s">
        <v>60</v>
      </c>
      <c r="B208" s="34" t="s">
        <v>61</v>
      </c>
      <c r="C208" s="35" t="s">
        <v>343</v>
      </c>
      <c r="D208" s="33" t="s">
        <v>159</v>
      </c>
      <c r="E208" s="33"/>
      <c r="F208" s="36" t="s">
        <v>429</v>
      </c>
      <c r="G208" s="36"/>
      <c r="H208" s="37">
        <v>1480.5049999999999</v>
      </c>
      <c r="I208" s="37">
        <f>1482.07-7</f>
        <v>1475.07</v>
      </c>
      <c r="J208" s="37">
        <v>1236.6559999999999</v>
      </c>
      <c r="K208" s="37">
        <v>1922.84</v>
      </c>
      <c r="L208" s="26">
        <f t="shared" si="63"/>
        <v>6115.0709999999999</v>
      </c>
      <c r="M208" s="38">
        <v>47.29</v>
      </c>
      <c r="N208" s="27">
        <v>54.992384506</v>
      </c>
      <c r="O208" s="38">
        <v>31.7</v>
      </c>
      <c r="P208" s="27">
        <v>32.968000000000004</v>
      </c>
      <c r="Q208" s="28">
        <f t="shared" si="61"/>
        <v>23081.072949999998</v>
      </c>
      <c r="R208" s="28">
        <f t="shared" si="62"/>
        <v>22996.3413</v>
      </c>
      <c r="S208" s="28">
        <f t="shared" ref="S208:S210" si="66">(N208-P208)*J208</f>
        <v>27236.587245651932</v>
      </c>
      <c r="T208" s="28">
        <f t="shared" si="64"/>
        <v>42349.367503517031</v>
      </c>
      <c r="U208" s="28">
        <f t="shared" si="65"/>
        <v>115663.36899916896</v>
      </c>
      <c r="V208" s="39"/>
      <c r="W208" s="39"/>
      <c r="X208" s="39"/>
      <c r="Y208" s="29">
        <f t="shared" si="57"/>
        <v>116.28755446394588</v>
      </c>
      <c r="Z208" s="30">
        <f t="shared" si="58"/>
        <v>104</v>
      </c>
      <c r="AA208" s="2"/>
      <c r="AD208" s="32">
        <f t="shared" si="47"/>
        <v>0</v>
      </c>
    </row>
    <row r="209" spans="1:30" s="40" customFormat="1" ht="56.25" customHeight="1">
      <c r="A209" s="33">
        <v>2924005075</v>
      </c>
      <c r="B209" s="34" t="s">
        <v>262</v>
      </c>
      <c r="C209" s="35" t="s">
        <v>170</v>
      </c>
      <c r="D209" s="33" t="s">
        <v>263</v>
      </c>
      <c r="E209" s="33"/>
      <c r="F209" s="36" t="s">
        <v>429</v>
      </c>
      <c r="G209" s="36" t="s">
        <v>410</v>
      </c>
      <c r="H209" s="37">
        <v>7155.25</v>
      </c>
      <c r="I209" s="37">
        <v>7155.25</v>
      </c>
      <c r="J209" s="37">
        <v>7155.25</v>
      </c>
      <c r="K209" s="37">
        <v>7155.25</v>
      </c>
      <c r="L209" s="26">
        <f t="shared" si="63"/>
        <v>28621</v>
      </c>
      <c r="M209" s="38">
        <f>M132</f>
        <v>99.23</v>
      </c>
      <c r="N209" s="38">
        <f>N132</f>
        <v>161.51</v>
      </c>
      <c r="O209" s="38">
        <f>O132</f>
        <v>25.15</v>
      </c>
      <c r="P209" s="38">
        <f>P132</f>
        <v>26.16</v>
      </c>
      <c r="Q209" s="28">
        <f t="shared" si="61"/>
        <v>530060.92000000004</v>
      </c>
      <c r="R209" s="28">
        <f t="shared" si="62"/>
        <v>530060.92000000004</v>
      </c>
      <c r="S209" s="28">
        <f t="shared" si="66"/>
        <v>968463.08749999991</v>
      </c>
      <c r="T209" s="28">
        <f t="shared" si="64"/>
        <v>968463.08749999991</v>
      </c>
      <c r="U209" s="28">
        <f t="shared" si="65"/>
        <v>2997048.0149999997</v>
      </c>
      <c r="V209" s="28"/>
      <c r="W209" s="39"/>
      <c r="X209" s="39"/>
      <c r="Y209" s="29">
        <f t="shared" si="57"/>
        <v>162.76327723470723</v>
      </c>
      <c r="Z209" s="30">
        <f t="shared" si="58"/>
        <v>104.01590457256462</v>
      </c>
      <c r="AA209" s="2"/>
      <c r="AD209" s="32">
        <f t="shared" si="47"/>
        <v>-1.5904572564622299E-2</v>
      </c>
    </row>
    <row r="210" spans="1:30" s="40" customFormat="1" ht="56.25" customHeight="1">
      <c r="A210" s="33" t="s">
        <v>58</v>
      </c>
      <c r="B210" s="34" t="s">
        <v>59</v>
      </c>
      <c r="C210" s="35" t="s">
        <v>203</v>
      </c>
      <c r="D210" s="33" t="s">
        <v>205</v>
      </c>
      <c r="E210" s="33"/>
      <c r="F210" s="36" t="s">
        <v>429</v>
      </c>
      <c r="G210" s="36"/>
      <c r="H210" s="37">
        <v>21852.31</v>
      </c>
      <c r="I210" s="37">
        <v>20238.400000000001</v>
      </c>
      <c r="J210" s="37">
        <v>15062.009999999998</v>
      </c>
      <c r="K210" s="37">
        <v>18169.57</v>
      </c>
      <c r="L210" s="26">
        <f t="shared" si="63"/>
        <v>75322.290000000008</v>
      </c>
      <c r="M210" s="38">
        <v>57.06</v>
      </c>
      <c r="N210" s="27">
        <v>104.17744077735614</v>
      </c>
      <c r="O210" s="38">
        <v>38.21</v>
      </c>
      <c r="P210" s="27">
        <v>39.738400000000006</v>
      </c>
      <c r="Q210" s="28">
        <f t="shared" si="61"/>
        <v>411916.04350000003</v>
      </c>
      <c r="R210" s="28">
        <f t="shared" si="62"/>
        <v>381493.84000000008</v>
      </c>
      <c r="S210" s="28">
        <f t="shared" si="66"/>
        <v>970581.47657894564</v>
      </c>
      <c r="T210" s="28">
        <f t="shared" si="64"/>
        <v>1170829.6621370264</v>
      </c>
      <c r="U210" s="28">
        <f t="shared" si="65"/>
        <v>2934821.0222159722</v>
      </c>
      <c r="V210" s="39"/>
      <c r="W210" s="39"/>
      <c r="X210" s="39"/>
      <c r="Y210" s="29">
        <f t="shared" si="57"/>
        <v>182.57525548082043</v>
      </c>
      <c r="Z210" s="30">
        <f t="shared" si="58"/>
        <v>104</v>
      </c>
      <c r="AA210" s="2"/>
      <c r="AD210" s="32">
        <f t="shared" si="47"/>
        <v>0</v>
      </c>
    </row>
    <row r="211" spans="1:30" s="40" customFormat="1" ht="15" customHeight="1">
      <c r="A211" s="33"/>
      <c r="B211" s="34"/>
      <c r="C211" s="34"/>
      <c r="D211" s="33"/>
      <c r="E211" s="33"/>
      <c r="F211" s="36"/>
      <c r="G211" s="36"/>
      <c r="H211" s="41"/>
      <c r="I211" s="41"/>
      <c r="J211" s="41"/>
      <c r="K211" s="41"/>
      <c r="L211" s="37"/>
      <c r="M211" s="41"/>
      <c r="N211" s="41"/>
      <c r="O211" s="41"/>
      <c r="P211" s="41"/>
      <c r="Q211" s="28"/>
      <c r="R211" s="28"/>
      <c r="S211" s="28"/>
      <c r="T211" s="28"/>
      <c r="U211" s="28"/>
      <c r="V211" s="39"/>
      <c r="W211" s="39"/>
      <c r="X211" s="39"/>
      <c r="Y211" s="29" t="e">
        <f t="shared" si="57"/>
        <v>#DIV/0!</v>
      </c>
      <c r="Z211" s="30" t="e">
        <f t="shared" si="58"/>
        <v>#DIV/0!</v>
      </c>
      <c r="AA211" s="2"/>
      <c r="AD211" s="32" t="e">
        <f t="shared" ref="AD211" si="67">104-Z211</f>
        <v>#DIV/0!</v>
      </c>
    </row>
    <row r="212" spans="1:30" s="40" customFormat="1" ht="65.25" customHeight="1">
      <c r="A212" s="33" t="s">
        <v>64</v>
      </c>
      <c r="B212" s="34" t="s">
        <v>65</v>
      </c>
      <c r="C212" s="34" t="s">
        <v>66</v>
      </c>
      <c r="D212" s="33"/>
      <c r="E212" s="33"/>
      <c r="F212" s="36" t="s">
        <v>430</v>
      </c>
      <c r="G212" s="36"/>
      <c r="H212" s="37">
        <v>167395.36599999998</v>
      </c>
      <c r="I212" s="37">
        <f>170228.945-6539.693</f>
        <v>163689.25200000001</v>
      </c>
      <c r="J212" s="37">
        <v>164278.26199999999</v>
      </c>
      <c r="K212" s="37">
        <v>160965.57800000001</v>
      </c>
      <c r="L212" s="26">
        <f t="shared" si="63"/>
        <v>656328.45799999998</v>
      </c>
      <c r="M212" s="38">
        <v>232.33</v>
      </c>
      <c r="N212" s="27">
        <v>342.01181271867279</v>
      </c>
      <c r="O212" s="38">
        <v>32.739640000000001</v>
      </c>
      <c r="P212" s="27">
        <v>34.0492256</v>
      </c>
      <c r="Q212" s="28">
        <f t="shared" si="61"/>
        <v>33410501.362271756</v>
      </c>
      <c r="R212" s="28">
        <f t="shared" si="62"/>
        <v>32670796.734810721</v>
      </c>
      <c r="S212" s="28">
        <f>(N212-P212)*J212</f>
        <v>50591558.572879151</v>
      </c>
      <c r="T212" s="28">
        <f t="shared" si="64"/>
        <v>49571375.83793252</v>
      </c>
      <c r="U212" s="28">
        <f t="shared" si="65"/>
        <v>166244232.50789416</v>
      </c>
      <c r="V212" s="39"/>
      <c r="W212" s="39"/>
      <c r="X212" s="39"/>
      <c r="Y212" s="29">
        <f t="shared" si="57"/>
        <v>147.20949198066231</v>
      </c>
      <c r="Z212" s="30">
        <f t="shared" si="58"/>
        <v>104</v>
      </c>
      <c r="AA212" s="2"/>
      <c r="AD212" s="32">
        <f t="shared" si="47"/>
        <v>0</v>
      </c>
    </row>
    <row r="213" spans="1:30" s="40" customFormat="1" ht="65.25" customHeight="1">
      <c r="A213" s="33" t="s">
        <v>67</v>
      </c>
      <c r="B213" s="34" t="s">
        <v>68</v>
      </c>
      <c r="C213" s="34" t="s">
        <v>66</v>
      </c>
      <c r="D213" s="33"/>
      <c r="E213" s="33"/>
      <c r="F213" s="36" t="s">
        <v>430</v>
      </c>
      <c r="G213" s="36"/>
      <c r="H213" s="37">
        <f>3670448.49-125349.27</f>
        <v>3545099.22</v>
      </c>
      <c r="I213" s="37">
        <v>3522720.2299999995</v>
      </c>
      <c r="J213" s="37">
        <v>3303027.48</v>
      </c>
      <c r="K213" s="37">
        <v>3610085.89</v>
      </c>
      <c r="L213" s="26">
        <f t="shared" si="63"/>
        <v>13980932.82</v>
      </c>
      <c r="M213" s="38">
        <v>66.038385000000005</v>
      </c>
      <c r="N213" s="27">
        <v>73.260000000000005</v>
      </c>
      <c r="O213" s="38">
        <v>32.74</v>
      </c>
      <c r="P213" s="27">
        <v>34.049600000000005</v>
      </c>
      <c r="Q213" s="28">
        <f t="shared" si="61"/>
        <v>118046078.69075972</v>
      </c>
      <c r="R213" s="28">
        <f t="shared" si="62"/>
        <v>117300894.46582854</v>
      </c>
      <c r="S213" s="28">
        <f>(N213-P213)*J213</f>
        <v>129513028.701792</v>
      </c>
      <c r="T213" s="28">
        <f t="shared" si="64"/>
        <v>141552911.78125599</v>
      </c>
      <c r="U213" s="28">
        <f t="shared" si="65"/>
        <v>506412913.63963628</v>
      </c>
      <c r="V213" s="39"/>
      <c r="W213" s="39"/>
      <c r="X213" s="39"/>
      <c r="Y213" s="29">
        <f t="shared" si="57"/>
        <v>110.93548093279387</v>
      </c>
      <c r="Z213" s="30">
        <f t="shared" si="58"/>
        <v>104</v>
      </c>
      <c r="AA213" s="2"/>
      <c r="AD213" s="32">
        <f t="shared" si="47"/>
        <v>0</v>
      </c>
    </row>
    <row r="214" spans="1:30" s="40" customFormat="1" ht="15" customHeight="1">
      <c r="A214" s="33"/>
      <c r="B214" s="34"/>
      <c r="C214" s="34"/>
      <c r="D214" s="33"/>
      <c r="E214" s="33"/>
      <c r="F214" s="36"/>
      <c r="G214" s="36"/>
      <c r="H214" s="41"/>
      <c r="I214" s="41"/>
      <c r="J214" s="41"/>
      <c r="K214" s="41"/>
      <c r="L214" s="37"/>
      <c r="M214" s="41"/>
      <c r="N214" s="41"/>
      <c r="O214" s="41"/>
      <c r="P214" s="41"/>
      <c r="Q214" s="28"/>
      <c r="R214" s="28"/>
      <c r="S214" s="28"/>
      <c r="T214" s="28"/>
      <c r="U214" s="28"/>
      <c r="V214" s="39"/>
      <c r="W214" s="39"/>
      <c r="X214" s="39"/>
      <c r="Y214" s="29" t="e">
        <f t="shared" si="57"/>
        <v>#DIV/0!</v>
      </c>
      <c r="Z214" s="30" t="e">
        <f t="shared" si="58"/>
        <v>#DIV/0!</v>
      </c>
      <c r="AA214" s="2"/>
      <c r="AD214" s="32" t="e">
        <f t="shared" si="47"/>
        <v>#DIV/0!</v>
      </c>
    </row>
    <row r="215" spans="1:30" s="31" customFormat="1" ht="51" customHeight="1">
      <c r="A215" s="33" t="s">
        <v>17</v>
      </c>
      <c r="B215" s="34" t="s">
        <v>18</v>
      </c>
      <c r="C215" s="35" t="s">
        <v>19</v>
      </c>
      <c r="D215" s="33" t="s">
        <v>20</v>
      </c>
      <c r="E215" s="33"/>
      <c r="F215" s="36" t="s">
        <v>430</v>
      </c>
      <c r="G215" s="36"/>
      <c r="H215" s="37">
        <v>24937.691999999999</v>
      </c>
      <c r="I215" s="37">
        <v>22286.188999999998</v>
      </c>
      <c r="J215" s="37">
        <v>22618.842000000001</v>
      </c>
      <c r="K215" s="37">
        <v>23671.221000000001</v>
      </c>
      <c r="L215" s="26">
        <f t="shared" si="63"/>
        <v>93513.944000000003</v>
      </c>
      <c r="M215" s="38">
        <v>50.12</v>
      </c>
      <c r="N215" s="38">
        <v>69.260000000000005</v>
      </c>
      <c r="O215" s="38">
        <v>40</v>
      </c>
      <c r="P215" s="27">
        <v>41.6</v>
      </c>
      <c r="Q215" s="28">
        <f t="shared" si="61"/>
        <v>252369.44303999993</v>
      </c>
      <c r="R215" s="28">
        <f t="shared" si="62"/>
        <v>225536.23267999993</v>
      </c>
      <c r="S215" s="28">
        <f t="shared" ref="S215:S225" si="68">(N215-P215)*J215</f>
        <v>625637.16972000012</v>
      </c>
      <c r="T215" s="28">
        <f t="shared" si="64"/>
        <v>654745.9728600001</v>
      </c>
      <c r="U215" s="28">
        <f t="shared" si="65"/>
        <v>1758288.8182999999</v>
      </c>
      <c r="V215" s="53"/>
      <c r="W215" s="53"/>
      <c r="X215" s="53"/>
      <c r="Y215" s="29"/>
      <c r="Z215" s="30"/>
      <c r="AA215" s="54"/>
      <c r="AD215" s="32"/>
    </row>
    <row r="216" spans="1:30" s="40" customFormat="1" ht="51" customHeight="1">
      <c r="A216" s="33" t="s">
        <v>24</v>
      </c>
      <c r="B216" s="34" t="s">
        <v>25</v>
      </c>
      <c r="C216" s="35" t="s">
        <v>19</v>
      </c>
      <c r="D216" s="33" t="s">
        <v>26</v>
      </c>
      <c r="E216" s="33"/>
      <c r="F216" s="36" t="s">
        <v>430</v>
      </c>
      <c r="G216" s="36"/>
      <c r="H216" s="37">
        <f>153097.529-2808.048</f>
        <v>150289.481</v>
      </c>
      <c r="I216" s="37">
        <v>151856.83900000001</v>
      </c>
      <c r="J216" s="37">
        <v>145797.49100000001</v>
      </c>
      <c r="K216" s="37">
        <v>158009.63800000001</v>
      </c>
      <c r="L216" s="26">
        <f t="shared" si="63"/>
        <v>605953.44900000002</v>
      </c>
      <c r="M216" s="38">
        <v>29.08</v>
      </c>
      <c r="N216" s="27">
        <v>34.314399999999999</v>
      </c>
      <c r="O216" s="38">
        <v>28.51</v>
      </c>
      <c r="P216" s="27">
        <v>29.65</v>
      </c>
      <c r="Q216" s="28">
        <f t="shared" si="61"/>
        <v>85665.004169999505</v>
      </c>
      <c r="R216" s="28">
        <f t="shared" si="62"/>
        <v>86558.398229999511</v>
      </c>
      <c r="S216" s="28">
        <f t="shared" si="68"/>
        <v>680057.81702040008</v>
      </c>
      <c r="T216" s="28">
        <f t="shared" si="64"/>
        <v>737020.15548720013</v>
      </c>
      <c r="U216" s="28">
        <f t="shared" si="65"/>
        <v>1589301.3749075993</v>
      </c>
      <c r="V216" s="39"/>
      <c r="W216" s="39"/>
      <c r="X216" s="39"/>
      <c r="Y216" s="29">
        <f t="shared" ref="Y216:Y227" si="69">N216/M216*100</f>
        <v>118</v>
      </c>
      <c r="Z216" s="30">
        <f t="shared" ref="Z216:Z227" si="70">P216/O216*100</f>
        <v>103.99859698351455</v>
      </c>
      <c r="AA216" s="2"/>
      <c r="AD216" s="32">
        <f t="shared" ref="AD216:AD283" si="71">104-Z216</f>
        <v>1.4030164854546001E-3</v>
      </c>
    </row>
    <row r="217" spans="1:30" s="40" customFormat="1" ht="51" customHeight="1">
      <c r="A217" s="33" t="s">
        <v>24</v>
      </c>
      <c r="B217" s="34" t="s">
        <v>25</v>
      </c>
      <c r="C217" s="35" t="s">
        <v>19</v>
      </c>
      <c r="D217" s="33" t="s">
        <v>27</v>
      </c>
      <c r="E217" s="33"/>
      <c r="F217" s="36" t="s">
        <v>430</v>
      </c>
      <c r="G217" s="36"/>
      <c r="H217" s="37">
        <v>298.73700000000002</v>
      </c>
      <c r="I217" s="37">
        <v>293.81</v>
      </c>
      <c r="J217" s="37">
        <v>246.79499999999999</v>
      </c>
      <c r="K217" s="37">
        <v>345.76499999999999</v>
      </c>
      <c r="L217" s="26">
        <f t="shared" si="63"/>
        <v>1185.107</v>
      </c>
      <c r="M217" s="38">
        <v>34.76</v>
      </c>
      <c r="N217" s="27">
        <v>41.016799999999996</v>
      </c>
      <c r="O217" s="38">
        <v>28.51</v>
      </c>
      <c r="P217" s="27">
        <v>29.65</v>
      </c>
      <c r="Q217" s="28">
        <f t="shared" si="61"/>
        <v>1867.1062499999991</v>
      </c>
      <c r="R217" s="28">
        <f t="shared" si="62"/>
        <v>1836.3124999999989</v>
      </c>
      <c r="S217" s="28">
        <f t="shared" si="68"/>
        <v>2805.2694059999994</v>
      </c>
      <c r="T217" s="28">
        <f t="shared" si="64"/>
        <v>3930.2416019999991</v>
      </c>
      <c r="U217" s="28">
        <f t="shared" si="65"/>
        <v>10438.929757999997</v>
      </c>
      <c r="V217" s="39"/>
      <c r="W217" s="39"/>
      <c r="X217" s="39"/>
      <c r="Y217" s="29">
        <f t="shared" si="69"/>
        <v>118</v>
      </c>
      <c r="Z217" s="30">
        <f t="shared" si="70"/>
        <v>103.99859698351455</v>
      </c>
      <c r="AA217" s="2"/>
      <c r="AD217" s="32">
        <f t="shared" si="71"/>
        <v>1.4030164854546001E-3</v>
      </c>
    </row>
    <row r="218" spans="1:30" s="40" customFormat="1" ht="51" customHeight="1">
      <c r="A218" s="33" t="s">
        <v>24</v>
      </c>
      <c r="B218" s="34" t="s">
        <v>25</v>
      </c>
      <c r="C218" s="35" t="s">
        <v>19</v>
      </c>
      <c r="D218" s="33" t="s">
        <v>29</v>
      </c>
      <c r="E218" s="33"/>
      <c r="F218" s="36" t="s">
        <v>430</v>
      </c>
      <c r="G218" s="36"/>
      <c r="H218" s="37">
        <v>2327.87</v>
      </c>
      <c r="I218" s="37">
        <v>2050.34</v>
      </c>
      <c r="J218" s="37">
        <v>2837.7</v>
      </c>
      <c r="K218" s="37">
        <v>3009.6</v>
      </c>
      <c r="L218" s="26">
        <f t="shared" si="63"/>
        <v>10225.51</v>
      </c>
      <c r="M218" s="38">
        <v>33.869999999999997</v>
      </c>
      <c r="N218" s="27">
        <v>39.966600000000007</v>
      </c>
      <c r="O218" s="38">
        <v>27.04</v>
      </c>
      <c r="P218" s="27">
        <v>28.12</v>
      </c>
      <c r="Q218" s="28">
        <f t="shared" si="61"/>
        <v>15899.352099999995</v>
      </c>
      <c r="R218" s="28">
        <f t="shared" si="62"/>
        <v>14003.822199999997</v>
      </c>
      <c r="S218" s="28">
        <f t="shared" si="68"/>
        <v>33617.096820000013</v>
      </c>
      <c r="T218" s="28">
        <f t="shared" si="64"/>
        <v>35653.527360000015</v>
      </c>
      <c r="U218" s="28">
        <f t="shared" si="65"/>
        <v>99173.798480000027</v>
      </c>
      <c r="V218" s="39"/>
      <c r="W218" s="39"/>
      <c r="X218" s="39"/>
      <c r="Y218" s="29">
        <f t="shared" si="69"/>
        <v>118.00000000000004</v>
      </c>
      <c r="Z218" s="30">
        <f t="shared" si="70"/>
        <v>103.9940828402367</v>
      </c>
      <c r="AA218" s="2"/>
      <c r="AD218" s="32">
        <f t="shared" si="71"/>
        <v>5.9171597632996509E-3</v>
      </c>
    </row>
    <row r="219" spans="1:30" s="40" customFormat="1" ht="51" customHeight="1">
      <c r="A219" s="33" t="s">
        <v>24</v>
      </c>
      <c r="B219" s="34" t="s">
        <v>25</v>
      </c>
      <c r="C219" s="35" t="s">
        <v>19</v>
      </c>
      <c r="D219" s="33" t="s">
        <v>30</v>
      </c>
      <c r="E219" s="33"/>
      <c r="F219" s="36" t="s">
        <v>430</v>
      </c>
      <c r="G219" s="36"/>
      <c r="H219" s="37">
        <v>1005.23</v>
      </c>
      <c r="I219" s="37">
        <v>1301.1000000000001</v>
      </c>
      <c r="J219" s="37">
        <v>1134.83</v>
      </c>
      <c r="K219" s="37">
        <v>1053.03</v>
      </c>
      <c r="L219" s="26">
        <f t="shared" si="63"/>
        <v>4494.1899999999996</v>
      </c>
      <c r="M219" s="38">
        <v>25.93</v>
      </c>
      <c r="N219" s="27">
        <v>30.5974</v>
      </c>
      <c r="O219" s="38">
        <v>25.93</v>
      </c>
      <c r="P219" s="27">
        <v>26.97</v>
      </c>
      <c r="Q219" s="28">
        <f t="shared" si="61"/>
        <v>0</v>
      </c>
      <c r="R219" s="28">
        <f t="shared" si="62"/>
        <v>0</v>
      </c>
      <c r="S219" s="28">
        <f t="shared" si="68"/>
        <v>4116.4823420000012</v>
      </c>
      <c r="T219" s="28">
        <f t="shared" si="64"/>
        <v>3819.7610220000015</v>
      </c>
      <c r="U219" s="28">
        <f t="shared" si="65"/>
        <v>7936.2433640000027</v>
      </c>
      <c r="V219" s="39"/>
      <c r="W219" s="39"/>
      <c r="X219" s="39"/>
      <c r="Y219" s="29">
        <f t="shared" si="69"/>
        <v>118</v>
      </c>
      <c r="Z219" s="30">
        <f t="shared" si="70"/>
        <v>104.01079830312379</v>
      </c>
      <c r="AA219" s="2"/>
      <c r="AD219" s="32">
        <f t="shared" si="71"/>
        <v>-1.0798303123792152E-2</v>
      </c>
    </row>
    <row r="220" spans="1:30" s="40" customFormat="1" ht="51" customHeight="1">
      <c r="A220" s="33" t="s">
        <v>24</v>
      </c>
      <c r="B220" s="34" t="s">
        <v>25</v>
      </c>
      <c r="C220" s="35" t="s">
        <v>19</v>
      </c>
      <c r="D220" s="33" t="s">
        <v>32</v>
      </c>
      <c r="E220" s="33"/>
      <c r="F220" s="36" t="s">
        <v>430</v>
      </c>
      <c r="G220" s="36"/>
      <c r="H220" s="37">
        <v>2985.98</v>
      </c>
      <c r="I220" s="37">
        <v>2784.09</v>
      </c>
      <c r="J220" s="37">
        <v>3319.01</v>
      </c>
      <c r="K220" s="37">
        <v>2857.1000000000004</v>
      </c>
      <c r="L220" s="26">
        <f t="shared" si="63"/>
        <v>11946.18</v>
      </c>
      <c r="M220" s="38">
        <v>38.81</v>
      </c>
      <c r="N220" s="27">
        <v>45.795800000000014</v>
      </c>
      <c r="O220" s="38">
        <v>23.19</v>
      </c>
      <c r="P220" s="27">
        <v>24.12</v>
      </c>
      <c r="Q220" s="28">
        <f t="shared" si="61"/>
        <v>46641.007600000004</v>
      </c>
      <c r="R220" s="28">
        <f t="shared" si="62"/>
        <v>43487.485800000002</v>
      </c>
      <c r="S220" s="28">
        <f t="shared" si="68"/>
        <v>71942.196958000044</v>
      </c>
      <c r="T220" s="28">
        <f t="shared" si="64"/>
        <v>61929.928180000046</v>
      </c>
      <c r="U220" s="28">
        <f t="shared" si="65"/>
        <v>224000.6185380001</v>
      </c>
      <c r="V220" s="39"/>
      <c r="W220" s="39"/>
      <c r="X220" s="39"/>
      <c r="Y220" s="29">
        <f t="shared" si="69"/>
        <v>118.00000000000004</v>
      </c>
      <c r="Z220" s="30">
        <f t="shared" si="70"/>
        <v>104.01034928848642</v>
      </c>
      <c r="AA220" s="2"/>
      <c r="AD220" s="32">
        <f t="shared" si="71"/>
        <v>-1.0349288486423802E-2</v>
      </c>
    </row>
    <row r="221" spans="1:30" s="40" customFormat="1" ht="51" customHeight="1">
      <c r="A221" s="33" t="s">
        <v>24</v>
      </c>
      <c r="B221" s="34" t="s">
        <v>25</v>
      </c>
      <c r="C221" s="35" t="s">
        <v>19</v>
      </c>
      <c r="D221" s="33" t="s">
        <v>33</v>
      </c>
      <c r="E221" s="33"/>
      <c r="F221" s="36" t="s">
        <v>430</v>
      </c>
      <c r="G221" s="36"/>
      <c r="H221" s="37">
        <v>2998.09</v>
      </c>
      <c r="I221" s="37">
        <v>2799.13</v>
      </c>
      <c r="J221" s="37">
        <v>4506.49</v>
      </c>
      <c r="K221" s="37">
        <v>4411.7700000000004</v>
      </c>
      <c r="L221" s="26">
        <f t="shared" si="63"/>
        <v>14715.48</v>
      </c>
      <c r="M221" s="38">
        <v>45.83</v>
      </c>
      <c r="N221" s="27">
        <v>54.079400000000007</v>
      </c>
      <c r="O221" s="38">
        <v>35.68</v>
      </c>
      <c r="P221" s="27">
        <v>37.11</v>
      </c>
      <c r="Q221" s="28">
        <f t="shared" si="61"/>
        <v>30430.613499999996</v>
      </c>
      <c r="R221" s="28">
        <f t="shared" si="62"/>
        <v>28411.169499999996</v>
      </c>
      <c r="S221" s="28">
        <f t="shared" si="68"/>
        <v>76472.431406000032</v>
      </c>
      <c r="T221" s="28">
        <f t="shared" si="64"/>
        <v>74865.089838000044</v>
      </c>
      <c r="U221" s="28">
        <f t="shared" si="65"/>
        <v>210179.30424400009</v>
      </c>
      <c r="V221" s="39"/>
      <c r="W221" s="39"/>
      <c r="X221" s="39"/>
      <c r="Y221" s="29">
        <f t="shared" si="69"/>
        <v>118.00000000000001</v>
      </c>
      <c r="Z221" s="30">
        <f t="shared" si="70"/>
        <v>104.00784753363229</v>
      </c>
      <c r="AA221" s="2"/>
      <c r="AD221" s="32">
        <f t="shared" si="71"/>
        <v>-7.8475336322867406E-3</v>
      </c>
    </row>
    <row r="222" spans="1:30" s="40" customFormat="1" ht="51" customHeight="1">
      <c r="A222" s="33" t="s">
        <v>24</v>
      </c>
      <c r="B222" s="34" t="s">
        <v>25</v>
      </c>
      <c r="C222" s="35" t="s">
        <v>19</v>
      </c>
      <c r="D222" s="33" t="s">
        <v>34</v>
      </c>
      <c r="E222" s="33"/>
      <c r="F222" s="36" t="s">
        <v>430</v>
      </c>
      <c r="G222" s="36"/>
      <c r="H222" s="37">
        <v>1223.33</v>
      </c>
      <c r="I222" s="37">
        <v>1397.67</v>
      </c>
      <c r="J222" s="37">
        <v>1203.03</v>
      </c>
      <c r="K222" s="37">
        <v>965.9</v>
      </c>
      <c r="L222" s="26">
        <f t="shared" si="63"/>
        <v>4789.9299999999994</v>
      </c>
      <c r="M222" s="38">
        <v>47.55</v>
      </c>
      <c r="N222" s="27">
        <v>56.109000000000009</v>
      </c>
      <c r="O222" s="38">
        <v>44</v>
      </c>
      <c r="P222" s="27">
        <v>45.76</v>
      </c>
      <c r="Q222" s="28">
        <f t="shared" si="61"/>
        <v>4342.8214999999964</v>
      </c>
      <c r="R222" s="28">
        <f t="shared" si="62"/>
        <v>4961.7284999999965</v>
      </c>
      <c r="S222" s="28">
        <f t="shared" si="68"/>
        <v>12450.157470000013</v>
      </c>
      <c r="T222" s="28">
        <f t="shared" si="64"/>
        <v>9996.0991000000104</v>
      </c>
      <c r="U222" s="28">
        <f t="shared" si="65"/>
        <v>31750.806570000015</v>
      </c>
      <c r="V222" s="39"/>
      <c r="W222" s="39"/>
      <c r="X222" s="39"/>
      <c r="Y222" s="29">
        <f t="shared" si="69"/>
        <v>118.00000000000001</v>
      </c>
      <c r="Z222" s="30">
        <f t="shared" si="70"/>
        <v>104</v>
      </c>
      <c r="AA222" s="2"/>
      <c r="AD222" s="32">
        <f t="shared" si="71"/>
        <v>0</v>
      </c>
    </row>
    <row r="223" spans="1:30" s="40" customFormat="1" ht="51" customHeight="1">
      <c r="A223" s="33" t="s">
        <v>24</v>
      </c>
      <c r="B223" s="34" t="s">
        <v>25</v>
      </c>
      <c r="C223" s="35" t="s">
        <v>19</v>
      </c>
      <c r="D223" s="33" t="s">
        <v>36</v>
      </c>
      <c r="E223" s="33"/>
      <c r="F223" s="36" t="s">
        <v>430</v>
      </c>
      <c r="G223" s="36"/>
      <c r="H223" s="37">
        <v>222.73</v>
      </c>
      <c r="I223" s="37">
        <v>197.07999999999998</v>
      </c>
      <c r="J223" s="37">
        <v>266.67</v>
      </c>
      <c r="K223" s="37">
        <v>258.89</v>
      </c>
      <c r="L223" s="26">
        <f t="shared" si="63"/>
        <v>945.37</v>
      </c>
      <c r="M223" s="38">
        <v>72.709999999999994</v>
      </c>
      <c r="N223" s="27">
        <v>85.797800000000009</v>
      </c>
      <c r="O223" s="38">
        <v>24.75</v>
      </c>
      <c r="P223" s="27">
        <v>25.74</v>
      </c>
      <c r="Q223" s="28">
        <f t="shared" si="61"/>
        <v>10682.130799999999</v>
      </c>
      <c r="R223" s="28">
        <f t="shared" si="62"/>
        <v>9451.9567999999981</v>
      </c>
      <c r="S223" s="28">
        <f t="shared" si="68"/>
        <v>16015.613526000005</v>
      </c>
      <c r="T223" s="28">
        <f t="shared" si="64"/>
        <v>15548.363842000002</v>
      </c>
      <c r="U223" s="28">
        <f t="shared" si="65"/>
        <v>51698.064968000006</v>
      </c>
      <c r="V223" s="39"/>
      <c r="W223" s="39"/>
      <c r="X223" s="39"/>
      <c r="Y223" s="29">
        <f t="shared" si="69"/>
        <v>118.00000000000001</v>
      </c>
      <c r="Z223" s="30">
        <f t="shared" si="70"/>
        <v>104</v>
      </c>
      <c r="AA223" s="2"/>
      <c r="AD223" s="32">
        <f t="shared" si="71"/>
        <v>0</v>
      </c>
    </row>
    <row r="224" spans="1:30" s="40" customFormat="1" ht="51" customHeight="1">
      <c r="A224" s="33" t="s">
        <v>24</v>
      </c>
      <c r="B224" s="34" t="s">
        <v>25</v>
      </c>
      <c r="C224" s="35" t="s">
        <v>19</v>
      </c>
      <c r="D224" s="33" t="s">
        <v>37</v>
      </c>
      <c r="E224" s="33"/>
      <c r="F224" s="36" t="s">
        <v>430</v>
      </c>
      <c r="G224" s="36"/>
      <c r="H224" s="37">
        <v>216.34</v>
      </c>
      <c r="I224" s="37">
        <v>250.32</v>
      </c>
      <c r="J224" s="37">
        <v>274.11</v>
      </c>
      <c r="K224" s="37">
        <v>198.79000000000002</v>
      </c>
      <c r="L224" s="26">
        <f t="shared" si="63"/>
        <v>939.56</v>
      </c>
      <c r="M224" s="38">
        <v>40.24</v>
      </c>
      <c r="N224" s="27">
        <v>47.483200000000004</v>
      </c>
      <c r="O224" s="38">
        <v>37.979999999999997</v>
      </c>
      <c r="P224" s="27">
        <v>39.5</v>
      </c>
      <c r="Q224" s="28">
        <f t="shared" si="61"/>
        <v>488.92840000000109</v>
      </c>
      <c r="R224" s="28">
        <f t="shared" si="62"/>
        <v>565.72320000000127</v>
      </c>
      <c r="S224" s="28">
        <f t="shared" si="68"/>
        <v>2188.2749520000011</v>
      </c>
      <c r="T224" s="28">
        <f t="shared" si="64"/>
        <v>1586.9803280000008</v>
      </c>
      <c r="U224" s="28">
        <f t="shared" si="65"/>
        <v>4829.9068800000041</v>
      </c>
      <c r="V224" s="39"/>
      <c r="W224" s="39"/>
      <c r="X224" s="39"/>
      <c r="Y224" s="29">
        <f t="shared" si="69"/>
        <v>118</v>
      </c>
      <c r="Z224" s="30">
        <f t="shared" si="70"/>
        <v>104.00210637177463</v>
      </c>
      <c r="AA224" s="2"/>
      <c r="AD224" s="32">
        <f t="shared" si="71"/>
        <v>-2.1063717746301336E-3</v>
      </c>
    </row>
    <row r="225" spans="1:30" s="40" customFormat="1" ht="51" customHeight="1">
      <c r="A225" s="33" t="s">
        <v>24</v>
      </c>
      <c r="B225" s="34" t="s">
        <v>25</v>
      </c>
      <c r="C225" s="35" t="s">
        <v>19</v>
      </c>
      <c r="D225" s="33" t="s">
        <v>38</v>
      </c>
      <c r="E225" s="33"/>
      <c r="F225" s="36" t="s">
        <v>430</v>
      </c>
      <c r="G225" s="36"/>
      <c r="H225" s="37">
        <v>398.49</v>
      </c>
      <c r="I225" s="37">
        <v>209.06</v>
      </c>
      <c r="J225" s="37">
        <v>416.41999999999996</v>
      </c>
      <c r="K225" s="37">
        <v>381.41999999999996</v>
      </c>
      <c r="L225" s="26">
        <f t="shared" si="63"/>
        <v>1405.3899999999999</v>
      </c>
      <c r="M225" s="38">
        <v>40.01</v>
      </c>
      <c r="N225" s="27">
        <v>47.211800000000004</v>
      </c>
      <c r="O225" s="38">
        <v>33.35</v>
      </c>
      <c r="P225" s="27">
        <v>34.68</v>
      </c>
      <c r="Q225" s="28">
        <f t="shared" si="61"/>
        <v>2653.9433999999987</v>
      </c>
      <c r="R225" s="28">
        <f t="shared" si="62"/>
        <v>1392.3395999999993</v>
      </c>
      <c r="S225" s="28">
        <f t="shared" si="68"/>
        <v>5218.4921560000012</v>
      </c>
      <c r="T225" s="28">
        <f t="shared" si="64"/>
        <v>4779.8791560000009</v>
      </c>
      <c r="U225" s="28">
        <f t="shared" si="65"/>
        <v>14044.654312000001</v>
      </c>
      <c r="V225" s="39"/>
      <c r="W225" s="39"/>
      <c r="X225" s="39"/>
      <c r="Y225" s="29">
        <f t="shared" si="69"/>
        <v>118.00000000000001</v>
      </c>
      <c r="Z225" s="30">
        <f t="shared" si="70"/>
        <v>103.98800599700149</v>
      </c>
      <c r="AA225" s="2"/>
      <c r="AD225" s="32">
        <f t="shared" si="71"/>
        <v>1.1994002998505948E-2</v>
      </c>
    </row>
    <row r="226" spans="1:30" s="40" customFormat="1" ht="15" customHeight="1">
      <c r="A226" s="33"/>
      <c r="B226" s="34"/>
      <c r="C226" s="35"/>
      <c r="D226" s="33"/>
      <c r="E226" s="33"/>
      <c r="F226" s="36"/>
      <c r="G226" s="36"/>
      <c r="H226" s="41"/>
      <c r="I226" s="41"/>
      <c r="J226" s="41"/>
      <c r="K226" s="41"/>
      <c r="L226" s="37"/>
      <c r="M226" s="41"/>
      <c r="N226" s="41"/>
      <c r="O226" s="41"/>
      <c r="P226" s="41"/>
      <c r="Q226" s="28"/>
      <c r="R226" s="28"/>
      <c r="S226" s="28"/>
      <c r="T226" s="28"/>
      <c r="U226" s="28"/>
      <c r="V226" s="39"/>
      <c r="W226" s="39"/>
      <c r="X226" s="39"/>
      <c r="Y226" s="29" t="e">
        <f t="shared" si="69"/>
        <v>#DIV/0!</v>
      </c>
      <c r="Z226" s="30" t="e">
        <f t="shared" si="70"/>
        <v>#DIV/0!</v>
      </c>
      <c r="AA226" s="2"/>
      <c r="AD226" s="32" t="e">
        <f t="shared" si="71"/>
        <v>#DIV/0!</v>
      </c>
    </row>
    <row r="227" spans="1:30" s="40" customFormat="1" ht="51" customHeight="1">
      <c r="A227" s="33" t="s">
        <v>42</v>
      </c>
      <c r="B227" s="34" t="s">
        <v>43</v>
      </c>
      <c r="C227" s="35" t="s">
        <v>303</v>
      </c>
      <c r="D227" s="33" t="s">
        <v>44</v>
      </c>
      <c r="E227" s="33"/>
      <c r="F227" s="36" t="s">
        <v>430</v>
      </c>
      <c r="G227" s="36"/>
      <c r="H227" s="37">
        <v>6978.6019999999999</v>
      </c>
      <c r="I227" s="37">
        <v>6108.4089999999997</v>
      </c>
      <c r="J227" s="37">
        <v>6453.2440000000006</v>
      </c>
      <c r="K227" s="37">
        <v>6554.5439999999999</v>
      </c>
      <c r="L227" s="26">
        <f t="shared" si="63"/>
        <v>26094.798999999999</v>
      </c>
      <c r="M227" s="38">
        <v>171.91</v>
      </c>
      <c r="N227" s="27">
        <v>171.91</v>
      </c>
      <c r="O227" s="38">
        <v>48.97</v>
      </c>
      <c r="P227" s="27">
        <v>50.928800000000003</v>
      </c>
      <c r="Q227" s="28">
        <f t="shared" si="61"/>
        <v>857949.32987999998</v>
      </c>
      <c r="R227" s="28">
        <f t="shared" si="62"/>
        <v>750967.80245999992</v>
      </c>
      <c r="S227" s="28">
        <f>(N227-P227)*J227</f>
        <v>780721.20301280008</v>
      </c>
      <c r="T227" s="28">
        <f t="shared" si="64"/>
        <v>792976.59857279994</v>
      </c>
      <c r="U227" s="28">
        <f t="shared" si="65"/>
        <v>3182614.9339255998</v>
      </c>
      <c r="V227" s="39"/>
      <c r="W227" s="39"/>
      <c r="X227" s="39"/>
      <c r="Y227" s="29">
        <f t="shared" si="69"/>
        <v>100</v>
      </c>
      <c r="Z227" s="30">
        <f t="shared" si="70"/>
        <v>104</v>
      </c>
      <c r="AA227" s="2"/>
      <c r="AD227" s="32">
        <f t="shared" si="71"/>
        <v>0</v>
      </c>
    </row>
    <row r="228" spans="1:30" s="40" customFormat="1" ht="15" customHeight="1">
      <c r="A228" s="33"/>
      <c r="B228" s="34"/>
      <c r="C228" s="35"/>
      <c r="D228" s="33"/>
      <c r="E228" s="33"/>
      <c r="F228" s="36"/>
      <c r="G228" s="36"/>
      <c r="H228" s="41"/>
      <c r="I228" s="41"/>
      <c r="J228" s="41"/>
      <c r="K228" s="41"/>
      <c r="L228" s="26"/>
      <c r="M228" s="41"/>
      <c r="N228" s="41"/>
      <c r="O228" s="41"/>
      <c r="P228" s="90"/>
      <c r="Q228" s="28"/>
      <c r="R228" s="28"/>
      <c r="S228" s="28"/>
      <c r="T228" s="28"/>
      <c r="U228" s="28"/>
      <c r="V228" s="39"/>
      <c r="W228" s="39"/>
      <c r="X228" s="39"/>
      <c r="Y228" s="29"/>
      <c r="Z228" s="30"/>
      <c r="AA228" s="2"/>
      <c r="AD228" s="32"/>
    </row>
    <row r="229" spans="1:30" s="40" customFormat="1" ht="51" customHeight="1">
      <c r="A229" s="33" t="s">
        <v>52</v>
      </c>
      <c r="B229" s="34" t="s">
        <v>53</v>
      </c>
      <c r="C229" s="35" t="s">
        <v>306</v>
      </c>
      <c r="D229" s="33" t="s">
        <v>54</v>
      </c>
      <c r="E229" s="33"/>
      <c r="F229" s="36" t="s">
        <v>430</v>
      </c>
      <c r="G229" s="36"/>
      <c r="H229" s="37">
        <v>1385.4930000000002</v>
      </c>
      <c r="I229" s="37">
        <v>1448.559</v>
      </c>
      <c r="J229" s="37">
        <v>1573.52</v>
      </c>
      <c r="K229" s="37">
        <v>1361.48</v>
      </c>
      <c r="L229" s="26">
        <f t="shared" si="63"/>
        <v>5769.0519999999997</v>
      </c>
      <c r="M229" s="38">
        <v>73.62</v>
      </c>
      <c r="N229" s="38">
        <v>82.28</v>
      </c>
      <c r="O229" s="38">
        <v>69.3</v>
      </c>
      <c r="P229" s="27">
        <v>72.069999999999993</v>
      </c>
      <c r="Q229" s="28">
        <f t="shared" si="61"/>
        <v>5985.3297600000105</v>
      </c>
      <c r="R229" s="28">
        <f t="shared" si="62"/>
        <v>6257.7748800000109</v>
      </c>
      <c r="S229" s="28">
        <f t="shared" ref="S229:S231" si="72">(N229-P229)*J229</f>
        <v>16065.639200000012</v>
      </c>
      <c r="T229" s="28">
        <f t="shared" si="64"/>
        <v>13900.710800000012</v>
      </c>
      <c r="U229" s="28">
        <f t="shared" si="65"/>
        <v>42209.45464000004</v>
      </c>
      <c r="V229" s="39"/>
      <c r="W229" s="39"/>
      <c r="X229" s="39"/>
      <c r="Y229" s="29">
        <f t="shared" ref="Y229:Y242" si="73">N229/M229*100</f>
        <v>111.7631078511274</v>
      </c>
      <c r="Z229" s="30">
        <f t="shared" ref="Z229:Z242" si="74">P229/O229*100</f>
        <v>103.997113997114</v>
      </c>
      <c r="AA229" s="2"/>
      <c r="AD229" s="32">
        <f t="shared" si="71"/>
        <v>2.8860028860009379E-3</v>
      </c>
    </row>
    <row r="230" spans="1:30" s="40" customFormat="1" ht="51" customHeight="1">
      <c r="A230" s="33">
        <v>2909003034</v>
      </c>
      <c r="B230" s="34" t="s">
        <v>50</v>
      </c>
      <c r="C230" s="35" t="s">
        <v>306</v>
      </c>
      <c r="D230" s="33" t="s">
        <v>51</v>
      </c>
      <c r="E230" s="33"/>
      <c r="F230" s="36" t="s">
        <v>430</v>
      </c>
      <c r="G230" s="36"/>
      <c r="H230" s="37">
        <v>1233.25</v>
      </c>
      <c r="I230" s="37">
        <v>1233.25</v>
      </c>
      <c r="J230" s="37">
        <v>1233.25</v>
      </c>
      <c r="K230" s="37">
        <v>1233.25</v>
      </c>
      <c r="L230" s="26">
        <f t="shared" si="63"/>
        <v>4933</v>
      </c>
      <c r="M230" s="38">
        <v>52.63</v>
      </c>
      <c r="N230" s="38">
        <v>62.1</v>
      </c>
      <c r="O230" s="38">
        <v>52.06</v>
      </c>
      <c r="P230" s="27">
        <v>54.14</v>
      </c>
      <c r="Q230" s="28">
        <f t="shared" si="61"/>
        <v>702.95250000000033</v>
      </c>
      <c r="R230" s="28">
        <f t="shared" si="62"/>
        <v>702.95250000000033</v>
      </c>
      <c r="S230" s="28">
        <f t="shared" si="72"/>
        <v>9816.6700000000019</v>
      </c>
      <c r="T230" s="28">
        <f t="shared" si="64"/>
        <v>9816.6700000000019</v>
      </c>
      <c r="U230" s="28">
        <f t="shared" si="65"/>
        <v>21039.245000000003</v>
      </c>
      <c r="V230" s="39"/>
      <c r="W230" s="39"/>
      <c r="X230" s="39"/>
      <c r="Y230" s="29">
        <f t="shared" si="73"/>
        <v>117.99353980619418</v>
      </c>
      <c r="Z230" s="30">
        <f t="shared" si="74"/>
        <v>103.99538993469073</v>
      </c>
      <c r="AA230" s="2"/>
      <c r="AD230" s="32">
        <f t="shared" si="71"/>
        <v>4.61006530926511E-3</v>
      </c>
    </row>
    <row r="231" spans="1:30" s="40" customFormat="1" ht="51" customHeight="1">
      <c r="A231" s="33" t="s">
        <v>265</v>
      </c>
      <c r="B231" s="34" t="s">
        <v>48</v>
      </c>
      <c r="C231" s="35" t="s">
        <v>306</v>
      </c>
      <c r="D231" s="33" t="s">
        <v>266</v>
      </c>
      <c r="E231" s="33"/>
      <c r="F231" s="36" t="s">
        <v>430</v>
      </c>
      <c r="G231" s="36"/>
      <c r="H231" s="37">
        <v>829.88099999999997</v>
      </c>
      <c r="I231" s="37">
        <v>783.69899999999996</v>
      </c>
      <c r="J231" s="37">
        <v>835.24299999999994</v>
      </c>
      <c r="K231" s="37">
        <v>782.58999999999992</v>
      </c>
      <c r="L231" s="26">
        <f t="shared" si="63"/>
        <v>3231.4129999999996</v>
      </c>
      <c r="M231" s="38">
        <v>98.84</v>
      </c>
      <c r="N231" s="38">
        <v>106.37</v>
      </c>
      <c r="O231" s="38">
        <v>77</v>
      </c>
      <c r="P231" s="27">
        <v>80.08</v>
      </c>
      <c r="Q231" s="28">
        <f t="shared" si="61"/>
        <v>18124.601040000001</v>
      </c>
      <c r="R231" s="28">
        <f t="shared" si="62"/>
        <v>17115.98616</v>
      </c>
      <c r="S231" s="28">
        <f t="shared" si="72"/>
        <v>21958.538470000003</v>
      </c>
      <c r="T231" s="28">
        <f t="shared" si="64"/>
        <v>20574.291100000002</v>
      </c>
      <c r="U231" s="28">
        <f t="shared" si="65"/>
        <v>77773.416770000011</v>
      </c>
      <c r="V231" s="39"/>
      <c r="W231" s="39"/>
      <c r="X231" s="39"/>
      <c r="Y231" s="29">
        <f t="shared" si="73"/>
        <v>107.61837312828814</v>
      </c>
      <c r="Z231" s="30">
        <f t="shared" si="74"/>
        <v>104</v>
      </c>
      <c r="AA231" s="2"/>
      <c r="AD231" s="32">
        <f t="shared" si="71"/>
        <v>0</v>
      </c>
    </row>
    <row r="232" spans="1:30" s="40" customFormat="1" ht="15" customHeight="1">
      <c r="A232" s="33"/>
      <c r="B232" s="34"/>
      <c r="C232" s="35"/>
      <c r="D232" s="33"/>
      <c r="E232" s="33"/>
      <c r="F232" s="36"/>
      <c r="G232" s="36"/>
      <c r="H232" s="41"/>
      <c r="I232" s="41"/>
      <c r="J232" s="41"/>
      <c r="K232" s="41"/>
      <c r="L232" s="37"/>
      <c r="M232" s="41"/>
      <c r="N232" s="41"/>
      <c r="O232" s="41"/>
      <c r="P232" s="41"/>
      <c r="Q232" s="28"/>
      <c r="R232" s="28"/>
      <c r="S232" s="28"/>
      <c r="T232" s="28"/>
      <c r="U232" s="28"/>
      <c r="V232" s="39"/>
      <c r="W232" s="39"/>
      <c r="X232" s="39"/>
      <c r="Y232" s="29" t="e">
        <f t="shared" si="73"/>
        <v>#DIV/0!</v>
      </c>
      <c r="Z232" s="30" t="e">
        <f t="shared" si="74"/>
        <v>#DIV/0!</v>
      </c>
      <c r="AA232" s="2"/>
      <c r="AD232" s="32" t="e">
        <f t="shared" si="71"/>
        <v>#DIV/0!</v>
      </c>
    </row>
    <row r="233" spans="1:30" s="40" customFormat="1" ht="51" customHeight="1">
      <c r="A233" s="33" t="s">
        <v>58</v>
      </c>
      <c r="B233" s="34" t="s">
        <v>59</v>
      </c>
      <c r="C233" s="35" t="s">
        <v>298</v>
      </c>
      <c r="D233" s="33" t="s">
        <v>308</v>
      </c>
      <c r="E233" s="33"/>
      <c r="F233" s="36" t="s">
        <v>430</v>
      </c>
      <c r="G233" s="36"/>
      <c r="H233" s="37">
        <v>6747.5</v>
      </c>
      <c r="I233" s="37">
        <v>5071.8999999999996</v>
      </c>
      <c r="J233" s="37">
        <v>6037.17</v>
      </c>
      <c r="K233" s="37">
        <v>5310.84</v>
      </c>
      <c r="L233" s="26">
        <f t="shared" si="63"/>
        <v>23167.41</v>
      </c>
      <c r="M233" s="38">
        <v>159.13999999999999</v>
      </c>
      <c r="N233" s="38">
        <v>175.87</v>
      </c>
      <c r="O233" s="38">
        <v>34.58</v>
      </c>
      <c r="P233" s="27">
        <v>35.97</v>
      </c>
      <c r="Q233" s="28">
        <f t="shared" si="61"/>
        <v>840468.6</v>
      </c>
      <c r="R233" s="28">
        <f t="shared" si="62"/>
        <v>631755.86399999994</v>
      </c>
      <c r="S233" s="28">
        <f>(N233-P233)*J233</f>
        <v>844600.0830000001</v>
      </c>
      <c r="T233" s="28">
        <f t="shared" si="64"/>
        <v>742986.51600000006</v>
      </c>
      <c r="U233" s="28">
        <f t="shared" si="65"/>
        <v>3059811.0630000001</v>
      </c>
      <c r="V233" s="39"/>
      <c r="W233" s="39"/>
      <c r="X233" s="39"/>
      <c r="Y233" s="29">
        <f t="shared" si="73"/>
        <v>110.51275606384317</v>
      </c>
      <c r="Z233" s="30">
        <f t="shared" si="74"/>
        <v>104.01966454598033</v>
      </c>
      <c r="AA233" s="2"/>
      <c r="AD233" s="32">
        <f t="shared" si="71"/>
        <v>-1.9664545980333514E-2</v>
      </c>
    </row>
    <row r="234" spans="1:30" s="40" customFormat="1" ht="51" customHeight="1">
      <c r="A234" s="33" t="s">
        <v>267</v>
      </c>
      <c r="B234" s="34" t="s">
        <v>268</v>
      </c>
      <c r="C234" s="35" t="s">
        <v>298</v>
      </c>
      <c r="D234" s="33" t="s">
        <v>269</v>
      </c>
      <c r="E234" s="33"/>
      <c r="F234" s="36" t="s">
        <v>430</v>
      </c>
      <c r="G234" s="36"/>
      <c r="H234" s="37">
        <v>1399.74</v>
      </c>
      <c r="I234" s="37">
        <v>1391.02</v>
      </c>
      <c r="J234" s="37">
        <v>1393.4290000000001</v>
      </c>
      <c r="K234" s="37">
        <v>1341.92</v>
      </c>
      <c r="L234" s="26">
        <f t="shared" si="63"/>
        <v>5526.1090000000004</v>
      </c>
      <c r="M234" s="38">
        <v>150.72</v>
      </c>
      <c r="N234" s="38">
        <v>175.82</v>
      </c>
      <c r="O234" s="38">
        <v>41.5</v>
      </c>
      <c r="P234" s="27">
        <v>43.16</v>
      </c>
      <c r="Q234" s="28">
        <f t="shared" si="61"/>
        <v>152879.60279999999</v>
      </c>
      <c r="R234" s="28">
        <f t="shared" si="62"/>
        <v>151927.20439999999</v>
      </c>
      <c r="S234" s="28">
        <f>(N234-P234)*J234</f>
        <v>184852.29114000002</v>
      </c>
      <c r="T234" s="28">
        <f t="shared" si="64"/>
        <v>178019.1072</v>
      </c>
      <c r="U234" s="28">
        <f t="shared" si="65"/>
        <v>667678.20554</v>
      </c>
      <c r="V234" s="39"/>
      <c r="W234" s="39"/>
      <c r="X234" s="39"/>
      <c r="Y234" s="29">
        <f t="shared" si="73"/>
        <v>116.65339702760085</v>
      </c>
      <c r="Z234" s="30">
        <f t="shared" si="74"/>
        <v>103.99999999999999</v>
      </c>
      <c r="AA234" s="2"/>
      <c r="AD234" s="32">
        <f t="shared" si="71"/>
        <v>0</v>
      </c>
    </row>
    <row r="235" spans="1:30" s="40" customFormat="1" ht="15" customHeight="1">
      <c r="A235" s="33"/>
      <c r="B235" s="34"/>
      <c r="C235" s="35"/>
      <c r="D235" s="33"/>
      <c r="E235" s="33"/>
      <c r="F235" s="36"/>
      <c r="G235" s="36"/>
      <c r="H235" s="41"/>
      <c r="I235" s="41"/>
      <c r="J235" s="41"/>
      <c r="K235" s="41"/>
      <c r="L235" s="37"/>
      <c r="M235" s="41"/>
      <c r="N235" s="41"/>
      <c r="O235" s="41"/>
      <c r="P235" s="41"/>
      <c r="Q235" s="28"/>
      <c r="R235" s="28"/>
      <c r="S235" s="28"/>
      <c r="T235" s="28"/>
      <c r="U235" s="28"/>
      <c r="V235" s="39"/>
      <c r="W235" s="39"/>
      <c r="X235" s="39"/>
      <c r="Y235" s="29" t="e">
        <f t="shared" si="73"/>
        <v>#DIV/0!</v>
      </c>
      <c r="Z235" s="30" t="e">
        <f t="shared" si="74"/>
        <v>#DIV/0!</v>
      </c>
      <c r="AA235" s="2"/>
      <c r="AD235" s="32" t="e">
        <f t="shared" si="71"/>
        <v>#DIV/0!</v>
      </c>
    </row>
    <row r="236" spans="1:30" s="40" customFormat="1" ht="51" customHeight="1">
      <c r="A236" s="33" t="s">
        <v>69</v>
      </c>
      <c r="B236" s="34" t="s">
        <v>70</v>
      </c>
      <c r="C236" s="35" t="s">
        <v>71</v>
      </c>
      <c r="D236" s="33" t="s">
        <v>63</v>
      </c>
      <c r="E236" s="33"/>
      <c r="F236" s="36" t="s">
        <v>430</v>
      </c>
      <c r="G236" s="36" t="s">
        <v>379</v>
      </c>
      <c r="H236" s="37">
        <v>418635.47</v>
      </c>
      <c r="I236" s="37">
        <v>408055.55</v>
      </c>
      <c r="J236" s="37">
        <v>363734.73</v>
      </c>
      <c r="K236" s="37">
        <v>396326.41000000003</v>
      </c>
      <c r="L236" s="26">
        <f t="shared" si="63"/>
        <v>1586752.1600000001</v>
      </c>
      <c r="M236" s="38">
        <v>24.72</v>
      </c>
      <c r="N236" s="38">
        <v>31.24</v>
      </c>
      <c r="O236" s="38">
        <v>24.72</v>
      </c>
      <c r="P236" s="27">
        <v>25.71</v>
      </c>
      <c r="Q236" s="28">
        <f t="shared" si="61"/>
        <v>0</v>
      </c>
      <c r="R236" s="28">
        <f t="shared" si="62"/>
        <v>0</v>
      </c>
      <c r="S236" s="28">
        <f>(N236-P236)*J236</f>
        <v>2011453.056899999</v>
      </c>
      <c r="T236" s="28">
        <f t="shared" si="64"/>
        <v>2191685.0472999993</v>
      </c>
      <c r="U236" s="28">
        <f t="shared" si="65"/>
        <v>4203138.1041999981</v>
      </c>
      <c r="V236" s="39"/>
      <c r="W236" s="39"/>
      <c r="X236" s="39"/>
      <c r="Y236" s="29">
        <f t="shared" si="73"/>
        <v>126.37540453074433</v>
      </c>
      <c r="Z236" s="30">
        <f t="shared" si="74"/>
        <v>104.00485436893206</v>
      </c>
      <c r="AA236" s="2"/>
      <c r="AD236" s="32">
        <f t="shared" si="71"/>
        <v>-4.8543689320581507E-3</v>
      </c>
    </row>
    <row r="237" spans="1:30" s="40" customFormat="1" ht="15" customHeight="1">
      <c r="A237" s="33"/>
      <c r="B237" s="34"/>
      <c r="C237" s="35"/>
      <c r="D237" s="33"/>
      <c r="E237" s="33"/>
      <c r="F237" s="36"/>
      <c r="G237" s="36"/>
      <c r="H237" s="41"/>
      <c r="I237" s="41"/>
      <c r="J237" s="41"/>
      <c r="K237" s="41"/>
      <c r="L237" s="37"/>
      <c r="M237" s="41"/>
      <c r="N237" s="27"/>
      <c r="O237" s="41"/>
      <c r="P237" s="41"/>
      <c r="Q237" s="28"/>
      <c r="R237" s="28"/>
      <c r="S237" s="28"/>
      <c r="T237" s="28"/>
      <c r="U237" s="28"/>
      <c r="V237" s="39"/>
      <c r="W237" s="39"/>
      <c r="X237" s="39"/>
      <c r="Y237" s="29" t="e">
        <f t="shared" si="73"/>
        <v>#DIV/0!</v>
      </c>
      <c r="Z237" s="30" t="e">
        <f t="shared" si="74"/>
        <v>#DIV/0!</v>
      </c>
      <c r="AA237" s="2"/>
      <c r="AD237" s="32" t="e">
        <f t="shared" si="71"/>
        <v>#DIV/0!</v>
      </c>
    </row>
    <row r="238" spans="1:30" s="40" customFormat="1" ht="51" customHeight="1">
      <c r="A238" s="33">
        <v>2905001195</v>
      </c>
      <c r="B238" s="34" t="s">
        <v>72</v>
      </c>
      <c r="C238" s="35" t="s">
        <v>73</v>
      </c>
      <c r="D238" s="33"/>
      <c r="E238" s="33"/>
      <c r="F238" s="36" t="s">
        <v>430</v>
      </c>
      <c r="G238" s="36"/>
      <c r="H238" s="37">
        <v>457763.25</v>
      </c>
      <c r="I238" s="37">
        <v>457763.25</v>
      </c>
      <c r="J238" s="37">
        <v>457763.25</v>
      </c>
      <c r="K238" s="37">
        <v>457763.25</v>
      </c>
      <c r="L238" s="26">
        <f>H238+I238+J238+K238</f>
        <v>1831053</v>
      </c>
      <c r="M238" s="38">
        <v>32.184370000000001</v>
      </c>
      <c r="N238" s="27">
        <v>46.53</v>
      </c>
      <c r="O238" s="38">
        <f>M238</f>
        <v>32.184370000000001</v>
      </c>
      <c r="P238" s="27">
        <v>33.471744800000003</v>
      </c>
      <c r="Q238" s="28">
        <f t="shared" si="61"/>
        <v>0</v>
      </c>
      <c r="R238" s="28">
        <f t="shared" si="62"/>
        <v>0</v>
      </c>
      <c r="S238" s="28">
        <f>(N238-P238)*J238</f>
        <v>5977589.3396813991</v>
      </c>
      <c r="T238" s="28">
        <f t="shared" si="64"/>
        <v>5977589.3396813991</v>
      </c>
      <c r="U238" s="28">
        <f t="shared" si="65"/>
        <v>11955178.679362798</v>
      </c>
      <c r="V238" s="39"/>
      <c r="W238" s="39"/>
      <c r="X238" s="39"/>
      <c r="Y238" s="29">
        <f t="shared" si="73"/>
        <v>144.5732819999273</v>
      </c>
      <c r="Z238" s="30">
        <f t="shared" si="74"/>
        <v>104</v>
      </c>
      <c r="AA238" s="2" t="s">
        <v>49</v>
      </c>
      <c r="AD238" s="32">
        <f t="shared" si="71"/>
        <v>0</v>
      </c>
    </row>
    <row r="239" spans="1:30" s="40" customFormat="1" ht="15" customHeight="1">
      <c r="A239" s="33"/>
      <c r="B239" s="34"/>
      <c r="C239" s="35"/>
      <c r="D239" s="33"/>
      <c r="E239" s="33"/>
      <c r="F239" s="36"/>
      <c r="G239" s="36"/>
      <c r="H239" s="41"/>
      <c r="I239" s="41"/>
      <c r="J239" s="41"/>
      <c r="K239" s="41"/>
      <c r="L239" s="37"/>
      <c r="M239" s="41"/>
      <c r="N239" s="41"/>
      <c r="O239" s="41"/>
      <c r="P239" s="41"/>
      <c r="Q239" s="28"/>
      <c r="R239" s="28"/>
      <c r="S239" s="28"/>
      <c r="T239" s="28"/>
      <c r="U239" s="28"/>
      <c r="V239" s="39"/>
      <c r="W239" s="39"/>
      <c r="X239" s="39"/>
      <c r="Y239" s="29" t="e">
        <f t="shared" si="73"/>
        <v>#DIV/0!</v>
      </c>
      <c r="Z239" s="30" t="e">
        <f t="shared" si="74"/>
        <v>#DIV/0!</v>
      </c>
      <c r="AA239" s="2"/>
      <c r="AD239" s="32" t="e">
        <f t="shared" si="71"/>
        <v>#DIV/0!</v>
      </c>
    </row>
    <row r="240" spans="1:30" s="40" customFormat="1" ht="51" customHeight="1">
      <c r="A240" s="33" t="s">
        <v>60</v>
      </c>
      <c r="B240" s="34" t="s">
        <v>74</v>
      </c>
      <c r="C240" s="35" t="s">
        <v>75</v>
      </c>
      <c r="D240" s="33" t="s">
        <v>63</v>
      </c>
      <c r="E240" s="33"/>
      <c r="F240" s="36" t="s">
        <v>430</v>
      </c>
      <c r="G240" s="36"/>
      <c r="H240" s="37">
        <v>111676.36799999999</v>
      </c>
      <c r="I240" s="37">
        <v>104502.52499999999</v>
      </c>
      <c r="J240" s="37">
        <v>96945.032999999996</v>
      </c>
      <c r="K240" s="37">
        <v>102095.57399999999</v>
      </c>
      <c r="L240" s="26">
        <f t="shared" si="63"/>
        <v>415219.5</v>
      </c>
      <c r="M240" s="38">
        <v>65.95</v>
      </c>
      <c r="N240" s="38">
        <v>74.39</v>
      </c>
      <c r="O240" s="38">
        <v>45.42</v>
      </c>
      <c r="P240" s="27">
        <v>47.24</v>
      </c>
      <c r="Q240" s="28">
        <f t="shared" si="61"/>
        <v>2292715.8350399998</v>
      </c>
      <c r="R240" s="28">
        <f t="shared" si="62"/>
        <v>2145436.83825</v>
      </c>
      <c r="S240" s="28">
        <f>(N240-P240)*J240</f>
        <v>2632057.6459499998</v>
      </c>
      <c r="T240" s="28">
        <f t="shared" si="64"/>
        <v>2771894.8340999996</v>
      </c>
      <c r="U240" s="28">
        <f t="shared" si="65"/>
        <v>9842105.1533399988</v>
      </c>
      <c r="V240" s="39"/>
      <c r="W240" s="39"/>
      <c r="X240" s="39"/>
      <c r="Y240" s="29">
        <f t="shared" si="73"/>
        <v>112.79757391963608</v>
      </c>
      <c r="Z240" s="30">
        <f t="shared" si="74"/>
        <v>104.00704535446941</v>
      </c>
      <c r="AA240" s="2"/>
      <c r="AD240" s="32">
        <f t="shared" si="71"/>
        <v>-7.0453544694117909E-3</v>
      </c>
    </row>
    <row r="241" spans="1:30" s="40" customFormat="1" ht="51" customHeight="1">
      <c r="A241" s="33" t="s">
        <v>76</v>
      </c>
      <c r="B241" s="34" t="s">
        <v>77</v>
      </c>
      <c r="C241" s="35" t="s">
        <v>75</v>
      </c>
      <c r="D241" s="33" t="s">
        <v>63</v>
      </c>
      <c r="E241" s="33"/>
      <c r="F241" s="36" t="s">
        <v>430</v>
      </c>
      <c r="G241" s="36"/>
      <c r="H241" s="37">
        <v>607702.625</v>
      </c>
      <c r="I241" s="37">
        <v>617173.80099999998</v>
      </c>
      <c r="J241" s="37">
        <v>585214.68599999999</v>
      </c>
      <c r="K241" s="37">
        <v>580955.16799999995</v>
      </c>
      <c r="L241" s="26">
        <f t="shared" si="63"/>
        <v>2391046.2799999998</v>
      </c>
      <c r="M241" s="38">
        <v>34.53</v>
      </c>
      <c r="N241" s="27">
        <v>50.08</v>
      </c>
      <c r="O241" s="38">
        <v>29</v>
      </c>
      <c r="P241" s="27">
        <v>30.16</v>
      </c>
      <c r="Q241" s="28">
        <f t="shared" si="61"/>
        <v>3360595.5162500008</v>
      </c>
      <c r="R241" s="28">
        <f t="shared" si="62"/>
        <v>3412971.1195300007</v>
      </c>
      <c r="S241" s="28">
        <f>(N241-P241)*J241</f>
        <v>11657476.545119999</v>
      </c>
      <c r="T241" s="28">
        <f t="shared" si="64"/>
        <v>11572626.946559997</v>
      </c>
      <c r="U241" s="28">
        <f t="shared" si="65"/>
        <v>30003670.127459995</v>
      </c>
      <c r="V241" s="39"/>
      <c r="W241" s="39"/>
      <c r="X241" s="39"/>
      <c r="Y241" s="29">
        <f t="shared" si="73"/>
        <v>145.03330437300897</v>
      </c>
      <c r="Z241" s="30">
        <f t="shared" si="74"/>
        <v>104</v>
      </c>
      <c r="AA241" s="2"/>
      <c r="AD241" s="32">
        <f t="shared" si="71"/>
        <v>0</v>
      </c>
    </row>
    <row r="242" spans="1:30" s="40" customFormat="1" ht="15" customHeight="1">
      <c r="A242" s="33"/>
      <c r="B242" s="34"/>
      <c r="C242" s="35"/>
      <c r="D242" s="33"/>
      <c r="E242" s="33"/>
      <c r="F242" s="36"/>
      <c r="G242" s="36"/>
      <c r="H242" s="41"/>
      <c r="I242" s="41"/>
      <c r="J242" s="41"/>
      <c r="K242" s="41"/>
      <c r="L242" s="37"/>
      <c r="M242" s="41"/>
      <c r="N242" s="41"/>
      <c r="O242" s="41"/>
      <c r="P242" s="41"/>
      <c r="Q242" s="28"/>
      <c r="R242" s="28"/>
      <c r="S242" s="28"/>
      <c r="T242" s="28"/>
      <c r="U242" s="28"/>
      <c r="V242" s="39"/>
      <c r="W242" s="39"/>
      <c r="X242" s="39"/>
      <c r="Y242" s="29" t="e">
        <f t="shared" si="73"/>
        <v>#DIV/0!</v>
      </c>
      <c r="Z242" s="30" t="e">
        <f t="shared" si="74"/>
        <v>#DIV/0!</v>
      </c>
      <c r="AA242" s="2"/>
      <c r="AD242" s="32" t="e">
        <f t="shared" si="71"/>
        <v>#DIV/0!</v>
      </c>
    </row>
    <row r="243" spans="1:30" s="40" customFormat="1" ht="51" customHeight="1">
      <c r="A243" s="34">
        <v>2911007420</v>
      </c>
      <c r="B243" s="34" t="s">
        <v>434</v>
      </c>
      <c r="C243" s="35" t="s">
        <v>79</v>
      </c>
      <c r="D243" s="33" t="s">
        <v>270</v>
      </c>
      <c r="E243" s="33"/>
      <c r="F243" s="36" t="s">
        <v>430</v>
      </c>
      <c r="G243" s="36" t="s">
        <v>440</v>
      </c>
      <c r="H243" s="37">
        <f>49459/4</f>
        <v>12364.75</v>
      </c>
      <c r="I243" s="37">
        <f t="shared" ref="I243:K243" si="75">49459/4</f>
        <v>12364.75</v>
      </c>
      <c r="J243" s="37">
        <f t="shared" si="75"/>
        <v>12364.75</v>
      </c>
      <c r="K243" s="37">
        <f t="shared" si="75"/>
        <v>12364.75</v>
      </c>
      <c r="L243" s="37">
        <f t="shared" ref="L243" si="76">H243+I243+J243+K243</f>
        <v>49459</v>
      </c>
      <c r="M243" s="38">
        <v>135.56</v>
      </c>
      <c r="N243" s="38">
        <v>159.96080000000001</v>
      </c>
      <c r="O243" s="38">
        <v>46.11</v>
      </c>
      <c r="P243" s="38">
        <v>47.9544</v>
      </c>
      <c r="Q243" s="28">
        <f t="shared" si="61"/>
        <v>1106026.8875</v>
      </c>
      <c r="R243" s="28">
        <f t="shared" si="62"/>
        <v>1106026.8875</v>
      </c>
      <c r="S243" s="53">
        <f>(N243-P243)*J243</f>
        <v>1384931.1344000001</v>
      </c>
      <c r="T243" s="28">
        <f t="shared" si="64"/>
        <v>1384931.1344000001</v>
      </c>
      <c r="U243" s="80">
        <f t="shared" ref="U243" si="77">Q243+R243+S243+T243</f>
        <v>4981916.0438000001</v>
      </c>
      <c r="V243" s="89"/>
      <c r="W243" s="39"/>
      <c r="X243" s="39"/>
      <c r="Y243" s="29"/>
      <c r="Z243" s="30"/>
      <c r="AA243" s="2"/>
      <c r="AD243" s="32"/>
    </row>
    <row r="244" spans="1:30" s="40" customFormat="1" ht="15" customHeight="1">
      <c r="A244" s="33"/>
      <c r="B244" s="34"/>
      <c r="C244" s="35"/>
      <c r="D244" s="33"/>
      <c r="E244" s="33"/>
      <c r="F244" s="36"/>
      <c r="G244" s="36"/>
      <c r="H244" s="41"/>
      <c r="I244" s="41"/>
      <c r="J244" s="41"/>
      <c r="K244" s="41"/>
      <c r="L244" s="26"/>
      <c r="M244" s="41"/>
      <c r="N244" s="90"/>
      <c r="O244" s="41"/>
      <c r="P244" s="90"/>
      <c r="Q244" s="28"/>
      <c r="R244" s="28"/>
      <c r="S244" s="28"/>
      <c r="T244" s="28"/>
      <c r="U244" s="28"/>
      <c r="V244" s="39"/>
      <c r="W244" s="39"/>
      <c r="X244" s="39"/>
      <c r="Y244" s="29"/>
      <c r="Z244" s="30"/>
      <c r="AA244" s="2"/>
      <c r="AD244" s="32"/>
    </row>
    <row r="245" spans="1:30" s="40" customFormat="1" ht="51" customHeight="1">
      <c r="A245" s="33" t="s">
        <v>84</v>
      </c>
      <c r="B245" s="34" t="s">
        <v>85</v>
      </c>
      <c r="C245" s="35" t="s">
        <v>86</v>
      </c>
      <c r="D245" s="33" t="s">
        <v>87</v>
      </c>
      <c r="E245" s="33"/>
      <c r="F245" s="36" t="s">
        <v>430</v>
      </c>
      <c r="G245" s="36" t="s">
        <v>88</v>
      </c>
      <c r="H245" s="37">
        <v>39310.099000000002</v>
      </c>
      <c r="I245" s="37">
        <v>37392.595999999998</v>
      </c>
      <c r="J245" s="37">
        <v>31057.724000000002</v>
      </c>
      <c r="K245" s="37">
        <v>33110.241000000002</v>
      </c>
      <c r="L245" s="26">
        <f t="shared" si="63"/>
        <v>140870.66</v>
      </c>
      <c r="M245" s="38">
        <v>90.88</v>
      </c>
      <c r="N245" s="27">
        <v>99.66</v>
      </c>
      <c r="O245" s="38">
        <v>82.401359999999997</v>
      </c>
      <c r="P245" s="27">
        <v>85.6974144</v>
      </c>
      <c r="Q245" s="28">
        <f t="shared" si="61"/>
        <v>333296.17778535996</v>
      </c>
      <c r="R245" s="28">
        <f t="shared" si="62"/>
        <v>317038.36014943995</v>
      </c>
      <c r="S245" s="28">
        <f t="shared" ref="S245:S247" si="78">(N245-P245)*J245</f>
        <v>433646.12989117432</v>
      </c>
      <c r="T245" s="28">
        <f t="shared" si="64"/>
        <v>462304.57419912954</v>
      </c>
      <c r="U245" s="28">
        <f t="shared" si="65"/>
        <v>1546285.2420251039</v>
      </c>
      <c r="V245" s="39"/>
      <c r="W245" s="39"/>
      <c r="X245" s="39"/>
      <c r="Y245" s="29">
        <f>N245/M245*100</f>
        <v>109.66109154929578</v>
      </c>
      <c r="Z245" s="30">
        <f>P245/O245*100</f>
        <v>104</v>
      </c>
      <c r="AA245" s="2"/>
      <c r="AD245" s="32">
        <f t="shared" si="71"/>
        <v>0</v>
      </c>
    </row>
    <row r="246" spans="1:30" s="40" customFormat="1" ht="51" customHeight="1">
      <c r="A246" s="33" t="s">
        <v>60</v>
      </c>
      <c r="B246" s="34" t="s">
        <v>61</v>
      </c>
      <c r="C246" s="35" t="s">
        <v>86</v>
      </c>
      <c r="D246" s="33" t="s">
        <v>87</v>
      </c>
      <c r="E246" s="33"/>
      <c r="F246" s="36" t="s">
        <v>430</v>
      </c>
      <c r="G246" s="36"/>
      <c r="H246" s="37">
        <v>5164.8530000000001</v>
      </c>
      <c r="I246" s="37">
        <f>4737.519+184.535</f>
        <v>4922.0540000000001</v>
      </c>
      <c r="J246" s="37">
        <v>5169.4409999999998</v>
      </c>
      <c r="K246" s="37">
        <v>4906.6229999999996</v>
      </c>
      <c r="L246" s="26">
        <f t="shared" si="63"/>
        <v>20162.970999999998</v>
      </c>
      <c r="M246" s="38">
        <v>75.5698261</v>
      </c>
      <c r="N246" s="27">
        <v>80.056045815200008</v>
      </c>
      <c r="O246" s="38">
        <v>68.664152999999999</v>
      </c>
      <c r="P246" s="27">
        <v>71.410719119999996</v>
      </c>
      <c r="Q246" s="28">
        <f t="shared" si="61"/>
        <v>35666.786427554311</v>
      </c>
      <c r="R246" s="28">
        <f t="shared" si="62"/>
        <v>33990.095904547408</v>
      </c>
      <c r="S246" s="28">
        <f t="shared" si="78"/>
        <v>44691.506276561442</v>
      </c>
      <c r="T246" s="28">
        <f t="shared" si="64"/>
        <v>42419.358805182368</v>
      </c>
      <c r="U246" s="28">
        <f t="shared" si="65"/>
        <v>156767.74741384553</v>
      </c>
      <c r="V246" s="39"/>
      <c r="W246" s="39"/>
      <c r="X246" s="39"/>
      <c r="Y246" s="29">
        <f>N246/M246*100</f>
        <v>105.93652248089533</v>
      </c>
      <c r="Z246" s="30">
        <f>P246/O246*100</f>
        <v>104</v>
      </c>
      <c r="AA246" s="2"/>
      <c r="AD246" s="32">
        <f t="shared" si="71"/>
        <v>0</v>
      </c>
    </row>
    <row r="247" spans="1:30" s="40" customFormat="1" ht="51" customHeight="1">
      <c r="A247" s="33" t="s">
        <v>380</v>
      </c>
      <c r="B247" s="34" t="s">
        <v>381</v>
      </c>
      <c r="C247" s="35" t="s">
        <v>86</v>
      </c>
      <c r="D247" s="33" t="s">
        <v>90</v>
      </c>
      <c r="E247" s="33"/>
      <c r="F247" s="36" t="s">
        <v>430</v>
      </c>
      <c r="G247" s="36"/>
      <c r="H247" s="37">
        <v>1012</v>
      </c>
      <c r="I247" s="37">
        <v>1012</v>
      </c>
      <c r="J247" s="37">
        <v>1012</v>
      </c>
      <c r="K247" s="37">
        <v>1012</v>
      </c>
      <c r="L247" s="26">
        <f t="shared" si="63"/>
        <v>4048</v>
      </c>
      <c r="M247" s="38">
        <v>112.79</v>
      </c>
      <c r="N247" s="27">
        <v>215.27</v>
      </c>
      <c r="O247" s="38">
        <v>82.4</v>
      </c>
      <c r="P247" s="27">
        <v>85.696000000000012</v>
      </c>
      <c r="Q247" s="28">
        <f t="shared" si="61"/>
        <v>30754.68</v>
      </c>
      <c r="R247" s="28">
        <f t="shared" si="62"/>
        <v>30754.68</v>
      </c>
      <c r="S247" s="28">
        <f t="shared" si="78"/>
        <v>131128.88800000001</v>
      </c>
      <c r="T247" s="28">
        <f t="shared" si="64"/>
        <v>131128.88800000001</v>
      </c>
      <c r="U247" s="28">
        <f t="shared" si="65"/>
        <v>323767.13600000006</v>
      </c>
      <c r="V247" s="39"/>
      <c r="W247" s="39"/>
      <c r="X247" s="39"/>
      <c r="Y247" s="29"/>
      <c r="Z247" s="30"/>
      <c r="AA247" s="2"/>
      <c r="AD247" s="32"/>
    </row>
    <row r="248" spans="1:30" s="40" customFormat="1" ht="15" customHeight="1">
      <c r="A248" s="33"/>
      <c r="B248" s="34"/>
      <c r="C248" s="35"/>
      <c r="D248" s="33"/>
      <c r="E248" s="33"/>
      <c r="F248" s="36"/>
      <c r="G248" s="36"/>
      <c r="H248" s="41"/>
      <c r="I248" s="41"/>
      <c r="J248" s="41"/>
      <c r="K248" s="41"/>
      <c r="L248" s="37"/>
      <c r="M248" s="41"/>
      <c r="N248" s="41"/>
      <c r="O248" s="41"/>
      <c r="P248" s="41"/>
      <c r="Q248" s="28"/>
      <c r="R248" s="28"/>
      <c r="S248" s="28"/>
      <c r="T248" s="28"/>
      <c r="U248" s="28"/>
      <c r="V248" s="39"/>
      <c r="W248" s="39"/>
      <c r="X248" s="39"/>
      <c r="Y248" s="29" t="e">
        <f t="shared" ref="Y248:Y280" si="79">N248/M248*100</f>
        <v>#DIV/0!</v>
      </c>
      <c r="Z248" s="30" t="e">
        <f t="shared" ref="Z248:Z280" si="80">P248/O248*100</f>
        <v>#DIV/0!</v>
      </c>
      <c r="AA248" s="2"/>
      <c r="AD248" s="32" t="e">
        <f t="shared" si="71"/>
        <v>#DIV/0!</v>
      </c>
    </row>
    <row r="249" spans="1:30" s="40" customFormat="1" ht="51" customHeight="1">
      <c r="A249" s="33" t="s">
        <v>382</v>
      </c>
      <c r="B249" s="34" t="s">
        <v>120</v>
      </c>
      <c r="C249" s="35" t="s">
        <v>97</v>
      </c>
      <c r="D249" s="33" t="s">
        <v>319</v>
      </c>
      <c r="E249" s="33" t="s">
        <v>320</v>
      </c>
      <c r="F249" s="36" t="s">
        <v>430</v>
      </c>
      <c r="G249" s="36" t="s">
        <v>384</v>
      </c>
      <c r="H249" s="37">
        <v>10580.328</v>
      </c>
      <c r="I249" s="37">
        <v>9970.7920000000013</v>
      </c>
      <c r="J249" s="37">
        <v>10009.784</v>
      </c>
      <c r="K249" s="37">
        <v>9911.5859999999993</v>
      </c>
      <c r="L249" s="26">
        <f t="shared" si="63"/>
        <v>40472.490000000005</v>
      </c>
      <c r="M249" s="38">
        <v>202.55</v>
      </c>
      <c r="N249" s="27">
        <v>202.55</v>
      </c>
      <c r="O249" s="38">
        <v>82.41</v>
      </c>
      <c r="P249" s="27">
        <v>85.71</v>
      </c>
      <c r="Q249" s="28">
        <f t="shared" si="61"/>
        <v>1271120.60592</v>
      </c>
      <c r="R249" s="28">
        <f t="shared" si="62"/>
        <v>1197890.9508800004</v>
      </c>
      <c r="S249" s="28">
        <f t="shared" ref="S249:S253" si="81">(N249-P249)*J249</f>
        <v>1169543.1625600001</v>
      </c>
      <c r="T249" s="28">
        <f t="shared" si="64"/>
        <v>1158069.7082400001</v>
      </c>
      <c r="U249" s="28">
        <f t="shared" si="65"/>
        <v>4796624.4276000001</v>
      </c>
      <c r="V249" s="39"/>
      <c r="W249" s="39"/>
      <c r="X249" s="39"/>
      <c r="Y249" s="29">
        <f t="shared" si="79"/>
        <v>100</v>
      </c>
      <c r="Z249" s="30">
        <f t="shared" si="80"/>
        <v>104.00436840189298</v>
      </c>
      <c r="AA249" s="2"/>
      <c r="AD249" s="32">
        <f t="shared" si="71"/>
        <v>-4.368401892975271E-3</v>
      </c>
    </row>
    <row r="250" spans="1:30" s="40" customFormat="1" ht="51" customHeight="1">
      <c r="A250" s="33" t="s">
        <v>382</v>
      </c>
      <c r="B250" s="34" t="s">
        <v>120</v>
      </c>
      <c r="C250" s="35" t="s">
        <v>97</v>
      </c>
      <c r="D250" s="33" t="s">
        <v>319</v>
      </c>
      <c r="E250" s="33" t="s">
        <v>321</v>
      </c>
      <c r="F250" s="36" t="s">
        <v>430</v>
      </c>
      <c r="G250" s="36" t="s">
        <v>384</v>
      </c>
      <c r="H250" s="37">
        <v>2765.453</v>
      </c>
      <c r="I250" s="37">
        <v>2244.1320000000001</v>
      </c>
      <c r="J250" s="37">
        <v>2479.5250000000001</v>
      </c>
      <c r="K250" s="37">
        <v>2248.3430000000003</v>
      </c>
      <c r="L250" s="26">
        <f t="shared" si="63"/>
        <v>9737.4530000000013</v>
      </c>
      <c r="M250" s="38">
        <v>202.55</v>
      </c>
      <c r="N250" s="27">
        <v>202.55</v>
      </c>
      <c r="O250" s="38">
        <v>87</v>
      </c>
      <c r="P250" s="27">
        <v>90.48</v>
      </c>
      <c r="Q250" s="28">
        <f t="shared" si="61"/>
        <v>319548.09415000002</v>
      </c>
      <c r="R250" s="28">
        <f t="shared" si="62"/>
        <v>259309.45260000002</v>
      </c>
      <c r="S250" s="28">
        <f t="shared" si="81"/>
        <v>277880.36675000004</v>
      </c>
      <c r="T250" s="28">
        <f t="shared" si="64"/>
        <v>251971.80001000006</v>
      </c>
      <c r="U250" s="28">
        <f t="shared" si="65"/>
        <v>1108709.7135100001</v>
      </c>
      <c r="V250" s="39"/>
      <c r="W250" s="39"/>
      <c r="X250" s="39"/>
      <c r="Y250" s="29">
        <f t="shared" si="79"/>
        <v>100</v>
      </c>
      <c r="Z250" s="30">
        <f t="shared" si="80"/>
        <v>104</v>
      </c>
      <c r="AA250" s="2"/>
      <c r="AD250" s="32">
        <f t="shared" si="71"/>
        <v>0</v>
      </c>
    </row>
    <row r="251" spans="1:30" s="40" customFormat="1" ht="51" customHeight="1">
      <c r="A251" s="33" t="s">
        <v>382</v>
      </c>
      <c r="B251" s="34" t="s">
        <v>120</v>
      </c>
      <c r="C251" s="35" t="s">
        <v>97</v>
      </c>
      <c r="D251" s="33" t="s">
        <v>104</v>
      </c>
      <c r="E251" s="33" t="s">
        <v>63</v>
      </c>
      <c r="F251" s="36" t="s">
        <v>430</v>
      </c>
      <c r="G251" s="36" t="s">
        <v>385</v>
      </c>
      <c r="H251" s="37">
        <v>7974.3809999999994</v>
      </c>
      <c r="I251" s="37">
        <v>7810.72</v>
      </c>
      <c r="J251" s="37">
        <v>8654.2459999999992</v>
      </c>
      <c r="K251" s="37">
        <v>8882.9060000000009</v>
      </c>
      <c r="L251" s="26">
        <f t="shared" si="63"/>
        <v>33322.252999999997</v>
      </c>
      <c r="M251" s="38">
        <v>152.28</v>
      </c>
      <c r="N251" s="27">
        <v>152.28</v>
      </c>
      <c r="O251" s="38">
        <v>84.17</v>
      </c>
      <c r="P251" s="27">
        <v>87.54</v>
      </c>
      <c r="Q251" s="28">
        <f t="shared" si="61"/>
        <v>543135.08990999998</v>
      </c>
      <c r="R251" s="28">
        <f t="shared" si="62"/>
        <v>531988.13919999998</v>
      </c>
      <c r="S251" s="28">
        <f t="shared" si="81"/>
        <v>560275.8860399999</v>
      </c>
      <c r="T251" s="28">
        <f t="shared" si="64"/>
        <v>575079.33444000001</v>
      </c>
      <c r="U251" s="28">
        <f t="shared" si="65"/>
        <v>2210478.4495899999</v>
      </c>
      <c r="V251" s="39"/>
      <c r="W251" s="39"/>
      <c r="X251" s="39"/>
      <c r="Y251" s="29">
        <f t="shared" si="79"/>
        <v>100</v>
      </c>
      <c r="Z251" s="30">
        <f t="shared" si="80"/>
        <v>104.00380182963052</v>
      </c>
      <c r="AA251" s="2"/>
      <c r="AD251" s="32">
        <f t="shared" si="71"/>
        <v>-3.8018296305182275E-3</v>
      </c>
    </row>
    <row r="252" spans="1:30" s="40" customFormat="1" ht="51" customHeight="1">
      <c r="A252" s="33" t="s">
        <v>102</v>
      </c>
      <c r="B252" s="34" t="s">
        <v>103</v>
      </c>
      <c r="C252" s="35" t="s">
        <v>97</v>
      </c>
      <c r="D252" s="33" t="s">
        <v>98</v>
      </c>
      <c r="E252" s="33" t="s">
        <v>322</v>
      </c>
      <c r="F252" s="36" t="s">
        <v>430</v>
      </c>
      <c r="G252" s="36"/>
      <c r="H252" s="37">
        <v>20581.621999999999</v>
      </c>
      <c r="I252" s="37">
        <v>17956.550999999999</v>
      </c>
      <c r="J252" s="37">
        <v>16988.644</v>
      </c>
      <c r="K252" s="37">
        <v>18432.786</v>
      </c>
      <c r="L252" s="26">
        <f t="shared" si="63"/>
        <v>73959.603000000003</v>
      </c>
      <c r="M252" s="38">
        <v>60.16</v>
      </c>
      <c r="N252" s="27">
        <v>70.5</v>
      </c>
      <c r="O252" s="38">
        <v>56</v>
      </c>
      <c r="P252" s="27">
        <v>58.24</v>
      </c>
      <c r="Q252" s="28">
        <f t="shared" si="61"/>
        <v>85619.54751999992</v>
      </c>
      <c r="R252" s="28">
        <f t="shared" si="62"/>
        <v>74699.252159999931</v>
      </c>
      <c r="S252" s="28">
        <f t="shared" si="81"/>
        <v>208280.77543999997</v>
      </c>
      <c r="T252" s="28">
        <f t="shared" si="64"/>
        <v>225985.95635999995</v>
      </c>
      <c r="U252" s="28">
        <f t="shared" si="65"/>
        <v>594585.53147999977</v>
      </c>
      <c r="V252" s="39"/>
      <c r="W252" s="39"/>
      <c r="X252" s="39"/>
      <c r="Y252" s="29">
        <f t="shared" si="79"/>
        <v>117.1875</v>
      </c>
      <c r="Z252" s="30">
        <f t="shared" si="80"/>
        <v>104</v>
      </c>
      <c r="AA252" s="2"/>
      <c r="AD252" s="32">
        <f t="shared" si="71"/>
        <v>0</v>
      </c>
    </row>
    <row r="253" spans="1:30" s="40" customFormat="1" ht="51" customHeight="1">
      <c r="A253" s="33" t="s">
        <v>102</v>
      </c>
      <c r="B253" s="34" t="s">
        <v>103</v>
      </c>
      <c r="C253" s="35" t="s">
        <v>97</v>
      </c>
      <c r="D253" s="33" t="s">
        <v>98</v>
      </c>
      <c r="E253" s="33" t="s">
        <v>383</v>
      </c>
      <c r="F253" s="36" t="s">
        <v>430</v>
      </c>
      <c r="G253" s="36"/>
      <c r="H253" s="37">
        <v>1515.6870000000001</v>
      </c>
      <c r="I253" s="37">
        <v>1540.9009999999998</v>
      </c>
      <c r="J253" s="37">
        <v>1588.5860000000002</v>
      </c>
      <c r="K253" s="37">
        <v>1412.81</v>
      </c>
      <c r="L253" s="26">
        <f t="shared" si="63"/>
        <v>6057.9840000000004</v>
      </c>
      <c r="M253" s="38">
        <v>195.34</v>
      </c>
      <c r="N253" s="27">
        <v>211.04</v>
      </c>
      <c r="O253" s="38">
        <v>56</v>
      </c>
      <c r="P253" s="27">
        <v>58.24</v>
      </c>
      <c r="Q253" s="28">
        <f t="shared" si="61"/>
        <v>211195.82658000002</v>
      </c>
      <c r="R253" s="28">
        <f t="shared" si="62"/>
        <v>214709.14533999999</v>
      </c>
      <c r="S253" s="28">
        <f t="shared" si="81"/>
        <v>242735.94080000001</v>
      </c>
      <c r="T253" s="28">
        <f t="shared" si="64"/>
        <v>215877.36799999996</v>
      </c>
      <c r="U253" s="28">
        <f t="shared" si="65"/>
        <v>884518.28071999992</v>
      </c>
      <c r="V253" s="39"/>
      <c r="W253" s="39"/>
      <c r="X253" s="39"/>
      <c r="Y253" s="29">
        <f t="shared" si="79"/>
        <v>108.03726835261595</v>
      </c>
      <c r="Z253" s="30">
        <f t="shared" si="80"/>
        <v>104</v>
      </c>
      <c r="AA253" s="2"/>
      <c r="AD253" s="32">
        <f t="shared" si="71"/>
        <v>0</v>
      </c>
    </row>
    <row r="254" spans="1:30" s="40" customFormat="1" ht="15" customHeight="1">
      <c r="A254" s="33"/>
      <c r="B254" s="34"/>
      <c r="C254" s="35"/>
      <c r="D254" s="33"/>
      <c r="E254" s="33"/>
      <c r="F254" s="36"/>
      <c r="G254" s="36"/>
      <c r="H254" s="41"/>
      <c r="I254" s="41"/>
      <c r="J254" s="41"/>
      <c r="K254" s="41"/>
      <c r="L254" s="37"/>
      <c r="M254" s="41"/>
      <c r="N254" s="41"/>
      <c r="O254" s="41"/>
      <c r="P254" s="41"/>
      <c r="Q254" s="28"/>
      <c r="R254" s="28"/>
      <c r="S254" s="28"/>
      <c r="T254" s="28"/>
      <c r="U254" s="28"/>
      <c r="V254" s="39"/>
      <c r="W254" s="39"/>
      <c r="X254" s="39"/>
      <c r="Y254" s="29" t="e">
        <f t="shared" si="79"/>
        <v>#DIV/0!</v>
      </c>
      <c r="Z254" s="30" t="e">
        <f t="shared" si="80"/>
        <v>#DIV/0!</v>
      </c>
      <c r="AA254" s="2"/>
      <c r="AD254" s="32" t="e">
        <f t="shared" si="71"/>
        <v>#DIV/0!</v>
      </c>
    </row>
    <row r="255" spans="1:30" s="40" customFormat="1" ht="51" customHeight="1">
      <c r="A255" s="33" t="s">
        <v>116</v>
      </c>
      <c r="B255" s="34" t="s">
        <v>117</v>
      </c>
      <c r="C255" s="35" t="s">
        <v>113</v>
      </c>
      <c r="D255" s="33" t="s">
        <v>118</v>
      </c>
      <c r="E255" s="33" t="s">
        <v>63</v>
      </c>
      <c r="F255" s="36" t="s">
        <v>430</v>
      </c>
      <c r="G255" s="36"/>
      <c r="H255" s="37">
        <f>17031.243-152.157</f>
        <v>16879.085999999999</v>
      </c>
      <c r="I255" s="37">
        <v>16628.535</v>
      </c>
      <c r="J255" s="37">
        <v>16831.367999999999</v>
      </c>
      <c r="K255" s="37">
        <v>16445.526999999998</v>
      </c>
      <c r="L255" s="26">
        <f t="shared" si="63"/>
        <v>66784.516000000003</v>
      </c>
      <c r="M255" s="38">
        <v>128.04</v>
      </c>
      <c r="N255" s="27">
        <v>153.05000000000001</v>
      </c>
      <c r="O255" s="38">
        <v>34.5</v>
      </c>
      <c r="P255" s="27">
        <v>35.880000000000003</v>
      </c>
      <c r="Q255" s="28">
        <f t="shared" si="61"/>
        <v>1578869.7044399998</v>
      </c>
      <c r="R255" s="28">
        <f t="shared" si="62"/>
        <v>1555433.1638999998</v>
      </c>
      <c r="S255" s="28">
        <f t="shared" ref="S255:S258" si="82">(N255-P255)*J255</f>
        <v>1972131.3885600001</v>
      </c>
      <c r="T255" s="28">
        <f t="shared" si="64"/>
        <v>1926922.3985900001</v>
      </c>
      <c r="U255" s="28">
        <f t="shared" si="65"/>
        <v>7033356.6554899998</v>
      </c>
      <c r="V255" s="39"/>
      <c r="W255" s="39"/>
      <c r="X255" s="39"/>
      <c r="Y255" s="29">
        <f t="shared" si="79"/>
        <v>119.53295845048424</v>
      </c>
      <c r="Z255" s="30">
        <f t="shared" si="80"/>
        <v>104</v>
      </c>
      <c r="AA255" s="2"/>
      <c r="AD255" s="32">
        <f t="shared" si="71"/>
        <v>0</v>
      </c>
    </row>
    <row r="256" spans="1:30" s="40" customFormat="1" ht="105" customHeight="1">
      <c r="A256" s="33" t="s">
        <v>116</v>
      </c>
      <c r="B256" s="34" t="s">
        <v>117</v>
      </c>
      <c r="C256" s="35" t="s">
        <v>113</v>
      </c>
      <c r="D256" s="33" t="s">
        <v>118</v>
      </c>
      <c r="E256" s="33" t="s">
        <v>386</v>
      </c>
      <c r="F256" s="36" t="s">
        <v>430</v>
      </c>
      <c r="G256" s="36"/>
      <c r="H256" s="37">
        <v>935.35400000000004</v>
      </c>
      <c r="I256" s="37">
        <f>781.008+9.359</f>
        <v>790.36700000000008</v>
      </c>
      <c r="J256" s="37">
        <v>831.37</v>
      </c>
      <c r="K256" s="37">
        <v>841.68399999999997</v>
      </c>
      <c r="L256" s="26">
        <f t="shared" si="63"/>
        <v>3398.7749999999996</v>
      </c>
      <c r="M256" s="38">
        <v>128.04</v>
      </c>
      <c r="N256" s="27">
        <v>153.05000000000001</v>
      </c>
      <c r="O256" s="38">
        <v>47.44</v>
      </c>
      <c r="P256" s="27">
        <v>49.34</v>
      </c>
      <c r="Q256" s="28">
        <f t="shared" si="61"/>
        <v>75389.532399999996</v>
      </c>
      <c r="R256" s="28">
        <f t="shared" si="62"/>
        <v>63703.580200000004</v>
      </c>
      <c r="S256" s="28">
        <f t="shared" si="82"/>
        <v>86221.382700000002</v>
      </c>
      <c r="T256" s="28">
        <f t="shared" si="64"/>
        <v>87291.047640000004</v>
      </c>
      <c r="U256" s="28">
        <f t="shared" si="65"/>
        <v>312605.54294000001</v>
      </c>
      <c r="V256" s="39"/>
      <c r="W256" s="39"/>
      <c r="X256" s="39"/>
      <c r="Y256" s="29">
        <f t="shared" si="79"/>
        <v>119.53295845048424</v>
      </c>
      <c r="Z256" s="30">
        <f t="shared" si="80"/>
        <v>104.00505902192243</v>
      </c>
      <c r="AA256" s="2"/>
      <c r="AD256" s="32">
        <f t="shared" si="71"/>
        <v>-5.0590219224346811E-3</v>
      </c>
    </row>
    <row r="257" spans="1:30" s="40" customFormat="1" ht="51" customHeight="1">
      <c r="A257" s="33">
        <v>2901284489</v>
      </c>
      <c r="B257" s="34" t="s">
        <v>115</v>
      </c>
      <c r="C257" s="35" t="s">
        <v>113</v>
      </c>
      <c r="D257" s="33" t="s">
        <v>324</v>
      </c>
      <c r="E257" s="33" t="s">
        <v>63</v>
      </c>
      <c r="F257" s="36" t="s">
        <v>430</v>
      </c>
      <c r="G257" s="36" t="s">
        <v>325</v>
      </c>
      <c r="H257" s="37">
        <v>3421.65</v>
      </c>
      <c r="I257" s="37">
        <v>3653.57</v>
      </c>
      <c r="J257" s="37">
        <v>5439.2569999999996</v>
      </c>
      <c r="K257" s="37">
        <v>5427.6720000000005</v>
      </c>
      <c r="L257" s="26">
        <f t="shared" si="63"/>
        <v>17942.148999999998</v>
      </c>
      <c r="M257" s="38">
        <v>87.15</v>
      </c>
      <c r="N257" s="27">
        <v>119.07</v>
      </c>
      <c r="O257" s="38">
        <v>42.54</v>
      </c>
      <c r="P257" s="27">
        <v>44.25</v>
      </c>
      <c r="Q257" s="28">
        <f t="shared" si="61"/>
        <v>152639.80650000004</v>
      </c>
      <c r="R257" s="28">
        <f t="shared" si="62"/>
        <v>162985.75770000005</v>
      </c>
      <c r="S257" s="28">
        <f t="shared" si="82"/>
        <v>406965.20873999991</v>
      </c>
      <c r="T257" s="28">
        <f t="shared" si="64"/>
        <v>406098.41904000001</v>
      </c>
      <c r="U257" s="28">
        <f t="shared" si="65"/>
        <v>1128689.1919800001</v>
      </c>
      <c r="V257" s="39"/>
      <c r="W257" s="39"/>
      <c r="X257" s="39"/>
      <c r="Y257" s="29">
        <f t="shared" si="79"/>
        <v>136.62650602409636</v>
      </c>
      <c r="Z257" s="30">
        <f t="shared" si="80"/>
        <v>104.0197461212976</v>
      </c>
      <c r="AA257" s="2"/>
      <c r="AD257" s="32">
        <f t="shared" si="71"/>
        <v>-1.9746121297600894E-2</v>
      </c>
    </row>
    <row r="258" spans="1:30" s="40" customFormat="1" ht="51" customHeight="1">
      <c r="A258" s="33" t="s">
        <v>111</v>
      </c>
      <c r="B258" s="34" t="s">
        <v>112</v>
      </c>
      <c r="C258" s="35" t="s">
        <v>113</v>
      </c>
      <c r="D258" s="33" t="s">
        <v>114</v>
      </c>
      <c r="E258" s="33"/>
      <c r="F258" s="36" t="s">
        <v>430</v>
      </c>
      <c r="G258" s="36"/>
      <c r="H258" s="37">
        <v>1600</v>
      </c>
      <c r="I258" s="37">
        <v>1600</v>
      </c>
      <c r="J258" s="37">
        <v>1600</v>
      </c>
      <c r="K258" s="37">
        <v>1600</v>
      </c>
      <c r="L258" s="26">
        <f t="shared" si="63"/>
        <v>6400</v>
      </c>
      <c r="M258" s="38">
        <v>264.43</v>
      </c>
      <c r="N258" s="27">
        <v>374.11</v>
      </c>
      <c r="O258" s="38">
        <v>33.700000000000003</v>
      </c>
      <c r="P258" s="27">
        <v>35.04</v>
      </c>
      <c r="Q258" s="28">
        <f t="shared" si="61"/>
        <v>369168</v>
      </c>
      <c r="R258" s="28">
        <f t="shared" si="62"/>
        <v>369168</v>
      </c>
      <c r="S258" s="28">
        <f t="shared" si="82"/>
        <v>542512</v>
      </c>
      <c r="T258" s="28">
        <f t="shared" si="64"/>
        <v>542512</v>
      </c>
      <c r="U258" s="28">
        <f t="shared" si="65"/>
        <v>1823360</v>
      </c>
      <c r="V258" s="39"/>
      <c r="W258" s="39"/>
      <c r="X258" s="39"/>
      <c r="Y258" s="29">
        <f t="shared" si="79"/>
        <v>141.47789585145406</v>
      </c>
      <c r="Z258" s="30">
        <f t="shared" si="80"/>
        <v>103.97626112759643</v>
      </c>
      <c r="AA258" s="2"/>
      <c r="AD258" s="32">
        <f t="shared" si="71"/>
        <v>2.3738872403569644E-2</v>
      </c>
    </row>
    <row r="259" spans="1:30" s="40" customFormat="1" ht="15" customHeight="1">
      <c r="A259" s="33"/>
      <c r="B259" s="34"/>
      <c r="C259" s="35"/>
      <c r="D259" s="33"/>
      <c r="E259" s="33"/>
      <c r="F259" s="36"/>
      <c r="G259" s="36"/>
      <c r="H259" s="41"/>
      <c r="I259" s="41"/>
      <c r="J259" s="41"/>
      <c r="K259" s="41"/>
      <c r="L259" s="37"/>
      <c r="M259" s="41"/>
      <c r="N259" s="27"/>
      <c r="O259" s="41"/>
      <c r="P259" s="41"/>
      <c r="Q259" s="28"/>
      <c r="R259" s="28"/>
      <c r="S259" s="28"/>
      <c r="T259" s="28"/>
      <c r="U259" s="28"/>
      <c r="V259" s="39"/>
      <c r="W259" s="39"/>
      <c r="X259" s="39"/>
      <c r="Y259" s="29" t="e">
        <f t="shared" si="79"/>
        <v>#DIV/0!</v>
      </c>
      <c r="Z259" s="30" t="e">
        <f t="shared" si="80"/>
        <v>#DIV/0!</v>
      </c>
      <c r="AA259" s="2"/>
      <c r="AD259" s="32" t="e">
        <f t="shared" si="71"/>
        <v>#DIV/0!</v>
      </c>
    </row>
    <row r="260" spans="1:30" s="40" customFormat="1" ht="51" customHeight="1">
      <c r="A260" s="33">
        <v>2925003747</v>
      </c>
      <c r="B260" s="34" t="s">
        <v>126</v>
      </c>
      <c r="C260" s="35" t="s">
        <v>283</v>
      </c>
      <c r="D260" s="33"/>
      <c r="E260" s="33"/>
      <c r="F260" s="36" t="s">
        <v>430</v>
      </c>
      <c r="G260" s="36" t="s">
        <v>379</v>
      </c>
      <c r="H260" s="37">
        <f>1855814/4</f>
        <v>463953.5</v>
      </c>
      <c r="I260" s="37">
        <f>H260</f>
        <v>463953.5</v>
      </c>
      <c r="J260" s="37">
        <f>H260</f>
        <v>463953.5</v>
      </c>
      <c r="K260" s="37">
        <f>H260</f>
        <v>463953.5</v>
      </c>
      <c r="L260" s="26">
        <f t="shared" si="63"/>
        <v>1855814</v>
      </c>
      <c r="M260" s="38">
        <v>29.16599845</v>
      </c>
      <c r="N260" s="27">
        <v>38.35</v>
      </c>
      <c r="O260" s="38">
        <v>29.16599845</v>
      </c>
      <c r="P260" s="27">
        <f>O260*1.04</f>
        <v>30.332638387999999</v>
      </c>
      <c r="Q260" s="28">
        <f t="shared" si="61"/>
        <v>0</v>
      </c>
      <c r="R260" s="28">
        <f t="shared" si="62"/>
        <v>0</v>
      </c>
      <c r="S260" s="28">
        <f>(N260-P260)*J260</f>
        <v>3719682.9806530429</v>
      </c>
      <c r="T260" s="28">
        <f t="shared" si="64"/>
        <v>3719682.9806530429</v>
      </c>
      <c r="U260" s="28">
        <f t="shared" si="65"/>
        <v>7439365.9613060858</v>
      </c>
      <c r="V260" s="39"/>
      <c r="W260" s="39"/>
      <c r="X260" s="39"/>
      <c r="Y260" s="29">
        <f t="shared" si="79"/>
        <v>131.48872673001188</v>
      </c>
      <c r="Z260" s="30">
        <f t="shared" si="80"/>
        <v>104</v>
      </c>
      <c r="AA260" s="2" t="s">
        <v>49</v>
      </c>
      <c r="AD260" s="32">
        <f t="shared" si="71"/>
        <v>0</v>
      </c>
    </row>
    <row r="261" spans="1:30" s="40" customFormat="1" ht="15" customHeight="1">
      <c r="A261" s="33"/>
      <c r="B261" s="34"/>
      <c r="C261" s="35"/>
      <c r="D261" s="33"/>
      <c r="E261" s="33"/>
      <c r="F261" s="36"/>
      <c r="G261" s="36"/>
      <c r="H261" s="41"/>
      <c r="I261" s="41"/>
      <c r="J261" s="41"/>
      <c r="K261" s="41"/>
      <c r="L261" s="37"/>
      <c r="M261" s="41"/>
      <c r="N261" s="41"/>
      <c r="O261" s="41"/>
      <c r="P261" s="41"/>
      <c r="Q261" s="28"/>
      <c r="R261" s="28"/>
      <c r="S261" s="28"/>
      <c r="T261" s="28"/>
      <c r="U261" s="28"/>
      <c r="V261" s="39"/>
      <c r="W261" s="39"/>
      <c r="X261" s="39"/>
      <c r="Y261" s="29" t="e">
        <f t="shared" si="79"/>
        <v>#DIV/0!</v>
      </c>
      <c r="Z261" s="30" t="e">
        <f t="shared" si="80"/>
        <v>#DIV/0!</v>
      </c>
      <c r="AA261" s="2"/>
      <c r="AD261" s="32" t="e">
        <f t="shared" si="71"/>
        <v>#DIV/0!</v>
      </c>
    </row>
    <row r="262" spans="1:30" s="40" customFormat="1" ht="51" customHeight="1">
      <c r="A262" s="33" t="s">
        <v>271</v>
      </c>
      <c r="B262" s="34" t="s">
        <v>272</v>
      </c>
      <c r="C262" s="35" t="s">
        <v>129</v>
      </c>
      <c r="D262" s="33" t="s">
        <v>130</v>
      </c>
      <c r="E262" s="33"/>
      <c r="F262" s="36" t="s">
        <v>430</v>
      </c>
      <c r="G262" s="36"/>
      <c r="H262" s="37">
        <f>106885.665-2329.694</f>
        <v>104555.97099999999</v>
      </c>
      <c r="I262" s="37">
        <v>99477.771000000008</v>
      </c>
      <c r="J262" s="37">
        <v>92358.073999999993</v>
      </c>
      <c r="K262" s="37">
        <v>102137.519</v>
      </c>
      <c r="L262" s="26">
        <f t="shared" si="63"/>
        <v>398529.33499999996</v>
      </c>
      <c r="M262" s="38">
        <v>70.2</v>
      </c>
      <c r="N262" s="27">
        <v>78.827307000000033</v>
      </c>
      <c r="O262" s="38">
        <v>47.212707400000006</v>
      </c>
      <c r="P262" s="27">
        <v>49.101215696000011</v>
      </c>
      <c r="Q262" s="28">
        <f t="shared" si="61"/>
        <v>2403458.6984541141</v>
      </c>
      <c r="R262" s="28">
        <f t="shared" si="62"/>
        <v>2286724.6291727945</v>
      </c>
      <c r="S262" s="28">
        <f>(N262-P262)*J262</f>
        <v>2745444.5403855904</v>
      </c>
      <c r="T262" s="28">
        <f t="shared" si="64"/>
        <v>3036149.215358037</v>
      </c>
      <c r="U262" s="28">
        <f t="shared" si="65"/>
        <v>10471777.083370537</v>
      </c>
      <c r="V262" s="39"/>
      <c r="W262" s="39"/>
      <c r="X262" s="39"/>
      <c r="Y262" s="29">
        <f t="shared" si="79"/>
        <v>112.28961111111116</v>
      </c>
      <c r="Z262" s="30">
        <f t="shared" si="80"/>
        <v>104</v>
      </c>
      <c r="AA262" s="2"/>
      <c r="AD262" s="32">
        <f t="shared" si="71"/>
        <v>0</v>
      </c>
    </row>
    <row r="263" spans="1:30" s="40" customFormat="1" ht="15" customHeight="1">
      <c r="A263" s="33"/>
      <c r="B263" s="34"/>
      <c r="C263" s="35"/>
      <c r="D263" s="33"/>
      <c r="E263" s="33"/>
      <c r="F263" s="36"/>
      <c r="G263" s="36"/>
      <c r="H263" s="41"/>
      <c r="I263" s="41"/>
      <c r="J263" s="41"/>
      <c r="K263" s="41"/>
      <c r="L263" s="37"/>
      <c r="M263" s="41"/>
      <c r="N263" s="41"/>
      <c r="O263" s="41"/>
      <c r="P263" s="41"/>
      <c r="Q263" s="28"/>
      <c r="R263" s="28"/>
      <c r="S263" s="28"/>
      <c r="T263" s="28"/>
      <c r="U263" s="28"/>
      <c r="V263" s="39"/>
      <c r="W263" s="39"/>
      <c r="X263" s="39"/>
      <c r="Y263" s="29" t="e">
        <f t="shared" si="79"/>
        <v>#DIV/0!</v>
      </c>
      <c r="Z263" s="30" t="e">
        <f t="shared" si="80"/>
        <v>#DIV/0!</v>
      </c>
      <c r="AA263" s="2"/>
      <c r="AD263" s="32" t="e">
        <f t="shared" si="71"/>
        <v>#DIV/0!</v>
      </c>
    </row>
    <row r="264" spans="1:30" s="40" customFormat="1" ht="51" customHeight="1">
      <c r="A264" s="33" t="s">
        <v>60</v>
      </c>
      <c r="B264" s="34" t="s">
        <v>61</v>
      </c>
      <c r="C264" s="35" t="s">
        <v>134</v>
      </c>
      <c r="D264" s="33" t="s">
        <v>135</v>
      </c>
      <c r="E264" s="33"/>
      <c r="F264" s="36" t="s">
        <v>430</v>
      </c>
      <c r="G264" s="36"/>
      <c r="H264" s="37">
        <f>7878.746-2.729</f>
        <v>7876.0169999999998</v>
      </c>
      <c r="I264" s="37">
        <v>7433.2690000000002</v>
      </c>
      <c r="J264" s="37">
        <v>7628.0360000000001</v>
      </c>
      <c r="K264" s="37">
        <v>7839.6440000000002</v>
      </c>
      <c r="L264" s="26">
        <f t="shared" si="63"/>
        <v>30776.966</v>
      </c>
      <c r="M264" s="38">
        <v>75.5698261</v>
      </c>
      <c r="N264" s="27">
        <v>80.056045815200008</v>
      </c>
      <c r="O264" s="38">
        <v>68.667800000000014</v>
      </c>
      <c r="P264" s="27">
        <v>71.414512000000016</v>
      </c>
      <c r="Q264" s="28">
        <f t="shared" ref="Q264:Q314" si="83">(M264-O264)*H264</f>
        <v>54360.474898043591</v>
      </c>
      <c r="R264" s="28">
        <f t="shared" ref="R264:R314" si="84">(M264-O264)*I264</f>
        <v>51304.616646320799</v>
      </c>
      <c r="S264" s="28">
        <f>(N264-P264)*J264</f>
        <v>65917.931037562885</v>
      </c>
      <c r="T264" s="28">
        <f t="shared" si="64"/>
        <v>67746.548725129731</v>
      </c>
      <c r="U264" s="28">
        <f t="shared" si="65"/>
        <v>239329.57130705699</v>
      </c>
      <c r="V264" s="39"/>
      <c r="W264" s="39"/>
      <c r="X264" s="39"/>
      <c r="Y264" s="29">
        <f t="shared" si="79"/>
        <v>105.93652248089533</v>
      </c>
      <c r="Z264" s="30">
        <f t="shared" si="80"/>
        <v>104</v>
      </c>
      <c r="AA264" s="2"/>
      <c r="AD264" s="32">
        <f t="shared" si="71"/>
        <v>0</v>
      </c>
    </row>
    <row r="265" spans="1:30" s="40" customFormat="1" ht="51" customHeight="1">
      <c r="A265" s="33" t="s">
        <v>136</v>
      </c>
      <c r="B265" s="34" t="s">
        <v>137</v>
      </c>
      <c r="C265" s="35" t="s">
        <v>134</v>
      </c>
      <c r="D265" s="33" t="s">
        <v>138</v>
      </c>
      <c r="E265" s="33"/>
      <c r="F265" s="36" t="s">
        <v>430</v>
      </c>
      <c r="G265" s="36"/>
      <c r="H265" s="37">
        <v>84387.099000000002</v>
      </c>
      <c r="I265" s="37">
        <v>83705.733999999997</v>
      </c>
      <c r="J265" s="37">
        <v>80441.418000000005</v>
      </c>
      <c r="K265" s="37">
        <v>81825.293999999994</v>
      </c>
      <c r="L265" s="26">
        <f t="shared" si="63"/>
        <v>330359.54499999998</v>
      </c>
      <c r="M265" s="38">
        <v>95.07</v>
      </c>
      <c r="N265" s="27">
        <v>140.97999999999999</v>
      </c>
      <c r="O265" s="38">
        <v>52.725200000000001</v>
      </c>
      <c r="P265" s="27">
        <v>54.834208000000004</v>
      </c>
      <c r="Q265" s="28">
        <f t="shared" si="83"/>
        <v>3573354.8297351995</v>
      </c>
      <c r="R265" s="28">
        <f t="shared" si="84"/>
        <v>3544502.5650831992</v>
      </c>
      <c r="S265" s="28">
        <f>(N265-P265)*J265</f>
        <v>6929689.6632130556</v>
      </c>
      <c r="T265" s="28">
        <f t="shared" ref="T265:T314" si="85">(N265-P265)*K265</f>
        <v>7048904.7572628465</v>
      </c>
      <c r="U265" s="28">
        <f t="shared" si="65"/>
        <v>21096451.815294303</v>
      </c>
      <c r="V265" s="39"/>
      <c r="W265" s="39"/>
      <c r="X265" s="39"/>
      <c r="Y265" s="29">
        <f t="shared" si="79"/>
        <v>148.29073314399918</v>
      </c>
      <c r="Z265" s="30">
        <f t="shared" si="80"/>
        <v>104</v>
      </c>
      <c r="AA265" s="2"/>
      <c r="AD265" s="32">
        <f t="shared" si="71"/>
        <v>0</v>
      </c>
    </row>
    <row r="266" spans="1:30" s="40" customFormat="1" ht="15" customHeight="1">
      <c r="A266" s="33"/>
      <c r="B266" s="34"/>
      <c r="C266" s="35"/>
      <c r="D266" s="33"/>
      <c r="E266" s="33"/>
      <c r="F266" s="36"/>
      <c r="G266" s="36"/>
      <c r="H266" s="41"/>
      <c r="I266" s="41"/>
      <c r="J266" s="41"/>
      <c r="K266" s="41"/>
      <c r="L266" s="37"/>
      <c r="M266" s="41"/>
      <c r="N266" s="41"/>
      <c r="O266" s="41"/>
      <c r="P266" s="41"/>
      <c r="Q266" s="28"/>
      <c r="R266" s="28"/>
      <c r="S266" s="28"/>
      <c r="T266" s="28"/>
      <c r="U266" s="28"/>
      <c r="V266" s="39"/>
      <c r="W266" s="39"/>
      <c r="X266" s="39"/>
      <c r="Y266" s="29" t="e">
        <f t="shared" si="79"/>
        <v>#DIV/0!</v>
      </c>
      <c r="Z266" s="30" t="e">
        <f t="shared" si="80"/>
        <v>#DIV/0!</v>
      </c>
      <c r="AA266" s="2"/>
      <c r="AD266" s="32" t="e">
        <f t="shared" si="71"/>
        <v>#DIV/0!</v>
      </c>
    </row>
    <row r="267" spans="1:30" s="40" customFormat="1" ht="51" customHeight="1">
      <c r="A267" s="33" t="s">
        <v>144</v>
      </c>
      <c r="B267" s="34" t="s">
        <v>145</v>
      </c>
      <c r="C267" s="35" t="s">
        <v>142</v>
      </c>
      <c r="D267" s="33" t="s">
        <v>146</v>
      </c>
      <c r="E267" s="33"/>
      <c r="F267" s="36" t="s">
        <v>430</v>
      </c>
      <c r="G267" s="36"/>
      <c r="H267" s="37">
        <f>9233.959-103.996</f>
        <v>9129.9630000000016</v>
      </c>
      <c r="I267" s="37">
        <v>8946.2039999999997</v>
      </c>
      <c r="J267" s="37">
        <v>9258.0869999999995</v>
      </c>
      <c r="K267" s="37">
        <v>9029.4310000000005</v>
      </c>
      <c r="L267" s="26">
        <f t="shared" ref="L267:L339" si="86">H267+I267+J267+K267</f>
        <v>36363.684999999998</v>
      </c>
      <c r="M267" s="38">
        <v>104.25</v>
      </c>
      <c r="N267" s="38">
        <v>123.02</v>
      </c>
      <c r="O267" s="38">
        <v>96.26</v>
      </c>
      <c r="P267" s="27">
        <v>100.11</v>
      </c>
      <c r="Q267" s="28">
        <f t="shared" si="83"/>
        <v>72948.40436999996</v>
      </c>
      <c r="R267" s="28">
        <f t="shared" si="84"/>
        <v>71480.169959999956</v>
      </c>
      <c r="S267" s="28">
        <f t="shared" ref="S267:S270" si="87">(N267-P267)*J267</f>
        <v>212102.77316999997</v>
      </c>
      <c r="T267" s="28">
        <f t="shared" si="85"/>
        <v>206864.26420999999</v>
      </c>
      <c r="U267" s="28">
        <f t="shared" si="65"/>
        <v>563395.61170999985</v>
      </c>
      <c r="V267" s="39"/>
      <c r="W267" s="39"/>
      <c r="X267" s="39"/>
      <c r="Y267" s="29">
        <f t="shared" si="79"/>
        <v>118.00479616306954</v>
      </c>
      <c r="Z267" s="30">
        <f t="shared" si="80"/>
        <v>103.99958445875752</v>
      </c>
      <c r="AA267" s="2"/>
      <c r="AD267" s="32">
        <f t="shared" si="71"/>
        <v>4.1554124247511481E-4</v>
      </c>
    </row>
    <row r="268" spans="1:30" s="40" customFormat="1" ht="51" customHeight="1">
      <c r="A268" s="33" t="s">
        <v>151</v>
      </c>
      <c r="B268" s="34" t="s">
        <v>152</v>
      </c>
      <c r="C268" s="35" t="s">
        <v>142</v>
      </c>
      <c r="D268" s="33" t="s">
        <v>154</v>
      </c>
      <c r="E268" s="33"/>
      <c r="F268" s="36" t="s">
        <v>430</v>
      </c>
      <c r="G268" s="36"/>
      <c r="H268" s="37">
        <f>2328.434+0.605</f>
        <v>2329.0390000000002</v>
      </c>
      <c r="I268" s="37">
        <v>2063.6349999999998</v>
      </c>
      <c r="J268" s="37">
        <v>1887.8219999999999</v>
      </c>
      <c r="K268" s="37">
        <v>2180.1559999999999</v>
      </c>
      <c r="L268" s="26">
        <f t="shared" si="86"/>
        <v>8460.652</v>
      </c>
      <c r="M268" s="38">
        <v>338.13</v>
      </c>
      <c r="N268" s="38">
        <v>351.81</v>
      </c>
      <c r="O268" s="38">
        <v>96.26</v>
      </c>
      <c r="P268" s="27">
        <v>100.11</v>
      </c>
      <c r="Q268" s="28">
        <f t="shared" si="83"/>
        <v>563324.66293000011</v>
      </c>
      <c r="R268" s="28">
        <f t="shared" si="84"/>
        <v>499131.39744999993</v>
      </c>
      <c r="S268" s="28">
        <f t="shared" si="87"/>
        <v>475164.79739999992</v>
      </c>
      <c r="T268" s="28">
        <f t="shared" si="85"/>
        <v>548745.26519999991</v>
      </c>
      <c r="U268" s="28">
        <f t="shared" si="65"/>
        <v>2086366.12298</v>
      </c>
      <c r="V268" s="39"/>
      <c r="W268" s="39"/>
      <c r="X268" s="39"/>
      <c r="Y268" s="29">
        <f t="shared" si="79"/>
        <v>104.04578120841097</v>
      </c>
      <c r="Z268" s="30">
        <f t="shared" si="80"/>
        <v>103.99958445875752</v>
      </c>
      <c r="AA268" s="2"/>
      <c r="AD268" s="32">
        <f t="shared" si="71"/>
        <v>4.1554124247511481E-4</v>
      </c>
    </row>
    <row r="269" spans="1:30" s="40" customFormat="1" ht="51" customHeight="1">
      <c r="A269" s="33" t="s">
        <v>273</v>
      </c>
      <c r="B269" s="34" t="s">
        <v>155</v>
      </c>
      <c r="C269" s="35" t="s">
        <v>142</v>
      </c>
      <c r="D269" s="33" t="s">
        <v>156</v>
      </c>
      <c r="E269" s="33"/>
      <c r="F269" s="36" t="s">
        <v>430</v>
      </c>
      <c r="G269" s="36"/>
      <c r="H269" s="37">
        <v>5287</v>
      </c>
      <c r="I269" s="37">
        <v>4951</v>
      </c>
      <c r="J269" s="37">
        <v>5149</v>
      </c>
      <c r="K269" s="37">
        <v>4987</v>
      </c>
      <c r="L269" s="26">
        <f t="shared" si="86"/>
        <v>20374</v>
      </c>
      <c r="M269" s="38">
        <v>110.01</v>
      </c>
      <c r="N269" s="38">
        <v>129.81</v>
      </c>
      <c r="O269" s="38">
        <v>87.53</v>
      </c>
      <c r="P269" s="27">
        <v>91.03</v>
      </c>
      <c r="Q269" s="28">
        <f t="shared" si="83"/>
        <v>118851.76000000002</v>
      </c>
      <c r="R269" s="28">
        <f t="shared" si="84"/>
        <v>111298.48000000003</v>
      </c>
      <c r="S269" s="28">
        <f t="shared" si="87"/>
        <v>199678.22</v>
      </c>
      <c r="T269" s="28">
        <f t="shared" si="85"/>
        <v>193395.86000000002</v>
      </c>
      <c r="U269" s="28">
        <f t="shared" ref="U269:U339" si="88">Q269+R269+S269+T269</f>
        <v>623224.32000000007</v>
      </c>
      <c r="V269" s="39"/>
      <c r="W269" s="39"/>
      <c r="X269" s="39"/>
      <c r="Y269" s="29">
        <f t="shared" si="79"/>
        <v>117.99836378511044</v>
      </c>
      <c r="Z269" s="30">
        <f t="shared" si="80"/>
        <v>103.9986290414715</v>
      </c>
      <c r="AA269" s="2"/>
      <c r="AD269" s="32">
        <f t="shared" si="71"/>
        <v>1.3709585284971126E-3</v>
      </c>
    </row>
    <row r="270" spans="1:30" s="40" customFormat="1" ht="51" customHeight="1">
      <c r="A270" s="33" t="s">
        <v>147</v>
      </c>
      <c r="B270" s="34" t="s">
        <v>148</v>
      </c>
      <c r="C270" s="35" t="s">
        <v>142</v>
      </c>
      <c r="D270" s="33" t="s">
        <v>149</v>
      </c>
      <c r="E270" s="33"/>
      <c r="F270" s="36" t="s">
        <v>430</v>
      </c>
      <c r="G270" s="36"/>
      <c r="H270" s="37">
        <v>8109.1</v>
      </c>
      <c r="I270" s="37">
        <f>8817.1-53.4</f>
        <v>8763.7000000000007</v>
      </c>
      <c r="J270" s="37">
        <v>7460.7</v>
      </c>
      <c r="K270" s="37">
        <v>10726.699999999999</v>
      </c>
      <c r="L270" s="26">
        <f t="shared" si="86"/>
        <v>35060.200000000004</v>
      </c>
      <c r="M270" s="38">
        <v>60.8</v>
      </c>
      <c r="N270" s="38">
        <v>71.739999999999995</v>
      </c>
      <c r="O270" s="38">
        <v>60.8</v>
      </c>
      <c r="P270" s="27">
        <v>63.23</v>
      </c>
      <c r="Q270" s="28">
        <f t="shared" si="83"/>
        <v>0</v>
      </c>
      <c r="R270" s="28">
        <f t="shared" si="84"/>
        <v>0</v>
      </c>
      <c r="S270" s="28">
        <f t="shared" si="87"/>
        <v>63490.556999999986</v>
      </c>
      <c r="T270" s="28">
        <f t="shared" si="85"/>
        <v>91284.216999999975</v>
      </c>
      <c r="U270" s="28">
        <f t="shared" si="88"/>
        <v>154774.77399999998</v>
      </c>
      <c r="V270" s="39"/>
      <c r="W270" s="39"/>
      <c r="X270" s="39"/>
      <c r="Y270" s="29">
        <f t="shared" si="79"/>
        <v>117.99342105263158</v>
      </c>
      <c r="Z270" s="30">
        <f t="shared" si="80"/>
        <v>103.99671052631578</v>
      </c>
      <c r="AA270" s="2"/>
      <c r="AD270" s="32">
        <f t="shared" si="71"/>
        <v>3.2894736842195016E-3</v>
      </c>
    </row>
    <row r="271" spans="1:30" s="40" customFormat="1" ht="15" customHeight="1">
      <c r="A271" s="33"/>
      <c r="B271" s="34"/>
      <c r="C271" s="35"/>
      <c r="D271" s="33"/>
      <c r="E271" s="33"/>
      <c r="F271" s="36"/>
      <c r="G271" s="36"/>
      <c r="H271" s="41"/>
      <c r="I271" s="41"/>
      <c r="J271" s="41"/>
      <c r="K271" s="41"/>
      <c r="L271" s="37"/>
      <c r="M271" s="41"/>
      <c r="N271" s="41"/>
      <c r="O271" s="41"/>
      <c r="P271" s="41"/>
      <c r="Q271" s="28"/>
      <c r="R271" s="28"/>
      <c r="S271" s="28"/>
      <c r="T271" s="28"/>
      <c r="U271" s="28"/>
      <c r="V271" s="39"/>
      <c r="W271" s="39"/>
      <c r="X271" s="39"/>
      <c r="Y271" s="29" t="e">
        <f t="shared" si="79"/>
        <v>#DIV/0!</v>
      </c>
      <c r="Z271" s="30" t="e">
        <f t="shared" si="80"/>
        <v>#DIV/0!</v>
      </c>
      <c r="AA271" s="2"/>
      <c r="AD271" s="32" t="e">
        <f t="shared" si="71"/>
        <v>#DIV/0!</v>
      </c>
    </row>
    <row r="272" spans="1:30" s="40" customFormat="1" ht="51" customHeight="1">
      <c r="A272" s="33" t="s">
        <v>157</v>
      </c>
      <c r="B272" s="34" t="s">
        <v>158</v>
      </c>
      <c r="C272" s="35" t="s">
        <v>343</v>
      </c>
      <c r="D272" s="33" t="s">
        <v>349</v>
      </c>
      <c r="E272" s="33"/>
      <c r="F272" s="36" t="s">
        <v>430</v>
      </c>
      <c r="G272" s="36" t="s">
        <v>160</v>
      </c>
      <c r="H272" s="37">
        <v>6945.2</v>
      </c>
      <c r="I272" s="37">
        <v>11138.791999999999</v>
      </c>
      <c r="J272" s="37">
        <v>8363.5750000000007</v>
      </c>
      <c r="K272" s="37">
        <v>6518.6100000000006</v>
      </c>
      <c r="L272" s="26">
        <f t="shared" si="86"/>
        <v>32966.176999999996</v>
      </c>
      <c r="M272" s="38">
        <v>86.72</v>
      </c>
      <c r="N272" s="27">
        <v>99.364800000000002</v>
      </c>
      <c r="O272" s="38">
        <v>36.261600000000001</v>
      </c>
      <c r="P272" s="27">
        <v>37.712064000000005</v>
      </c>
      <c r="Q272" s="28">
        <f t="shared" si="83"/>
        <v>350443.67968</v>
      </c>
      <c r="R272" s="28">
        <f t="shared" si="84"/>
        <v>562045.62225279992</v>
      </c>
      <c r="S272" s="28">
        <f t="shared" ref="S272:S276" si="89">(N272-P272)*J272</f>
        <v>515637.28149120003</v>
      </c>
      <c r="T272" s="28">
        <f t="shared" si="85"/>
        <v>401890.14141696005</v>
      </c>
      <c r="U272" s="28">
        <f t="shared" si="88"/>
        <v>1830016.72484096</v>
      </c>
      <c r="V272" s="39"/>
      <c r="W272" s="39"/>
      <c r="X272" s="39"/>
      <c r="Y272" s="29">
        <f t="shared" si="79"/>
        <v>114.58118081180812</v>
      </c>
      <c r="Z272" s="30">
        <f t="shared" si="80"/>
        <v>104</v>
      </c>
      <c r="AA272" s="2"/>
      <c r="AD272" s="32">
        <f t="shared" si="71"/>
        <v>0</v>
      </c>
    </row>
    <row r="273" spans="1:30" s="40" customFormat="1" ht="51" customHeight="1">
      <c r="A273" s="33" t="s">
        <v>60</v>
      </c>
      <c r="B273" s="34" t="s">
        <v>61</v>
      </c>
      <c r="C273" s="35" t="s">
        <v>343</v>
      </c>
      <c r="D273" s="33" t="s">
        <v>349</v>
      </c>
      <c r="E273" s="33"/>
      <c r="F273" s="36" t="s">
        <v>430</v>
      </c>
      <c r="G273" s="36"/>
      <c r="H273" s="37">
        <v>7728.9160000000002</v>
      </c>
      <c r="I273" s="37">
        <f>7247.399-21</f>
        <v>7226.3990000000003</v>
      </c>
      <c r="J273" s="37">
        <v>7168.4170000000013</v>
      </c>
      <c r="K273" s="37">
        <v>7378.2690000000002</v>
      </c>
      <c r="L273" s="26">
        <f t="shared" si="86"/>
        <v>29502.001000000004</v>
      </c>
      <c r="M273" s="38">
        <v>75.5698261</v>
      </c>
      <c r="N273" s="27">
        <v>80.056045815200008</v>
      </c>
      <c r="O273" s="38">
        <v>30.218</v>
      </c>
      <c r="P273" s="27">
        <v>31.42672</v>
      </c>
      <c r="Q273" s="28">
        <f t="shared" si="83"/>
        <v>350520.45437350759</v>
      </c>
      <c r="R273" s="28">
        <f t="shared" si="84"/>
        <v>327730.39077721391</v>
      </c>
      <c r="S273" s="28">
        <f t="shared" si="89"/>
        <v>348595.28587221866</v>
      </c>
      <c r="T273" s="28">
        <f t="shared" si="85"/>
        <v>358800.24715318996</v>
      </c>
      <c r="U273" s="28">
        <f t="shared" si="88"/>
        <v>1385646.3781761301</v>
      </c>
      <c r="V273" s="39"/>
      <c r="W273" s="39"/>
      <c r="X273" s="39"/>
      <c r="Y273" s="29">
        <f t="shared" si="79"/>
        <v>105.93652248089533</v>
      </c>
      <c r="Z273" s="30">
        <f t="shared" si="80"/>
        <v>104</v>
      </c>
      <c r="AA273" s="2"/>
      <c r="AD273" s="32">
        <f t="shared" si="71"/>
        <v>0</v>
      </c>
    </row>
    <row r="274" spans="1:30" s="40" customFormat="1" ht="51" customHeight="1">
      <c r="A274" s="33">
        <f>A130</f>
        <v>2920017016</v>
      </c>
      <c r="B274" s="34" t="s">
        <v>444</v>
      </c>
      <c r="C274" s="34" t="str">
        <f>C130</f>
        <v>Плесецкий муниципальный округ Арх.обл.</v>
      </c>
      <c r="D274" s="33" t="str">
        <f>D130</f>
        <v>рп. Североонежск, пос. Строитель (Североонежское)</v>
      </c>
      <c r="E274" s="33"/>
      <c r="F274" s="36" t="s">
        <v>430</v>
      </c>
      <c r="G274" s="36" t="s">
        <v>399</v>
      </c>
      <c r="H274" s="37">
        <f>231357/4</f>
        <v>57839.25</v>
      </c>
      <c r="I274" s="37">
        <f t="shared" ref="I274:K274" si="90">231357/4</f>
        <v>57839.25</v>
      </c>
      <c r="J274" s="37">
        <f t="shared" si="90"/>
        <v>57839.25</v>
      </c>
      <c r="K274" s="37">
        <f t="shared" si="90"/>
        <v>57839.25</v>
      </c>
      <c r="L274" s="26">
        <f t="shared" si="86"/>
        <v>231357</v>
      </c>
      <c r="M274" s="38">
        <v>36.130000000000003</v>
      </c>
      <c r="N274" s="27">
        <v>42.63</v>
      </c>
      <c r="O274" s="38">
        <v>36.130000000000003</v>
      </c>
      <c r="P274" s="27">
        <v>37.58</v>
      </c>
      <c r="Q274" s="28">
        <f t="shared" si="83"/>
        <v>0</v>
      </c>
      <c r="R274" s="28">
        <f t="shared" si="84"/>
        <v>0</v>
      </c>
      <c r="S274" s="28">
        <f t="shared" si="89"/>
        <v>292088.21250000026</v>
      </c>
      <c r="T274" s="28">
        <f t="shared" si="85"/>
        <v>292088.21250000026</v>
      </c>
      <c r="U274" s="28">
        <f t="shared" si="88"/>
        <v>584176.42500000051</v>
      </c>
      <c r="V274" s="39"/>
      <c r="W274" s="39"/>
      <c r="X274" s="39"/>
      <c r="Y274" s="29">
        <f t="shared" si="79"/>
        <v>117.99058953778024</v>
      </c>
      <c r="Z274" s="30">
        <f t="shared" si="80"/>
        <v>104.01328535842789</v>
      </c>
      <c r="AA274" s="2"/>
      <c r="AD274" s="32">
        <f t="shared" si="71"/>
        <v>-1.3285358427893357E-2</v>
      </c>
    </row>
    <row r="275" spans="1:30" s="40" customFormat="1" ht="51" customHeight="1">
      <c r="A275" s="33" t="s">
        <v>162</v>
      </c>
      <c r="B275" s="34" t="s">
        <v>163</v>
      </c>
      <c r="C275" s="35" t="s">
        <v>343</v>
      </c>
      <c r="D275" s="33" t="s">
        <v>387</v>
      </c>
      <c r="E275" s="33"/>
      <c r="F275" s="36" t="s">
        <v>430</v>
      </c>
      <c r="G275" s="36"/>
      <c r="H275" s="37">
        <v>49776.03</v>
      </c>
      <c r="I275" s="37">
        <v>47458.828000000001</v>
      </c>
      <c r="J275" s="37">
        <v>48087.203000000001</v>
      </c>
      <c r="K275" s="37">
        <v>48101.11</v>
      </c>
      <c r="L275" s="26">
        <f t="shared" si="86"/>
        <v>193423.17100000003</v>
      </c>
      <c r="M275" s="38">
        <v>76.624899999999997</v>
      </c>
      <c r="N275" s="27">
        <v>80.209641000000033</v>
      </c>
      <c r="O275" s="38">
        <v>36.261600000000001</v>
      </c>
      <c r="P275" s="27">
        <v>37.712064000000005</v>
      </c>
      <c r="Q275" s="28">
        <f t="shared" si="83"/>
        <v>2009124.8316989997</v>
      </c>
      <c r="R275" s="28">
        <f t="shared" si="84"/>
        <v>1915594.9122123998</v>
      </c>
      <c r="S275" s="28">
        <f t="shared" si="89"/>
        <v>2043589.6122071324</v>
      </c>
      <c r="T275" s="28">
        <f t="shared" si="85"/>
        <v>2044180.6260104715</v>
      </c>
      <c r="U275" s="28">
        <f t="shared" si="88"/>
        <v>8012489.9821290039</v>
      </c>
      <c r="V275" s="39"/>
      <c r="W275" s="39"/>
      <c r="X275" s="39"/>
      <c r="Y275" s="29">
        <f t="shared" si="79"/>
        <v>104.67829778570679</v>
      </c>
      <c r="Z275" s="30">
        <f t="shared" si="80"/>
        <v>104</v>
      </c>
      <c r="AA275" s="2"/>
      <c r="AD275" s="32">
        <f t="shared" si="71"/>
        <v>0</v>
      </c>
    </row>
    <row r="276" spans="1:30" s="40" customFormat="1" ht="51" customHeight="1">
      <c r="A276" s="33" t="s">
        <v>166</v>
      </c>
      <c r="B276" s="34" t="s">
        <v>167</v>
      </c>
      <c r="C276" s="35" t="s">
        <v>343</v>
      </c>
      <c r="D276" s="33" t="s">
        <v>344</v>
      </c>
      <c r="E276" s="33"/>
      <c r="F276" s="36" t="s">
        <v>430</v>
      </c>
      <c r="G276" s="36"/>
      <c r="H276" s="37">
        <v>65579.67</v>
      </c>
      <c r="I276" s="37">
        <v>58953.626000000004</v>
      </c>
      <c r="J276" s="37">
        <v>53547.313999999998</v>
      </c>
      <c r="K276" s="37">
        <v>60715.467000000004</v>
      </c>
      <c r="L276" s="26">
        <f t="shared" si="86"/>
        <v>238796.07699999999</v>
      </c>
      <c r="M276" s="38">
        <v>69.23</v>
      </c>
      <c r="N276" s="27">
        <v>77.729249999999993</v>
      </c>
      <c r="O276" s="38">
        <v>25.970000000000002</v>
      </c>
      <c r="P276" s="27">
        <v>27.008800000000004</v>
      </c>
      <c r="Q276" s="28">
        <f t="shared" si="83"/>
        <v>2836976.5242000003</v>
      </c>
      <c r="R276" s="28">
        <f t="shared" si="84"/>
        <v>2550333.8607600005</v>
      </c>
      <c r="S276" s="28">
        <f t="shared" si="89"/>
        <v>2715943.862371299</v>
      </c>
      <c r="T276" s="28">
        <f t="shared" si="85"/>
        <v>3079515.8082001493</v>
      </c>
      <c r="U276" s="28">
        <f t="shared" si="88"/>
        <v>11182770.05553145</v>
      </c>
      <c r="V276" s="39"/>
      <c r="W276" s="39"/>
      <c r="X276" s="39"/>
      <c r="Y276" s="29">
        <f t="shared" si="79"/>
        <v>112.27683085367615</v>
      </c>
      <c r="Z276" s="30">
        <f t="shared" si="80"/>
        <v>104</v>
      </c>
      <c r="AA276" s="2"/>
      <c r="AD276" s="32">
        <f t="shared" si="71"/>
        <v>0</v>
      </c>
    </row>
    <row r="277" spans="1:30" s="40" customFormat="1" ht="15" customHeight="1">
      <c r="A277" s="33"/>
      <c r="B277" s="34"/>
      <c r="C277" s="35"/>
      <c r="D277" s="33"/>
      <c r="E277" s="33"/>
      <c r="F277" s="36"/>
      <c r="G277" s="36"/>
      <c r="H277" s="41"/>
      <c r="I277" s="41"/>
      <c r="J277" s="41"/>
      <c r="K277" s="41"/>
      <c r="L277" s="37"/>
      <c r="M277" s="41"/>
      <c r="N277" s="41"/>
      <c r="O277" s="41"/>
      <c r="P277" s="41"/>
      <c r="Q277" s="28"/>
      <c r="R277" s="28"/>
      <c r="S277" s="28"/>
      <c r="T277" s="28"/>
      <c r="U277" s="28"/>
      <c r="V277" s="39"/>
      <c r="W277" s="39"/>
      <c r="X277" s="39"/>
      <c r="Y277" s="29" t="e">
        <f t="shared" si="79"/>
        <v>#DIV/0!</v>
      </c>
      <c r="Z277" s="30" t="e">
        <f t="shared" si="80"/>
        <v>#DIV/0!</v>
      </c>
      <c r="AA277" s="2"/>
      <c r="AD277" s="32" t="e">
        <f t="shared" si="71"/>
        <v>#DIV/0!</v>
      </c>
    </row>
    <row r="278" spans="1:30" s="40" customFormat="1" ht="51" customHeight="1">
      <c r="A278" s="33" t="s">
        <v>168</v>
      </c>
      <c r="B278" s="34" t="s">
        <v>169</v>
      </c>
      <c r="C278" s="35" t="s">
        <v>170</v>
      </c>
      <c r="D278" s="33" t="s">
        <v>358</v>
      </c>
      <c r="E278" s="33" t="s">
        <v>359</v>
      </c>
      <c r="F278" s="36" t="s">
        <v>430</v>
      </c>
      <c r="G278" s="36" t="s">
        <v>171</v>
      </c>
      <c r="H278" s="37">
        <v>773</v>
      </c>
      <c r="I278" s="37">
        <v>750</v>
      </c>
      <c r="J278" s="37">
        <v>750</v>
      </c>
      <c r="K278" s="37">
        <v>779</v>
      </c>
      <c r="L278" s="26">
        <f t="shared" si="86"/>
        <v>3052</v>
      </c>
      <c r="M278" s="38">
        <v>316.70999999999998</v>
      </c>
      <c r="N278" s="27">
        <v>343.82473608121904</v>
      </c>
      <c r="O278" s="38">
        <v>25.2</v>
      </c>
      <c r="P278" s="27">
        <v>26.207999999999998</v>
      </c>
      <c r="Q278" s="28">
        <f t="shared" si="83"/>
        <v>225337.22999999998</v>
      </c>
      <c r="R278" s="28">
        <f t="shared" si="84"/>
        <v>218632.5</v>
      </c>
      <c r="S278" s="28">
        <f t="shared" ref="S278:S296" si="91">(N278-P278)*J278</f>
        <v>238212.55206091431</v>
      </c>
      <c r="T278" s="28">
        <f t="shared" si="85"/>
        <v>247423.43740726967</v>
      </c>
      <c r="U278" s="28">
        <f t="shared" si="88"/>
        <v>929605.71946818405</v>
      </c>
      <c r="V278" s="39"/>
      <c r="W278" s="39"/>
      <c r="X278" s="39"/>
      <c r="Y278" s="29">
        <f t="shared" si="79"/>
        <v>108.56137667936569</v>
      </c>
      <c r="Z278" s="30">
        <f t="shared" si="80"/>
        <v>104</v>
      </c>
      <c r="AA278" s="2"/>
      <c r="AD278" s="32">
        <f t="shared" si="71"/>
        <v>0</v>
      </c>
    </row>
    <row r="279" spans="1:30" s="40" customFormat="1" ht="51" customHeight="1">
      <c r="A279" s="33" t="s">
        <v>168</v>
      </c>
      <c r="B279" s="34" t="s">
        <v>169</v>
      </c>
      <c r="C279" s="35" t="s">
        <v>170</v>
      </c>
      <c r="D279" s="33" t="s">
        <v>358</v>
      </c>
      <c r="E279" s="33" t="s">
        <v>360</v>
      </c>
      <c r="F279" s="36" t="s">
        <v>430</v>
      </c>
      <c r="G279" s="36" t="s">
        <v>171</v>
      </c>
      <c r="H279" s="37">
        <v>4468</v>
      </c>
      <c r="I279" s="37">
        <v>4405</v>
      </c>
      <c r="J279" s="37">
        <v>4552</v>
      </c>
      <c r="K279" s="37">
        <v>4547</v>
      </c>
      <c r="L279" s="26">
        <f t="shared" si="86"/>
        <v>17972</v>
      </c>
      <c r="M279" s="38">
        <v>161.26</v>
      </c>
      <c r="N279" s="27">
        <v>178.86401284179954</v>
      </c>
      <c r="O279" s="38">
        <v>36</v>
      </c>
      <c r="P279" s="27">
        <v>37.44</v>
      </c>
      <c r="Q279" s="28">
        <f t="shared" si="83"/>
        <v>559661.67999999993</v>
      </c>
      <c r="R279" s="28">
        <f t="shared" si="84"/>
        <v>551770.29999999993</v>
      </c>
      <c r="S279" s="28">
        <f t="shared" si="91"/>
        <v>643762.10645587149</v>
      </c>
      <c r="T279" s="28">
        <f t="shared" si="85"/>
        <v>643054.9863916625</v>
      </c>
      <c r="U279" s="28">
        <f t="shared" si="88"/>
        <v>2398249.072847534</v>
      </c>
      <c r="V279" s="39"/>
      <c r="W279" s="39"/>
      <c r="X279" s="39"/>
      <c r="Y279" s="29">
        <f t="shared" si="79"/>
        <v>110.91654027148677</v>
      </c>
      <c r="Z279" s="30">
        <f t="shared" si="80"/>
        <v>104</v>
      </c>
      <c r="AA279" s="2"/>
      <c r="AD279" s="32">
        <f t="shared" si="71"/>
        <v>0</v>
      </c>
    </row>
    <row r="280" spans="1:30" s="40" customFormat="1" ht="51" customHeight="1">
      <c r="A280" s="33" t="s">
        <v>168</v>
      </c>
      <c r="B280" s="34" t="s">
        <v>169</v>
      </c>
      <c r="C280" s="35" t="s">
        <v>170</v>
      </c>
      <c r="D280" s="33" t="s">
        <v>358</v>
      </c>
      <c r="E280" s="33" t="s">
        <v>361</v>
      </c>
      <c r="F280" s="36" t="s">
        <v>430</v>
      </c>
      <c r="G280" s="36" t="s">
        <v>171</v>
      </c>
      <c r="H280" s="37">
        <v>3075</v>
      </c>
      <c r="I280" s="37">
        <v>2980</v>
      </c>
      <c r="J280" s="37">
        <v>3090</v>
      </c>
      <c r="K280" s="37">
        <v>3020</v>
      </c>
      <c r="L280" s="26">
        <f t="shared" si="86"/>
        <v>12165</v>
      </c>
      <c r="M280" s="38">
        <v>108.54</v>
      </c>
      <c r="N280" s="27">
        <v>129.32101863633275</v>
      </c>
      <c r="O280" s="38">
        <v>30.355370333333337</v>
      </c>
      <c r="P280" s="27">
        <v>31.569585146666672</v>
      </c>
      <c r="Q280" s="28">
        <f t="shared" si="83"/>
        <v>240417.736225</v>
      </c>
      <c r="R280" s="28">
        <f t="shared" si="84"/>
        <v>232990.19640666666</v>
      </c>
      <c r="S280" s="28">
        <f t="shared" si="91"/>
        <v>302051.92948306818</v>
      </c>
      <c r="T280" s="28">
        <f t="shared" si="85"/>
        <v>295209.3291387916</v>
      </c>
      <c r="U280" s="28">
        <f t="shared" si="88"/>
        <v>1070669.1912535264</v>
      </c>
      <c r="V280" s="39"/>
      <c r="W280" s="39"/>
      <c r="X280" s="39"/>
      <c r="Y280" s="29">
        <f t="shared" si="79"/>
        <v>119.14595415177148</v>
      </c>
      <c r="Z280" s="30">
        <f t="shared" si="80"/>
        <v>104</v>
      </c>
      <c r="AA280" s="2"/>
      <c r="AD280" s="32">
        <f t="shared" si="71"/>
        <v>0</v>
      </c>
    </row>
    <row r="281" spans="1:30" s="40" customFormat="1" ht="51" customHeight="1">
      <c r="A281" s="33" t="s">
        <v>64</v>
      </c>
      <c r="B281" s="34" t="s">
        <v>65</v>
      </c>
      <c r="C281" s="35" t="s">
        <v>170</v>
      </c>
      <c r="D281" s="33" t="s">
        <v>358</v>
      </c>
      <c r="E281" s="33" t="s">
        <v>366</v>
      </c>
      <c r="F281" s="36" t="s">
        <v>430</v>
      </c>
      <c r="G281" s="36"/>
      <c r="H281" s="37">
        <v>3907</v>
      </c>
      <c r="I281" s="37">
        <v>3807</v>
      </c>
      <c r="J281" s="37">
        <v>2176.75</v>
      </c>
      <c r="K281" s="37">
        <v>2193.3049999999998</v>
      </c>
      <c r="L281" s="26">
        <f t="shared" si="86"/>
        <v>12084.055</v>
      </c>
      <c r="M281" s="38">
        <v>232.33</v>
      </c>
      <c r="N281" s="27">
        <v>342.01</v>
      </c>
      <c r="O281" s="27">
        <v>26.11</v>
      </c>
      <c r="P281" s="27">
        <v>27.15</v>
      </c>
      <c r="Q281" s="28">
        <f t="shared" si="83"/>
        <v>805701.54000000015</v>
      </c>
      <c r="R281" s="28">
        <f t="shared" si="84"/>
        <v>785079.54000000015</v>
      </c>
      <c r="S281" s="28">
        <f t="shared" si="91"/>
        <v>685371.505</v>
      </c>
      <c r="T281" s="28">
        <f t="shared" si="85"/>
        <v>690584.01229999994</v>
      </c>
      <c r="U281" s="28">
        <f t="shared" si="88"/>
        <v>2966736.5973000005</v>
      </c>
      <c r="V281" s="39"/>
      <c r="W281" s="39"/>
      <c r="X281" s="39"/>
      <c r="Y281" s="29"/>
      <c r="Z281" s="30"/>
      <c r="AA281" s="2"/>
      <c r="AD281" s="32"/>
    </row>
    <row r="282" spans="1:30" s="40" customFormat="1" ht="51" customHeight="1">
      <c r="A282" s="33" t="s">
        <v>172</v>
      </c>
      <c r="B282" s="34" t="s">
        <v>173</v>
      </c>
      <c r="C282" s="35" t="s">
        <v>170</v>
      </c>
      <c r="D282" s="33" t="s">
        <v>371</v>
      </c>
      <c r="E282" s="33" t="s">
        <v>373</v>
      </c>
      <c r="F282" s="36" t="s">
        <v>430</v>
      </c>
      <c r="G282" s="36" t="s">
        <v>174</v>
      </c>
      <c r="H282" s="37">
        <v>4970.38</v>
      </c>
      <c r="I282" s="37">
        <v>5028.1100000000006</v>
      </c>
      <c r="J282" s="37">
        <v>4988.22</v>
      </c>
      <c r="K282" s="37">
        <v>4334.4799999999996</v>
      </c>
      <c r="L282" s="26">
        <f t="shared" si="86"/>
        <v>19321.190000000002</v>
      </c>
      <c r="M282" s="38">
        <v>154.69999999999999</v>
      </c>
      <c r="N282" s="38">
        <v>154.69999999999999</v>
      </c>
      <c r="O282" s="27">
        <v>28.71</v>
      </c>
      <c r="P282" s="27">
        <v>29.86</v>
      </c>
      <c r="Q282" s="28">
        <f t="shared" si="83"/>
        <v>626218.17619999987</v>
      </c>
      <c r="R282" s="28">
        <f t="shared" si="84"/>
        <v>633491.57889999996</v>
      </c>
      <c r="S282" s="28">
        <f t="shared" si="91"/>
        <v>622729.3848</v>
      </c>
      <c r="T282" s="28">
        <f t="shared" si="85"/>
        <v>541116.4831999999</v>
      </c>
      <c r="U282" s="28">
        <f t="shared" si="88"/>
        <v>2423555.6230999995</v>
      </c>
      <c r="V282" s="39"/>
      <c r="W282" s="39"/>
      <c r="X282" s="39"/>
      <c r="Y282" s="29">
        <f>N282/M282*100</f>
        <v>100</v>
      </c>
      <c r="Z282" s="30">
        <f>P282/O282*100</f>
        <v>104.0055729710902</v>
      </c>
      <c r="AA282" s="2"/>
      <c r="AD282" s="32">
        <f t="shared" si="71"/>
        <v>-5.5729710902028273E-3</v>
      </c>
    </row>
    <row r="283" spans="1:30" s="40" customFormat="1" ht="51" customHeight="1">
      <c r="A283" s="33" t="s">
        <v>274</v>
      </c>
      <c r="B283" s="34" t="s">
        <v>275</v>
      </c>
      <c r="C283" s="35" t="s">
        <v>170</v>
      </c>
      <c r="D283" s="33" t="s">
        <v>371</v>
      </c>
      <c r="E283" s="33" t="s">
        <v>372</v>
      </c>
      <c r="F283" s="36" t="s">
        <v>430</v>
      </c>
      <c r="G283" s="36"/>
      <c r="H283" s="37">
        <v>20575.32</v>
      </c>
      <c r="I283" s="37">
        <v>20420.800000000003</v>
      </c>
      <c r="J283" s="37">
        <v>20197.800000000003</v>
      </c>
      <c r="K283" s="37">
        <v>20317.800000000003</v>
      </c>
      <c r="L283" s="26">
        <f t="shared" si="86"/>
        <v>81511.72</v>
      </c>
      <c r="M283" s="38">
        <v>64.59</v>
      </c>
      <c r="N283" s="38">
        <v>71.63</v>
      </c>
      <c r="O283" s="38">
        <v>36.43</v>
      </c>
      <c r="P283" s="27">
        <v>37.880000000000003</v>
      </c>
      <c r="Q283" s="28">
        <f t="shared" si="83"/>
        <v>579401.01120000007</v>
      </c>
      <c r="R283" s="28">
        <f t="shared" si="84"/>
        <v>575049.72800000012</v>
      </c>
      <c r="S283" s="28">
        <f t="shared" si="91"/>
        <v>681675.75</v>
      </c>
      <c r="T283" s="28">
        <f t="shared" si="85"/>
        <v>685725.75</v>
      </c>
      <c r="U283" s="28">
        <f t="shared" si="88"/>
        <v>2521852.2392000002</v>
      </c>
      <c r="V283" s="39"/>
      <c r="W283" s="39"/>
      <c r="X283" s="39"/>
      <c r="Y283" s="29">
        <f>N283/M283*100</f>
        <v>110.89952004954327</v>
      </c>
      <c r="Z283" s="30">
        <f>P283/O283*100</f>
        <v>103.98023606917377</v>
      </c>
      <c r="AA283" s="2"/>
      <c r="AD283" s="32">
        <f t="shared" si="71"/>
        <v>1.9763930826229625E-2</v>
      </c>
    </row>
    <row r="284" spans="1:30" s="40" customFormat="1" ht="51" customHeight="1">
      <c r="A284" s="33" t="s">
        <v>176</v>
      </c>
      <c r="B284" s="34" t="s">
        <v>177</v>
      </c>
      <c r="C284" s="35" t="s">
        <v>170</v>
      </c>
      <c r="D284" s="33" t="s">
        <v>362</v>
      </c>
      <c r="E284" s="33" t="s">
        <v>363</v>
      </c>
      <c r="F284" s="36" t="s">
        <v>430</v>
      </c>
      <c r="G284" s="36"/>
      <c r="H284" s="37">
        <v>51328.31</v>
      </c>
      <c r="I284" s="37">
        <v>51153.140000000007</v>
      </c>
      <c r="J284" s="37">
        <v>49188.79</v>
      </c>
      <c r="K284" s="37">
        <v>48476.990000000005</v>
      </c>
      <c r="L284" s="26">
        <f t="shared" si="86"/>
        <v>200147.23000000004</v>
      </c>
      <c r="M284" s="38">
        <v>34.83</v>
      </c>
      <c r="N284" s="38">
        <v>38.03</v>
      </c>
      <c r="O284" s="38">
        <v>23.4</v>
      </c>
      <c r="P284" s="27">
        <v>24.34</v>
      </c>
      <c r="Q284" s="28">
        <f t="shared" si="83"/>
        <v>586682.58329999994</v>
      </c>
      <c r="R284" s="28">
        <f t="shared" si="84"/>
        <v>584680.39020000002</v>
      </c>
      <c r="S284" s="28">
        <f t="shared" si="91"/>
        <v>673394.5351000001</v>
      </c>
      <c r="T284" s="28">
        <f t="shared" si="85"/>
        <v>663649.99310000008</v>
      </c>
      <c r="U284" s="28">
        <f t="shared" si="88"/>
        <v>2508407.5016999999</v>
      </c>
      <c r="V284" s="39"/>
      <c r="W284" s="39"/>
      <c r="X284" s="39"/>
      <c r="Y284" s="29">
        <f>N284/M284*100</f>
        <v>109.18748205569912</v>
      </c>
      <c r="Z284" s="30">
        <f>P284/O284*100</f>
        <v>104.01709401709402</v>
      </c>
      <c r="AA284" s="2"/>
      <c r="AD284" s="32">
        <f t="shared" ref="AD284:AD354" si="92">104-Z284</f>
        <v>-1.7094017094024139E-2</v>
      </c>
    </row>
    <row r="285" spans="1:30" s="40" customFormat="1" ht="210" customHeight="1">
      <c r="A285" s="33" t="s">
        <v>178</v>
      </c>
      <c r="B285" s="34" t="s">
        <v>179</v>
      </c>
      <c r="C285" s="35" t="s">
        <v>170</v>
      </c>
      <c r="D285" s="33" t="s">
        <v>180</v>
      </c>
      <c r="E285" s="33" t="str">
        <f>E143</f>
        <v>сельское поселение "Уемское" и городской округ "Город Архангельск" (система водоснабжения по ул.Заводская пос.Уемский)</v>
      </c>
      <c r="F285" s="36" t="s">
        <v>430</v>
      </c>
      <c r="G285" s="36"/>
      <c r="H285" s="37">
        <v>31239.52</v>
      </c>
      <c r="I285" s="37">
        <v>31083.599999999999</v>
      </c>
      <c r="J285" s="37">
        <v>29118.11</v>
      </c>
      <c r="K285" s="37">
        <v>31585.93</v>
      </c>
      <c r="L285" s="26">
        <f t="shared" si="86"/>
        <v>123027.16</v>
      </c>
      <c r="M285" s="38">
        <v>85.46</v>
      </c>
      <c r="N285" s="38">
        <v>98.75</v>
      </c>
      <c r="O285" s="38">
        <v>32.5</v>
      </c>
      <c r="P285" s="27">
        <v>33.799999999999997</v>
      </c>
      <c r="Q285" s="28">
        <f t="shared" si="83"/>
        <v>1654444.9791999999</v>
      </c>
      <c r="R285" s="28">
        <f t="shared" si="84"/>
        <v>1646187.4559999998</v>
      </c>
      <c r="S285" s="28">
        <f t="shared" si="91"/>
        <v>1891221.2445</v>
      </c>
      <c r="T285" s="28">
        <f t="shared" si="85"/>
        <v>2051506.1535</v>
      </c>
      <c r="U285" s="28">
        <f t="shared" si="88"/>
        <v>7243359.8332000002</v>
      </c>
      <c r="V285" s="39"/>
      <c r="W285" s="39"/>
      <c r="X285" s="39"/>
      <c r="Y285" s="29">
        <f>N285/M285*100</f>
        <v>115.55113503393402</v>
      </c>
      <c r="Z285" s="30">
        <f>P285/O285*100</f>
        <v>103.99999999999999</v>
      </c>
      <c r="AA285" s="2"/>
      <c r="AD285" s="32">
        <f t="shared" si="92"/>
        <v>0</v>
      </c>
    </row>
    <row r="286" spans="1:30" s="40" customFormat="1" ht="50.25" customHeight="1">
      <c r="A286" s="33" t="s">
        <v>178</v>
      </c>
      <c r="B286" s="34" t="s">
        <v>179</v>
      </c>
      <c r="C286" s="35" t="s">
        <v>170</v>
      </c>
      <c r="D286" s="33" t="s">
        <v>362</v>
      </c>
      <c r="E286" s="33" t="s">
        <v>365</v>
      </c>
      <c r="F286" s="36" t="s">
        <v>430</v>
      </c>
      <c r="G286" s="36" t="s">
        <v>397</v>
      </c>
      <c r="H286" s="37">
        <f>2857.25+659.35</f>
        <v>3516.6</v>
      </c>
      <c r="I286" s="37">
        <f>2616.5+452.24</f>
        <v>3068.74</v>
      </c>
      <c r="J286" s="37">
        <f>2573.53+513.87</f>
        <v>3087.4</v>
      </c>
      <c r="K286" s="37">
        <f>1751.34+950.86+341.26</f>
        <v>3043.46</v>
      </c>
      <c r="L286" s="26">
        <f t="shared" si="86"/>
        <v>12716.2</v>
      </c>
      <c r="M286" s="38">
        <v>193.21</v>
      </c>
      <c r="N286" s="38">
        <v>214.9</v>
      </c>
      <c r="O286" s="38">
        <v>28.4</v>
      </c>
      <c r="P286" s="27">
        <v>29.54</v>
      </c>
      <c r="Q286" s="28">
        <f t="shared" si="83"/>
        <v>579570.84600000002</v>
      </c>
      <c r="R286" s="28">
        <f t="shared" si="84"/>
        <v>505759.03939999995</v>
      </c>
      <c r="S286" s="28">
        <f t="shared" si="91"/>
        <v>572280.46400000004</v>
      </c>
      <c r="T286" s="28">
        <f t="shared" si="85"/>
        <v>564135.74560000002</v>
      </c>
      <c r="U286" s="28">
        <f t="shared" si="88"/>
        <v>2221746.0950000002</v>
      </c>
      <c r="V286" s="39"/>
      <c r="W286" s="39"/>
      <c r="X286" s="39"/>
      <c r="Y286" s="29"/>
      <c r="Z286" s="30"/>
      <c r="AA286" s="2"/>
      <c r="AD286" s="32"/>
    </row>
    <row r="287" spans="1:30" s="40" customFormat="1" ht="50.25" customHeight="1">
      <c r="A287" s="33" t="s">
        <v>181</v>
      </c>
      <c r="B287" s="51" t="s">
        <v>433</v>
      </c>
      <c r="C287" s="35" t="s">
        <v>170</v>
      </c>
      <c r="D287" s="33" t="s">
        <v>353</v>
      </c>
      <c r="E287" s="33" t="s">
        <v>354</v>
      </c>
      <c r="F287" s="36" t="s">
        <v>430</v>
      </c>
      <c r="G287" s="36"/>
      <c r="H287" s="37">
        <v>3242.09</v>
      </c>
      <c r="I287" s="37">
        <v>3050.7299999999996</v>
      </c>
      <c r="J287" s="37">
        <v>3381.58</v>
      </c>
      <c r="K287" s="37">
        <v>3241.3</v>
      </c>
      <c r="L287" s="26">
        <f t="shared" si="86"/>
        <v>12915.7</v>
      </c>
      <c r="M287" s="38">
        <v>122.04</v>
      </c>
      <c r="N287" s="38">
        <v>135.85</v>
      </c>
      <c r="O287" s="38">
        <v>32.5</v>
      </c>
      <c r="P287" s="27">
        <v>33.799999999999997</v>
      </c>
      <c r="Q287" s="28">
        <f t="shared" si="83"/>
        <v>290296.73860000004</v>
      </c>
      <c r="R287" s="28">
        <f t="shared" si="84"/>
        <v>273162.36419999995</v>
      </c>
      <c r="S287" s="28">
        <f t="shared" si="91"/>
        <v>345090.239</v>
      </c>
      <c r="T287" s="28">
        <f t="shared" si="85"/>
        <v>330774.66500000004</v>
      </c>
      <c r="U287" s="28">
        <f t="shared" si="88"/>
        <v>1239324.0068000001</v>
      </c>
      <c r="V287" s="39"/>
      <c r="W287" s="39"/>
      <c r="X287" s="39"/>
      <c r="Y287" s="29">
        <f t="shared" ref="Y287:Y314" si="93">N287/M287*100</f>
        <v>111.31596197967879</v>
      </c>
      <c r="Z287" s="30">
        <f t="shared" ref="Z287:Z314" si="94">P287/O287*100</f>
        <v>103.99999999999999</v>
      </c>
      <c r="AA287" s="2"/>
      <c r="AD287" s="32">
        <f t="shared" si="92"/>
        <v>0</v>
      </c>
    </row>
    <row r="288" spans="1:30" s="40" customFormat="1" ht="50.25" customHeight="1">
      <c r="A288" s="33" t="s">
        <v>182</v>
      </c>
      <c r="B288" s="34" t="s">
        <v>183</v>
      </c>
      <c r="C288" s="35" t="s">
        <v>170</v>
      </c>
      <c r="D288" s="33" t="s">
        <v>285</v>
      </c>
      <c r="E288" s="33" t="s">
        <v>355</v>
      </c>
      <c r="F288" s="36" t="s">
        <v>430</v>
      </c>
      <c r="G288" s="36"/>
      <c r="H288" s="37">
        <v>6456.2999999999993</v>
      </c>
      <c r="I288" s="37">
        <v>6214.4830000000002</v>
      </c>
      <c r="J288" s="37">
        <v>5781.2330000000002</v>
      </c>
      <c r="K288" s="37">
        <v>6187.7729999999992</v>
      </c>
      <c r="L288" s="26">
        <f t="shared" si="86"/>
        <v>24639.788999999997</v>
      </c>
      <c r="M288" s="38">
        <v>55.47</v>
      </c>
      <c r="N288" s="27">
        <v>65.989999999999995</v>
      </c>
      <c r="O288" s="38">
        <v>39</v>
      </c>
      <c r="P288" s="27">
        <v>40.56</v>
      </c>
      <c r="Q288" s="28">
        <f t="shared" si="83"/>
        <v>106335.26099999998</v>
      </c>
      <c r="R288" s="28">
        <f t="shared" si="84"/>
        <v>102352.53500999999</v>
      </c>
      <c r="S288" s="28">
        <f t="shared" si="91"/>
        <v>147016.75518999997</v>
      </c>
      <c r="T288" s="28">
        <f t="shared" si="85"/>
        <v>157355.06738999992</v>
      </c>
      <c r="U288" s="28">
        <f t="shared" si="88"/>
        <v>513059.61858999991</v>
      </c>
      <c r="V288" s="39"/>
      <c r="W288" s="39"/>
      <c r="X288" s="39"/>
      <c r="Y288" s="29">
        <f t="shared" si="93"/>
        <v>118.96520641788354</v>
      </c>
      <c r="Z288" s="30">
        <f t="shared" si="94"/>
        <v>104</v>
      </c>
      <c r="AA288" s="2"/>
      <c r="AD288" s="32">
        <f t="shared" si="92"/>
        <v>0</v>
      </c>
    </row>
    <row r="289" spans="1:30" s="40" customFormat="1" ht="50.25" customHeight="1">
      <c r="A289" s="33" t="s">
        <v>182</v>
      </c>
      <c r="B289" s="34" t="s">
        <v>183</v>
      </c>
      <c r="C289" s="35" t="s">
        <v>170</v>
      </c>
      <c r="D289" s="33" t="s">
        <v>285</v>
      </c>
      <c r="E289" s="33" t="s">
        <v>356</v>
      </c>
      <c r="F289" s="36" t="s">
        <v>430</v>
      </c>
      <c r="G289" s="36"/>
      <c r="H289" s="37">
        <v>517.27</v>
      </c>
      <c r="I289" s="37">
        <v>548.75</v>
      </c>
      <c r="J289" s="37">
        <v>577.47</v>
      </c>
      <c r="K289" s="37">
        <v>506.35</v>
      </c>
      <c r="L289" s="26">
        <f t="shared" si="86"/>
        <v>2149.84</v>
      </c>
      <c r="M289" s="38">
        <v>302.08999999999997</v>
      </c>
      <c r="N289" s="27">
        <v>501.5</v>
      </c>
      <c r="O289" s="38">
        <v>39</v>
      </c>
      <c r="P289" s="27">
        <v>40.56</v>
      </c>
      <c r="Q289" s="28">
        <f t="shared" si="83"/>
        <v>136088.56429999997</v>
      </c>
      <c r="R289" s="28">
        <f t="shared" si="84"/>
        <v>144370.63749999998</v>
      </c>
      <c r="S289" s="28">
        <f t="shared" si="91"/>
        <v>266179.02179999999</v>
      </c>
      <c r="T289" s="28">
        <f t="shared" si="85"/>
        <v>233396.96900000001</v>
      </c>
      <c r="U289" s="28">
        <f t="shared" si="88"/>
        <v>780035.19259999995</v>
      </c>
      <c r="V289" s="39"/>
      <c r="W289" s="39"/>
      <c r="X289" s="39"/>
      <c r="Y289" s="29">
        <f t="shared" si="93"/>
        <v>166.01012943162635</v>
      </c>
      <c r="Z289" s="30">
        <f t="shared" si="94"/>
        <v>104</v>
      </c>
      <c r="AA289" s="2"/>
      <c r="AD289" s="32">
        <f t="shared" si="92"/>
        <v>0</v>
      </c>
    </row>
    <row r="290" spans="1:30" s="40" customFormat="1" ht="50.25" customHeight="1">
      <c r="A290" s="33" t="s">
        <v>182</v>
      </c>
      <c r="B290" s="34" t="s">
        <v>183</v>
      </c>
      <c r="C290" s="35" t="s">
        <v>170</v>
      </c>
      <c r="D290" s="33" t="s">
        <v>285</v>
      </c>
      <c r="E290" s="33" t="s">
        <v>357</v>
      </c>
      <c r="F290" s="36" t="s">
        <v>430</v>
      </c>
      <c r="G290" s="36"/>
      <c r="H290" s="37">
        <v>3918.0599999999995</v>
      </c>
      <c r="I290" s="37">
        <v>4004.08</v>
      </c>
      <c r="J290" s="37">
        <v>4308.91</v>
      </c>
      <c r="K290" s="37">
        <v>3729.0699999999997</v>
      </c>
      <c r="L290" s="26">
        <f t="shared" si="86"/>
        <v>15960.119999999999</v>
      </c>
      <c r="M290" s="38">
        <v>84.26</v>
      </c>
      <c r="N290" s="27">
        <v>108.07</v>
      </c>
      <c r="O290" s="38">
        <v>34</v>
      </c>
      <c r="P290" s="27">
        <v>35.36</v>
      </c>
      <c r="Q290" s="28">
        <f t="shared" si="83"/>
        <v>196921.69560000001</v>
      </c>
      <c r="R290" s="28">
        <f t="shared" si="84"/>
        <v>201245.06080000001</v>
      </c>
      <c r="S290" s="28">
        <f t="shared" si="91"/>
        <v>313300.84609999997</v>
      </c>
      <c r="T290" s="28">
        <f t="shared" si="85"/>
        <v>271140.67969999998</v>
      </c>
      <c r="U290" s="28">
        <f t="shared" si="88"/>
        <v>982608.28220000002</v>
      </c>
      <c r="V290" s="39"/>
      <c r="W290" s="39"/>
      <c r="X290" s="39"/>
      <c r="Y290" s="29">
        <f t="shared" si="93"/>
        <v>128.25777355803464</v>
      </c>
      <c r="Z290" s="30">
        <f t="shared" si="94"/>
        <v>104</v>
      </c>
      <c r="AA290" s="2"/>
      <c r="AD290" s="32">
        <f t="shared" si="92"/>
        <v>0</v>
      </c>
    </row>
    <row r="291" spans="1:30" s="40" customFormat="1" ht="50.25" customHeight="1">
      <c r="A291" s="33" t="s">
        <v>182</v>
      </c>
      <c r="B291" s="34" t="s">
        <v>183</v>
      </c>
      <c r="C291" s="35" t="s">
        <v>170</v>
      </c>
      <c r="D291" s="33" t="s">
        <v>187</v>
      </c>
      <c r="E291" s="33" t="s">
        <v>63</v>
      </c>
      <c r="F291" s="36" t="s">
        <v>430</v>
      </c>
      <c r="G291" s="36"/>
      <c r="H291" s="37">
        <v>9556.23</v>
      </c>
      <c r="I291" s="37">
        <v>10390.76</v>
      </c>
      <c r="J291" s="37">
        <v>10573.33</v>
      </c>
      <c r="K291" s="37">
        <v>10047.869999999999</v>
      </c>
      <c r="L291" s="26">
        <f t="shared" si="86"/>
        <v>40568.19</v>
      </c>
      <c r="M291" s="38">
        <v>72.48</v>
      </c>
      <c r="N291" s="27">
        <v>91.56</v>
      </c>
      <c r="O291" s="38">
        <v>22.5</v>
      </c>
      <c r="P291" s="27">
        <v>23.4</v>
      </c>
      <c r="Q291" s="28">
        <f t="shared" si="83"/>
        <v>477620.37540000002</v>
      </c>
      <c r="R291" s="28">
        <f t="shared" si="84"/>
        <v>519330.18480000005</v>
      </c>
      <c r="S291" s="28">
        <f t="shared" si="91"/>
        <v>720678.17279999994</v>
      </c>
      <c r="T291" s="28">
        <f t="shared" si="85"/>
        <v>684862.81919999991</v>
      </c>
      <c r="U291" s="28">
        <f t="shared" si="88"/>
        <v>2402491.5521999998</v>
      </c>
      <c r="V291" s="39"/>
      <c r="W291" s="39"/>
      <c r="X291" s="39"/>
      <c r="Y291" s="29">
        <f t="shared" si="93"/>
        <v>126.32450331125828</v>
      </c>
      <c r="Z291" s="30">
        <f t="shared" si="94"/>
        <v>104</v>
      </c>
      <c r="AA291" s="2"/>
      <c r="AD291" s="32">
        <f t="shared" si="92"/>
        <v>0</v>
      </c>
    </row>
    <row r="292" spans="1:30" s="40" customFormat="1" ht="50.25" customHeight="1">
      <c r="A292" s="33" t="s">
        <v>185</v>
      </c>
      <c r="B292" s="34" t="s">
        <v>186</v>
      </c>
      <c r="C292" s="35" t="s">
        <v>170</v>
      </c>
      <c r="D292" s="33" t="s">
        <v>187</v>
      </c>
      <c r="E292" s="33"/>
      <c r="F292" s="36" t="s">
        <v>430</v>
      </c>
      <c r="G292" s="36"/>
      <c r="H292" s="37">
        <v>3048.0010000000002</v>
      </c>
      <c r="I292" s="37">
        <v>3228.3460000000005</v>
      </c>
      <c r="J292" s="37">
        <v>3093.9800000000005</v>
      </c>
      <c r="K292" s="37">
        <v>2930.0029999999997</v>
      </c>
      <c r="L292" s="26">
        <f t="shared" si="86"/>
        <v>12300.330000000002</v>
      </c>
      <c r="M292" s="38">
        <v>150.30000000000001</v>
      </c>
      <c r="N292" s="27">
        <v>296.47000000000003</v>
      </c>
      <c r="O292" s="38">
        <v>24.9</v>
      </c>
      <c r="P292" s="27">
        <v>25.9</v>
      </c>
      <c r="Q292" s="28">
        <f t="shared" si="83"/>
        <v>382219.32540000003</v>
      </c>
      <c r="R292" s="28">
        <f t="shared" si="84"/>
        <v>404834.58840000007</v>
      </c>
      <c r="S292" s="28">
        <f t="shared" si="91"/>
        <v>837138.16860000032</v>
      </c>
      <c r="T292" s="28">
        <f t="shared" si="85"/>
        <v>792770.91171000001</v>
      </c>
      <c r="U292" s="28">
        <f t="shared" si="88"/>
        <v>2416962.9941100003</v>
      </c>
      <c r="V292" s="39"/>
      <c r="W292" s="39"/>
      <c r="X292" s="39"/>
      <c r="Y292" s="29">
        <f t="shared" si="93"/>
        <v>197.25216234198271</v>
      </c>
      <c r="Z292" s="30">
        <f t="shared" si="94"/>
        <v>104.01606425702812</v>
      </c>
      <c r="AA292" s="2"/>
      <c r="AD292" s="32">
        <f t="shared" si="92"/>
        <v>-1.6064257028119755E-2</v>
      </c>
    </row>
    <row r="293" spans="1:30" s="40" customFormat="1" ht="50.25" customHeight="1">
      <c r="A293" s="33" t="s">
        <v>191</v>
      </c>
      <c r="B293" s="34" t="s">
        <v>192</v>
      </c>
      <c r="C293" s="35" t="s">
        <v>170</v>
      </c>
      <c r="D293" s="33" t="s">
        <v>193</v>
      </c>
      <c r="E293" s="33" t="s">
        <v>63</v>
      </c>
      <c r="F293" s="36" t="s">
        <v>430</v>
      </c>
      <c r="G293" s="36"/>
      <c r="H293" s="37">
        <v>5309.9539999999997</v>
      </c>
      <c r="I293" s="37">
        <v>5176.5859999999993</v>
      </c>
      <c r="J293" s="37">
        <v>6568.8719999999994</v>
      </c>
      <c r="K293" s="37">
        <v>4915.326</v>
      </c>
      <c r="L293" s="26">
        <f t="shared" si="86"/>
        <v>21970.737999999998</v>
      </c>
      <c r="M293" s="38">
        <v>55.31</v>
      </c>
      <c r="N293" s="27">
        <v>62.846000000000018</v>
      </c>
      <c r="O293" s="38">
        <v>44</v>
      </c>
      <c r="P293" s="27">
        <v>45.760000000000005</v>
      </c>
      <c r="Q293" s="28">
        <f t="shared" si="83"/>
        <v>60055.579740000008</v>
      </c>
      <c r="R293" s="28">
        <f t="shared" si="84"/>
        <v>58547.187660000003</v>
      </c>
      <c r="S293" s="28">
        <f t="shared" si="91"/>
        <v>112235.74699200007</v>
      </c>
      <c r="T293" s="28">
        <f t="shared" si="85"/>
        <v>83983.260036000065</v>
      </c>
      <c r="U293" s="28">
        <f t="shared" si="88"/>
        <v>314821.77442800015</v>
      </c>
      <c r="V293" s="39"/>
      <c r="W293" s="39"/>
      <c r="X293" s="39"/>
      <c r="Y293" s="29">
        <f t="shared" si="93"/>
        <v>113.62502259989155</v>
      </c>
      <c r="Z293" s="30">
        <f t="shared" si="94"/>
        <v>104</v>
      </c>
      <c r="AA293" s="2"/>
      <c r="AD293" s="32">
        <f t="shared" si="92"/>
        <v>0</v>
      </c>
    </row>
    <row r="294" spans="1:30" s="40" customFormat="1" ht="50.25" customHeight="1">
      <c r="A294" s="33" t="s">
        <v>190</v>
      </c>
      <c r="B294" s="34" t="s">
        <v>368</v>
      </c>
      <c r="C294" s="35" t="s">
        <v>170</v>
      </c>
      <c r="D294" s="33" t="s">
        <v>351</v>
      </c>
      <c r="E294" s="33" t="s">
        <v>369</v>
      </c>
      <c r="F294" s="36" t="s">
        <v>430</v>
      </c>
      <c r="G294" s="36" t="s">
        <v>396</v>
      </c>
      <c r="H294" s="37">
        <v>13407.18</v>
      </c>
      <c r="I294" s="37">
        <v>14299.876</v>
      </c>
      <c r="J294" s="37">
        <v>14369.606</v>
      </c>
      <c r="K294" s="37">
        <v>18023.326000000001</v>
      </c>
      <c r="L294" s="26">
        <f t="shared" si="86"/>
        <v>60099.987999999998</v>
      </c>
      <c r="M294" s="38">
        <v>119.11</v>
      </c>
      <c r="N294" s="27">
        <v>119.11</v>
      </c>
      <c r="O294" s="38">
        <v>26.08</v>
      </c>
      <c r="P294" s="27">
        <v>27.13</v>
      </c>
      <c r="Q294" s="28">
        <f t="shared" si="83"/>
        <v>1247269.9554000001</v>
      </c>
      <c r="R294" s="28">
        <f t="shared" si="84"/>
        <v>1330317.46428</v>
      </c>
      <c r="S294" s="28">
        <f t="shared" si="91"/>
        <v>1321716.3598800001</v>
      </c>
      <c r="T294" s="28">
        <f t="shared" si="85"/>
        <v>1657785.5254800001</v>
      </c>
      <c r="U294" s="28">
        <f t="shared" si="88"/>
        <v>5557089.3050400009</v>
      </c>
      <c r="V294" s="39"/>
      <c r="W294" s="39"/>
      <c r="X294" s="39"/>
      <c r="Y294" s="29">
        <f t="shared" si="93"/>
        <v>100</v>
      </c>
      <c r="Z294" s="30">
        <f t="shared" si="94"/>
        <v>104.0260736196319</v>
      </c>
      <c r="AA294" s="2"/>
      <c r="AD294" s="32">
        <f t="shared" si="92"/>
        <v>-2.6073619631901579E-2</v>
      </c>
    </row>
    <row r="295" spans="1:30" s="40" customFormat="1" ht="50.25" customHeight="1">
      <c r="A295" s="33" t="s">
        <v>188</v>
      </c>
      <c r="B295" s="34" t="s">
        <v>189</v>
      </c>
      <c r="C295" s="35" t="s">
        <v>170</v>
      </c>
      <c r="D295" s="33" t="s">
        <v>353</v>
      </c>
      <c r="E295" s="33" t="s">
        <v>370</v>
      </c>
      <c r="F295" s="36" t="s">
        <v>430</v>
      </c>
      <c r="G295" s="36"/>
      <c r="H295" s="37">
        <f>22636.37+2397.615</f>
        <v>25033.985000000001</v>
      </c>
      <c r="I295" s="37">
        <f>23165.16+2397.615</f>
        <v>25562.775000000001</v>
      </c>
      <c r="J295" s="37">
        <v>20959.37</v>
      </c>
      <c r="K295" s="37">
        <v>20575.59</v>
      </c>
      <c r="L295" s="26">
        <f t="shared" si="86"/>
        <v>92131.72</v>
      </c>
      <c r="M295" s="38">
        <v>148.13999999999999</v>
      </c>
      <c r="N295" s="27">
        <v>254.29</v>
      </c>
      <c r="O295" s="38">
        <v>33.85</v>
      </c>
      <c r="P295" s="27">
        <v>35.200000000000003</v>
      </c>
      <c r="Q295" s="28">
        <f t="shared" si="83"/>
        <v>2861134.1456499998</v>
      </c>
      <c r="R295" s="28">
        <f t="shared" si="84"/>
        <v>2921569.5547500001</v>
      </c>
      <c r="S295" s="28">
        <f t="shared" si="91"/>
        <v>4591988.3732999992</v>
      </c>
      <c r="T295" s="28">
        <f t="shared" si="85"/>
        <v>4507906.0130999992</v>
      </c>
      <c r="U295" s="28">
        <f t="shared" si="88"/>
        <v>14882598.086799998</v>
      </c>
      <c r="V295" s="39"/>
      <c r="W295" s="39"/>
      <c r="X295" s="39"/>
      <c r="Y295" s="29">
        <f t="shared" si="93"/>
        <v>171.65519103550696</v>
      </c>
      <c r="Z295" s="30">
        <f t="shared" si="94"/>
        <v>103.98818316100444</v>
      </c>
      <c r="AA295" s="2"/>
      <c r="AD295" s="32">
        <f t="shared" si="92"/>
        <v>1.1816838995557077E-2</v>
      </c>
    </row>
    <row r="296" spans="1:30" s="40" customFormat="1" ht="66" customHeight="1">
      <c r="A296" s="33" t="s">
        <v>194</v>
      </c>
      <c r="B296" s="34" t="s">
        <v>195</v>
      </c>
      <c r="C296" s="35" t="s">
        <v>170</v>
      </c>
      <c r="D296" s="33" t="s">
        <v>196</v>
      </c>
      <c r="E296" s="33"/>
      <c r="F296" s="36" t="s">
        <v>430</v>
      </c>
      <c r="G296" s="36" t="s">
        <v>197</v>
      </c>
      <c r="H296" s="37">
        <v>12612.15</v>
      </c>
      <c r="I296" s="37">
        <v>14271.84</v>
      </c>
      <c r="J296" s="37">
        <v>12657.21</v>
      </c>
      <c r="K296" s="37">
        <v>13256.6</v>
      </c>
      <c r="L296" s="26">
        <f t="shared" si="86"/>
        <v>52797.799999999996</v>
      </c>
      <c r="M296" s="38">
        <v>40.9</v>
      </c>
      <c r="N296" s="27">
        <v>58.56</v>
      </c>
      <c r="O296" s="38">
        <v>19.760000000000002</v>
      </c>
      <c r="P296" s="27">
        <v>20.55</v>
      </c>
      <c r="Q296" s="28">
        <f t="shared" si="83"/>
        <v>266620.85099999997</v>
      </c>
      <c r="R296" s="28">
        <f t="shared" si="84"/>
        <v>301706.69759999996</v>
      </c>
      <c r="S296" s="28">
        <f t="shared" si="91"/>
        <v>481100.55210000003</v>
      </c>
      <c r="T296" s="28">
        <f t="shared" si="85"/>
        <v>503883.3660000001</v>
      </c>
      <c r="U296" s="28">
        <f t="shared" si="88"/>
        <v>1553311.4667</v>
      </c>
      <c r="V296" s="39"/>
      <c r="W296" s="39"/>
      <c r="X296" s="39"/>
      <c r="Y296" s="29">
        <f t="shared" si="93"/>
        <v>143.17848410757946</v>
      </c>
      <c r="Z296" s="30">
        <f t="shared" si="94"/>
        <v>103.99797570850203</v>
      </c>
      <c r="AA296" s="2"/>
      <c r="AD296" s="32">
        <f t="shared" si="92"/>
        <v>2.0242914979746729E-3</v>
      </c>
    </row>
    <row r="297" spans="1:30" s="40" customFormat="1" ht="15" customHeight="1">
      <c r="A297" s="33"/>
      <c r="B297" s="34"/>
      <c r="C297" s="35"/>
      <c r="D297" s="33"/>
      <c r="E297" s="33"/>
      <c r="F297" s="36"/>
      <c r="G297" s="36"/>
      <c r="H297" s="41"/>
      <c r="I297" s="41"/>
      <c r="J297" s="41"/>
      <c r="K297" s="41"/>
      <c r="L297" s="37"/>
      <c r="M297" s="41"/>
      <c r="N297" s="41"/>
      <c r="O297" s="41"/>
      <c r="P297" s="41"/>
      <c r="Q297" s="28"/>
      <c r="R297" s="28"/>
      <c r="S297" s="28"/>
      <c r="T297" s="28"/>
      <c r="U297" s="28"/>
      <c r="V297" s="39"/>
      <c r="W297" s="39"/>
      <c r="X297" s="39"/>
      <c r="Y297" s="29" t="e">
        <f t="shared" si="93"/>
        <v>#DIV/0!</v>
      </c>
      <c r="Z297" s="30" t="e">
        <f t="shared" si="94"/>
        <v>#DIV/0!</v>
      </c>
      <c r="AA297" s="2"/>
      <c r="AD297" s="32" t="e">
        <f t="shared" si="92"/>
        <v>#DIV/0!</v>
      </c>
    </row>
    <row r="298" spans="1:30" s="40" customFormat="1" ht="60" customHeight="1">
      <c r="A298" s="33">
        <v>2902060361</v>
      </c>
      <c r="B298" s="34" t="s">
        <v>198</v>
      </c>
      <c r="C298" s="35" t="s">
        <v>199</v>
      </c>
      <c r="D298" s="33"/>
      <c r="E298" s="33"/>
      <c r="F298" s="36" t="s">
        <v>430</v>
      </c>
      <c r="G298" s="36"/>
      <c r="H298" s="37">
        <v>423046.32300000003</v>
      </c>
      <c r="I298" s="37">
        <v>408044.73500000004</v>
      </c>
      <c r="J298" s="37">
        <v>383631.125</v>
      </c>
      <c r="K298" s="37">
        <v>412631.96799999999</v>
      </c>
      <c r="L298" s="26">
        <f t="shared" si="86"/>
        <v>1627354.1510000001</v>
      </c>
      <c r="M298" s="38">
        <v>36.119999999999997</v>
      </c>
      <c r="N298" s="27">
        <v>41.804099999999998</v>
      </c>
      <c r="O298" s="38">
        <v>28.658250410000001</v>
      </c>
      <c r="P298" s="27">
        <v>29.804580426400001</v>
      </c>
      <c r="Q298" s="28">
        <f t="shared" si="83"/>
        <v>3156665.7271962562</v>
      </c>
      <c r="R298" s="28">
        <f t="shared" si="84"/>
        <v>3044727.6340879076</v>
      </c>
      <c r="S298" s="28">
        <f>(N298-P298)*J298</f>
        <v>4603389.193479687</v>
      </c>
      <c r="T298" s="28">
        <f t="shared" si="85"/>
        <v>4951385.3767090878</v>
      </c>
      <c r="U298" s="28">
        <f t="shared" si="88"/>
        <v>15756167.931472939</v>
      </c>
      <c r="V298" s="39"/>
      <c r="W298" s="39"/>
      <c r="X298" s="39"/>
      <c r="Y298" s="29">
        <f t="shared" si="93"/>
        <v>115.73671096345515</v>
      </c>
      <c r="Z298" s="30">
        <f t="shared" si="94"/>
        <v>104</v>
      </c>
      <c r="AA298" s="2"/>
      <c r="AD298" s="32">
        <f t="shared" si="92"/>
        <v>0</v>
      </c>
    </row>
    <row r="299" spans="1:30" s="40" customFormat="1" ht="60" customHeight="1">
      <c r="A299" s="33">
        <v>2902059091</v>
      </c>
      <c r="B299" s="34" t="s">
        <v>200</v>
      </c>
      <c r="C299" s="35" t="s">
        <v>199</v>
      </c>
      <c r="D299" s="33"/>
      <c r="E299" s="33"/>
      <c r="F299" s="36" t="s">
        <v>430</v>
      </c>
      <c r="G299" s="36" t="s">
        <v>310</v>
      </c>
      <c r="H299" s="37">
        <f>7809484/4</f>
        <v>1952371</v>
      </c>
      <c r="I299" s="37">
        <f t="shared" ref="I299:K299" si="95">7809484/4</f>
        <v>1952371</v>
      </c>
      <c r="J299" s="37">
        <f t="shared" si="95"/>
        <v>1952371</v>
      </c>
      <c r="K299" s="37">
        <f t="shared" si="95"/>
        <v>1952371</v>
      </c>
      <c r="L299" s="26">
        <f t="shared" si="86"/>
        <v>7809484</v>
      </c>
      <c r="M299" s="38">
        <v>28.658250410000001</v>
      </c>
      <c r="N299" s="27">
        <v>32.550700036900004</v>
      </c>
      <c r="O299" s="38">
        <v>28.658250410000001</v>
      </c>
      <c r="P299" s="27">
        <v>29.804580426400001</v>
      </c>
      <c r="Q299" s="28">
        <f t="shared" si="83"/>
        <v>0</v>
      </c>
      <c r="R299" s="28">
        <f t="shared" si="84"/>
        <v>0</v>
      </c>
      <c r="S299" s="28">
        <f>(N299-P299)*J299</f>
        <v>5361444.2900715005</v>
      </c>
      <c r="T299" s="28">
        <f t="shared" si="85"/>
        <v>5361444.2900715005</v>
      </c>
      <c r="U299" s="28">
        <f t="shared" si="88"/>
        <v>10722888.580143001</v>
      </c>
      <c r="V299" s="39"/>
      <c r="W299" s="39"/>
      <c r="X299" s="39"/>
      <c r="Y299" s="29">
        <f t="shared" si="93"/>
        <v>113.58230028425523</v>
      </c>
      <c r="Z299" s="30">
        <f t="shared" si="94"/>
        <v>104</v>
      </c>
      <c r="AA299" s="2"/>
      <c r="AD299" s="32">
        <f t="shared" si="92"/>
        <v>0</v>
      </c>
    </row>
    <row r="300" spans="1:30" s="40" customFormat="1" ht="15" customHeight="1">
      <c r="A300" s="33"/>
      <c r="B300" s="34"/>
      <c r="C300" s="35"/>
      <c r="D300" s="33"/>
      <c r="E300" s="33"/>
      <c r="F300" s="36"/>
      <c r="G300" s="36"/>
      <c r="H300" s="41"/>
      <c r="I300" s="41"/>
      <c r="J300" s="41"/>
      <c r="K300" s="41"/>
      <c r="L300" s="37"/>
      <c r="M300" s="41"/>
      <c r="N300" s="41"/>
      <c r="O300" s="41"/>
      <c r="P300" s="41"/>
      <c r="Q300" s="28"/>
      <c r="R300" s="28"/>
      <c r="S300" s="28"/>
      <c r="T300" s="28"/>
      <c r="U300" s="28"/>
      <c r="V300" s="39"/>
      <c r="W300" s="39"/>
      <c r="X300" s="39"/>
      <c r="Y300" s="29" t="e">
        <f t="shared" si="93"/>
        <v>#DIV/0!</v>
      </c>
      <c r="Z300" s="30" t="e">
        <f t="shared" si="94"/>
        <v>#DIV/0!</v>
      </c>
      <c r="AA300" s="2"/>
      <c r="AD300" s="32" t="e">
        <f t="shared" si="92"/>
        <v>#DIV/0!</v>
      </c>
    </row>
    <row r="301" spans="1:30" s="40" customFormat="1" ht="49.5" customHeight="1">
      <c r="A301" s="33" t="s">
        <v>201</v>
      </c>
      <c r="B301" s="34" t="s">
        <v>202</v>
      </c>
      <c r="C301" s="35" t="s">
        <v>203</v>
      </c>
      <c r="D301" s="33" t="s">
        <v>204</v>
      </c>
      <c r="E301" s="33"/>
      <c r="F301" s="36" t="s">
        <v>430</v>
      </c>
      <c r="G301" s="36"/>
      <c r="H301" s="37">
        <v>3172.9730000000004</v>
      </c>
      <c r="I301" s="37">
        <v>1908.058</v>
      </c>
      <c r="J301" s="37">
        <v>1506.5260000000001</v>
      </c>
      <c r="K301" s="37">
        <v>2203.4290000000001</v>
      </c>
      <c r="L301" s="26">
        <f t="shared" si="86"/>
        <v>8790.9860000000008</v>
      </c>
      <c r="M301" s="38">
        <v>105.18</v>
      </c>
      <c r="N301" s="27">
        <v>168.99369801704177</v>
      </c>
      <c r="O301" s="38">
        <v>40.409999999999997</v>
      </c>
      <c r="P301" s="27">
        <v>42.026399999999995</v>
      </c>
      <c r="Q301" s="28">
        <f t="shared" si="83"/>
        <v>205513.46121000007</v>
      </c>
      <c r="R301" s="28">
        <f t="shared" si="84"/>
        <v>123584.91666000002</v>
      </c>
      <c r="S301" s="28">
        <f t="shared" ref="S301:S303" si="96">(N301-P301)*J301</f>
        <v>191279.53561242187</v>
      </c>
      <c r="T301" s="28">
        <f t="shared" si="85"/>
        <v>279763.42650239234</v>
      </c>
      <c r="U301" s="28">
        <f t="shared" si="88"/>
        <v>800141.33998481429</v>
      </c>
      <c r="V301" s="39"/>
      <c r="W301" s="39"/>
      <c r="X301" s="39"/>
      <c r="Y301" s="29">
        <f t="shared" si="93"/>
        <v>160.67094316128708</v>
      </c>
      <c r="Z301" s="30">
        <f t="shared" si="94"/>
        <v>104</v>
      </c>
      <c r="AA301" s="2"/>
      <c r="AD301" s="32">
        <f t="shared" si="92"/>
        <v>0</v>
      </c>
    </row>
    <row r="302" spans="1:30" s="40" customFormat="1" ht="49.5" customHeight="1">
      <c r="A302" s="33" t="s">
        <v>58</v>
      </c>
      <c r="B302" s="34" t="s">
        <v>59</v>
      </c>
      <c r="C302" s="35" t="s">
        <v>203</v>
      </c>
      <c r="D302" s="33" t="s">
        <v>205</v>
      </c>
      <c r="E302" s="33"/>
      <c r="F302" s="36" t="s">
        <v>430</v>
      </c>
      <c r="G302" s="36"/>
      <c r="H302" s="37">
        <v>67329.45</v>
      </c>
      <c r="I302" s="37">
        <v>62420.950000000004</v>
      </c>
      <c r="J302" s="37">
        <v>57766.649999999994</v>
      </c>
      <c r="K302" s="37">
        <v>59119.03</v>
      </c>
      <c r="L302" s="26">
        <f t="shared" si="86"/>
        <v>246636.08</v>
      </c>
      <c r="M302" s="38">
        <v>74.489999999999995</v>
      </c>
      <c r="N302" s="27">
        <v>137.83589374563684</v>
      </c>
      <c r="O302" s="38">
        <v>33.68</v>
      </c>
      <c r="P302" s="27">
        <v>35.027200000000001</v>
      </c>
      <c r="Q302" s="28">
        <f t="shared" si="83"/>
        <v>2747714.8544999994</v>
      </c>
      <c r="R302" s="28">
        <f t="shared" si="84"/>
        <v>2547398.9694999997</v>
      </c>
      <c r="S302" s="28">
        <f t="shared" si="96"/>
        <v>5938913.8285613917</v>
      </c>
      <c r="T302" s="28">
        <f t="shared" si="85"/>
        <v>6077950.2498091171</v>
      </c>
      <c r="U302" s="28">
        <f t="shared" si="88"/>
        <v>17311977.902370509</v>
      </c>
      <c r="V302" s="39"/>
      <c r="W302" s="39"/>
      <c r="X302" s="39"/>
      <c r="Y302" s="29">
        <f t="shared" si="93"/>
        <v>185.03945998877279</v>
      </c>
      <c r="Z302" s="30">
        <f t="shared" si="94"/>
        <v>104</v>
      </c>
      <c r="AA302" s="2"/>
      <c r="AD302" s="32">
        <f t="shared" si="92"/>
        <v>0</v>
      </c>
    </row>
    <row r="303" spans="1:30" s="40" customFormat="1" ht="49.5" customHeight="1">
      <c r="A303" s="33" t="s">
        <v>214</v>
      </c>
      <c r="B303" s="34" t="s">
        <v>215</v>
      </c>
      <c r="C303" s="35" t="s">
        <v>203</v>
      </c>
      <c r="D303" s="33" t="s">
        <v>216</v>
      </c>
      <c r="E303" s="33"/>
      <c r="F303" s="36" t="s">
        <v>430</v>
      </c>
      <c r="G303" s="36"/>
      <c r="H303" s="37">
        <v>5788.7800000000007</v>
      </c>
      <c r="I303" s="37">
        <v>5444.6360000000004</v>
      </c>
      <c r="J303" s="37">
        <v>5529.6760000000004</v>
      </c>
      <c r="K303" s="37">
        <v>5326.9170000000004</v>
      </c>
      <c r="L303" s="26">
        <f t="shared" si="86"/>
        <v>22090.009000000002</v>
      </c>
      <c r="M303" s="38">
        <v>219.17</v>
      </c>
      <c r="N303" s="27">
        <v>294.57483448022708</v>
      </c>
      <c r="O303" s="38">
        <v>36</v>
      </c>
      <c r="P303" s="27">
        <v>37.44</v>
      </c>
      <c r="Q303" s="28">
        <f t="shared" si="83"/>
        <v>1060330.8326000001</v>
      </c>
      <c r="R303" s="28">
        <f t="shared" si="84"/>
        <v>997293.97612000001</v>
      </c>
      <c r="S303" s="28">
        <f t="shared" si="96"/>
        <v>1421872.3229892843</v>
      </c>
      <c r="T303" s="28">
        <f t="shared" si="85"/>
        <v>1369735.9210849078</v>
      </c>
      <c r="U303" s="28">
        <f t="shared" si="88"/>
        <v>4849233.052794192</v>
      </c>
      <c r="V303" s="39"/>
      <c r="W303" s="39"/>
      <c r="X303" s="39"/>
      <c r="Y303" s="29">
        <f t="shared" si="93"/>
        <v>134.40472440581607</v>
      </c>
      <c r="Z303" s="30">
        <f t="shared" si="94"/>
        <v>104</v>
      </c>
      <c r="AA303" s="2"/>
      <c r="AD303" s="32">
        <f t="shared" si="92"/>
        <v>0</v>
      </c>
    </row>
    <row r="304" spans="1:30" s="40" customFormat="1" ht="15" customHeight="1">
      <c r="A304" s="33"/>
      <c r="B304" s="34"/>
      <c r="C304" s="35"/>
      <c r="D304" s="33"/>
      <c r="E304" s="33"/>
      <c r="F304" s="36"/>
      <c r="G304" s="36"/>
      <c r="H304" s="41"/>
      <c r="I304" s="41"/>
      <c r="J304" s="41"/>
      <c r="K304" s="41"/>
      <c r="L304" s="37"/>
      <c r="M304" s="41"/>
      <c r="N304" s="41"/>
      <c r="O304" s="41"/>
      <c r="P304" s="41"/>
      <c r="Q304" s="28"/>
      <c r="R304" s="28"/>
      <c r="S304" s="28"/>
      <c r="T304" s="28"/>
      <c r="U304" s="28"/>
      <c r="V304" s="39"/>
      <c r="W304" s="39"/>
      <c r="X304" s="39"/>
      <c r="Y304" s="29" t="e">
        <f t="shared" si="93"/>
        <v>#DIV/0!</v>
      </c>
      <c r="Z304" s="30" t="e">
        <f t="shared" si="94"/>
        <v>#DIV/0!</v>
      </c>
      <c r="AA304" s="2"/>
      <c r="AD304" s="32" t="e">
        <f t="shared" si="92"/>
        <v>#DIV/0!</v>
      </c>
    </row>
    <row r="305" spans="1:30" s="40" customFormat="1" ht="49.5" customHeight="1">
      <c r="A305" s="33" t="s">
        <v>221</v>
      </c>
      <c r="B305" s="34" t="s">
        <v>222</v>
      </c>
      <c r="C305" s="35" t="s">
        <v>223</v>
      </c>
      <c r="D305" s="33" t="s">
        <v>228</v>
      </c>
      <c r="E305" s="33"/>
      <c r="F305" s="36" t="s">
        <v>430</v>
      </c>
      <c r="G305" s="36" t="s">
        <v>225</v>
      </c>
      <c r="H305" s="37">
        <v>17654.136000000002</v>
      </c>
      <c r="I305" s="37">
        <v>16940.304</v>
      </c>
      <c r="J305" s="37">
        <v>17371.645</v>
      </c>
      <c r="K305" s="37">
        <v>17425.745999999999</v>
      </c>
      <c r="L305" s="26">
        <f t="shared" si="86"/>
        <v>69391.831000000006</v>
      </c>
      <c r="M305" s="38">
        <v>89.9</v>
      </c>
      <c r="N305" s="27">
        <v>106.44</v>
      </c>
      <c r="O305" s="38">
        <v>73.044200000000004</v>
      </c>
      <c r="P305" s="27">
        <v>75.97</v>
      </c>
      <c r="Q305" s="28">
        <f t="shared" si="83"/>
        <v>297574.58558880008</v>
      </c>
      <c r="R305" s="28">
        <f t="shared" si="84"/>
        <v>285542.37616320001</v>
      </c>
      <c r="S305" s="28">
        <f t="shared" ref="S305:S312" si="97">(N305-P305)*J305</f>
        <v>529314.02315000002</v>
      </c>
      <c r="T305" s="28">
        <f t="shared" si="85"/>
        <v>530962.48061999993</v>
      </c>
      <c r="U305" s="28">
        <f t="shared" si="88"/>
        <v>1643393.4655220001</v>
      </c>
      <c r="V305" s="39"/>
      <c r="W305" s="39"/>
      <c r="X305" s="39"/>
      <c r="Y305" s="29">
        <f t="shared" si="93"/>
        <v>118.39822024471633</v>
      </c>
      <c r="Z305" s="30">
        <f t="shared" si="94"/>
        <v>104.00551994545768</v>
      </c>
      <c r="AA305" s="2"/>
      <c r="AD305" s="32">
        <f t="shared" si="92"/>
        <v>-5.5199454576779772E-3</v>
      </c>
    </row>
    <row r="306" spans="1:30" s="40" customFormat="1" ht="49.5" customHeight="1">
      <c r="A306" s="33" t="s">
        <v>221</v>
      </c>
      <c r="B306" s="34" t="s">
        <v>222</v>
      </c>
      <c r="C306" s="35" t="s">
        <v>223</v>
      </c>
      <c r="D306" s="33" t="s">
        <v>226</v>
      </c>
      <c r="E306" s="33"/>
      <c r="F306" s="36" t="s">
        <v>430</v>
      </c>
      <c r="G306" s="36" t="s">
        <v>227</v>
      </c>
      <c r="H306" s="37">
        <v>3141.8799999999997</v>
      </c>
      <c r="I306" s="37">
        <v>3561.7330000000002</v>
      </c>
      <c r="J306" s="37">
        <v>3751.0550000000003</v>
      </c>
      <c r="K306" s="37">
        <v>3189.8450000000003</v>
      </c>
      <c r="L306" s="26">
        <f t="shared" si="86"/>
        <v>13644.512999999999</v>
      </c>
      <c r="M306" s="38">
        <v>226.87</v>
      </c>
      <c r="N306" s="27">
        <v>289.45</v>
      </c>
      <c r="O306" s="27">
        <v>160.07</v>
      </c>
      <c r="P306" s="27">
        <v>166.47280000000001</v>
      </c>
      <c r="Q306" s="28">
        <f t="shared" si="83"/>
        <v>209877.584</v>
      </c>
      <c r="R306" s="28">
        <f t="shared" si="84"/>
        <v>237923.76440000004</v>
      </c>
      <c r="S306" s="28">
        <f t="shared" si="97"/>
        <v>461294.24094599998</v>
      </c>
      <c r="T306" s="28">
        <f t="shared" si="85"/>
        <v>392278.206534</v>
      </c>
      <c r="U306" s="28">
        <f t="shared" si="88"/>
        <v>1301373.7958800001</v>
      </c>
      <c r="V306" s="39"/>
      <c r="W306" s="39"/>
      <c r="X306" s="39"/>
      <c r="Y306" s="29">
        <f t="shared" si="93"/>
        <v>127.58407898796666</v>
      </c>
      <c r="Z306" s="30">
        <f t="shared" si="94"/>
        <v>104</v>
      </c>
      <c r="AA306" s="2"/>
      <c r="AD306" s="32">
        <f t="shared" si="92"/>
        <v>0</v>
      </c>
    </row>
    <row r="307" spans="1:30" s="40" customFormat="1" ht="49.5" customHeight="1">
      <c r="A307" s="33" t="s">
        <v>221</v>
      </c>
      <c r="B307" s="34" t="s">
        <v>222</v>
      </c>
      <c r="C307" s="35" t="s">
        <v>223</v>
      </c>
      <c r="D307" s="33" t="s">
        <v>224</v>
      </c>
      <c r="E307" s="33"/>
      <c r="F307" s="36" t="s">
        <v>430</v>
      </c>
      <c r="G307" s="36" t="s">
        <v>227</v>
      </c>
      <c r="H307" s="37">
        <v>1251.556</v>
      </c>
      <c r="I307" s="37">
        <v>1315.431</v>
      </c>
      <c r="J307" s="37">
        <v>1447.4880000000001</v>
      </c>
      <c r="K307" s="37">
        <v>1582.1669999999999</v>
      </c>
      <c r="L307" s="26">
        <f t="shared" si="86"/>
        <v>5596.6419999999998</v>
      </c>
      <c r="M307" s="38">
        <v>198.57</v>
      </c>
      <c r="N307" s="27">
        <v>232.12</v>
      </c>
      <c r="O307" s="38">
        <v>99</v>
      </c>
      <c r="P307" s="27">
        <v>102.96</v>
      </c>
      <c r="Q307" s="28">
        <f t="shared" si="83"/>
        <v>124617.43092</v>
      </c>
      <c r="R307" s="28">
        <f t="shared" si="84"/>
        <v>130977.46467</v>
      </c>
      <c r="S307" s="28">
        <f t="shared" si="97"/>
        <v>186957.55008000004</v>
      </c>
      <c r="T307" s="28">
        <f t="shared" si="85"/>
        <v>204352.68972000002</v>
      </c>
      <c r="U307" s="28">
        <f t="shared" si="88"/>
        <v>646905.13539000007</v>
      </c>
      <c r="V307" s="39"/>
      <c r="W307" s="39"/>
      <c r="X307" s="39"/>
      <c r="Y307" s="29">
        <f t="shared" si="93"/>
        <v>116.89580500579142</v>
      </c>
      <c r="Z307" s="30">
        <f t="shared" si="94"/>
        <v>104</v>
      </c>
      <c r="AA307" s="2"/>
      <c r="AD307" s="32">
        <f t="shared" si="92"/>
        <v>0</v>
      </c>
    </row>
    <row r="308" spans="1:30" s="40" customFormat="1" ht="49.5" customHeight="1">
      <c r="A308" s="33" t="s">
        <v>229</v>
      </c>
      <c r="B308" s="34" t="s">
        <v>230</v>
      </c>
      <c r="C308" s="35" t="s">
        <v>223</v>
      </c>
      <c r="D308" s="33" t="s">
        <v>231</v>
      </c>
      <c r="E308" s="33"/>
      <c r="F308" s="36" t="s">
        <v>430</v>
      </c>
      <c r="G308" s="36"/>
      <c r="H308" s="37">
        <v>18042.21</v>
      </c>
      <c r="I308" s="37">
        <v>18093.43</v>
      </c>
      <c r="J308" s="37">
        <v>18065.07</v>
      </c>
      <c r="K308" s="37">
        <v>16614.990000000002</v>
      </c>
      <c r="L308" s="26">
        <f t="shared" si="86"/>
        <v>70815.7</v>
      </c>
      <c r="M308" s="38">
        <v>110.78</v>
      </c>
      <c r="N308" s="27">
        <v>159.63</v>
      </c>
      <c r="O308" s="38">
        <v>83.36</v>
      </c>
      <c r="P308" s="27">
        <v>86.694400000000002</v>
      </c>
      <c r="Q308" s="28">
        <f t="shared" si="83"/>
        <v>494717.3982</v>
      </c>
      <c r="R308" s="28">
        <f t="shared" si="84"/>
        <v>496121.85060000006</v>
      </c>
      <c r="S308" s="28">
        <f t="shared" si="97"/>
        <v>1317586.7194919998</v>
      </c>
      <c r="T308" s="28">
        <f t="shared" si="85"/>
        <v>1211824.264644</v>
      </c>
      <c r="U308" s="28">
        <f t="shared" si="88"/>
        <v>3520250.2329359995</v>
      </c>
      <c r="V308" s="39"/>
      <c r="W308" s="39"/>
      <c r="X308" s="39"/>
      <c r="Y308" s="29">
        <f t="shared" si="93"/>
        <v>144.09640729373533</v>
      </c>
      <c r="Z308" s="30">
        <f t="shared" si="94"/>
        <v>104</v>
      </c>
      <c r="AA308" s="2"/>
      <c r="AD308" s="32">
        <f t="shared" si="92"/>
        <v>0</v>
      </c>
    </row>
    <row r="309" spans="1:30" s="40" customFormat="1" ht="49.5" customHeight="1">
      <c r="A309" s="33" t="s">
        <v>229</v>
      </c>
      <c r="B309" s="34" t="s">
        <v>230</v>
      </c>
      <c r="C309" s="35" t="s">
        <v>223</v>
      </c>
      <c r="D309" s="33" t="s">
        <v>232</v>
      </c>
      <c r="E309" s="33"/>
      <c r="F309" s="36" t="s">
        <v>430</v>
      </c>
      <c r="G309" s="36"/>
      <c r="H309" s="37">
        <v>5357.9</v>
      </c>
      <c r="I309" s="37">
        <v>6010.7800000000007</v>
      </c>
      <c r="J309" s="37">
        <v>5149.09</v>
      </c>
      <c r="K309" s="37">
        <v>5469.76</v>
      </c>
      <c r="L309" s="26">
        <f t="shared" si="86"/>
        <v>21987.53</v>
      </c>
      <c r="M309" s="38">
        <v>156.05000000000001</v>
      </c>
      <c r="N309" s="27">
        <v>263.33</v>
      </c>
      <c r="O309" s="38">
        <v>124.44606000000002</v>
      </c>
      <c r="P309" s="27">
        <v>129.42390240000003</v>
      </c>
      <c r="Q309" s="28">
        <f t="shared" si="83"/>
        <v>169330.75012599997</v>
      </c>
      <c r="R309" s="28">
        <f t="shared" si="84"/>
        <v>189964.33047319998</v>
      </c>
      <c r="S309" s="28">
        <f t="shared" si="97"/>
        <v>689494.54809118377</v>
      </c>
      <c r="T309" s="28">
        <f t="shared" si="85"/>
        <v>732434.21640857577</v>
      </c>
      <c r="U309" s="28">
        <f t="shared" si="88"/>
        <v>1781223.8450989597</v>
      </c>
      <c r="V309" s="39"/>
      <c r="W309" s="39"/>
      <c r="X309" s="39"/>
      <c r="Y309" s="29">
        <f t="shared" si="93"/>
        <v>168.74719641140658</v>
      </c>
      <c r="Z309" s="30">
        <f t="shared" si="94"/>
        <v>104</v>
      </c>
      <c r="AA309" s="2"/>
      <c r="AD309" s="32">
        <f t="shared" si="92"/>
        <v>0</v>
      </c>
    </row>
    <row r="310" spans="1:30" s="40" customFormat="1" ht="49.5" customHeight="1">
      <c r="A310" s="33" t="s">
        <v>233</v>
      </c>
      <c r="B310" s="34" t="s">
        <v>234</v>
      </c>
      <c r="C310" s="35" t="s">
        <v>223</v>
      </c>
      <c r="D310" s="33" t="s">
        <v>235</v>
      </c>
      <c r="E310" s="33"/>
      <c r="F310" s="36" t="s">
        <v>430</v>
      </c>
      <c r="G310" s="36"/>
      <c r="H310" s="37">
        <f>3196.123+278.559</f>
        <v>3474.6820000000002</v>
      </c>
      <c r="I310" s="37">
        <v>3025.404</v>
      </c>
      <c r="J310" s="37">
        <v>2890.5309999999999</v>
      </c>
      <c r="K310" s="37">
        <v>2926.7240000000002</v>
      </c>
      <c r="L310" s="26">
        <f>H310+I310+J310+K310</f>
        <v>12317.341</v>
      </c>
      <c r="M310" s="38">
        <v>276.56</v>
      </c>
      <c r="N310" s="27">
        <v>335.55</v>
      </c>
      <c r="O310" s="38">
        <v>162.15</v>
      </c>
      <c r="P310" s="27">
        <v>168.63600000000002</v>
      </c>
      <c r="Q310" s="28">
        <f t="shared" si="83"/>
        <v>397538.36762000003</v>
      </c>
      <c r="R310" s="28">
        <f t="shared" si="84"/>
        <v>346136.47164</v>
      </c>
      <c r="S310" s="28">
        <f t="shared" si="97"/>
        <v>482470.09133399994</v>
      </c>
      <c r="T310" s="28">
        <f t="shared" si="85"/>
        <v>488511.20973599999</v>
      </c>
      <c r="U310" s="28">
        <f t="shared" si="88"/>
        <v>1714656.1403300001</v>
      </c>
      <c r="V310" s="39"/>
      <c r="W310" s="39"/>
      <c r="X310" s="39"/>
      <c r="Y310" s="29">
        <f t="shared" si="93"/>
        <v>121.32991032687302</v>
      </c>
      <c r="Z310" s="30">
        <f t="shared" si="94"/>
        <v>104</v>
      </c>
      <c r="AA310" s="2"/>
      <c r="AD310" s="32">
        <f t="shared" si="92"/>
        <v>0</v>
      </c>
    </row>
    <row r="311" spans="1:30" s="40" customFormat="1" ht="49.5" customHeight="1">
      <c r="A311" s="33" t="s">
        <v>276</v>
      </c>
      <c r="B311" s="34" t="s">
        <v>241</v>
      </c>
      <c r="C311" s="35" t="s">
        <v>223</v>
      </c>
      <c r="D311" s="33" t="s">
        <v>242</v>
      </c>
      <c r="E311" s="33"/>
      <c r="F311" s="36" t="s">
        <v>430</v>
      </c>
      <c r="G311" s="36"/>
      <c r="H311" s="37">
        <v>8714.4499999999989</v>
      </c>
      <c r="I311" s="37">
        <v>7547.76</v>
      </c>
      <c r="J311" s="37">
        <v>7405.7800000000007</v>
      </c>
      <c r="K311" s="37">
        <v>7982.4</v>
      </c>
      <c r="L311" s="26">
        <f t="shared" si="86"/>
        <v>31650.39</v>
      </c>
      <c r="M311" s="38">
        <v>117.09</v>
      </c>
      <c r="N311" s="27">
        <v>167.16</v>
      </c>
      <c r="O311" s="38">
        <v>99</v>
      </c>
      <c r="P311" s="27">
        <v>102.96000000000001</v>
      </c>
      <c r="Q311" s="28">
        <f t="shared" si="83"/>
        <v>157644.40050000002</v>
      </c>
      <c r="R311" s="28">
        <f t="shared" si="84"/>
        <v>136538.97840000002</v>
      </c>
      <c r="S311" s="28">
        <f t="shared" si="97"/>
        <v>475451.07599999994</v>
      </c>
      <c r="T311" s="28">
        <f t="shared" si="85"/>
        <v>512470.0799999999</v>
      </c>
      <c r="U311" s="28">
        <f t="shared" si="88"/>
        <v>1282104.5348999999</v>
      </c>
      <c r="V311" s="39"/>
      <c r="W311" s="39"/>
      <c r="X311" s="39"/>
      <c r="Y311" s="29">
        <f t="shared" si="93"/>
        <v>142.76197796566743</v>
      </c>
      <c r="Z311" s="30">
        <f t="shared" si="94"/>
        <v>104</v>
      </c>
      <c r="AA311" s="2"/>
      <c r="AD311" s="32">
        <f t="shared" si="92"/>
        <v>0</v>
      </c>
    </row>
    <row r="312" spans="1:30" s="40" customFormat="1" ht="49.5" customHeight="1">
      <c r="A312" s="33" t="s">
        <v>236</v>
      </c>
      <c r="B312" s="34" t="s">
        <v>237</v>
      </c>
      <c r="C312" s="35" t="s">
        <v>223</v>
      </c>
      <c r="D312" s="33" t="s">
        <v>44</v>
      </c>
      <c r="E312" s="33"/>
      <c r="F312" s="36" t="s">
        <v>430</v>
      </c>
      <c r="G312" s="36"/>
      <c r="H312" s="37">
        <v>401.25800000000004</v>
      </c>
      <c r="I312" s="37">
        <v>369.53300000000002</v>
      </c>
      <c r="J312" s="37">
        <v>438.09899999999999</v>
      </c>
      <c r="K312" s="37">
        <v>438.09899999999999</v>
      </c>
      <c r="L312" s="26">
        <f t="shared" si="86"/>
        <v>1646.989</v>
      </c>
      <c r="M312" s="38">
        <v>81.540000000000006</v>
      </c>
      <c r="N312" s="27">
        <v>81.540000000000006</v>
      </c>
      <c r="O312" s="38">
        <v>48.662650400000004</v>
      </c>
      <c r="P312" s="27">
        <v>50.609156416000005</v>
      </c>
      <c r="Q312" s="28">
        <f t="shared" si="83"/>
        <v>13192.299545796803</v>
      </c>
      <c r="R312" s="28">
        <f t="shared" si="84"/>
        <v>12149.265629736801</v>
      </c>
      <c r="S312" s="28">
        <f t="shared" si="97"/>
        <v>13550.771643306816</v>
      </c>
      <c r="T312" s="28">
        <f t="shared" si="85"/>
        <v>13550.771643306816</v>
      </c>
      <c r="U312" s="28">
        <f t="shared" si="88"/>
        <v>52443.10846214724</v>
      </c>
      <c r="V312" s="39"/>
      <c r="W312" s="39"/>
      <c r="X312" s="39"/>
      <c r="Y312" s="29">
        <f t="shared" si="93"/>
        <v>100</v>
      </c>
      <c r="Z312" s="30">
        <f t="shared" si="94"/>
        <v>104</v>
      </c>
      <c r="AA312" s="2"/>
      <c r="AD312" s="32">
        <f t="shared" si="92"/>
        <v>0</v>
      </c>
    </row>
    <row r="313" spans="1:30" s="40" customFormat="1" ht="15" customHeight="1">
      <c r="A313" s="33"/>
      <c r="B313" s="34"/>
      <c r="C313" s="35"/>
      <c r="D313" s="33"/>
      <c r="E313" s="33"/>
      <c r="F313" s="36"/>
      <c r="G313" s="36"/>
      <c r="H313" s="41"/>
      <c r="I313" s="41"/>
      <c r="J313" s="41"/>
      <c r="K313" s="41"/>
      <c r="L313" s="37"/>
      <c r="M313" s="41"/>
      <c r="N313" s="41"/>
      <c r="O313" s="41"/>
      <c r="P313" s="41"/>
      <c r="Q313" s="28"/>
      <c r="R313" s="28"/>
      <c r="S313" s="28"/>
      <c r="T313" s="28"/>
      <c r="U313" s="28"/>
      <c r="V313" s="39"/>
      <c r="W313" s="39"/>
      <c r="X313" s="39"/>
      <c r="Y313" s="29" t="e">
        <f t="shared" si="93"/>
        <v>#DIV/0!</v>
      </c>
      <c r="Z313" s="30" t="e">
        <f t="shared" si="94"/>
        <v>#DIV/0!</v>
      </c>
      <c r="AA313" s="2"/>
      <c r="AD313" s="32" t="e">
        <f t="shared" si="92"/>
        <v>#DIV/0!</v>
      </c>
    </row>
    <row r="314" spans="1:30" s="40" customFormat="1" ht="49.5" customHeight="1">
      <c r="A314" s="33" t="s">
        <v>243</v>
      </c>
      <c r="B314" s="34" t="s">
        <v>244</v>
      </c>
      <c r="C314" s="35" t="s">
        <v>245</v>
      </c>
      <c r="D314" s="33" t="s">
        <v>246</v>
      </c>
      <c r="E314" s="33"/>
      <c r="F314" s="36" t="s">
        <v>430</v>
      </c>
      <c r="G314" s="36"/>
      <c r="H314" s="37">
        <v>2521.14</v>
      </c>
      <c r="I314" s="37">
        <v>2471.29</v>
      </c>
      <c r="J314" s="37">
        <v>2432.6279999999997</v>
      </c>
      <c r="K314" s="37">
        <v>2416.5</v>
      </c>
      <c r="L314" s="26">
        <f t="shared" si="86"/>
        <v>9841.5580000000009</v>
      </c>
      <c r="M314" s="38">
        <v>80.849999999999994</v>
      </c>
      <c r="N314" s="38">
        <v>80.849999999999994</v>
      </c>
      <c r="O314" s="38">
        <v>42.2</v>
      </c>
      <c r="P314" s="27">
        <v>43.89</v>
      </c>
      <c r="Q314" s="28">
        <f t="shared" si="83"/>
        <v>97442.060999999972</v>
      </c>
      <c r="R314" s="28">
        <f t="shared" si="84"/>
        <v>95515.358499999973</v>
      </c>
      <c r="S314" s="28">
        <f>(N314-P314)*J314</f>
        <v>89909.930879999971</v>
      </c>
      <c r="T314" s="28">
        <f t="shared" si="85"/>
        <v>89313.839999999982</v>
      </c>
      <c r="U314" s="28">
        <f t="shared" si="88"/>
        <v>372181.19037999993</v>
      </c>
      <c r="V314" s="39"/>
      <c r="W314" s="39"/>
      <c r="X314" s="39"/>
      <c r="Y314" s="29">
        <f t="shared" si="93"/>
        <v>100</v>
      </c>
      <c r="Z314" s="30">
        <f t="shared" si="94"/>
        <v>104.00473933649288</v>
      </c>
      <c r="AA314" s="2"/>
      <c r="AD314" s="32">
        <f t="shared" si="92"/>
        <v>-4.739336492875168E-3</v>
      </c>
    </row>
    <row r="315" spans="1:30" s="40" customFormat="1" ht="36" customHeight="1">
      <c r="A315" s="153" t="s">
        <v>451</v>
      </c>
      <c r="B315" s="154"/>
      <c r="C315" s="154"/>
      <c r="D315" s="154"/>
      <c r="E315" s="154"/>
      <c r="F315" s="154"/>
      <c r="G315" s="154"/>
      <c r="H315" s="37">
        <f>SUM(H10:H314)</f>
        <v>18336918.872307882</v>
      </c>
      <c r="I315" s="37">
        <f t="shared" ref="I315:K315" si="98">SUM(I10:I314)</f>
        <v>18111772.561307866</v>
      </c>
      <c r="J315" s="37">
        <f t="shared" si="98"/>
        <v>17427797.456307862</v>
      </c>
      <c r="K315" s="37">
        <f t="shared" si="98"/>
        <v>18297047.436307866</v>
      </c>
      <c r="L315" s="37">
        <f>SUM(L10:L314)</f>
        <v>72173536.32623148</v>
      </c>
      <c r="M315" s="37"/>
      <c r="N315" s="37"/>
      <c r="O315" s="37"/>
      <c r="P315" s="37"/>
      <c r="Q315" s="53">
        <f>SUM(Q10:Q314)</f>
        <v>393505323.91441423</v>
      </c>
      <c r="R315" s="53">
        <f t="shared" ref="R315:U315" si="99">SUM(R10:R314)</f>
        <v>386181401.01328593</v>
      </c>
      <c r="S315" s="53">
        <f t="shared" si="99"/>
        <v>612404288.36258316</v>
      </c>
      <c r="T315" s="53">
        <f t="shared" si="99"/>
        <v>636536394.2129792</v>
      </c>
      <c r="U315" s="53">
        <f t="shared" si="99"/>
        <v>2028627407.5032635</v>
      </c>
      <c r="V315" s="53"/>
      <c r="W315" s="53"/>
      <c r="X315" s="53"/>
      <c r="Y315" s="37" t="e">
        <f>SUM(Y10:Y314)</f>
        <v>#DIV/0!</v>
      </c>
      <c r="Z315" s="37" t="e">
        <f>SUM(Z10:Z314)</f>
        <v>#DIV/0!</v>
      </c>
      <c r="AA315" s="37">
        <f>SUM(AA10:AA314)</f>
        <v>0</v>
      </c>
      <c r="AD315" s="32"/>
    </row>
    <row r="316" spans="1:30" s="40" customFormat="1" ht="15" customHeight="1">
      <c r="A316" s="33"/>
      <c r="B316" s="34"/>
      <c r="C316" s="35"/>
      <c r="D316" s="33"/>
      <c r="E316" s="33"/>
      <c r="F316" s="36"/>
      <c r="G316" s="36"/>
      <c r="H316" s="37"/>
      <c r="I316" s="37"/>
      <c r="J316" s="37"/>
      <c r="K316" s="37"/>
      <c r="L316" s="26"/>
      <c r="M316" s="38"/>
      <c r="N316" s="27"/>
      <c r="O316" s="38"/>
      <c r="P316" s="27"/>
      <c r="Q316" s="28"/>
      <c r="R316" s="28"/>
      <c r="S316" s="28"/>
      <c r="T316" s="28"/>
      <c r="U316" s="28"/>
      <c r="V316" s="39"/>
      <c r="W316" s="39"/>
      <c r="X316" s="39"/>
      <c r="Y316" s="29"/>
      <c r="Z316" s="30"/>
      <c r="AA316" s="2"/>
      <c r="AD316" s="32"/>
    </row>
    <row r="317" spans="1:30" s="40" customFormat="1" ht="36" customHeight="1">
      <c r="A317" s="153" t="s">
        <v>445</v>
      </c>
      <c r="B317" s="154"/>
      <c r="C317" s="154"/>
      <c r="D317" s="154"/>
      <c r="E317" s="154"/>
      <c r="F317" s="154"/>
      <c r="G317" s="154"/>
      <c r="H317" s="37"/>
      <c r="I317" s="37"/>
      <c r="J317" s="37"/>
      <c r="K317" s="37"/>
      <c r="L317" s="26"/>
      <c r="M317" s="38"/>
      <c r="N317" s="27"/>
      <c r="O317" s="38"/>
      <c r="P317" s="27"/>
      <c r="Q317" s="28"/>
      <c r="R317" s="28"/>
      <c r="S317" s="28"/>
      <c r="T317" s="28"/>
      <c r="U317" s="28"/>
      <c r="V317" s="39"/>
      <c r="W317" s="39"/>
      <c r="X317" s="39"/>
      <c r="Y317" s="29"/>
      <c r="Z317" s="30"/>
      <c r="AA317" s="2"/>
      <c r="AD317" s="32"/>
    </row>
    <row r="318" spans="1:30" s="40" customFormat="1" ht="54" customHeight="1">
      <c r="A318" s="34">
        <v>2901308154</v>
      </c>
      <c r="B318" s="34" t="s">
        <v>423</v>
      </c>
      <c r="C318" s="34" t="s">
        <v>62</v>
      </c>
      <c r="D318" s="33" t="s">
        <v>424</v>
      </c>
      <c r="F318" s="36" t="s">
        <v>446</v>
      </c>
      <c r="G318" s="36"/>
      <c r="H318" s="37">
        <f>32346/4</f>
        <v>8086.5</v>
      </c>
      <c r="I318" s="37">
        <v>8086.5</v>
      </c>
      <c r="J318" s="37">
        <v>8086.5</v>
      </c>
      <c r="K318" s="37">
        <v>8086.5</v>
      </c>
      <c r="L318" s="26">
        <f t="shared" ref="L318:L323" si="100">H318+I318+J318+K318</f>
        <v>32346</v>
      </c>
      <c r="M318" s="38">
        <v>64.86</v>
      </c>
      <c r="N318" s="27">
        <f>69.9554764308641*1.2</f>
        <v>83.946571717036917</v>
      </c>
      <c r="O318" s="38">
        <v>43.301352000000009</v>
      </c>
      <c r="P318" s="27">
        <f t="shared" ref="P318:P323" si="101">O318*1.04</f>
        <v>45.033406080000013</v>
      </c>
      <c r="Q318" s="28">
        <f>(M318-O318)*H318</f>
        <v>174334.00705199991</v>
      </c>
      <c r="R318" s="28">
        <f>(M318-O318)*I318</f>
        <v>174334.00705199991</v>
      </c>
      <c r="S318" s="28">
        <f>(N318-P318)*J318</f>
        <v>314671.31392389891</v>
      </c>
      <c r="T318" s="28">
        <f>(N318-P318)*K318</f>
        <v>314671.31392389891</v>
      </c>
      <c r="U318" s="28">
        <f>Q318+R318+S318+T318</f>
        <v>978010.64195179753</v>
      </c>
      <c r="V318" s="39"/>
      <c r="W318" s="39"/>
      <c r="X318" s="39"/>
      <c r="Y318" s="29"/>
      <c r="Z318" s="30"/>
      <c r="AA318" s="2"/>
      <c r="AD318" s="32"/>
    </row>
    <row r="319" spans="1:30" s="40" customFormat="1" ht="54" customHeight="1">
      <c r="A319" s="34">
        <v>2901308154</v>
      </c>
      <c r="B319" s="34" t="s">
        <v>423</v>
      </c>
      <c r="C319" s="34" t="s">
        <v>62</v>
      </c>
      <c r="D319" s="33" t="s">
        <v>424</v>
      </c>
      <c r="F319" s="36" t="s">
        <v>447</v>
      </c>
      <c r="G319" s="36"/>
      <c r="H319" s="37">
        <f>1969.8714/4</f>
        <v>492.46785</v>
      </c>
      <c r="I319" s="37">
        <v>492.46785</v>
      </c>
      <c r="J319" s="37">
        <v>492.46785</v>
      </c>
      <c r="K319" s="37">
        <v>492.46785</v>
      </c>
      <c r="L319" s="26">
        <f t="shared" si="100"/>
        <v>1969.8714</v>
      </c>
      <c r="M319" s="38">
        <v>18757.406445003835</v>
      </c>
      <c r="N319" s="27">
        <v>22014.95274180502</v>
      </c>
      <c r="O319" s="38">
        <v>1970</v>
      </c>
      <c r="P319" s="27">
        <f t="shared" si="101"/>
        <v>2048.8000000000002</v>
      </c>
      <c r="Q319" s="28">
        <f t="shared" ref="Q319:Q323" si="102">(M319-O319)*H319</f>
        <v>8267257.9590471815</v>
      </c>
      <c r="R319" s="28">
        <f t="shared" ref="R319:R323" si="103">(M319-O319)*I319</f>
        <v>8267257.9590471815</v>
      </c>
      <c r="S319" s="28">
        <f t="shared" ref="S319:S323" si="104">(N319-P319)*J319</f>
        <v>9832688.3135283235</v>
      </c>
      <c r="T319" s="28">
        <f t="shared" ref="T319:T323" si="105">(N319-P319)*K319</f>
        <v>9832688.3135283235</v>
      </c>
      <c r="U319" s="28">
        <f t="shared" ref="U319:U323" si="106">Q319+R319+S319+T319</f>
        <v>36199892.54515101</v>
      </c>
      <c r="V319" s="39"/>
      <c r="W319" s="39"/>
      <c r="X319" s="39"/>
      <c r="Y319" s="29"/>
      <c r="Z319" s="30"/>
      <c r="AA319" s="2"/>
      <c r="AD319" s="32"/>
    </row>
    <row r="320" spans="1:30" s="40" customFormat="1" ht="54" customHeight="1">
      <c r="A320" s="34">
        <v>2901308154</v>
      </c>
      <c r="B320" s="34" t="s">
        <v>423</v>
      </c>
      <c r="C320" s="34" t="s">
        <v>62</v>
      </c>
      <c r="D320" s="33" t="s">
        <v>425</v>
      </c>
      <c r="F320" s="36" t="s">
        <v>446</v>
      </c>
      <c r="G320" s="36"/>
      <c r="H320" s="37">
        <f>39630/4</f>
        <v>9907.5</v>
      </c>
      <c r="I320" s="37">
        <v>9907.5</v>
      </c>
      <c r="J320" s="37">
        <v>9907.5</v>
      </c>
      <c r="K320" s="37">
        <v>9907.5</v>
      </c>
      <c r="L320" s="26">
        <f t="shared" si="100"/>
        <v>39630</v>
      </c>
      <c r="M320" s="38">
        <v>64.86</v>
      </c>
      <c r="N320" s="27">
        <f>N318</f>
        <v>83.946571717036917</v>
      </c>
      <c r="O320" s="38">
        <v>43.301352000000009</v>
      </c>
      <c r="P320" s="27">
        <f t="shared" si="101"/>
        <v>45.033406080000013</v>
      </c>
      <c r="Q320" s="28">
        <f t="shared" si="102"/>
        <v>213592.3050599999</v>
      </c>
      <c r="R320" s="28">
        <f t="shared" si="103"/>
        <v>213592.3050599999</v>
      </c>
      <c r="S320" s="28">
        <f t="shared" si="104"/>
        <v>385532.18854894314</v>
      </c>
      <c r="T320" s="28">
        <f t="shared" si="105"/>
        <v>385532.18854894314</v>
      </c>
      <c r="U320" s="28">
        <f t="shared" si="106"/>
        <v>1198248.9872178859</v>
      </c>
      <c r="V320" s="39"/>
      <c r="W320" s="39"/>
      <c r="X320" s="39"/>
      <c r="Y320" s="29"/>
      <c r="Z320" s="30"/>
      <c r="AA320" s="2"/>
      <c r="AD320" s="32"/>
    </row>
    <row r="321" spans="1:30" s="40" customFormat="1" ht="54" customHeight="1">
      <c r="A321" s="34">
        <v>2901308154</v>
      </c>
      <c r="B321" s="34" t="s">
        <v>423</v>
      </c>
      <c r="C321" s="34" t="s">
        <v>62</v>
      </c>
      <c r="D321" s="33" t="s">
        <v>425</v>
      </c>
      <c r="F321" s="36" t="s">
        <v>447</v>
      </c>
      <c r="G321" s="36"/>
      <c r="H321" s="37">
        <f>2413.467/4</f>
        <v>603.36675000000002</v>
      </c>
      <c r="I321" s="37">
        <v>603.36675000000002</v>
      </c>
      <c r="J321" s="37">
        <v>603.36675000000002</v>
      </c>
      <c r="K321" s="37">
        <v>603.36675000000002</v>
      </c>
      <c r="L321" s="26">
        <f t="shared" si="100"/>
        <v>2413.4670000000001</v>
      </c>
      <c r="M321" s="38">
        <v>18757.406445003835</v>
      </c>
      <c r="N321" s="27">
        <v>22014.95274180502</v>
      </c>
      <c r="O321" s="38">
        <v>1970</v>
      </c>
      <c r="P321" s="27">
        <f t="shared" si="101"/>
        <v>2048.8000000000002</v>
      </c>
      <c r="Q321" s="28">
        <f t="shared" si="102"/>
        <v>10128962.867651017</v>
      </c>
      <c r="R321" s="28">
        <f t="shared" si="103"/>
        <v>10128962.867651017</v>
      </c>
      <c r="S321" s="28">
        <f t="shared" si="104"/>
        <v>12046912.689826485</v>
      </c>
      <c r="T321" s="28">
        <f t="shared" si="105"/>
        <v>12046912.689826485</v>
      </c>
      <c r="U321" s="28">
        <f t="shared" si="106"/>
        <v>44351751.114955008</v>
      </c>
      <c r="V321" s="39"/>
      <c r="W321" s="39"/>
      <c r="X321" s="39"/>
      <c r="Y321" s="29"/>
      <c r="Z321" s="30"/>
      <c r="AA321" s="2"/>
      <c r="AD321" s="32"/>
    </row>
    <row r="322" spans="1:30" s="40" customFormat="1" ht="54" customHeight="1">
      <c r="A322" s="34">
        <v>2901308154</v>
      </c>
      <c r="B322" s="34" t="s">
        <v>423</v>
      </c>
      <c r="C322" s="34" t="s">
        <v>62</v>
      </c>
      <c r="D322" s="33" t="s">
        <v>426</v>
      </c>
      <c r="F322" s="36" t="s">
        <v>446</v>
      </c>
      <c r="G322" s="36"/>
      <c r="H322" s="37">
        <f>128384/4</f>
        <v>32096</v>
      </c>
      <c r="I322" s="37">
        <v>32096</v>
      </c>
      <c r="J322" s="37">
        <v>32096</v>
      </c>
      <c r="K322" s="37">
        <v>32096</v>
      </c>
      <c r="L322" s="26">
        <f t="shared" si="100"/>
        <v>128384</v>
      </c>
      <c r="M322" s="38">
        <v>64.86</v>
      </c>
      <c r="N322" s="27">
        <f>N318</f>
        <v>83.946571717036917</v>
      </c>
      <c r="O322" s="38">
        <v>43.301352000000009</v>
      </c>
      <c r="P322" s="27">
        <f t="shared" si="101"/>
        <v>45.033406080000013</v>
      </c>
      <c r="Q322" s="28">
        <f t="shared" si="102"/>
        <v>691946.36620799976</v>
      </c>
      <c r="R322" s="28">
        <f t="shared" si="103"/>
        <v>691946.36620799976</v>
      </c>
      <c r="S322" s="28">
        <f t="shared" si="104"/>
        <v>1248956.9642863364</v>
      </c>
      <c r="T322" s="28">
        <f t="shared" si="105"/>
        <v>1248956.9642863364</v>
      </c>
      <c r="U322" s="28">
        <f t="shared" si="106"/>
        <v>3881806.6609886726</v>
      </c>
      <c r="V322" s="39"/>
      <c r="W322" s="39"/>
      <c r="X322" s="39"/>
      <c r="Y322" s="29"/>
      <c r="Z322" s="30"/>
      <c r="AA322" s="2"/>
      <c r="AD322" s="32"/>
    </row>
    <row r="323" spans="1:30" s="40" customFormat="1" ht="54" customHeight="1">
      <c r="A323" s="34">
        <v>2901308154</v>
      </c>
      <c r="B323" s="34" t="s">
        <v>423</v>
      </c>
      <c r="C323" s="34" t="s">
        <v>62</v>
      </c>
      <c r="D323" s="33" t="s">
        <v>426</v>
      </c>
      <c r="F323" s="36" t="s">
        <v>447</v>
      </c>
      <c r="G323" s="36"/>
      <c r="H323" s="37">
        <f>7818.5839/4</f>
        <v>1954.6459749999999</v>
      </c>
      <c r="I323" s="37">
        <v>1954.6459749999999</v>
      </c>
      <c r="J323" s="37">
        <v>1954.6459749999999</v>
      </c>
      <c r="K323" s="37">
        <v>1954.6459749999999</v>
      </c>
      <c r="L323" s="37">
        <f t="shared" si="100"/>
        <v>7818.5838999999996</v>
      </c>
      <c r="M323" s="38">
        <v>2522.000433299927</v>
      </c>
      <c r="N323" s="38">
        <v>3360.1465250329984</v>
      </c>
      <c r="O323" s="38">
        <v>1970</v>
      </c>
      <c r="P323" s="27">
        <f t="shared" si="101"/>
        <v>2048.8000000000002</v>
      </c>
      <c r="Q323" s="28">
        <f t="shared" si="102"/>
        <v>1078965.4251479581</v>
      </c>
      <c r="R323" s="28">
        <f t="shared" si="103"/>
        <v>1078965.4251479581</v>
      </c>
      <c r="S323" s="28">
        <f t="shared" si="104"/>
        <v>2563218.2069859868</v>
      </c>
      <c r="T323" s="28">
        <f t="shared" si="105"/>
        <v>2563218.2069859868</v>
      </c>
      <c r="U323" s="28">
        <f t="shared" si="106"/>
        <v>7284367.2642678898</v>
      </c>
      <c r="V323" s="39"/>
      <c r="W323" s="39"/>
      <c r="X323" s="39"/>
      <c r="Y323" s="29"/>
      <c r="Z323" s="30"/>
      <c r="AA323" s="2"/>
      <c r="AD323" s="32"/>
    </row>
    <row r="324" spans="1:30" s="40" customFormat="1" ht="36.75" customHeight="1">
      <c r="A324" s="153" t="s">
        <v>448</v>
      </c>
      <c r="B324" s="154"/>
      <c r="C324" s="154"/>
      <c r="D324" s="154"/>
      <c r="E324" s="154"/>
      <c r="F324" s="154"/>
      <c r="G324" s="154"/>
      <c r="H324" s="37"/>
      <c r="I324" s="37"/>
      <c r="J324" s="37"/>
      <c r="K324" s="37"/>
      <c r="L324" s="37"/>
      <c r="M324" s="38"/>
      <c r="N324" s="38"/>
      <c r="O324" s="38"/>
      <c r="P324" s="38"/>
      <c r="Q324" s="53">
        <f>SUM(Q318:Q323)</f>
        <v>20555058.930166155</v>
      </c>
      <c r="R324" s="53">
        <f t="shared" ref="R324:U324" si="107">SUM(R318:R323)</f>
        <v>20555058.930166155</v>
      </c>
      <c r="S324" s="53">
        <f t="shared" si="107"/>
        <v>26391979.677099973</v>
      </c>
      <c r="T324" s="53">
        <f t="shared" si="107"/>
        <v>26391979.677099973</v>
      </c>
      <c r="U324" s="53">
        <f t="shared" si="107"/>
        <v>93894077.214532271</v>
      </c>
      <c r="V324" s="39"/>
      <c r="W324" s="39"/>
      <c r="X324" s="39"/>
      <c r="Y324" s="29"/>
      <c r="Z324" s="30"/>
      <c r="AA324" s="2"/>
      <c r="AD324" s="32"/>
    </row>
    <row r="325" spans="1:30" s="40" customFormat="1" ht="15" customHeight="1">
      <c r="A325" s="34"/>
      <c r="B325" s="34"/>
      <c r="C325" s="34"/>
      <c r="D325" s="33"/>
      <c r="E325" s="33"/>
      <c r="F325" s="36"/>
      <c r="G325" s="36"/>
      <c r="H325" s="37"/>
      <c r="I325" s="37"/>
      <c r="J325" s="37"/>
      <c r="K325" s="37"/>
      <c r="L325" s="37"/>
      <c r="M325" s="38"/>
      <c r="N325" s="38"/>
      <c r="O325" s="38"/>
      <c r="P325" s="38"/>
      <c r="Q325" s="53"/>
      <c r="R325" s="53"/>
      <c r="S325" s="53"/>
      <c r="T325" s="53"/>
      <c r="U325" s="80"/>
      <c r="V325" s="89"/>
      <c r="W325" s="39"/>
      <c r="X325" s="39"/>
      <c r="Y325" s="29"/>
      <c r="Z325" s="30"/>
      <c r="AA325" s="2"/>
      <c r="AD325" s="32"/>
    </row>
    <row r="326" spans="1:30" ht="36" customHeight="1">
      <c r="A326" s="153" t="s">
        <v>449</v>
      </c>
      <c r="B326" s="154"/>
      <c r="C326" s="154"/>
      <c r="D326" s="154"/>
      <c r="E326" s="154"/>
      <c r="F326" s="154"/>
      <c r="G326" s="154"/>
      <c r="H326" s="69"/>
      <c r="I326" s="69"/>
      <c r="J326" s="69"/>
      <c r="K326" s="69"/>
      <c r="L326" s="69"/>
      <c r="M326" s="69"/>
      <c r="N326" s="69"/>
      <c r="O326" s="69"/>
      <c r="P326" s="69"/>
      <c r="Q326" s="166">
        <f>Q327+Q328</f>
        <v>414060382.84458041</v>
      </c>
      <c r="R326" s="166">
        <f t="shared" ref="R326:V326" si="108">R327+R328</f>
        <v>406736459.94345212</v>
      </c>
      <c r="S326" s="166">
        <f t="shared" si="108"/>
        <v>638796268.0396831</v>
      </c>
      <c r="T326" s="166">
        <f t="shared" si="108"/>
        <v>662928373.89007926</v>
      </c>
      <c r="U326" s="166">
        <f t="shared" si="108"/>
        <v>2122521484.7177956</v>
      </c>
      <c r="V326" s="166">
        <f t="shared" si="108"/>
        <v>126445427.938637</v>
      </c>
      <c r="W326" s="166">
        <f>W327+W328</f>
        <v>220976124.6300264</v>
      </c>
      <c r="X326" s="166">
        <f>X327+X328</f>
        <v>2027990788.026406</v>
      </c>
      <c r="Y326" s="29" t="e">
        <f>N326/M326*100</f>
        <v>#DIV/0!</v>
      </c>
      <c r="Z326" s="30" t="e">
        <f>P326/O326*100</f>
        <v>#DIV/0!</v>
      </c>
      <c r="AD326" s="32" t="e">
        <f t="shared" si="92"/>
        <v>#DIV/0!</v>
      </c>
    </row>
    <row r="327" spans="1:30" s="104" customFormat="1" ht="30" customHeight="1">
      <c r="A327" s="167" t="s">
        <v>450</v>
      </c>
      <c r="B327" s="168"/>
      <c r="C327" s="168"/>
      <c r="D327" s="168"/>
      <c r="E327" s="168"/>
      <c r="F327" s="168"/>
      <c r="G327" s="168"/>
      <c r="H327" s="169">
        <f>H315+H318+H320+H322</f>
        <v>18387008.872307882</v>
      </c>
      <c r="I327" s="169">
        <f t="shared" ref="I327:U327" si="109">I315+I318+I320+I322</f>
        <v>18161862.561307866</v>
      </c>
      <c r="J327" s="169">
        <f t="shared" si="109"/>
        <v>17477887.456307862</v>
      </c>
      <c r="K327" s="169">
        <f t="shared" si="109"/>
        <v>18347137.436307866</v>
      </c>
      <c r="L327" s="169">
        <f t="shared" si="109"/>
        <v>72373896.32623148</v>
      </c>
      <c r="M327" s="169"/>
      <c r="N327" s="169"/>
      <c r="O327" s="169"/>
      <c r="P327" s="169"/>
      <c r="Q327" s="170">
        <f>Q315+Q318+Q320+Q322</f>
        <v>394585196.59273428</v>
      </c>
      <c r="R327" s="170">
        <f t="shared" si="109"/>
        <v>387261273.69160599</v>
      </c>
      <c r="S327" s="170">
        <f t="shared" si="109"/>
        <v>614353448.82934237</v>
      </c>
      <c r="T327" s="170">
        <f t="shared" si="109"/>
        <v>638485554.6797384</v>
      </c>
      <c r="U327" s="170">
        <f t="shared" si="109"/>
        <v>2034685473.7934217</v>
      </c>
      <c r="V327" s="170">
        <v>126445427.938637</v>
      </c>
      <c r="W327" s="171">
        <f>T327/3</f>
        <v>212828518.22657946</v>
      </c>
      <c r="X327" s="170">
        <f>U327+V327-W327</f>
        <v>1948302383.5054791</v>
      </c>
      <c r="Y327" s="101"/>
      <c r="Z327" s="102"/>
      <c r="AA327" s="103"/>
      <c r="AD327" s="105"/>
    </row>
    <row r="328" spans="1:30" s="104" customFormat="1" ht="30" customHeight="1">
      <c r="A328" s="167" t="s">
        <v>431</v>
      </c>
      <c r="B328" s="168"/>
      <c r="C328" s="168"/>
      <c r="D328" s="168"/>
      <c r="E328" s="168"/>
      <c r="F328" s="168"/>
      <c r="G328" s="168"/>
      <c r="H328" s="169">
        <f>H319+H321+H323</f>
        <v>3050.480575</v>
      </c>
      <c r="I328" s="169">
        <f t="shared" ref="I328:U328" si="110">I319+I321+I323</f>
        <v>3050.480575</v>
      </c>
      <c r="J328" s="169">
        <f t="shared" si="110"/>
        <v>3050.480575</v>
      </c>
      <c r="K328" s="169">
        <f t="shared" si="110"/>
        <v>3050.480575</v>
      </c>
      <c r="L328" s="169">
        <f t="shared" si="110"/>
        <v>12201.9223</v>
      </c>
      <c r="M328" s="169"/>
      <c r="N328" s="169"/>
      <c r="O328" s="169"/>
      <c r="P328" s="169"/>
      <c r="Q328" s="170">
        <f t="shared" si="110"/>
        <v>19475186.251846157</v>
      </c>
      <c r="R328" s="170">
        <f t="shared" si="110"/>
        <v>19475186.251846157</v>
      </c>
      <c r="S328" s="170">
        <f t="shared" si="110"/>
        <v>24442819.210340798</v>
      </c>
      <c r="T328" s="170">
        <f t="shared" si="110"/>
        <v>24442819.210340798</v>
      </c>
      <c r="U328" s="170">
        <f t="shared" si="110"/>
        <v>87836010.92437391</v>
      </c>
      <c r="V328" s="170">
        <v>0</v>
      </c>
      <c r="W328" s="171">
        <f>T328/3</f>
        <v>8147606.4034469323</v>
      </c>
      <c r="X328" s="170">
        <f>U328+V328-W328</f>
        <v>79688404.520926982</v>
      </c>
      <c r="Y328" s="101"/>
      <c r="Z328" s="102"/>
      <c r="AA328" s="103"/>
      <c r="AD328" s="105"/>
    </row>
    <row r="329" spans="1:30" ht="15" customHeight="1">
      <c r="A329" s="81"/>
      <c r="B329" s="82"/>
      <c r="C329" s="82"/>
      <c r="D329" s="81"/>
      <c r="E329" s="81"/>
      <c r="F329" s="81"/>
      <c r="G329" s="81"/>
      <c r="H329" s="83"/>
      <c r="I329" s="83"/>
      <c r="J329" s="83"/>
      <c r="K329" s="83"/>
      <c r="L329" s="95"/>
      <c r="M329" s="83"/>
      <c r="N329" s="84"/>
      <c r="O329" s="85"/>
      <c r="P329" s="84"/>
      <c r="Q329" s="53"/>
      <c r="R329" s="53"/>
      <c r="S329" s="53"/>
      <c r="T329" s="53"/>
      <c r="U329" s="53"/>
      <c r="V329" s="80"/>
      <c r="W329" s="130"/>
      <c r="X329" s="130"/>
      <c r="Y329" s="29" t="e">
        <f t="shared" ref="Y329:Y354" si="111">N329/M329*100</f>
        <v>#DIV/0!</v>
      </c>
      <c r="Z329" s="30" t="e">
        <f t="shared" ref="Z329:Z354" si="112">P329/O329*100</f>
        <v>#DIV/0!</v>
      </c>
      <c r="AD329" s="32" t="e">
        <f t="shared" si="92"/>
        <v>#DIV/0!</v>
      </c>
    </row>
    <row r="330" spans="1:30" ht="36.75" customHeight="1">
      <c r="A330" s="153" t="s">
        <v>278</v>
      </c>
      <c r="B330" s="154"/>
      <c r="C330" s="154"/>
      <c r="D330" s="154"/>
      <c r="E330" s="154"/>
      <c r="F330" s="154"/>
      <c r="G330" s="154"/>
      <c r="H330" s="172"/>
      <c r="I330" s="172"/>
      <c r="J330" s="172"/>
      <c r="K330" s="172"/>
      <c r="L330" s="173"/>
      <c r="M330" s="172"/>
      <c r="N330" s="174"/>
      <c r="O330" s="174"/>
      <c r="P330" s="174"/>
      <c r="Q330" s="175"/>
      <c r="R330" s="175"/>
      <c r="S330" s="175"/>
      <c r="T330" s="175"/>
      <c r="U330" s="175"/>
      <c r="V330" s="176"/>
      <c r="W330" s="176"/>
      <c r="X330" s="177"/>
      <c r="Y330" s="29" t="e">
        <f t="shared" si="111"/>
        <v>#DIV/0!</v>
      </c>
      <c r="Z330" s="30" t="e">
        <f t="shared" si="112"/>
        <v>#DIV/0!</v>
      </c>
      <c r="AD330" s="32" t="e">
        <f t="shared" si="92"/>
        <v>#DIV/0!</v>
      </c>
    </row>
    <row r="331" spans="1:30" ht="49.5" customHeight="1">
      <c r="A331" s="34">
        <v>2901070303</v>
      </c>
      <c r="B331" s="34" t="s">
        <v>279</v>
      </c>
      <c r="C331" s="34" t="s">
        <v>107</v>
      </c>
      <c r="D331" s="33" t="s">
        <v>108</v>
      </c>
      <c r="E331" s="33"/>
      <c r="F331" s="36" t="s">
        <v>430</v>
      </c>
      <c r="G331" s="36"/>
      <c r="H331" s="37">
        <v>186.03</v>
      </c>
      <c r="I331" s="37">
        <v>179.82900000000001</v>
      </c>
      <c r="J331" s="37">
        <v>167.42699999999999</v>
      </c>
      <c r="K331" s="37">
        <v>165.35999999999999</v>
      </c>
      <c r="L331" s="37">
        <f t="shared" si="86"/>
        <v>698.64600000000007</v>
      </c>
      <c r="M331" s="71">
        <v>182.32</v>
      </c>
      <c r="N331" s="38">
        <v>192.1277</v>
      </c>
      <c r="O331" s="71">
        <v>54.8221208</v>
      </c>
      <c r="P331" s="38">
        <v>57.015005632000005</v>
      </c>
      <c r="Q331" s="53">
        <f t="shared" ref="Q331:Q354" si="113">(M331-O331)*H331</f>
        <v>23718.430467576</v>
      </c>
      <c r="R331" s="53">
        <f t="shared" ref="R331:R354" si="114">(M331-O331)*I331</f>
        <v>22927.8161186568</v>
      </c>
      <c r="S331" s="53">
        <f t="shared" ref="S331:S354" si="115">(N331-P331)*J331</f>
        <v>22621.513079951135</v>
      </c>
      <c r="T331" s="53">
        <f t="shared" ref="T331:T354" si="116">(N331-P331)*K331</f>
        <v>22342.235140692479</v>
      </c>
      <c r="U331" s="53">
        <f t="shared" si="88"/>
        <v>91609.994806876406</v>
      </c>
      <c r="V331" s="80"/>
      <c r="W331" s="28"/>
      <c r="X331" s="131"/>
      <c r="Y331" s="29">
        <f t="shared" si="111"/>
        <v>105.3793878894252</v>
      </c>
      <c r="Z331" s="30">
        <f t="shared" si="112"/>
        <v>104</v>
      </c>
      <c r="AD331" s="32">
        <f t="shared" si="92"/>
        <v>0</v>
      </c>
    </row>
    <row r="332" spans="1:30" ht="49.5" customHeight="1">
      <c r="A332" s="34">
        <v>7729314745</v>
      </c>
      <c r="B332" s="34" t="s">
        <v>280</v>
      </c>
      <c r="C332" s="34" t="s">
        <v>62</v>
      </c>
      <c r="D332" s="33"/>
      <c r="E332" s="33"/>
      <c r="F332" s="36" t="s">
        <v>428</v>
      </c>
      <c r="G332" s="36"/>
      <c r="H332" s="37">
        <f>892.458-23.77</f>
        <v>868.68799999999999</v>
      </c>
      <c r="I332" s="37">
        <v>760.20400000000006</v>
      </c>
      <c r="J332" s="37">
        <v>836.22199999999998</v>
      </c>
      <c r="K332" s="37">
        <v>835.82100000000003</v>
      </c>
      <c r="L332" s="37">
        <f t="shared" si="86"/>
        <v>3300.9349999999999</v>
      </c>
      <c r="M332" s="71">
        <v>90.79</v>
      </c>
      <c r="N332" s="71">
        <v>106.69</v>
      </c>
      <c r="O332" s="71">
        <v>36.08</v>
      </c>
      <c r="P332" s="38">
        <v>37.53</v>
      </c>
      <c r="Q332" s="53">
        <f t="shared" si="113"/>
        <v>47525.920480000008</v>
      </c>
      <c r="R332" s="53">
        <f t="shared" si="114"/>
        <v>41590.76084000001</v>
      </c>
      <c r="S332" s="53">
        <f t="shared" si="115"/>
        <v>57833.113519999999</v>
      </c>
      <c r="T332" s="53">
        <f t="shared" si="116"/>
        <v>57805.380359999996</v>
      </c>
      <c r="U332" s="80">
        <f t="shared" si="88"/>
        <v>204755.1752</v>
      </c>
      <c r="V332" s="53"/>
      <c r="W332" s="53"/>
      <c r="X332" s="132"/>
      <c r="Y332" s="29">
        <f t="shared" si="111"/>
        <v>117.51294195395967</v>
      </c>
      <c r="Z332" s="30">
        <f t="shared" si="112"/>
        <v>104.0188470066519</v>
      </c>
      <c r="AD332" s="32">
        <f t="shared" si="92"/>
        <v>-1.8847006651895981E-2</v>
      </c>
    </row>
    <row r="333" spans="1:30" ht="49.5" customHeight="1">
      <c r="A333" s="34">
        <v>7729314745</v>
      </c>
      <c r="B333" s="34" t="s">
        <v>280</v>
      </c>
      <c r="C333" s="34" t="s">
        <v>86</v>
      </c>
      <c r="D333" s="33" t="s">
        <v>87</v>
      </c>
      <c r="E333" s="33"/>
      <c r="F333" s="36" t="s">
        <v>428</v>
      </c>
      <c r="G333" s="36"/>
      <c r="H333" s="37">
        <v>620.18600000000004</v>
      </c>
      <c r="I333" s="37">
        <f>641.287-9.391</f>
        <v>631.89600000000007</v>
      </c>
      <c r="J333" s="37">
        <v>665.93499999999995</v>
      </c>
      <c r="K333" s="37">
        <v>676.29899999999998</v>
      </c>
      <c r="L333" s="26">
        <f t="shared" si="86"/>
        <v>2594.3159999999998</v>
      </c>
      <c r="M333" s="71">
        <v>176.54</v>
      </c>
      <c r="N333" s="27">
        <v>208.32</v>
      </c>
      <c r="O333" s="71">
        <v>42.2</v>
      </c>
      <c r="P333" s="27">
        <v>43.89</v>
      </c>
      <c r="Q333" s="28">
        <f t="shared" si="113"/>
        <v>83315.787239999991</v>
      </c>
      <c r="R333" s="28">
        <f t="shared" si="114"/>
        <v>84888.908639999994</v>
      </c>
      <c r="S333" s="28">
        <f t="shared" si="115"/>
        <v>109499.69205</v>
      </c>
      <c r="T333" s="28">
        <f t="shared" si="116"/>
        <v>111203.84457</v>
      </c>
      <c r="U333" s="28">
        <f t="shared" si="88"/>
        <v>388908.23249999998</v>
      </c>
      <c r="V333" s="53"/>
      <c r="W333" s="53"/>
      <c r="X333" s="132"/>
      <c r="Y333" s="29">
        <f t="shared" si="111"/>
        <v>118.00158604282316</v>
      </c>
      <c r="Z333" s="30">
        <f t="shared" si="112"/>
        <v>104.00473933649288</v>
      </c>
      <c r="AD333" s="32">
        <f t="shared" si="92"/>
        <v>-4.739336492875168E-3</v>
      </c>
    </row>
    <row r="334" spans="1:30" ht="49.5" customHeight="1">
      <c r="A334" s="34">
        <v>7729314745</v>
      </c>
      <c r="B334" s="34" t="s">
        <v>280</v>
      </c>
      <c r="C334" s="34" t="s">
        <v>97</v>
      </c>
      <c r="D334" s="33" t="s">
        <v>281</v>
      </c>
      <c r="E334" s="33"/>
      <c r="F334" s="36" t="s">
        <v>428</v>
      </c>
      <c r="G334" s="36"/>
      <c r="H334" s="37">
        <v>2123.7429999999999</v>
      </c>
      <c r="I334" s="37">
        <f>2084.584+2.76</f>
        <v>2087.3440000000001</v>
      </c>
      <c r="J334" s="37">
        <v>2091.5520000000001</v>
      </c>
      <c r="K334" s="37">
        <v>3131.3629999999998</v>
      </c>
      <c r="L334" s="26">
        <f t="shared" si="86"/>
        <v>9434.0019999999986</v>
      </c>
      <c r="M334" s="71">
        <v>47.73</v>
      </c>
      <c r="N334" s="27">
        <v>56.32</v>
      </c>
      <c r="O334" s="71">
        <v>27.4</v>
      </c>
      <c r="P334" s="27">
        <v>28.5</v>
      </c>
      <c r="Q334" s="28">
        <f t="shared" si="113"/>
        <v>43175.695189999999</v>
      </c>
      <c r="R334" s="28">
        <f t="shared" si="114"/>
        <v>42435.703519999995</v>
      </c>
      <c r="S334" s="28">
        <f t="shared" si="115"/>
        <v>58186.976640000001</v>
      </c>
      <c r="T334" s="28">
        <f t="shared" si="116"/>
        <v>87114.518660000002</v>
      </c>
      <c r="U334" s="28">
        <f t="shared" si="88"/>
        <v>230912.89400999999</v>
      </c>
      <c r="V334" s="53"/>
      <c r="W334" s="53"/>
      <c r="X334" s="132"/>
      <c r="Y334" s="29">
        <f t="shared" si="111"/>
        <v>117.99706683427615</v>
      </c>
      <c r="Z334" s="30">
        <f t="shared" si="112"/>
        <v>104.01459854014598</v>
      </c>
      <c r="AD334" s="32">
        <f t="shared" si="92"/>
        <v>-1.4598540145982497E-2</v>
      </c>
    </row>
    <row r="335" spans="1:30" ht="49.5" customHeight="1">
      <c r="A335" s="34">
        <v>7729314745</v>
      </c>
      <c r="B335" s="34" t="s">
        <v>280</v>
      </c>
      <c r="C335" s="34" t="s">
        <v>123</v>
      </c>
      <c r="D335" s="33" t="s">
        <v>282</v>
      </c>
      <c r="E335" s="33"/>
      <c r="F335" s="36" t="s">
        <v>428</v>
      </c>
      <c r="G335" s="36"/>
      <c r="H335" s="37">
        <v>60</v>
      </c>
      <c r="I335" s="37">
        <v>35.733000000000004</v>
      </c>
      <c r="J335" s="37">
        <v>36</v>
      </c>
      <c r="K335" s="37">
        <v>36</v>
      </c>
      <c r="L335" s="26">
        <f t="shared" si="86"/>
        <v>167.733</v>
      </c>
      <c r="M335" s="71">
        <v>366.71</v>
      </c>
      <c r="N335" s="27">
        <v>432.72</v>
      </c>
      <c r="O335" s="71">
        <v>63.75</v>
      </c>
      <c r="P335" s="27">
        <v>66.3</v>
      </c>
      <c r="Q335" s="28">
        <f t="shared" si="113"/>
        <v>18177.599999999999</v>
      </c>
      <c r="R335" s="28">
        <f t="shared" si="114"/>
        <v>10825.669680000001</v>
      </c>
      <c r="S335" s="28">
        <f t="shared" si="115"/>
        <v>13191.12</v>
      </c>
      <c r="T335" s="28">
        <f t="shared" si="116"/>
        <v>13191.12</v>
      </c>
      <c r="U335" s="28">
        <f t="shared" si="88"/>
        <v>55385.509680000003</v>
      </c>
      <c r="V335" s="53"/>
      <c r="W335" s="53"/>
      <c r="X335" s="132"/>
      <c r="Y335" s="29">
        <f t="shared" si="111"/>
        <v>118.00059992909931</v>
      </c>
      <c r="Z335" s="30">
        <f t="shared" si="112"/>
        <v>104</v>
      </c>
      <c r="AD335" s="32">
        <f t="shared" si="92"/>
        <v>0</v>
      </c>
    </row>
    <row r="336" spans="1:30" ht="49.5" customHeight="1">
      <c r="A336" s="34">
        <v>7729314745</v>
      </c>
      <c r="B336" s="34" t="s">
        <v>280</v>
      </c>
      <c r="C336" s="34" t="s">
        <v>283</v>
      </c>
      <c r="D336" s="33" t="s">
        <v>284</v>
      </c>
      <c r="E336" s="33"/>
      <c r="F336" s="36" t="s">
        <v>428</v>
      </c>
      <c r="G336" s="36"/>
      <c r="H336" s="37">
        <v>24455</v>
      </c>
      <c r="I336" s="37">
        <v>24727</v>
      </c>
      <c r="J336" s="37">
        <v>24998</v>
      </c>
      <c r="K336" s="37">
        <v>24998</v>
      </c>
      <c r="L336" s="26">
        <f t="shared" si="86"/>
        <v>99178</v>
      </c>
      <c r="M336" s="71">
        <v>47.89</v>
      </c>
      <c r="N336" s="27">
        <v>56.15</v>
      </c>
      <c r="O336" s="71">
        <v>27.75</v>
      </c>
      <c r="P336" s="27">
        <v>28.86</v>
      </c>
      <c r="Q336" s="28">
        <f t="shared" si="113"/>
        <v>492523.7</v>
      </c>
      <c r="R336" s="28">
        <f t="shared" si="114"/>
        <v>498001.78</v>
      </c>
      <c r="S336" s="28">
        <f t="shared" si="115"/>
        <v>682195.41999999993</v>
      </c>
      <c r="T336" s="28">
        <f t="shared" si="116"/>
        <v>682195.41999999993</v>
      </c>
      <c r="U336" s="28">
        <f t="shared" si="88"/>
        <v>2354916.3199999998</v>
      </c>
      <c r="V336" s="53"/>
      <c r="W336" s="53"/>
      <c r="X336" s="132"/>
      <c r="Y336" s="29">
        <f t="shared" si="111"/>
        <v>117.24785967842972</v>
      </c>
      <c r="Z336" s="30">
        <f t="shared" si="112"/>
        <v>104</v>
      </c>
      <c r="AD336" s="32">
        <f t="shared" si="92"/>
        <v>0</v>
      </c>
    </row>
    <row r="337" spans="1:30" ht="49.5" customHeight="1">
      <c r="A337" s="34">
        <v>7729314745</v>
      </c>
      <c r="B337" s="34" t="s">
        <v>280</v>
      </c>
      <c r="C337" s="34" t="s">
        <v>170</v>
      </c>
      <c r="D337" s="33" t="s">
        <v>285</v>
      </c>
      <c r="E337" s="33"/>
      <c r="F337" s="36" t="s">
        <v>428</v>
      </c>
      <c r="G337" s="36"/>
      <c r="H337" s="37">
        <v>412.57100000000003</v>
      </c>
      <c r="I337" s="37">
        <v>89.257999999999996</v>
      </c>
      <c r="J337" s="37">
        <v>102.44499999999999</v>
      </c>
      <c r="K337" s="37">
        <v>112.364</v>
      </c>
      <c r="L337" s="26">
        <f t="shared" si="86"/>
        <v>716.63800000000003</v>
      </c>
      <c r="M337" s="71">
        <v>47.89</v>
      </c>
      <c r="N337" s="27">
        <v>56.15</v>
      </c>
      <c r="O337" s="71">
        <v>34.4</v>
      </c>
      <c r="P337" s="27">
        <v>35.78</v>
      </c>
      <c r="Q337" s="28">
        <f t="shared" si="113"/>
        <v>5565.5827900000013</v>
      </c>
      <c r="R337" s="28">
        <f t="shared" si="114"/>
        <v>1204.0904200000002</v>
      </c>
      <c r="S337" s="28">
        <f t="shared" si="115"/>
        <v>2086.8046499999996</v>
      </c>
      <c r="T337" s="28">
        <f t="shared" si="116"/>
        <v>2288.8546799999999</v>
      </c>
      <c r="U337" s="28">
        <f t="shared" si="88"/>
        <v>11145.332540000001</v>
      </c>
      <c r="V337" s="53"/>
      <c r="W337" s="53"/>
      <c r="X337" s="132"/>
      <c r="Y337" s="29">
        <f t="shared" si="111"/>
        <v>117.24785967842972</v>
      </c>
      <c r="Z337" s="30">
        <f t="shared" si="112"/>
        <v>104.01162790697676</v>
      </c>
      <c r="AD337" s="32">
        <f t="shared" si="92"/>
        <v>-1.1627906976755753E-2</v>
      </c>
    </row>
    <row r="338" spans="1:30" ht="49.5" customHeight="1">
      <c r="A338" s="34">
        <v>7729314745</v>
      </c>
      <c r="B338" s="34" t="s">
        <v>280</v>
      </c>
      <c r="C338" s="34" t="s">
        <v>199</v>
      </c>
      <c r="D338" s="33" t="s">
        <v>286</v>
      </c>
      <c r="E338" s="33"/>
      <c r="F338" s="36" t="s">
        <v>428</v>
      </c>
      <c r="G338" s="36"/>
      <c r="H338" s="37">
        <v>2161.8879999999999</v>
      </c>
      <c r="I338" s="37">
        <f>2285.57-190.383</f>
        <v>2095.1870000000004</v>
      </c>
      <c r="J338" s="37">
        <v>2433.174</v>
      </c>
      <c r="K338" s="37">
        <v>2117.125</v>
      </c>
      <c r="L338" s="26">
        <f t="shared" si="86"/>
        <v>8807.3739999999998</v>
      </c>
      <c r="M338" s="71">
        <v>208.18</v>
      </c>
      <c r="N338" s="27">
        <v>217.78</v>
      </c>
      <c r="O338" s="71">
        <v>31.78</v>
      </c>
      <c r="P338" s="27">
        <v>33.049999999999997</v>
      </c>
      <c r="Q338" s="28">
        <f t="shared" si="113"/>
        <v>381357.04320000001</v>
      </c>
      <c r="R338" s="28">
        <f t="shared" si="114"/>
        <v>369590.98680000007</v>
      </c>
      <c r="S338" s="28">
        <f t="shared" si="115"/>
        <v>449480.23302000004</v>
      </c>
      <c r="T338" s="28">
        <f t="shared" si="116"/>
        <v>391096.50125000003</v>
      </c>
      <c r="U338" s="28">
        <f t="shared" si="88"/>
        <v>1591524.7642699999</v>
      </c>
      <c r="V338" s="53"/>
      <c r="W338" s="53"/>
      <c r="X338" s="132"/>
      <c r="Y338" s="29">
        <f t="shared" si="111"/>
        <v>104.61139398597368</v>
      </c>
      <c r="Z338" s="30">
        <f t="shared" si="112"/>
        <v>103.99622404027689</v>
      </c>
      <c r="AD338" s="32">
        <f t="shared" si="92"/>
        <v>3.7759597231143971E-3</v>
      </c>
    </row>
    <row r="339" spans="1:30" ht="49.5" customHeight="1">
      <c r="A339" s="34">
        <v>7729314745</v>
      </c>
      <c r="B339" s="34" t="s">
        <v>280</v>
      </c>
      <c r="C339" s="34" t="s">
        <v>287</v>
      </c>
      <c r="D339" s="33"/>
      <c r="E339" s="33"/>
      <c r="F339" s="36" t="s">
        <v>428</v>
      </c>
      <c r="G339" s="36" t="s">
        <v>379</v>
      </c>
      <c r="H339" s="37">
        <f>91143/4</f>
        <v>22785.75</v>
      </c>
      <c r="I339" s="37">
        <f>H339</f>
        <v>22785.75</v>
      </c>
      <c r="J339" s="37">
        <f>I339</f>
        <v>22785.75</v>
      </c>
      <c r="K339" s="37">
        <f>J339</f>
        <v>22785.75</v>
      </c>
      <c r="L339" s="26">
        <f t="shared" si="86"/>
        <v>91143</v>
      </c>
      <c r="M339" s="71">
        <v>105.96</v>
      </c>
      <c r="N339" s="27">
        <v>184.29</v>
      </c>
      <c r="O339" s="71">
        <v>105.96</v>
      </c>
      <c r="P339" s="27">
        <v>110.2</v>
      </c>
      <c r="Q339" s="28">
        <f t="shared" si="113"/>
        <v>0</v>
      </c>
      <c r="R339" s="28">
        <f t="shared" si="114"/>
        <v>0</v>
      </c>
      <c r="S339" s="28">
        <f t="shared" si="115"/>
        <v>1688196.2174999998</v>
      </c>
      <c r="T339" s="28">
        <f t="shared" si="116"/>
        <v>1688196.2174999998</v>
      </c>
      <c r="U339" s="28">
        <f t="shared" si="88"/>
        <v>3376392.4349999996</v>
      </c>
      <c r="V339" s="53"/>
      <c r="W339" s="53"/>
      <c r="X339" s="132"/>
      <c r="Y339" s="29">
        <f t="shared" si="111"/>
        <v>173.92412231030579</v>
      </c>
      <c r="Z339" s="30">
        <f t="shared" si="112"/>
        <v>104.00151000377502</v>
      </c>
      <c r="AD339" s="32">
        <f t="shared" si="92"/>
        <v>-1.5100037750244155E-3</v>
      </c>
    </row>
    <row r="340" spans="1:30" ht="64.5" customHeight="1">
      <c r="A340" s="34">
        <v>2911001370</v>
      </c>
      <c r="B340" s="34" t="s">
        <v>289</v>
      </c>
      <c r="C340" s="34" t="s">
        <v>270</v>
      </c>
      <c r="D340" s="33"/>
      <c r="E340" s="22"/>
      <c r="F340" s="36" t="s">
        <v>428</v>
      </c>
      <c r="G340" s="36"/>
      <c r="H340" s="37">
        <v>915</v>
      </c>
      <c r="I340" s="37">
        <v>915</v>
      </c>
      <c r="J340" s="37">
        <v>915</v>
      </c>
      <c r="K340" s="37">
        <v>915</v>
      </c>
      <c r="L340" s="26">
        <f t="shared" ref="L340:L354" si="117">H340+I340+J340+K340</f>
        <v>3660</v>
      </c>
      <c r="M340" s="71">
        <v>22.31</v>
      </c>
      <c r="N340" s="71">
        <v>25.003629999999998</v>
      </c>
      <c r="O340" s="71">
        <v>22.31</v>
      </c>
      <c r="P340" s="27">
        <v>23.202400000000001</v>
      </c>
      <c r="Q340" s="28">
        <f t="shared" si="113"/>
        <v>0</v>
      </c>
      <c r="R340" s="28">
        <f t="shared" si="114"/>
        <v>0</v>
      </c>
      <c r="S340" s="28">
        <f t="shared" si="115"/>
        <v>1648.125449999997</v>
      </c>
      <c r="T340" s="28">
        <f t="shared" si="116"/>
        <v>1648.125449999997</v>
      </c>
      <c r="U340" s="28">
        <f t="shared" ref="U340:U354" si="118">Q340+R340+S340+T340</f>
        <v>3296.2508999999941</v>
      </c>
      <c r="V340" s="53"/>
      <c r="W340" s="53"/>
      <c r="X340" s="132"/>
      <c r="Y340" s="29">
        <f t="shared" si="111"/>
        <v>112.07364410578215</v>
      </c>
      <c r="Z340" s="30">
        <f t="shared" si="112"/>
        <v>104</v>
      </c>
      <c r="AD340" s="32">
        <f>104-Z340</f>
        <v>0</v>
      </c>
    </row>
    <row r="341" spans="1:30" ht="51.75" customHeight="1">
      <c r="A341" s="34">
        <v>7729314745</v>
      </c>
      <c r="B341" s="34" t="s">
        <v>280</v>
      </c>
      <c r="C341" s="34" t="s">
        <v>62</v>
      </c>
      <c r="D341" s="33"/>
      <c r="E341" s="33"/>
      <c r="F341" s="36" t="s">
        <v>430</v>
      </c>
      <c r="G341" s="36"/>
      <c r="H341" s="37">
        <f>1045.825-83.13</f>
        <v>962.69500000000005</v>
      </c>
      <c r="I341" s="37">
        <v>860.71599999999989</v>
      </c>
      <c r="J341" s="37">
        <v>802.74599999999998</v>
      </c>
      <c r="K341" s="37">
        <v>1139.7149999999999</v>
      </c>
      <c r="L341" s="26">
        <f t="shared" si="117"/>
        <v>3765.8720000000003</v>
      </c>
      <c r="M341" s="71">
        <v>99.08</v>
      </c>
      <c r="N341" s="27">
        <v>99.08</v>
      </c>
      <c r="O341" s="71">
        <v>32.74</v>
      </c>
      <c r="P341" s="27">
        <v>34.049999999999997</v>
      </c>
      <c r="Q341" s="28">
        <f t="shared" si="113"/>
        <v>63865.186300000008</v>
      </c>
      <c r="R341" s="28">
        <f t="shared" si="114"/>
        <v>57099.899439999994</v>
      </c>
      <c r="S341" s="28">
        <f t="shared" si="115"/>
        <v>52202.572379999998</v>
      </c>
      <c r="T341" s="28">
        <f t="shared" si="116"/>
        <v>74115.66644999999</v>
      </c>
      <c r="U341" s="28">
        <f t="shared" si="118"/>
        <v>247283.32457</v>
      </c>
      <c r="V341" s="53"/>
      <c r="W341" s="53"/>
      <c r="X341" s="132"/>
      <c r="Y341" s="29">
        <f t="shared" si="111"/>
        <v>100</v>
      </c>
      <c r="Z341" s="30">
        <f t="shared" si="112"/>
        <v>104.00122174709834</v>
      </c>
      <c r="AD341" s="32">
        <f t="shared" si="92"/>
        <v>-1.2217470983415524E-3</v>
      </c>
    </row>
    <row r="342" spans="1:30" ht="51.75" customHeight="1">
      <c r="A342" s="34">
        <v>7729314745</v>
      </c>
      <c r="B342" s="34" t="s">
        <v>280</v>
      </c>
      <c r="C342" s="34" t="s">
        <v>86</v>
      </c>
      <c r="D342" s="33" t="s">
        <v>87</v>
      </c>
      <c r="E342" s="33"/>
      <c r="F342" s="36" t="s">
        <v>430</v>
      </c>
      <c r="G342" s="36"/>
      <c r="H342" s="37">
        <f>1271.152-6.947</f>
        <v>1264.2050000000002</v>
      </c>
      <c r="I342" s="37">
        <v>1250.8629999999998</v>
      </c>
      <c r="J342" s="37">
        <v>1309.518</v>
      </c>
      <c r="K342" s="37">
        <v>1338.3489999999999</v>
      </c>
      <c r="L342" s="26">
        <f t="shared" si="117"/>
        <v>5162.9350000000004</v>
      </c>
      <c r="M342" s="71">
        <v>181.99</v>
      </c>
      <c r="N342" s="27">
        <v>182.52</v>
      </c>
      <c r="O342" s="71">
        <v>68.67</v>
      </c>
      <c r="P342" s="27">
        <v>71.41</v>
      </c>
      <c r="Q342" s="28">
        <f t="shared" si="113"/>
        <v>143259.71060000002</v>
      </c>
      <c r="R342" s="28">
        <f t="shared" si="114"/>
        <v>141747.79515999998</v>
      </c>
      <c r="S342" s="28">
        <f t="shared" si="115"/>
        <v>145500.54498000004</v>
      </c>
      <c r="T342" s="28">
        <f t="shared" si="116"/>
        <v>148703.95739000003</v>
      </c>
      <c r="U342" s="28">
        <f t="shared" si="118"/>
        <v>579212.00812999997</v>
      </c>
      <c r="V342" s="53"/>
      <c r="W342" s="53"/>
      <c r="X342" s="132"/>
      <c r="Y342" s="29">
        <f t="shared" si="111"/>
        <v>100.29122479257101</v>
      </c>
      <c r="Z342" s="30">
        <f t="shared" si="112"/>
        <v>103.99009756807922</v>
      </c>
      <c r="AD342" s="32">
        <f t="shared" si="92"/>
        <v>9.9024319207785538E-3</v>
      </c>
    </row>
    <row r="343" spans="1:30" ht="51.75" customHeight="1">
      <c r="A343" s="34">
        <v>7729314745</v>
      </c>
      <c r="B343" s="34" t="s">
        <v>280</v>
      </c>
      <c r="C343" s="34" t="s">
        <v>97</v>
      </c>
      <c r="D343" s="33" t="s">
        <v>281</v>
      </c>
      <c r="E343" s="33"/>
      <c r="F343" s="36" t="s">
        <v>430</v>
      </c>
      <c r="G343" s="36"/>
      <c r="H343" s="37">
        <f>3703.687+5.06</f>
        <v>3708.7469999999998</v>
      </c>
      <c r="I343" s="37">
        <v>3702.4790000000003</v>
      </c>
      <c r="J343" s="37">
        <v>3793.9589999999998</v>
      </c>
      <c r="K343" s="37">
        <v>6098.7929999999997</v>
      </c>
      <c r="L343" s="26">
        <f t="shared" si="117"/>
        <v>17303.978000000003</v>
      </c>
      <c r="M343" s="71">
        <v>57.95</v>
      </c>
      <c r="N343" s="27">
        <v>68.39</v>
      </c>
      <c r="O343" s="71">
        <v>29.7</v>
      </c>
      <c r="P343" s="27">
        <v>30.89</v>
      </c>
      <c r="Q343" s="28">
        <f t="shared" si="113"/>
        <v>104772.10275000001</v>
      </c>
      <c r="R343" s="28">
        <f t="shared" si="114"/>
        <v>104595.03175000002</v>
      </c>
      <c r="S343" s="28">
        <f t="shared" si="115"/>
        <v>142273.46249999999</v>
      </c>
      <c r="T343" s="28">
        <f t="shared" si="116"/>
        <v>228704.73749999999</v>
      </c>
      <c r="U343" s="28">
        <f t="shared" si="118"/>
        <v>580345.33450000011</v>
      </c>
      <c r="V343" s="53"/>
      <c r="W343" s="53"/>
      <c r="X343" s="132"/>
      <c r="Y343" s="29">
        <f t="shared" si="111"/>
        <v>118.01553062985333</v>
      </c>
      <c r="Z343" s="30">
        <f t="shared" si="112"/>
        <v>104.00673400673401</v>
      </c>
      <c r="AD343" s="32">
        <f t="shared" si="92"/>
        <v>-6.7340067340069254E-3</v>
      </c>
    </row>
    <row r="344" spans="1:30" ht="51.75" customHeight="1">
      <c r="A344" s="34">
        <v>7729314745</v>
      </c>
      <c r="B344" s="34" t="s">
        <v>280</v>
      </c>
      <c r="C344" s="34" t="s">
        <v>283</v>
      </c>
      <c r="D344" s="33" t="s">
        <v>284</v>
      </c>
      <c r="E344" s="33"/>
      <c r="F344" s="36" t="s">
        <v>430</v>
      </c>
      <c r="G344" s="36"/>
      <c r="H344" s="37">
        <v>32504</v>
      </c>
      <c r="I344" s="37">
        <v>32864</v>
      </c>
      <c r="J344" s="37">
        <v>33225</v>
      </c>
      <c r="K344" s="37">
        <v>33225</v>
      </c>
      <c r="L344" s="26">
        <f t="shared" si="117"/>
        <v>131818</v>
      </c>
      <c r="M344" s="71">
        <v>43.9</v>
      </c>
      <c r="N344" s="27">
        <v>43.9</v>
      </c>
      <c r="O344" s="71">
        <v>26.65</v>
      </c>
      <c r="P344" s="27">
        <v>27.72</v>
      </c>
      <c r="Q344" s="28">
        <f t="shared" si="113"/>
        <v>560694</v>
      </c>
      <c r="R344" s="28">
        <f t="shared" si="114"/>
        <v>566904</v>
      </c>
      <c r="S344" s="28">
        <f t="shared" si="115"/>
        <v>537580.5</v>
      </c>
      <c r="T344" s="28">
        <f t="shared" si="116"/>
        <v>537580.5</v>
      </c>
      <c r="U344" s="28">
        <f t="shared" si="118"/>
        <v>2202759</v>
      </c>
      <c r="V344" s="53"/>
      <c r="W344" s="53"/>
      <c r="X344" s="132"/>
      <c r="Y344" s="8">
        <f t="shared" si="111"/>
        <v>100</v>
      </c>
      <c r="Z344" s="8">
        <f t="shared" si="112"/>
        <v>104.01500938086303</v>
      </c>
      <c r="AA344" s="8"/>
      <c r="AD344" s="8">
        <f t="shared" si="92"/>
        <v>-1.5009380863034494E-2</v>
      </c>
    </row>
    <row r="345" spans="1:30" ht="51.75" customHeight="1">
      <c r="A345" s="34">
        <v>7729314745</v>
      </c>
      <c r="B345" s="34" t="s">
        <v>280</v>
      </c>
      <c r="C345" s="34" t="s">
        <v>170</v>
      </c>
      <c r="D345" s="33" t="s">
        <v>285</v>
      </c>
      <c r="E345" s="33"/>
      <c r="F345" s="36" t="s">
        <v>430</v>
      </c>
      <c r="G345" s="36"/>
      <c r="H345" s="37">
        <v>407.19399999999996</v>
      </c>
      <c r="I345" s="37">
        <v>422.78399999999999</v>
      </c>
      <c r="J345" s="37">
        <v>418.31599999999997</v>
      </c>
      <c r="K345" s="37">
        <v>415.54999999999995</v>
      </c>
      <c r="L345" s="26">
        <f t="shared" si="117"/>
        <v>1663.8439999999998</v>
      </c>
      <c r="M345" s="71">
        <v>43.9</v>
      </c>
      <c r="N345" s="27">
        <v>43.9</v>
      </c>
      <c r="O345" s="71">
        <v>32.74</v>
      </c>
      <c r="P345" s="27">
        <v>34.049999999999997</v>
      </c>
      <c r="Q345" s="28">
        <f t="shared" si="113"/>
        <v>4544.2850399999979</v>
      </c>
      <c r="R345" s="28">
        <f t="shared" si="114"/>
        <v>4718.2694399999982</v>
      </c>
      <c r="S345" s="28">
        <f t="shared" si="115"/>
        <v>4120.4126000000006</v>
      </c>
      <c r="T345" s="28">
        <f t="shared" si="116"/>
        <v>4093.1675</v>
      </c>
      <c r="U345" s="28">
        <f t="shared" si="118"/>
        <v>17476.134579999994</v>
      </c>
      <c r="V345" s="53"/>
      <c r="W345" s="53"/>
      <c r="X345" s="132"/>
      <c r="Y345" s="29">
        <f t="shared" si="111"/>
        <v>100</v>
      </c>
      <c r="Z345" s="30">
        <f t="shared" si="112"/>
        <v>104.00122174709834</v>
      </c>
      <c r="AD345" s="32">
        <f t="shared" si="92"/>
        <v>-1.2217470983415524E-3</v>
      </c>
    </row>
    <row r="346" spans="1:30" ht="51.75" customHeight="1">
      <c r="A346" s="34">
        <v>7729314745</v>
      </c>
      <c r="B346" s="34" t="s">
        <v>280</v>
      </c>
      <c r="C346" s="34" t="s">
        <v>199</v>
      </c>
      <c r="D346" s="33" t="s">
        <v>286</v>
      </c>
      <c r="E346" s="33"/>
      <c r="F346" s="36" t="s">
        <v>430</v>
      </c>
      <c r="G346" s="36"/>
      <c r="H346" s="37">
        <f>3644.841-299.944</f>
        <v>3344.8969999999999</v>
      </c>
      <c r="I346" s="37">
        <v>3439.52</v>
      </c>
      <c r="J346" s="37">
        <v>3200.1950000000002</v>
      </c>
      <c r="K346" s="37">
        <v>3455.2420000000002</v>
      </c>
      <c r="L346" s="26">
        <f t="shared" si="117"/>
        <v>13439.853999999999</v>
      </c>
      <c r="M346" s="71">
        <v>90.97</v>
      </c>
      <c r="N346" s="27">
        <v>104.72</v>
      </c>
      <c r="O346" s="71">
        <v>21.2</v>
      </c>
      <c r="P346" s="27">
        <v>22.05</v>
      </c>
      <c r="Q346" s="28">
        <f t="shared" si="113"/>
        <v>233373.46368999998</v>
      </c>
      <c r="R346" s="28">
        <f t="shared" si="114"/>
        <v>239975.31039999999</v>
      </c>
      <c r="S346" s="28">
        <f t="shared" si="115"/>
        <v>264560.12065</v>
      </c>
      <c r="T346" s="28">
        <f t="shared" si="116"/>
        <v>285644.85614000005</v>
      </c>
      <c r="U346" s="28">
        <f t="shared" si="118"/>
        <v>1023553.7508799999</v>
      </c>
      <c r="V346" s="53"/>
      <c r="W346" s="53"/>
      <c r="X346" s="132"/>
      <c r="Y346" s="29">
        <f t="shared" si="111"/>
        <v>115.11487303506651</v>
      </c>
      <c r="Z346" s="30">
        <f t="shared" si="112"/>
        <v>104.00943396226417</v>
      </c>
      <c r="AD346" s="32">
        <f t="shared" si="92"/>
        <v>-9.4339622641683718E-3</v>
      </c>
    </row>
    <row r="347" spans="1:30" ht="51.75" customHeight="1">
      <c r="A347" s="34">
        <v>7729314745</v>
      </c>
      <c r="B347" s="34" t="s">
        <v>280</v>
      </c>
      <c r="C347" s="34" t="s">
        <v>287</v>
      </c>
      <c r="D347" s="33"/>
      <c r="E347" s="33"/>
      <c r="F347" s="36" t="s">
        <v>430</v>
      </c>
      <c r="G347" s="36" t="s">
        <v>379</v>
      </c>
      <c r="H347" s="37">
        <f>148333/4</f>
        <v>37083.25</v>
      </c>
      <c r="I347" s="37">
        <f>H347</f>
        <v>37083.25</v>
      </c>
      <c r="J347" s="37">
        <f>I347</f>
        <v>37083.25</v>
      </c>
      <c r="K347" s="37">
        <f>J347</f>
        <v>37083.25</v>
      </c>
      <c r="L347" s="26">
        <f t="shared" si="117"/>
        <v>148333</v>
      </c>
      <c r="M347" s="71">
        <v>10.7</v>
      </c>
      <c r="N347" s="27">
        <v>12.62</v>
      </c>
      <c r="O347" s="71">
        <v>10.7</v>
      </c>
      <c r="P347" s="27">
        <v>11.13</v>
      </c>
      <c r="Q347" s="28">
        <f t="shared" si="113"/>
        <v>0</v>
      </c>
      <c r="R347" s="28">
        <f t="shared" si="114"/>
        <v>0</v>
      </c>
      <c r="S347" s="28">
        <f t="shared" si="115"/>
        <v>55254.042499999945</v>
      </c>
      <c r="T347" s="28">
        <f t="shared" si="116"/>
        <v>55254.042499999945</v>
      </c>
      <c r="U347" s="28">
        <f t="shared" si="118"/>
        <v>110508.08499999989</v>
      </c>
      <c r="V347" s="53"/>
      <c r="W347" s="53"/>
      <c r="X347" s="132"/>
      <c r="Y347" s="29">
        <f t="shared" si="111"/>
        <v>117.94392523364485</v>
      </c>
      <c r="Z347" s="30">
        <f t="shared" si="112"/>
        <v>104.01869158878505</v>
      </c>
      <c r="AA347" s="2" t="s">
        <v>49</v>
      </c>
      <c r="AD347" s="32">
        <f>104-Z347</f>
        <v>-1.8691588785046065E-2</v>
      </c>
    </row>
    <row r="348" spans="1:30" ht="57.75" customHeight="1">
      <c r="A348" s="34">
        <v>7729314745</v>
      </c>
      <c r="B348" s="34" t="s">
        <v>280</v>
      </c>
      <c r="C348" s="34" t="s">
        <v>62</v>
      </c>
      <c r="D348" s="33"/>
      <c r="E348" s="33"/>
      <c r="F348" s="36" t="s">
        <v>429</v>
      </c>
      <c r="G348" s="36"/>
      <c r="H348" s="37">
        <f>383.656-63.582</f>
        <v>320.07400000000001</v>
      </c>
      <c r="I348" s="37">
        <v>214.702</v>
      </c>
      <c r="J348" s="37">
        <v>79.492999999999995</v>
      </c>
      <c r="K348" s="37">
        <v>438.90600000000001</v>
      </c>
      <c r="L348" s="26">
        <f t="shared" si="117"/>
        <v>1053.175</v>
      </c>
      <c r="M348" s="71">
        <v>90.79</v>
      </c>
      <c r="N348" s="71">
        <v>106.69</v>
      </c>
      <c r="O348" s="71">
        <v>36.08</v>
      </c>
      <c r="P348" s="27">
        <v>37.53</v>
      </c>
      <c r="Q348" s="28">
        <f t="shared" si="113"/>
        <v>17511.248540000004</v>
      </c>
      <c r="R348" s="28">
        <f t="shared" si="114"/>
        <v>11746.346420000002</v>
      </c>
      <c r="S348" s="28">
        <f t="shared" si="115"/>
        <v>5497.7358799999993</v>
      </c>
      <c r="T348" s="28">
        <f t="shared" si="116"/>
        <v>30354.738959999999</v>
      </c>
      <c r="U348" s="28">
        <f t="shared" si="118"/>
        <v>65110.069799999997</v>
      </c>
      <c r="V348" s="53"/>
      <c r="W348" s="53"/>
      <c r="X348" s="132"/>
      <c r="Y348" s="29">
        <f t="shared" si="111"/>
        <v>117.51294195395967</v>
      </c>
      <c r="Z348" s="30">
        <f t="shared" si="112"/>
        <v>104.0188470066519</v>
      </c>
      <c r="AD348" s="32">
        <f t="shared" si="92"/>
        <v>-1.8847006651895981E-2</v>
      </c>
    </row>
    <row r="349" spans="1:30" ht="57.75" customHeight="1">
      <c r="A349" s="34">
        <v>7729314745</v>
      </c>
      <c r="B349" s="34" t="s">
        <v>280</v>
      </c>
      <c r="C349" s="34" t="s">
        <v>86</v>
      </c>
      <c r="D349" s="33" t="s">
        <v>87</v>
      </c>
      <c r="E349" s="33"/>
      <c r="F349" s="36" t="s">
        <v>429</v>
      </c>
      <c r="G349" s="36"/>
      <c r="H349" s="37">
        <f>675.195-3.221</f>
        <v>671.97400000000005</v>
      </c>
      <c r="I349" s="37">
        <v>647.88</v>
      </c>
      <c r="J349" s="37">
        <v>672.22900000000004</v>
      </c>
      <c r="K349" s="37">
        <v>685.03099999999995</v>
      </c>
      <c r="L349" s="26">
        <f t="shared" si="117"/>
        <v>2677.114</v>
      </c>
      <c r="M349" s="71">
        <v>176.54</v>
      </c>
      <c r="N349" s="71">
        <v>208.32</v>
      </c>
      <c r="O349" s="71">
        <v>42.2</v>
      </c>
      <c r="P349" s="27">
        <v>43.89</v>
      </c>
      <c r="Q349" s="28">
        <f t="shared" si="113"/>
        <v>90272.98715999999</v>
      </c>
      <c r="R349" s="28">
        <f t="shared" si="114"/>
        <v>87036.199199999988</v>
      </c>
      <c r="S349" s="28">
        <f t="shared" si="115"/>
        <v>110534.61447000001</v>
      </c>
      <c r="T349" s="28">
        <f t="shared" si="116"/>
        <v>112639.64732999999</v>
      </c>
      <c r="U349" s="28">
        <f t="shared" si="118"/>
        <v>400483.44816000003</v>
      </c>
      <c r="V349" s="53"/>
      <c r="W349" s="53"/>
      <c r="X349" s="132"/>
      <c r="Y349" s="29">
        <f t="shared" si="111"/>
        <v>118.00158604282316</v>
      </c>
      <c r="Z349" s="30">
        <f t="shared" si="112"/>
        <v>104.00473933649288</v>
      </c>
      <c r="AD349" s="32">
        <f t="shared" si="92"/>
        <v>-4.739336492875168E-3</v>
      </c>
    </row>
    <row r="350" spans="1:30" ht="57.75" customHeight="1">
      <c r="A350" s="34">
        <v>7729314745</v>
      </c>
      <c r="B350" s="34" t="s">
        <v>280</v>
      </c>
      <c r="C350" s="34" t="s">
        <v>75</v>
      </c>
      <c r="D350" s="33"/>
      <c r="E350" s="33"/>
      <c r="F350" s="36" t="s">
        <v>429</v>
      </c>
      <c r="G350" s="36"/>
      <c r="H350" s="37">
        <v>1935</v>
      </c>
      <c r="I350" s="37">
        <v>1956</v>
      </c>
      <c r="J350" s="37">
        <v>1977</v>
      </c>
      <c r="K350" s="37">
        <v>1977</v>
      </c>
      <c r="L350" s="26">
        <f t="shared" si="117"/>
        <v>7845</v>
      </c>
      <c r="M350" s="71">
        <v>47.89</v>
      </c>
      <c r="N350" s="27">
        <v>56.15</v>
      </c>
      <c r="O350" s="71">
        <v>34.75</v>
      </c>
      <c r="P350" s="27">
        <v>36.14</v>
      </c>
      <c r="Q350" s="28">
        <f t="shared" si="113"/>
        <v>25425.9</v>
      </c>
      <c r="R350" s="28">
        <f t="shared" si="114"/>
        <v>25701.84</v>
      </c>
      <c r="S350" s="28">
        <f t="shared" si="115"/>
        <v>39559.769999999997</v>
      </c>
      <c r="T350" s="28">
        <f t="shared" si="116"/>
        <v>39559.769999999997</v>
      </c>
      <c r="U350" s="28">
        <f t="shared" si="118"/>
        <v>130247.28</v>
      </c>
      <c r="V350" s="53"/>
      <c r="W350" s="53"/>
      <c r="X350" s="132"/>
      <c r="Y350" s="29">
        <f t="shared" si="111"/>
        <v>117.24785967842972</v>
      </c>
      <c r="Z350" s="30">
        <f t="shared" si="112"/>
        <v>104</v>
      </c>
      <c r="AD350" s="32">
        <f t="shared" si="92"/>
        <v>0</v>
      </c>
    </row>
    <row r="351" spans="1:30" ht="57.75" customHeight="1">
      <c r="A351" s="34">
        <v>7729314745</v>
      </c>
      <c r="B351" s="34" t="s">
        <v>280</v>
      </c>
      <c r="C351" s="34" t="s">
        <v>97</v>
      </c>
      <c r="D351" s="33" t="s">
        <v>288</v>
      </c>
      <c r="E351" s="33"/>
      <c r="F351" s="36" t="s">
        <v>429</v>
      </c>
      <c r="G351" s="36"/>
      <c r="H351" s="37">
        <f>1677.488+2.3</f>
        <v>1679.788</v>
      </c>
      <c r="I351" s="37">
        <v>1685.7869999999998</v>
      </c>
      <c r="J351" s="37">
        <v>1702.4059999999999</v>
      </c>
      <c r="K351" s="37">
        <v>2967.4309999999996</v>
      </c>
      <c r="L351" s="26">
        <f t="shared" si="117"/>
        <v>8035.4119999999994</v>
      </c>
      <c r="M351" s="71">
        <v>47.73</v>
      </c>
      <c r="N351" s="71">
        <v>56.32</v>
      </c>
      <c r="O351" s="71">
        <v>27.4</v>
      </c>
      <c r="P351" s="27">
        <v>28.5</v>
      </c>
      <c r="Q351" s="28">
        <f t="shared" si="113"/>
        <v>34150.090039999995</v>
      </c>
      <c r="R351" s="28">
        <f t="shared" si="114"/>
        <v>34272.049709999992</v>
      </c>
      <c r="S351" s="28">
        <f t="shared" si="115"/>
        <v>47360.93492</v>
      </c>
      <c r="T351" s="28">
        <f t="shared" si="116"/>
        <v>82553.93041999999</v>
      </c>
      <c r="U351" s="28">
        <f t="shared" si="118"/>
        <v>198337.00508999999</v>
      </c>
      <c r="V351" s="53"/>
      <c r="W351" s="53"/>
      <c r="X351" s="132"/>
      <c r="Y351" s="29">
        <f t="shared" si="111"/>
        <v>117.99706683427615</v>
      </c>
      <c r="Z351" s="30">
        <f t="shared" si="112"/>
        <v>104.01459854014598</v>
      </c>
      <c r="AD351" s="32">
        <f t="shared" si="92"/>
        <v>-1.4598540145982497E-2</v>
      </c>
    </row>
    <row r="352" spans="1:30" ht="57.75" customHeight="1">
      <c r="A352" s="34">
        <v>7729314745</v>
      </c>
      <c r="B352" s="34" t="s">
        <v>280</v>
      </c>
      <c r="C352" s="34" t="s">
        <v>283</v>
      </c>
      <c r="D352" s="33" t="s">
        <v>284</v>
      </c>
      <c r="E352" s="33"/>
      <c r="F352" s="36" t="s">
        <v>429</v>
      </c>
      <c r="G352" s="36" t="s">
        <v>378</v>
      </c>
      <c r="H352" s="37">
        <f>30223/4</f>
        <v>7555.75</v>
      </c>
      <c r="I352" s="37">
        <f t="shared" ref="I352:K353" si="119">H352</f>
        <v>7555.75</v>
      </c>
      <c r="J352" s="37">
        <f t="shared" si="119"/>
        <v>7555.75</v>
      </c>
      <c r="K352" s="37">
        <f t="shared" si="119"/>
        <v>7555.75</v>
      </c>
      <c r="L352" s="26">
        <f t="shared" si="117"/>
        <v>30223</v>
      </c>
      <c r="M352" s="71">
        <f>M94</f>
        <v>30.095897069999999</v>
      </c>
      <c r="N352" s="71">
        <f>N94</f>
        <v>32.804510567252329</v>
      </c>
      <c r="O352" s="71">
        <f>O94</f>
        <v>30.095897069999999</v>
      </c>
      <c r="P352" s="71">
        <f>P94</f>
        <v>31.299732952799999</v>
      </c>
      <c r="Q352" s="28">
        <f t="shared" si="113"/>
        <v>0</v>
      </c>
      <c r="R352" s="28">
        <f t="shared" si="114"/>
        <v>0</v>
      </c>
      <c r="S352" s="28">
        <f t="shared" si="115"/>
        <v>11369.723460398191</v>
      </c>
      <c r="T352" s="28">
        <f t="shared" si="116"/>
        <v>11369.723460398191</v>
      </c>
      <c r="U352" s="28">
        <f t="shared" si="118"/>
        <v>22739.446920796381</v>
      </c>
      <c r="V352" s="53"/>
      <c r="W352" s="53"/>
      <c r="X352" s="132"/>
      <c r="Y352" s="29">
        <f t="shared" si="111"/>
        <v>108.99994271960848</v>
      </c>
      <c r="Z352" s="30">
        <f t="shared" si="112"/>
        <v>104</v>
      </c>
      <c r="AD352" s="32">
        <f t="shared" si="92"/>
        <v>0</v>
      </c>
    </row>
    <row r="353" spans="1:30" ht="57.75" customHeight="1">
      <c r="A353" s="34">
        <v>7729314745</v>
      </c>
      <c r="B353" s="34" t="s">
        <v>280</v>
      </c>
      <c r="C353" s="34" t="s">
        <v>287</v>
      </c>
      <c r="D353" s="33"/>
      <c r="E353" s="33"/>
      <c r="F353" s="36" t="s">
        <v>429</v>
      </c>
      <c r="G353" s="36" t="s">
        <v>378</v>
      </c>
      <c r="H353" s="37">
        <f>47499/4</f>
        <v>11874.75</v>
      </c>
      <c r="I353" s="37">
        <f t="shared" si="119"/>
        <v>11874.75</v>
      </c>
      <c r="J353" s="37">
        <f t="shared" si="119"/>
        <v>11874.75</v>
      </c>
      <c r="K353" s="37">
        <f t="shared" si="119"/>
        <v>11874.75</v>
      </c>
      <c r="L353" s="26">
        <f t="shared" si="117"/>
        <v>47499</v>
      </c>
      <c r="M353" s="71">
        <v>105.96</v>
      </c>
      <c r="N353" s="71">
        <v>184.29</v>
      </c>
      <c r="O353" s="71">
        <v>105.96</v>
      </c>
      <c r="P353" s="27">
        <v>110.2</v>
      </c>
      <c r="Q353" s="28">
        <f t="shared" si="113"/>
        <v>0</v>
      </c>
      <c r="R353" s="28">
        <f t="shared" si="114"/>
        <v>0</v>
      </c>
      <c r="S353" s="28">
        <f t="shared" si="115"/>
        <v>879800.22749999992</v>
      </c>
      <c r="T353" s="28">
        <f t="shared" si="116"/>
        <v>879800.22749999992</v>
      </c>
      <c r="U353" s="28">
        <f t="shared" si="118"/>
        <v>1759600.4549999998</v>
      </c>
      <c r="V353" s="53"/>
      <c r="W353" s="53"/>
      <c r="X353" s="132"/>
      <c r="Y353" s="29">
        <f t="shared" si="111"/>
        <v>173.92412231030579</v>
      </c>
      <c r="Z353" s="30">
        <f t="shared" si="112"/>
        <v>104.00151000377502</v>
      </c>
      <c r="AD353" s="32">
        <f t="shared" si="92"/>
        <v>-1.5100037750244155E-3</v>
      </c>
    </row>
    <row r="354" spans="1:30" ht="57.75" customHeight="1">
      <c r="A354" s="34">
        <v>7729314745</v>
      </c>
      <c r="B354" s="34" t="s">
        <v>280</v>
      </c>
      <c r="C354" s="34" t="s">
        <v>199</v>
      </c>
      <c r="D354" s="33" t="s">
        <v>286</v>
      </c>
      <c r="E354" s="33"/>
      <c r="F354" s="36" t="s">
        <v>429</v>
      </c>
      <c r="G354" s="36"/>
      <c r="H354" s="37">
        <f>1484.955-109.562</f>
        <v>1375.393</v>
      </c>
      <c r="I354" s="37">
        <v>1153.9479999999999</v>
      </c>
      <c r="J354" s="37">
        <v>767.01900000000001</v>
      </c>
      <c r="K354" s="37">
        <v>1338.114</v>
      </c>
      <c r="L354" s="26">
        <f t="shared" si="117"/>
        <v>4634.4740000000002</v>
      </c>
      <c r="M354" s="71">
        <v>208.18</v>
      </c>
      <c r="N354" s="71">
        <v>217.78</v>
      </c>
      <c r="O354" s="71">
        <v>31.78</v>
      </c>
      <c r="P354" s="27">
        <v>33.049999999999997</v>
      </c>
      <c r="Q354" s="28">
        <f t="shared" si="113"/>
        <v>242619.32520000002</v>
      </c>
      <c r="R354" s="28">
        <f t="shared" si="114"/>
        <v>203556.42719999998</v>
      </c>
      <c r="S354" s="28">
        <f t="shared" si="115"/>
        <v>141691.41987000001</v>
      </c>
      <c r="T354" s="28">
        <f t="shared" si="116"/>
        <v>247189.79922000004</v>
      </c>
      <c r="U354" s="28">
        <f t="shared" si="118"/>
        <v>835056.97149000003</v>
      </c>
      <c r="V354" s="53"/>
      <c r="W354" s="53"/>
      <c r="X354" s="132"/>
      <c r="Y354" s="29">
        <f t="shared" si="111"/>
        <v>104.61139398597368</v>
      </c>
      <c r="Z354" s="30">
        <f t="shared" si="112"/>
        <v>103.99622404027689</v>
      </c>
      <c r="AD354" s="32">
        <f t="shared" si="92"/>
        <v>3.7759597231143971E-3</v>
      </c>
    </row>
    <row r="355" spans="1:30" s="2" customFormat="1" ht="36" customHeight="1">
      <c r="A355" s="153" t="s">
        <v>452</v>
      </c>
      <c r="B355" s="154"/>
      <c r="C355" s="154"/>
      <c r="D355" s="154"/>
      <c r="E355" s="154"/>
      <c r="F355" s="154"/>
      <c r="G355" s="154"/>
      <c r="H355" s="178">
        <f>SUM(H331:H354)</f>
        <v>159276.57299999997</v>
      </c>
      <c r="I355" s="178">
        <f>SUM(I331:I354)</f>
        <v>159019.63</v>
      </c>
      <c r="J355" s="178">
        <f>SUM(J331:J354)</f>
        <v>159493.13599999997</v>
      </c>
      <c r="K355" s="178">
        <f>SUM(K331:K354)</f>
        <v>165365.96299999999</v>
      </c>
      <c r="L355" s="178">
        <f>SUM(L331:L354)</f>
        <v>643155.30200000003</v>
      </c>
      <c r="M355" s="178"/>
      <c r="N355" s="178"/>
      <c r="O355" s="178"/>
      <c r="P355" s="178"/>
      <c r="Q355" s="179">
        <f>SUM(Q331:Q354)</f>
        <v>2615848.0586875761</v>
      </c>
      <c r="R355" s="179">
        <f t="shared" ref="R355:T355" si="120">SUM(R331:R354)</f>
        <v>2548818.8847386567</v>
      </c>
      <c r="S355" s="179">
        <f t="shared" si="120"/>
        <v>5522245.2976203486</v>
      </c>
      <c r="T355" s="179">
        <f t="shared" si="120"/>
        <v>5794646.9819810903</v>
      </c>
      <c r="U355" s="179">
        <f>SUM(U331:U354)</f>
        <v>16481559.223027671</v>
      </c>
      <c r="V355" s="179">
        <v>1284194.3700000001</v>
      </c>
      <c r="W355" s="179">
        <f>T355/3</f>
        <v>1931548.9939936968</v>
      </c>
      <c r="X355" s="179">
        <f>U355+V355-W355</f>
        <v>15834204.599033974</v>
      </c>
      <c r="Y355" s="180"/>
      <c r="Z355" s="55"/>
      <c r="AD355" s="32" t="e">
        <f>SUM(AD10:AD354)</f>
        <v>#DIV/0!</v>
      </c>
    </row>
    <row r="356" spans="1:30" s="109" customFormat="1" ht="58.5" customHeight="1">
      <c r="A356" s="181" t="s">
        <v>453</v>
      </c>
      <c r="B356" s="182"/>
      <c r="C356" s="182"/>
      <c r="D356" s="182"/>
      <c r="E356" s="182"/>
      <c r="F356" s="182"/>
      <c r="G356" s="182"/>
      <c r="H356" s="183"/>
      <c r="I356" s="183"/>
      <c r="J356" s="183"/>
      <c r="K356" s="183"/>
      <c r="L356" s="183"/>
      <c r="M356" s="183">
        <f t="shared" ref="M356:X356" si="121">M357+M358</f>
        <v>0</v>
      </c>
      <c r="N356" s="183">
        <f t="shared" si="121"/>
        <v>0</v>
      </c>
      <c r="O356" s="183">
        <f t="shared" si="121"/>
        <v>0</v>
      </c>
      <c r="P356" s="183">
        <f t="shared" si="121"/>
        <v>0</v>
      </c>
      <c r="Q356" s="184">
        <f t="shared" si="121"/>
        <v>416676230.90326798</v>
      </c>
      <c r="R356" s="184">
        <f t="shared" si="121"/>
        <v>409285278.8281908</v>
      </c>
      <c r="S356" s="184">
        <f t="shared" si="121"/>
        <v>644318513.3373034</v>
      </c>
      <c r="T356" s="184">
        <f t="shared" si="121"/>
        <v>668723020.8720603</v>
      </c>
      <c r="U356" s="184">
        <f t="shared" si="121"/>
        <v>2139003043.9408233</v>
      </c>
      <c r="V356" s="184">
        <f t="shared" si="121"/>
        <v>127729622.30863701</v>
      </c>
      <c r="W356" s="184">
        <f t="shared" si="121"/>
        <v>222907673.6240201</v>
      </c>
      <c r="X356" s="184">
        <f t="shared" si="121"/>
        <v>2043824992.6254401</v>
      </c>
      <c r="Y356" s="185"/>
      <c r="Z356" s="20"/>
      <c r="AD356" s="110"/>
    </row>
    <row r="357" spans="1:30" s="107" customFormat="1" ht="30" customHeight="1">
      <c r="A357" s="167" t="s">
        <v>450</v>
      </c>
      <c r="B357" s="168"/>
      <c r="C357" s="168"/>
      <c r="D357" s="168"/>
      <c r="E357" s="168"/>
      <c r="F357" s="168"/>
      <c r="G357" s="168"/>
      <c r="H357" s="186">
        <f>H327+H355</f>
        <v>18546285.445307881</v>
      </c>
      <c r="I357" s="186">
        <f t="shared" ref="I357:X357" si="122">I327+I355</f>
        <v>18320882.191307865</v>
      </c>
      <c r="J357" s="186">
        <f t="shared" si="122"/>
        <v>17637380.592307862</v>
      </c>
      <c r="K357" s="186">
        <f t="shared" si="122"/>
        <v>18512503.399307866</v>
      </c>
      <c r="L357" s="186">
        <f>L327+L355</f>
        <v>73017051.628231481</v>
      </c>
      <c r="M357" s="186">
        <f t="shared" si="122"/>
        <v>0</v>
      </c>
      <c r="N357" s="186">
        <f t="shared" si="122"/>
        <v>0</v>
      </c>
      <c r="O357" s="186">
        <f t="shared" si="122"/>
        <v>0</v>
      </c>
      <c r="P357" s="186">
        <f t="shared" si="122"/>
        <v>0</v>
      </c>
      <c r="Q357" s="187">
        <f t="shared" si="122"/>
        <v>397201044.65142184</v>
      </c>
      <c r="R357" s="187">
        <f t="shared" si="122"/>
        <v>389810092.57634467</v>
      </c>
      <c r="S357" s="187">
        <f t="shared" si="122"/>
        <v>619875694.12696266</v>
      </c>
      <c r="T357" s="187">
        <f t="shared" si="122"/>
        <v>644280201.66171944</v>
      </c>
      <c r="U357" s="187">
        <f t="shared" si="122"/>
        <v>2051167033.0164495</v>
      </c>
      <c r="V357" s="187">
        <f t="shared" si="122"/>
        <v>127729622.30863701</v>
      </c>
      <c r="W357" s="187">
        <f t="shared" si="122"/>
        <v>214760067.22057316</v>
      </c>
      <c r="X357" s="187">
        <f t="shared" si="122"/>
        <v>1964136588.1045132</v>
      </c>
      <c r="Y357" s="188"/>
      <c r="Z357" s="106"/>
      <c r="AD357" s="108"/>
    </row>
    <row r="358" spans="1:30" s="189" customFormat="1" ht="30" customHeight="1">
      <c r="A358" s="167" t="s">
        <v>431</v>
      </c>
      <c r="B358" s="168"/>
      <c r="C358" s="168"/>
      <c r="D358" s="168"/>
      <c r="E358" s="168"/>
      <c r="F358" s="168"/>
      <c r="G358" s="168"/>
      <c r="H358" s="186">
        <f>H328</f>
        <v>3050.480575</v>
      </c>
      <c r="I358" s="186">
        <f t="shared" ref="I358:X358" si="123">I328</f>
        <v>3050.480575</v>
      </c>
      <c r="J358" s="186">
        <f t="shared" si="123"/>
        <v>3050.480575</v>
      </c>
      <c r="K358" s="186">
        <f t="shared" si="123"/>
        <v>3050.480575</v>
      </c>
      <c r="L358" s="186">
        <f t="shared" si="123"/>
        <v>12201.9223</v>
      </c>
      <c r="M358" s="186">
        <f t="shared" si="123"/>
        <v>0</v>
      </c>
      <c r="N358" s="186">
        <f t="shared" si="123"/>
        <v>0</v>
      </c>
      <c r="O358" s="186">
        <f t="shared" si="123"/>
        <v>0</v>
      </c>
      <c r="P358" s="186">
        <f t="shared" si="123"/>
        <v>0</v>
      </c>
      <c r="Q358" s="187">
        <f t="shared" si="123"/>
        <v>19475186.251846157</v>
      </c>
      <c r="R358" s="187">
        <f t="shared" si="123"/>
        <v>19475186.251846157</v>
      </c>
      <c r="S358" s="187">
        <f t="shared" si="123"/>
        <v>24442819.210340798</v>
      </c>
      <c r="T358" s="187">
        <f t="shared" si="123"/>
        <v>24442819.210340798</v>
      </c>
      <c r="U358" s="187">
        <f t="shared" si="123"/>
        <v>87836010.92437391</v>
      </c>
      <c r="V358" s="187">
        <f t="shared" si="123"/>
        <v>0</v>
      </c>
      <c r="W358" s="187">
        <f t="shared" si="123"/>
        <v>8147606.4034469323</v>
      </c>
      <c r="X358" s="187">
        <f t="shared" si="123"/>
        <v>79688404.520926982</v>
      </c>
      <c r="Z358" s="106"/>
      <c r="AA358" s="107"/>
      <c r="AD358" s="108"/>
    </row>
    <row r="359" spans="1:30" s="192" customFormat="1" ht="95.25" customHeight="1">
      <c r="A359" s="190"/>
      <c r="B359" s="191"/>
      <c r="C359" s="191"/>
      <c r="D359" s="191"/>
      <c r="E359" s="191"/>
      <c r="F359" s="191"/>
    </row>
    <row r="360" spans="1:30" s="195" customFormat="1" ht="67.5" hidden="1" customHeight="1">
      <c r="A360" s="193"/>
      <c r="B360" s="194"/>
      <c r="C360" s="194"/>
      <c r="D360" s="194"/>
      <c r="H360" s="196" t="s">
        <v>422</v>
      </c>
      <c r="I360" s="196"/>
      <c r="J360" s="197"/>
      <c r="K360" s="197"/>
      <c r="L360" s="198"/>
      <c r="M360" s="198"/>
      <c r="S360" s="199"/>
      <c r="T360" s="199"/>
      <c r="U360" s="200"/>
    </row>
    <row r="361" spans="1:30" s="195" customFormat="1" ht="98.25" hidden="1" customHeight="1">
      <c r="A361" s="193"/>
      <c r="B361" s="194"/>
      <c r="C361" s="194"/>
      <c r="D361" s="194"/>
      <c r="H361" s="196" t="s">
        <v>455</v>
      </c>
      <c r="I361" s="196"/>
      <c r="J361" s="196"/>
      <c r="K361" s="201"/>
      <c r="L361" s="202"/>
      <c r="M361" s="203" t="s">
        <v>456</v>
      </c>
      <c r="N361" s="203"/>
    </row>
    <row r="362" spans="1:30" s="195" customFormat="1" ht="98.25" hidden="1" customHeight="1">
      <c r="A362" s="193"/>
      <c r="B362" s="194"/>
      <c r="C362" s="194"/>
      <c r="D362" s="194"/>
      <c r="E362" s="204"/>
      <c r="H362" s="205"/>
      <c r="I362" s="206"/>
      <c r="K362" s="203"/>
      <c r="L362" s="207"/>
      <c r="M362" s="203"/>
      <c r="N362" s="203"/>
    </row>
    <row r="363" spans="1:30" s="195" customFormat="1" ht="98.25" hidden="1" customHeight="1">
      <c r="A363" s="193"/>
      <c r="B363" s="194"/>
      <c r="C363" s="194"/>
      <c r="D363" s="194"/>
      <c r="H363" s="205" t="s">
        <v>457</v>
      </c>
      <c r="I363" s="205"/>
      <c r="J363" s="194"/>
      <c r="K363" s="208"/>
      <c r="L363" s="208"/>
      <c r="M363" s="198" t="s">
        <v>458</v>
      </c>
      <c r="N363" s="198"/>
    </row>
    <row r="364" spans="1:30" s="211" customFormat="1" ht="12.75" hidden="1" customHeight="1">
      <c r="A364" s="209"/>
      <c r="B364" s="210"/>
      <c r="C364" s="210"/>
      <c r="D364" s="210"/>
      <c r="E364" s="210"/>
      <c r="F364" s="210"/>
      <c r="H364" s="205"/>
      <c r="I364" s="205"/>
      <c r="K364" s="198"/>
      <c r="L364" s="198"/>
      <c r="M364" s="198"/>
      <c r="N364" s="198"/>
    </row>
    <row r="365" spans="1:30" s="211" customFormat="1" ht="12.75" hidden="1" customHeight="1">
      <c r="A365" s="209"/>
      <c r="B365" s="210"/>
      <c r="C365" s="210"/>
      <c r="D365" s="210"/>
      <c r="E365" s="210"/>
      <c r="F365" s="210"/>
      <c r="H365" s="205"/>
      <c r="I365" s="205"/>
      <c r="J365" s="198"/>
      <c r="K365" s="198"/>
      <c r="L365" s="198"/>
      <c r="M365" s="198"/>
    </row>
    <row r="366" spans="1:30" s="211" customFormat="1" ht="12.75" customHeight="1">
      <c r="A366" s="209"/>
      <c r="B366" s="210"/>
      <c r="C366" s="210"/>
      <c r="D366" s="210"/>
      <c r="E366" s="210"/>
      <c r="F366" s="210"/>
      <c r="H366" s="205"/>
      <c r="I366" s="205"/>
      <c r="J366" s="198"/>
      <c r="K366" s="198"/>
      <c r="L366" s="198"/>
      <c r="M366" s="198"/>
    </row>
    <row r="367" spans="1:30" ht="24.75" customHeight="1">
      <c r="A367" s="135"/>
      <c r="B367" s="135"/>
      <c r="C367" s="135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  <c r="N367" s="135"/>
      <c r="O367" s="135"/>
      <c r="P367" s="135"/>
    </row>
    <row r="376" spans="1:30" s="62" customFormat="1" ht="44.25" customHeight="1">
      <c r="A376" s="59"/>
      <c r="B376" s="60"/>
      <c r="C376" s="60"/>
      <c r="D376" s="61"/>
      <c r="E376" s="61"/>
      <c r="G376" s="63"/>
      <c r="H376" s="63"/>
      <c r="I376" s="212"/>
      <c r="J376" s="212"/>
      <c r="K376" s="64"/>
      <c r="N376" s="64"/>
      <c r="V376" s="137"/>
      <c r="W376" s="137"/>
      <c r="X376" s="137"/>
      <c r="Z376" s="55"/>
      <c r="AA376" s="2"/>
      <c r="AD376" s="3"/>
    </row>
    <row r="377" spans="1:30" ht="67.5" customHeight="1">
      <c r="A377" s="65"/>
      <c r="F377" s="8"/>
      <c r="G377" s="8"/>
      <c r="H377" s="8"/>
      <c r="I377" s="8"/>
      <c r="J377" s="8"/>
      <c r="K377" s="8"/>
      <c r="L377" s="8"/>
      <c r="Q377" s="8"/>
      <c r="R377" s="8"/>
      <c r="S377" s="8"/>
      <c r="T377" s="213"/>
      <c r="U377" s="213"/>
      <c r="V377" s="214"/>
      <c r="W377" s="214"/>
      <c r="X377" s="215"/>
      <c r="Z377" s="55"/>
    </row>
    <row r="378" spans="1:30" ht="34.5" customHeight="1">
      <c r="A378" s="31"/>
      <c r="B378" s="56"/>
      <c r="C378" s="57"/>
      <c r="D378" s="31"/>
      <c r="E378" s="31"/>
      <c r="F378" s="31"/>
      <c r="G378" s="31"/>
      <c r="H378" s="58"/>
      <c r="I378" s="31"/>
      <c r="J378" s="31"/>
      <c r="K378" s="31"/>
      <c r="L378" s="58"/>
      <c r="M378" s="31"/>
      <c r="N378" s="31"/>
      <c r="O378" s="31"/>
      <c r="P378" s="58"/>
      <c r="Q378" s="31"/>
      <c r="R378" s="31"/>
      <c r="S378" s="31"/>
      <c r="T378" s="58"/>
      <c r="U378" s="31"/>
      <c r="V378" s="31"/>
      <c r="W378" s="31"/>
      <c r="X378" s="58"/>
      <c r="Y378" s="58"/>
      <c r="Z378" s="55"/>
    </row>
    <row r="379" spans="1:30" ht="18.75" customHeight="1">
      <c r="A379" s="136"/>
      <c r="B379" s="136"/>
      <c r="C379" s="136"/>
      <c r="D379" s="136"/>
      <c r="E379" s="136"/>
      <c r="F379" s="136"/>
      <c r="G379" s="31"/>
      <c r="H379" s="58"/>
      <c r="I379" s="31"/>
      <c r="J379" s="31"/>
      <c r="K379" s="31"/>
      <c r="L379" s="58"/>
      <c r="M379" s="31"/>
      <c r="N379" s="31"/>
      <c r="O379" s="31"/>
      <c r="P379" s="58"/>
      <c r="Q379" s="31"/>
      <c r="R379" s="31"/>
      <c r="S379" s="31"/>
      <c r="T379" s="58"/>
      <c r="U379" s="31"/>
      <c r="V379" s="31"/>
      <c r="W379" s="31"/>
      <c r="X379" s="58"/>
      <c r="Y379" s="58"/>
    </row>
    <row r="380" spans="1:30" ht="20.25" customHeight="1">
      <c r="A380" s="135"/>
      <c r="B380" s="135"/>
      <c r="C380" s="135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  <c r="N380" s="135"/>
      <c r="O380" s="135"/>
      <c r="P380" s="135"/>
      <c r="Q380" s="31"/>
      <c r="R380" s="31"/>
      <c r="S380" s="31"/>
      <c r="T380" s="58"/>
      <c r="U380" s="31"/>
      <c r="V380" s="31"/>
      <c r="W380" s="31"/>
      <c r="X380" s="58"/>
      <c r="Y380" s="58"/>
    </row>
    <row r="381" spans="1:30" ht="21" customHeight="1">
      <c r="A381" s="135"/>
      <c r="B381" s="135"/>
      <c r="C381" s="135"/>
      <c r="D381" s="135"/>
      <c r="E381" s="135"/>
      <c r="F381" s="135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</row>
    <row r="382" spans="1:30" ht="24.75" customHeight="1">
      <c r="A382" s="135"/>
      <c r="B382" s="135"/>
      <c r="C382" s="135"/>
      <c r="D382" s="135"/>
      <c r="E382" s="135"/>
      <c r="F382" s="135"/>
      <c r="G382" s="135"/>
      <c r="H382" s="135"/>
      <c r="I382" s="135"/>
      <c r="J382" s="135"/>
      <c r="K382" s="135"/>
      <c r="L382" s="135"/>
      <c r="M382" s="135"/>
      <c r="N382" s="135"/>
      <c r="O382" s="135"/>
      <c r="P382" s="135"/>
    </row>
    <row r="383" spans="1:30" ht="19.5" customHeight="1">
      <c r="A383" s="135"/>
      <c r="B383" s="135"/>
      <c r="C383" s="135"/>
      <c r="D383" s="135"/>
      <c r="E383" s="135"/>
      <c r="F383" s="135"/>
      <c r="G383" s="135"/>
      <c r="H383" s="135"/>
      <c r="I383" s="135"/>
      <c r="J383" s="135"/>
      <c r="K383" s="135"/>
      <c r="L383" s="135"/>
      <c r="M383" s="135"/>
      <c r="N383" s="135"/>
      <c r="O383" s="135"/>
      <c r="P383" s="135"/>
    </row>
    <row r="384" spans="1:30" ht="24.75" customHeight="1">
      <c r="A384" s="135"/>
      <c r="B384" s="135"/>
      <c r="C384" s="135"/>
      <c r="D384" s="135"/>
      <c r="E384" s="135"/>
      <c r="F384" s="135"/>
      <c r="G384" s="135"/>
      <c r="H384" s="135"/>
      <c r="I384" s="135"/>
      <c r="J384" s="135"/>
      <c r="K384" s="135"/>
      <c r="L384" s="135"/>
      <c r="M384" s="135"/>
      <c r="N384" s="135"/>
      <c r="O384" s="135"/>
      <c r="P384" s="135"/>
    </row>
  </sheetData>
  <autoFilter ref="A7:AE358"/>
  <mergeCells count="47">
    <mergeCell ref="T377:U377"/>
    <mergeCell ref="A379:F379"/>
    <mergeCell ref="A380:P380"/>
    <mergeCell ref="A381:P381"/>
    <mergeCell ref="V376:X376"/>
    <mergeCell ref="V377:W377"/>
    <mergeCell ref="B5:B6"/>
    <mergeCell ref="C5:C6"/>
    <mergeCell ref="D5:D6"/>
    <mergeCell ref="F5:F6"/>
    <mergeCell ref="A384:P384"/>
    <mergeCell ref="A382:P382"/>
    <mergeCell ref="A367:P367"/>
    <mergeCell ref="A383:P383"/>
    <mergeCell ref="H3:L3"/>
    <mergeCell ref="M3:P3"/>
    <mergeCell ref="Q3:U3"/>
    <mergeCell ref="V3:X3"/>
    <mergeCell ref="G5:G6"/>
    <mergeCell ref="H5:L5"/>
    <mergeCell ref="M5:N5"/>
    <mergeCell ref="O5:P5"/>
    <mergeCell ref="Q5:U5"/>
    <mergeCell ref="A315:G315"/>
    <mergeCell ref="A326:G326"/>
    <mergeCell ref="A327:G327"/>
    <mergeCell ref="A328:G328"/>
    <mergeCell ref="AA5:AA6"/>
    <mergeCell ref="Y5:Z5"/>
    <mergeCell ref="W5:W6"/>
    <mergeCell ref="X5:X6"/>
    <mergeCell ref="E5:E6"/>
    <mergeCell ref="AA77:AA78"/>
    <mergeCell ref="A8:G8"/>
    <mergeCell ref="A9:G9"/>
    <mergeCell ref="A317:G317"/>
    <mergeCell ref="A324:G324"/>
    <mergeCell ref="V5:V6"/>
    <mergeCell ref="A5:A6"/>
    <mergeCell ref="A358:G358"/>
    <mergeCell ref="H360:I360"/>
    <mergeCell ref="S360:T360"/>
    <mergeCell ref="H361:J361"/>
    <mergeCell ref="A330:G330"/>
    <mergeCell ref="A355:G355"/>
    <mergeCell ref="A356:G356"/>
    <mergeCell ref="A357:G357"/>
  </mergeCells>
  <pageMargins left="0.39370078740157483" right="0.19685039370078741" top="0.78740157480314965" bottom="0.59055118110236227" header="0" footer="0.39370078740157483"/>
  <pageSetup paperSize="9" scale="32" fitToWidth="0" fitToHeight="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64"/>
  <sheetViews>
    <sheetView view="pageBreakPreview" zoomScale="50" zoomScaleNormal="60" zoomScaleSheetLayoutView="5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B1" sqref="B1"/>
    </sheetView>
  </sheetViews>
  <sheetFormatPr defaultColWidth="9.140625" defaultRowHeight="12.75" customHeight="1" outlineLevelCol="1"/>
  <cols>
    <col min="1" max="1" width="23.140625" style="67" customWidth="1"/>
    <col min="2" max="2" width="46.140625" style="66" customWidth="1"/>
    <col min="3" max="3" width="51.7109375" style="66" customWidth="1"/>
    <col min="4" max="4" width="67.42578125" style="67" customWidth="1"/>
    <col min="5" max="5" width="28.7109375" style="67" customWidth="1"/>
    <col min="6" max="6" width="35.42578125" style="67" customWidth="1"/>
    <col min="7" max="7" width="31.85546875" style="67" hidden="1" customWidth="1" outlineLevel="1"/>
    <col min="8" max="8" width="28.7109375" style="68" customWidth="1" collapsed="1"/>
    <col min="9" max="12" width="28.7109375" style="68" customWidth="1"/>
    <col min="13" max="13" width="19.28515625" style="8" customWidth="1"/>
    <col min="14" max="14" width="19.5703125" style="8" customWidth="1"/>
    <col min="15" max="15" width="20.7109375" style="8" customWidth="1"/>
    <col min="16" max="16" width="19.28515625" style="8" customWidth="1"/>
    <col min="17" max="17" width="31" style="7" customWidth="1"/>
    <col min="18" max="19" width="30.7109375" style="7" customWidth="1"/>
    <col min="20" max="21" width="30.140625" style="7" customWidth="1"/>
    <col min="22" max="22" width="32" style="8" customWidth="1"/>
    <col min="23" max="23" width="30.5703125" style="8" customWidth="1"/>
    <col min="24" max="24" width="32" style="8" customWidth="1"/>
    <col min="25" max="25" width="19" style="8" hidden="1" customWidth="1" outlineLevel="1"/>
    <col min="26" max="26" width="21.42578125" style="9" hidden="1" customWidth="1" outlineLevel="1"/>
    <col min="27" max="27" width="88.28515625" style="2" hidden="1" customWidth="1" outlineLevel="1"/>
    <col min="28" max="28" width="9.140625" style="8" collapsed="1"/>
    <col min="29" max="29" width="9.140625" style="8"/>
    <col min="30" max="30" width="15.140625" style="3" hidden="1" customWidth="1"/>
    <col min="31" max="31" width="22.7109375" style="8" customWidth="1"/>
    <col min="32" max="32" width="16.7109375" style="8" customWidth="1"/>
    <col min="33" max="16384" width="9.140625" style="8"/>
  </cols>
  <sheetData>
    <row r="1" spans="1:32" s="3" customFormat="1" ht="219" customHeight="1">
      <c r="A1" s="133"/>
      <c r="B1" s="133"/>
      <c r="C1" s="133"/>
      <c r="D1" s="133"/>
      <c r="E1" s="133"/>
      <c r="F1" s="133"/>
      <c r="G1" s="133"/>
      <c r="H1" s="134" t="s">
        <v>416</v>
      </c>
      <c r="I1" s="134"/>
      <c r="J1" s="134"/>
      <c r="K1" s="134"/>
      <c r="L1" s="134"/>
      <c r="M1" s="134"/>
      <c r="N1" s="139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3"/>
      <c r="Z1" s="1"/>
      <c r="AA1" s="2"/>
    </row>
    <row r="2" spans="1:32" ht="22.5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6"/>
      <c r="N2" s="6"/>
      <c r="O2" s="6"/>
      <c r="P2" s="6"/>
    </row>
    <row r="3" spans="1:32" s="2" customFormat="1" ht="130.5" customHeight="1">
      <c r="A3" s="140" t="s">
        <v>0</v>
      </c>
      <c r="B3" s="140" t="s">
        <v>1</v>
      </c>
      <c r="C3" s="140" t="s">
        <v>2</v>
      </c>
      <c r="D3" s="140" t="s">
        <v>3</v>
      </c>
      <c r="E3" s="141" t="s">
        <v>302</v>
      </c>
      <c r="F3" s="142" t="s">
        <v>4</v>
      </c>
      <c r="G3" s="142" t="s">
        <v>5</v>
      </c>
      <c r="H3" s="143" t="s">
        <v>427</v>
      </c>
      <c r="I3" s="143"/>
      <c r="J3" s="143"/>
      <c r="K3" s="143"/>
      <c r="L3" s="144"/>
      <c r="M3" s="216" t="s">
        <v>6</v>
      </c>
      <c r="N3" s="217"/>
      <c r="O3" s="140" t="s">
        <v>7</v>
      </c>
      <c r="P3" s="140"/>
      <c r="Q3" s="145" t="s">
        <v>432</v>
      </c>
      <c r="R3" s="145"/>
      <c r="S3" s="145"/>
      <c r="T3" s="145"/>
      <c r="U3" s="146"/>
      <c r="V3" s="147" t="s">
        <v>389</v>
      </c>
      <c r="W3" s="147" t="s">
        <v>417</v>
      </c>
      <c r="X3" s="147" t="s">
        <v>418</v>
      </c>
      <c r="Y3" s="148" t="s">
        <v>9</v>
      </c>
      <c r="Z3" s="149"/>
      <c r="AA3" s="147" t="s">
        <v>10</v>
      </c>
      <c r="AD3" s="3"/>
    </row>
    <row r="4" spans="1:32" s="10" customFormat="1" ht="44.25" customHeight="1">
      <c r="A4" s="140"/>
      <c r="B4" s="140"/>
      <c r="C4" s="140"/>
      <c r="D4" s="140"/>
      <c r="E4" s="150"/>
      <c r="F4" s="142"/>
      <c r="G4" s="142"/>
      <c r="H4" s="151" t="s">
        <v>391</v>
      </c>
      <c r="I4" s="151" t="s">
        <v>392</v>
      </c>
      <c r="J4" s="151" t="s">
        <v>395</v>
      </c>
      <c r="K4" s="151" t="s">
        <v>394</v>
      </c>
      <c r="L4" s="151" t="s">
        <v>11</v>
      </c>
      <c r="M4" s="218" t="s">
        <v>12</v>
      </c>
      <c r="N4" s="218" t="s">
        <v>13</v>
      </c>
      <c r="O4" s="173" t="s">
        <v>12</v>
      </c>
      <c r="P4" s="173" t="s">
        <v>13</v>
      </c>
      <c r="Q4" s="151" t="s">
        <v>391</v>
      </c>
      <c r="R4" s="151" t="s">
        <v>392</v>
      </c>
      <c r="S4" s="151" t="s">
        <v>393</v>
      </c>
      <c r="T4" s="151" t="s">
        <v>394</v>
      </c>
      <c r="U4" s="151" t="s">
        <v>11</v>
      </c>
      <c r="V4" s="147"/>
      <c r="W4" s="147"/>
      <c r="X4" s="147"/>
      <c r="Y4" s="152" t="s">
        <v>14</v>
      </c>
      <c r="Z4" s="152" t="s">
        <v>15</v>
      </c>
      <c r="AA4" s="147"/>
      <c r="AD4" s="11"/>
    </row>
    <row r="5" spans="1:32" s="21" customFormat="1" ht="15.75" customHeight="1">
      <c r="A5" s="12"/>
      <c r="B5" s="13"/>
      <c r="C5" s="13"/>
      <c r="D5" s="12"/>
      <c r="E5" s="12"/>
      <c r="F5" s="14"/>
      <c r="G5" s="14"/>
      <c r="H5" s="15"/>
      <c r="I5" s="15"/>
      <c r="J5" s="15"/>
      <c r="K5" s="15"/>
      <c r="L5" s="15"/>
      <c r="M5" s="16"/>
      <c r="N5" s="16"/>
      <c r="O5" s="17"/>
      <c r="P5" s="17"/>
      <c r="Q5" s="15"/>
      <c r="R5" s="15"/>
      <c r="S5" s="15"/>
      <c r="T5" s="15"/>
      <c r="U5" s="15"/>
      <c r="V5" s="18"/>
      <c r="W5" s="18"/>
      <c r="X5" s="18"/>
      <c r="Y5" s="19"/>
      <c r="Z5" s="20"/>
      <c r="AA5" s="10"/>
      <c r="AD5" s="11"/>
    </row>
    <row r="6" spans="1:32" s="158" customFormat="1" ht="36.75" customHeight="1">
      <c r="A6" s="219" t="s">
        <v>16</v>
      </c>
      <c r="B6" s="156"/>
      <c r="C6" s="156"/>
      <c r="D6" s="155"/>
      <c r="E6" s="155"/>
      <c r="F6" s="156"/>
      <c r="G6" s="156"/>
      <c r="H6" s="155"/>
      <c r="I6" s="155"/>
      <c r="J6" s="155"/>
      <c r="K6" s="155"/>
      <c r="L6" s="155"/>
      <c r="M6" s="156"/>
      <c r="N6" s="156"/>
      <c r="O6" s="156"/>
      <c r="P6" s="156"/>
      <c r="Q6" s="155"/>
      <c r="R6" s="155"/>
      <c r="S6" s="155"/>
      <c r="T6" s="155"/>
      <c r="U6" s="155"/>
      <c r="V6" s="156"/>
      <c r="W6" s="156"/>
      <c r="X6" s="157"/>
      <c r="Z6" s="159"/>
      <c r="AA6" s="160"/>
    </row>
    <row r="7" spans="1:32" s="158" customFormat="1" ht="36.75" customHeight="1">
      <c r="A7" s="153" t="s">
        <v>442</v>
      </c>
      <c r="B7" s="154"/>
      <c r="C7" s="154"/>
      <c r="D7" s="154"/>
      <c r="E7" s="154"/>
      <c r="F7" s="154"/>
      <c r="G7" s="154"/>
      <c r="H7" s="161"/>
      <c r="I7" s="161"/>
      <c r="J7" s="161"/>
      <c r="K7" s="161"/>
      <c r="L7" s="161"/>
      <c r="M7" s="162"/>
      <c r="N7" s="162"/>
      <c r="O7" s="162"/>
      <c r="P7" s="162"/>
      <c r="Q7" s="161"/>
      <c r="R7" s="161"/>
      <c r="S7" s="161"/>
      <c r="T7" s="161"/>
      <c r="U7" s="161"/>
      <c r="V7" s="162"/>
      <c r="W7" s="162"/>
      <c r="X7" s="163"/>
      <c r="Z7" s="159"/>
      <c r="AA7" s="160"/>
    </row>
    <row r="8" spans="1:32" s="31" customFormat="1" ht="51" customHeight="1">
      <c r="A8" s="22">
        <v>2907014249</v>
      </c>
      <c r="B8" s="23" t="s">
        <v>18</v>
      </c>
      <c r="C8" s="24" t="s">
        <v>19</v>
      </c>
      <c r="D8" s="22" t="s">
        <v>20</v>
      </c>
      <c r="E8" s="22"/>
      <c r="F8" s="25" t="s">
        <v>428</v>
      </c>
      <c r="G8" s="25"/>
      <c r="H8" s="26">
        <f>'2023'!H10</f>
        <v>30077.203000000001</v>
      </c>
      <c r="I8" s="26">
        <f>'2023'!I10</f>
        <v>29996.364000000001</v>
      </c>
      <c r="J8" s="26">
        <f>'2023'!J10</f>
        <v>37377.607000000004</v>
      </c>
      <c r="K8" s="26">
        <f>'2023'!K10</f>
        <v>29350.527999999998</v>
      </c>
      <c r="L8" s="26">
        <f>H8+I8+J8+K8</f>
        <v>126801.70199999999</v>
      </c>
      <c r="M8" s="38">
        <f>'2023'!N10</f>
        <v>95.63</v>
      </c>
      <c r="N8" s="27">
        <v>95.63</v>
      </c>
      <c r="O8" s="27">
        <v>34.721107199999999</v>
      </c>
      <c r="P8" s="27">
        <f t="shared" ref="P8:P25" si="0">O8*1.04</f>
        <v>36.109951488</v>
      </c>
      <c r="Q8" s="27">
        <f t="shared" ref="Q8:Q25" si="1">(M8-O8)*H8</f>
        <v>1831969.1332508384</v>
      </c>
      <c r="R8" s="27">
        <f t="shared" ref="R8:R25" si="2">(M8-O8)*I8</f>
        <v>1827045.3192657791</v>
      </c>
      <c r="S8" s="27">
        <f t="shared" ref="S8:S25" si="3">(N8-P8)*J8</f>
        <v>2224716.9819024708</v>
      </c>
      <c r="T8" s="27">
        <f t="shared" ref="T8:T25" si="4">(N8-P8)*K8</f>
        <v>1746944.8504128142</v>
      </c>
      <c r="U8" s="27">
        <f>Q8+R8+S8+T8</f>
        <v>7630676.284831902</v>
      </c>
      <c r="V8" s="27"/>
      <c r="W8" s="27"/>
      <c r="X8" s="27"/>
      <c r="Y8" s="29">
        <f t="shared" ref="Y8:Y29" si="5">N8/M8*100</f>
        <v>100</v>
      </c>
      <c r="Z8" s="30">
        <f t="shared" ref="Z8:Z29" si="6">P8/O8*100</f>
        <v>104</v>
      </c>
      <c r="AA8" s="29"/>
      <c r="AD8" s="32">
        <f>104-Z8</f>
        <v>0</v>
      </c>
      <c r="AE8" s="91"/>
      <c r="AF8" s="92"/>
    </row>
    <row r="9" spans="1:32" s="40" customFormat="1" ht="51" customHeight="1">
      <c r="A9" s="33">
        <v>2907010396</v>
      </c>
      <c r="B9" s="34" t="s">
        <v>22</v>
      </c>
      <c r="C9" s="35" t="s">
        <v>19</v>
      </c>
      <c r="D9" s="33" t="s">
        <v>23</v>
      </c>
      <c r="E9" s="33"/>
      <c r="F9" s="25" t="s">
        <v>428</v>
      </c>
      <c r="G9" s="36"/>
      <c r="H9" s="26">
        <f>'2023'!H11</f>
        <v>399.41899999999998</v>
      </c>
      <c r="I9" s="26">
        <f>'2023'!I11</f>
        <v>519.279</v>
      </c>
      <c r="J9" s="26">
        <f>'2023'!J11</f>
        <v>638.31600000000003</v>
      </c>
      <c r="K9" s="26">
        <f>'2023'!K11</f>
        <v>351.08</v>
      </c>
      <c r="L9" s="26">
        <f t="shared" ref="L9:L73" si="7">H9+I9+J9+K9</f>
        <v>1908.0940000000001</v>
      </c>
      <c r="M9" s="38">
        <f>'2023'!N11</f>
        <v>99.93</v>
      </c>
      <c r="N9" s="27">
        <v>109.12356000000003</v>
      </c>
      <c r="O9" s="38">
        <v>38.503150400000003</v>
      </c>
      <c r="P9" s="27">
        <f t="shared" si="0"/>
        <v>40.043276416000005</v>
      </c>
      <c r="Q9" s="27">
        <f t="shared" si="1"/>
        <v>24535.050840382402</v>
      </c>
      <c r="R9" s="27">
        <f t="shared" si="2"/>
        <v>31897.673033438401</v>
      </c>
      <c r="S9" s="27">
        <f t="shared" si="3"/>
        <v>44095.050296204565</v>
      </c>
      <c r="T9" s="27">
        <f t="shared" si="4"/>
        <v>24252.70596067073</v>
      </c>
      <c r="U9" s="27">
        <f t="shared" ref="U9:U73" si="8">Q9+R9+S9+T9</f>
        <v>124780.4801306961</v>
      </c>
      <c r="V9" s="119"/>
      <c r="W9" s="119"/>
      <c r="X9" s="119"/>
      <c r="Y9" s="29">
        <f t="shared" si="5"/>
        <v>109.2</v>
      </c>
      <c r="Z9" s="30">
        <f t="shared" si="6"/>
        <v>104</v>
      </c>
      <c r="AA9" s="2"/>
      <c r="AD9" s="32">
        <f t="shared" ref="AD9:AD81" si="9">104-Z9</f>
        <v>0</v>
      </c>
      <c r="AE9" s="91"/>
      <c r="AF9" s="92"/>
    </row>
    <row r="10" spans="1:32" s="40" customFormat="1" ht="57" customHeight="1">
      <c r="A10" s="33">
        <v>2907017553</v>
      </c>
      <c r="B10" s="34" t="s">
        <v>25</v>
      </c>
      <c r="C10" s="35" t="s">
        <v>19</v>
      </c>
      <c r="D10" s="33" t="s">
        <v>26</v>
      </c>
      <c r="E10" s="33"/>
      <c r="F10" s="25" t="s">
        <v>428</v>
      </c>
      <c r="G10" s="36"/>
      <c r="H10" s="26">
        <f>'2023'!H12</f>
        <v>173781.45499999999</v>
      </c>
      <c r="I10" s="26">
        <f>'2023'!I12</f>
        <v>174307.81599999999</v>
      </c>
      <c r="J10" s="26">
        <f>'2023'!J12</f>
        <v>171022.00899999999</v>
      </c>
      <c r="K10" s="26">
        <f>'2023'!K12</f>
        <v>179597.27600000001</v>
      </c>
      <c r="L10" s="26">
        <f t="shared" si="7"/>
        <v>698708.55599999987</v>
      </c>
      <c r="M10" s="38">
        <f>'2023'!N12</f>
        <v>43.045619689600002</v>
      </c>
      <c r="N10" s="27">
        <v>43.045619689600002</v>
      </c>
      <c r="O10" s="38">
        <v>30.7944</v>
      </c>
      <c r="P10" s="27">
        <f t="shared" si="0"/>
        <v>32.026176</v>
      </c>
      <c r="Q10" s="27">
        <f t="shared" si="1"/>
        <v>2129034.7831833367</v>
      </c>
      <c r="R10" s="27">
        <f t="shared" si="2"/>
        <v>2135483.3474303745</v>
      </c>
      <c r="S10" s="27">
        <f t="shared" si="3"/>
        <v>1884567.3978577647</v>
      </c>
      <c r="T10" s="27">
        <f t="shared" si="4"/>
        <v>1979062.0696875502</v>
      </c>
      <c r="U10" s="27">
        <f t="shared" si="8"/>
        <v>8128147.5981590254</v>
      </c>
      <c r="V10" s="119"/>
      <c r="W10" s="119"/>
      <c r="X10" s="119"/>
      <c r="Y10" s="29">
        <f t="shared" si="5"/>
        <v>100</v>
      </c>
      <c r="Z10" s="30">
        <f t="shared" si="6"/>
        <v>104</v>
      </c>
      <c r="AA10" s="2"/>
      <c r="AD10" s="32">
        <f t="shared" si="9"/>
        <v>0</v>
      </c>
      <c r="AE10" s="91"/>
      <c r="AF10" s="92"/>
    </row>
    <row r="11" spans="1:32" s="40" customFormat="1" ht="51" customHeight="1">
      <c r="A11" s="33">
        <v>2907017553</v>
      </c>
      <c r="B11" s="34" t="s">
        <v>25</v>
      </c>
      <c r="C11" s="35" t="s">
        <v>19</v>
      </c>
      <c r="D11" s="33" t="s">
        <v>27</v>
      </c>
      <c r="E11" s="33"/>
      <c r="F11" s="25" t="s">
        <v>428</v>
      </c>
      <c r="G11" s="36"/>
      <c r="H11" s="26">
        <f>'2023'!H13</f>
        <v>1464.819</v>
      </c>
      <c r="I11" s="26">
        <f>'2023'!I13</f>
        <v>1766.067</v>
      </c>
      <c r="J11" s="26">
        <f>'2023'!J13</f>
        <v>1827.2359999999999</v>
      </c>
      <c r="K11" s="26">
        <f>'2023'!K13</f>
        <v>1693.7529999999999</v>
      </c>
      <c r="L11" s="26">
        <f t="shared" si="7"/>
        <v>6751.8749999999991</v>
      </c>
      <c r="M11" s="38">
        <f>'2023'!N13</f>
        <v>40.379600000000011</v>
      </c>
      <c r="N11" s="27">
        <v>40.379600000000011</v>
      </c>
      <c r="O11" s="38">
        <v>30.7944</v>
      </c>
      <c r="P11" s="27">
        <f t="shared" si="0"/>
        <v>32.026176</v>
      </c>
      <c r="Q11" s="27">
        <f t="shared" si="1"/>
        <v>14040.583078800017</v>
      </c>
      <c r="R11" s="27">
        <f t="shared" si="2"/>
        <v>16928.105408400021</v>
      </c>
      <c r="S11" s="27">
        <f t="shared" si="3"/>
        <v>15263.67705606402</v>
      </c>
      <c r="T11" s="27">
        <f t="shared" si="4"/>
        <v>14148.636960272019</v>
      </c>
      <c r="U11" s="27">
        <f t="shared" si="8"/>
        <v>60381.002503536074</v>
      </c>
      <c r="V11" s="119"/>
      <c r="W11" s="119"/>
      <c r="X11" s="119"/>
      <c r="Y11" s="29">
        <f t="shared" si="5"/>
        <v>100</v>
      </c>
      <c r="Z11" s="30">
        <f t="shared" si="6"/>
        <v>104</v>
      </c>
      <c r="AA11" s="2"/>
      <c r="AD11" s="32">
        <f t="shared" si="9"/>
        <v>0</v>
      </c>
      <c r="AE11" s="91"/>
      <c r="AF11" s="92"/>
    </row>
    <row r="12" spans="1:32" s="40" customFormat="1" ht="51" customHeight="1">
      <c r="A12" s="33">
        <v>2907017553</v>
      </c>
      <c r="B12" s="34" t="s">
        <v>25</v>
      </c>
      <c r="C12" s="35" t="s">
        <v>19</v>
      </c>
      <c r="D12" s="33" t="s">
        <v>28</v>
      </c>
      <c r="E12" s="33"/>
      <c r="F12" s="25" t="s">
        <v>428</v>
      </c>
      <c r="G12" s="36"/>
      <c r="H12" s="26">
        <f>'2023'!H14</f>
        <v>687.79</v>
      </c>
      <c r="I12" s="26">
        <f>'2023'!I14</f>
        <v>669.72</v>
      </c>
      <c r="J12" s="26">
        <f>'2023'!J14</f>
        <v>471.5</v>
      </c>
      <c r="K12" s="26">
        <f>'2023'!K14</f>
        <v>624.26</v>
      </c>
      <c r="L12" s="26">
        <f t="shared" si="7"/>
        <v>2453.27</v>
      </c>
      <c r="M12" s="38">
        <f>'2023'!N14</f>
        <v>47.235400000000013</v>
      </c>
      <c r="N12" s="27">
        <v>47.235400000000013</v>
      </c>
      <c r="O12" s="38">
        <v>30.7944</v>
      </c>
      <c r="P12" s="27">
        <f t="shared" si="0"/>
        <v>32.026176</v>
      </c>
      <c r="Q12" s="27">
        <f t="shared" si="1"/>
        <v>11307.955390000008</v>
      </c>
      <c r="R12" s="27">
        <f t="shared" si="2"/>
        <v>11010.866520000009</v>
      </c>
      <c r="S12" s="27">
        <f t="shared" si="3"/>
        <v>7171.149116000006</v>
      </c>
      <c r="T12" s="27">
        <f t="shared" si="4"/>
        <v>9494.5101742400075</v>
      </c>
      <c r="U12" s="27">
        <f t="shared" si="8"/>
        <v>38984.481200240029</v>
      </c>
      <c r="V12" s="119"/>
      <c r="W12" s="119"/>
      <c r="X12" s="119"/>
      <c r="Y12" s="29">
        <f t="shared" si="5"/>
        <v>100</v>
      </c>
      <c r="Z12" s="30">
        <f t="shared" si="6"/>
        <v>104</v>
      </c>
      <c r="AA12" s="2"/>
      <c r="AD12" s="32">
        <f t="shared" si="9"/>
        <v>0</v>
      </c>
      <c r="AE12" s="91"/>
      <c r="AF12" s="92"/>
    </row>
    <row r="13" spans="1:32" s="40" customFormat="1" ht="51" customHeight="1">
      <c r="A13" s="33">
        <v>2907017553</v>
      </c>
      <c r="B13" s="34" t="s">
        <v>25</v>
      </c>
      <c r="C13" s="35" t="s">
        <v>19</v>
      </c>
      <c r="D13" s="33" t="s">
        <v>29</v>
      </c>
      <c r="E13" s="33"/>
      <c r="F13" s="25" t="s">
        <v>428</v>
      </c>
      <c r="G13" s="36"/>
      <c r="H13" s="26">
        <f>'2023'!H15</f>
        <v>2892.3</v>
      </c>
      <c r="I13" s="26">
        <f>'2023'!I15</f>
        <v>2601.06</v>
      </c>
      <c r="J13" s="26">
        <f>'2023'!J15</f>
        <v>3493.1800000000003</v>
      </c>
      <c r="K13" s="26">
        <f>'2023'!K15</f>
        <v>3704.1499999999996</v>
      </c>
      <c r="L13" s="26">
        <f t="shared" si="7"/>
        <v>12690.69</v>
      </c>
      <c r="M13" s="38">
        <f>'2023'!N15</f>
        <v>42.314800000000005</v>
      </c>
      <c r="N13" s="27">
        <v>42.314800000000005</v>
      </c>
      <c r="O13" s="38">
        <v>30.7944</v>
      </c>
      <c r="P13" s="27">
        <f t="shared" si="0"/>
        <v>32.026176</v>
      </c>
      <c r="Q13" s="27">
        <f t="shared" si="1"/>
        <v>33320.452920000018</v>
      </c>
      <c r="R13" s="27">
        <f t="shared" si="2"/>
        <v>29965.251624000015</v>
      </c>
      <c r="S13" s="27">
        <f t="shared" si="3"/>
        <v>35940.015584320026</v>
      </c>
      <c r="T13" s="27">
        <f t="shared" si="4"/>
        <v>38110.606589600015</v>
      </c>
      <c r="U13" s="27">
        <f t="shared" si="8"/>
        <v>137336.32671792008</v>
      </c>
      <c r="V13" s="119"/>
      <c r="W13" s="119"/>
      <c r="X13" s="119"/>
      <c r="Y13" s="29">
        <f t="shared" si="5"/>
        <v>100</v>
      </c>
      <c r="Z13" s="30">
        <f t="shared" si="6"/>
        <v>104</v>
      </c>
      <c r="AA13" s="2"/>
      <c r="AD13" s="32">
        <f t="shared" si="9"/>
        <v>0</v>
      </c>
      <c r="AE13" s="91"/>
      <c r="AF13" s="92"/>
    </row>
    <row r="14" spans="1:32" s="40" customFormat="1" ht="51" customHeight="1">
      <c r="A14" s="33">
        <v>2907017553</v>
      </c>
      <c r="B14" s="34" t="s">
        <v>25</v>
      </c>
      <c r="C14" s="35" t="s">
        <v>19</v>
      </c>
      <c r="D14" s="33" t="s">
        <v>30</v>
      </c>
      <c r="E14" s="33"/>
      <c r="F14" s="25" t="s">
        <v>428</v>
      </c>
      <c r="G14" s="36"/>
      <c r="H14" s="26">
        <f>'2023'!H16</f>
        <v>1026.6400000000001</v>
      </c>
      <c r="I14" s="26">
        <f>'2023'!I16</f>
        <v>1326.56</v>
      </c>
      <c r="J14" s="26">
        <f>'2023'!J16</f>
        <v>1178.17</v>
      </c>
      <c r="K14" s="26">
        <f>'2023'!K16</f>
        <v>1073.75</v>
      </c>
      <c r="L14" s="26">
        <f t="shared" si="7"/>
        <v>4605.12</v>
      </c>
      <c r="M14" s="38">
        <f>'2023'!N16</f>
        <v>37.311599999999999</v>
      </c>
      <c r="N14" s="27">
        <v>37.311599999999999</v>
      </c>
      <c r="O14" s="38">
        <v>30.7944</v>
      </c>
      <c r="P14" s="27">
        <f t="shared" si="0"/>
        <v>32.026176</v>
      </c>
      <c r="Q14" s="27">
        <f t="shared" si="1"/>
        <v>6690.8182079999997</v>
      </c>
      <c r="R14" s="27">
        <f t="shared" si="2"/>
        <v>8645.456831999998</v>
      </c>
      <c r="S14" s="27">
        <f t="shared" si="3"/>
        <v>6227.1279940799996</v>
      </c>
      <c r="T14" s="27">
        <f t="shared" si="4"/>
        <v>5675.2240199999987</v>
      </c>
      <c r="U14" s="27">
        <f t="shared" si="8"/>
        <v>27238.627054079992</v>
      </c>
      <c r="V14" s="119"/>
      <c r="W14" s="119"/>
      <c r="X14" s="119"/>
      <c r="Y14" s="29">
        <f t="shared" si="5"/>
        <v>100</v>
      </c>
      <c r="Z14" s="30">
        <f t="shared" si="6"/>
        <v>104</v>
      </c>
      <c r="AA14" s="2"/>
      <c r="AD14" s="32">
        <f t="shared" si="9"/>
        <v>0</v>
      </c>
      <c r="AE14" s="91"/>
      <c r="AF14" s="92"/>
    </row>
    <row r="15" spans="1:32" s="40" customFormat="1" ht="51" customHeight="1">
      <c r="A15" s="33">
        <v>2907017553</v>
      </c>
      <c r="B15" s="34" t="s">
        <v>25</v>
      </c>
      <c r="C15" s="35" t="s">
        <v>19</v>
      </c>
      <c r="D15" s="33" t="s">
        <v>31</v>
      </c>
      <c r="E15" s="33"/>
      <c r="F15" s="25" t="s">
        <v>428</v>
      </c>
      <c r="G15" s="36"/>
      <c r="H15" s="26">
        <f>'2023'!H17</f>
        <v>494.07000000000005</v>
      </c>
      <c r="I15" s="26">
        <f>'2023'!I17</f>
        <v>466.74</v>
      </c>
      <c r="J15" s="26">
        <f>'2023'!J17</f>
        <v>541.84</v>
      </c>
      <c r="K15" s="26">
        <f>'2023'!K17</f>
        <v>479.38</v>
      </c>
      <c r="L15" s="26">
        <f t="shared" si="7"/>
        <v>1982.0300000000002</v>
      </c>
      <c r="M15" s="38">
        <f>'2023'!N17</f>
        <v>34.987000000000002</v>
      </c>
      <c r="N15" s="27">
        <v>34.987000000000002</v>
      </c>
      <c r="O15" s="38">
        <v>30.835999999999999</v>
      </c>
      <c r="P15" s="27">
        <f t="shared" si="0"/>
        <v>32.06944</v>
      </c>
      <c r="Q15" s="27">
        <f t="shared" si="1"/>
        <v>2050.884570000002</v>
      </c>
      <c r="R15" s="27">
        <f t="shared" si="2"/>
        <v>1937.4377400000017</v>
      </c>
      <c r="S15" s="27">
        <f t="shared" si="3"/>
        <v>1580.8507104000009</v>
      </c>
      <c r="T15" s="27">
        <f t="shared" si="4"/>
        <v>1398.6199128000007</v>
      </c>
      <c r="U15" s="27">
        <f t="shared" si="8"/>
        <v>6967.7929332000058</v>
      </c>
      <c r="V15" s="119"/>
      <c r="W15" s="119"/>
      <c r="X15" s="119"/>
      <c r="Y15" s="29">
        <f t="shared" si="5"/>
        <v>100</v>
      </c>
      <c r="Z15" s="30">
        <f t="shared" si="6"/>
        <v>104</v>
      </c>
      <c r="AA15" s="2"/>
      <c r="AD15" s="32">
        <f t="shared" si="9"/>
        <v>0</v>
      </c>
      <c r="AE15" s="91"/>
      <c r="AF15" s="92"/>
    </row>
    <row r="16" spans="1:32" s="40" customFormat="1" ht="51" customHeight="1">
      <c r="A16" s="33">
        <v>2907017553</v>
      </c>
      <c r="B16" s="34" t="s">
        <v>25</v>
      </c>
      <c r="C16" s="35" t="s">
        <v>19</v>
      </c>
      <c r="D16" s="33" t="s">
        <v>32</v>
      </c>
      <c r="E16" s="33"/>
      <c r="F16" s="25" t="s">
        <v>428</v>
      </c>
      <c r="G16" s="36"/>
      <c r="H16" s="26">
        <f>'2023'!H18</f>
        <v>3429.5299999999997</v>
      </c>
      <c r="I16" s="26">
        <f>'2023'!I18</f>
        <v>3321.72</v>
      </c>
      <c r="J16" s="26">
        <f>'2023'!J18</f>
        <v>3898.41</v>
      </c>
      <c r="K16" s="26">
        <f>'2023'!K18</f>
        <v>3374.3</v>
      </c>
      <c r="L16" s="26">
        <f t="shared" si="7"/>
        <v>14023.96</v>
      </c>
      <c r="M16" s="38">
        <f>'2023'!N18</f>
        <v>65.560800000000015</v>
      </c>
      <c r="N16" s="27">
        <v>65.560800000000015</v>
      </c>
      <c r="O16" s="38">
        <v>30.108000000000001</v>
      </c>
      <c r="P16" s="27">
        <f t="shared" si="0"/>
        <v>31.312320000000003</v>
      </c>
      <c r="Q16" s="27">
        <f t="shared" si="1"/>
        <v>121586.44118400002</v>
      </c>
      <c r="R16" s="27">
        <f t="shared" si="2"/>
        <v>117764.27481600003</v>
      </c>
      <c r="S16" s="27">
        <f t="shared" si="3"/>
        <v>133514.61691680006</v>
      </c>
      <c r="T16" s="27">
        <f t="shared" si="4"/>
        <v>115564.64606400006</v>
      </c>
      <c r="U16" s="27">
        <f t="shared" si="8"/>
        <v>488429.97898080025</v>
      </c>
      <c r="V16" s="119"/>
      <c r="W16" s="119"/>
      <c r="X16" s="119"/>
      <c r="Y16" s="29">
        <f t="shared" si="5"/>
        <v>100</v>
      </c>
      <c r="Z16" s="30">
        <f t="shared" si="6"/>
        <v>104</v>
      </c>
      <c r="AA16" s="2"/>
      <c r="AD16" s="32">
        <f t="shared" si="9"/>
        <v>0</v>
      </c>
      <c r="AE16" s="91"/>
      <c r="AF16" s="92"/>
    </row>
    <row r="17" spans="1:32" s="40" customFormat="1" ht="51" customHeight="1">
      <c r="A17" s="33">
        <v>2907017553</v>
      </c>
      <c r="B17" s="34" t="s">
        <v>25</v>
      </c>
      <c r="C17" s="35" t="s">
        <v>19</v>
      </c>
      <c r="D17" s="33" t="s">
        <v>33</v>
      </c>
      <c r="E17" s="33"/>
      <c r="F17" s="25" t="s">
        <v>428</v>
      </c>
      <c r="G17" s="36"/>
      <c r="H17" s="26">
        <f>'2023'!H19</f>
        <v>3025.67</v>
      </c>
      <c r="I17" s="26">
        <f>'2023'!I19</f>
        <v>2837.37</v>
      </c>
      <c r="J17" s="26">
        <f>'2023'!J19</f>
        <v>4437.3999999999996</v>
      </c>
      <c r="K17" s="26">
        <f>'2023'!K19</f>
        <v>4452.3999999999996</v>
      </c>
      <c r="L17" s="26">
        <f t="shared" si="7"/>
        <v>14752.839999999998</v>
      </c>
      <c r="M17" s="38">
        <f>'2023'!N19</f>
        <v>64.652200000000022</v>
      </c>
      <c r="N17" s="27">
        <v>64.652200000000022</v>
      </c>
      <c r="O17" s="38">
        <v>38.688000000000002</v>
      </c>
      <c r="P17" s="27">
        <f t="shared" si="0"/>
        <v>40.235520000000001</v>
      </c>
      <c r="Q17" s="27">
        <f t="shared" si="1"/>
        <v>78559.101014000058</v>
      </c>
      <c r="R17" s="27">
        <f t="shared" si="2"/>
        <v>73670.042154000053</v>
      </c>
      <c r="S17" s="27">
        <f t="shared" si="3"/>
        <v>108346.57583200009</v>
      </c>
      <c r="T17" s="27">
        <f t="shared" si="4"/>
        <v>108712.82603200008</v>
      </c>
      <c r="U17" s="27">
        <f t="shared" si="8"/>
        <v>369288.54503200029</v>
      </c>
      <c r="V17" s="119"/>
      <c r="W17" s="119"/>
      <c r="X17" s="119"/>
      <c r="Y17" s="29">
        <f t="shared" si="5"/>
        <v>100</v>
      </c>
      <c r="Z17" s="30">
        <f t="shared" si="6"/>
        <v>104</v>
      </c>
      <c r="AA17" s="2"/>
      <c r="AD17" s="32">
        <f t="shared" si="9"/>
        <v>0</v>
      </c>
      <c r="AE17" s="91"/>
      <c r="AF17" s="92"/>
    </row>
    <row r="18" spans="1:32" s="40" customFormat="1" ht="51" customHeight="1">
      <c r="A18" s="33">
        <v>2907017553</v>
      </c>
      <c r="B18" s="34" t="s">
        <v>25</v>
      </c>
      <c r="C18" s="35" t="s">
        <v>19</v>
      </c>
      <c r="D18" s="33" t="s">
        <v>34</v>
      </c>
      <c r="E18" s="33"/>
      <c r="F18" s="25" t="s">
        <v>428</v>
      </c>
      <c r="G18" s="36"/>
      <c r="H18" s="26">
        <f>'2023'!H20</f>
        <v>1259.3400000000001</v>
      </c>
      <c r="I18" s="26">
        <f>'2023'!I20</f>
        <v>1217.83</v>
      </c>
      <c r="J18" s="26">
        <f>'2023'!J20</f>
        <v>1405.3899999999999</v>
      </c>
      <c r="K18" s="26">
        <f>'2023'!K20</f>
        <v>1128.3899999999999</v>
      </c>
      <c r="L18" s="26">
        <f t="shared" si="7"/>
        <v>5010.95</v>
      </c>
      <c r="M18" s="38">
        <f>'2023'!N20</f>
        <v>40.320600000000013</v>
      </c>
      <c r="N18" s="27">
        <v>40.320600000000013</v>
      </c>
      <c r="O18" s="38">
        <v>21.694400000000002</v>
      </c>
      <c r="P18" s="27">
        <f t="shared" si="0"/>
        <v>22.562176000000001</v>
      </c>
      <c r="Q18" s="27">
        <f t="shared" si="1"/>
        <v>23456.718708000019</v>
      </c>
      <c r="R18" s="27">
        <f t="shared" si="2"/>
        <v>22683.545146000011</v>
      </c>
      <c r="S18" s="27">
        <f t="shared" si="3"/>
        <v>24957.511505360017</v>
      </c>
      <c r="T18" s="27">
        <f t="shared" si="4"/>
        <v>20038.428057360012</v>
      </c>
      <c r="U18" s="27">
        <f t="shared" si="8"/>
        <v>91136.203416720062</v>
      </c>
      <c r="V18" s="119"/>
      <c r="W18" s="119"/>
      <c r="X18" s="119"/>
      <c r="Y18" s="29">
        <f t="shared" si="5"/>
        <v>100</v>
      </c>
      <c r="Z18" s="30">
        <f t="shared" si="6"/>
        <v>104</v>
      </c>
      <c r="AA18" s="2"/>
      <c r="AD18" s="32">
        <f t="shared" si="9"/>
        <v>0</v>
      </c>
      <c r="AE18" s="91"/>
      <c r="AF18" s="92"/>
    </row>
    <row r="19" spans="1:32" s="40" customFormat="1" ht="51" customHeight="1">
      <c r="A19" s="33">
        <v>2907017553</v>
      </c>
      <c r="B19" s="34" t="s">
        <v>25</v>
      </c>
      <c r="C19" s="35" t="s">
        <v>19</v>
      </c>
      <c r="D19" s="33" t="s">
        <v>35</v>
      </c>
      <c r="E19" s="33"/>
      <c r="F19" s="25" t="s">
        <v>428</v>
      </c>
      <c r="G19" s="36"/>
      <c r="H19" s="26">
        <f>'2023'!H21</f>
        <v>378.90999999999997</v>
      </c>
      <c r="I19" s="26">
        <f>'2023'!I21</f>
        <v>395.35</v>
      </c>
      <c r="J19" s="26">
        <f>'2023'!J21</f>
        <v>408.57000000000005</v>
      </c>
      <c r="K19" s="26">
        <f>'2023'!K21</f>
        <v>364.38</v>
      </c>
      <c r="L19" s="26">
        <f t="shared" si="7"/>
        <v>1547.21</v>
      </c>
      <c r="M19" s="38">
        <f>'2023'!N21</f>
        <v>60.463200000000008</v>
      </c>
      <c r="N19" s="27">
        <v>60.463200000000008</v>
      </c>
      <c r="O19" s="38">
        <v>41.701816000000001</v>
      </c>
      <c r="P19" s="27">
        <f t="shared" si="0"/>
        <v>43.369888639999999</v>
      </c>
      <c r="Q19" s="27">
        <f t="shared" si="1"/>
        <v>7108.876011440002</v>
      </c>
      <c r="R19" s="27">
        <f t="shared" si="2"/>
        <v>7417.3131644000032</v>
      </c>
      <c r="S19" s="27">
        <f t="shared" si="3"/>
        <v>6983.814222355204</v>
      </c>
      <c r="T19" s="27">
        <f t="shared" si="4"/>
        <v>6228.4607933568032</v>
      </c>
      <c r="U19" s="27">
        <f t="shared" si="8"/>
        <v>27738.464191552011</v>
      </c>
      <c r="V19" s="119"/>
      <c r="W19" s="119"/>
      <c r="X19" s="119"/>
      <c r="Y19" s="29">
        <f t="shared" si="5"/>
        <v>100</v>
      </c>
      <c r="Z19" s="30">
        <f t="shared" si="6"/>
        <v>104</v>
      </c>
      <c r="AA19" s="2"/>
      <c r="AD19" s="32">
        <f t="shared" si="9"/>
        <v>0</v>
      </c>
      <c r="AE19" s="91"/>
      <c r="AF19" s="92"/>
    </row>
    <row r="20" spans="1:32" s="40" customFormat="1" ht="51" customHeight="1">
      <c r="A20" s="33">
        <v>2907017553</v>
      </c>
      <c r="B20" s="34" t="s">
        <v>25</v>
      </c>
      <c r="C20" s="35" t="s">
        <v>19</v>
      </c>
      <c r="D20" s="33" t="s">
        <v>36</v>
      </c>
      <c r="E20" s="33"/>
      <c r="F20" s="25" t="s">
        <v>428</v>
      </c>
      <c r="G20" s="36"/>
      <c r="H20" s="26">
        <f>'2023'!H22</f>
        <v>515.11</v>
      </c>
      <c r="I20" s="26">
        <f>'2023'!I22</f>
        <v>514.55999999999995</v>
      </c>
      <c r="J20" s="26">
        <f>'2023'!J22</f>
        <v>587.68999999999994</v>
      </c>
      <c r="K20" s="26">
        <f>'2023'!K22</f>
        <v>569.27</v>
      </c>
      <c r="L20" s="26">
        <f t="shared" si="7"/>
        <v>2186.63</v>
      </c>
      <c r="M20" s="38">
        <f>'2023'!N22</f>
        <v>67.885400000000004</v>
      </c>
      <c r="N20" s="27">
        <v>67.885400000000004</v>
      </c>
      <c r="O20" s="38">
        <v>30.7944</v>
      </c>
      <c r="P20" s="27">
        <f t="shared" si="0"/>
        <v>32.026176</v>
      </c>
      <c r="Q20" s="27">
        <f t="shared" si="1"/>
        <v>19105.945010000003</v>
      </c>
      <c r="R20" s="27">
        <f t="shared" si="2"/>
        <v>19085.544960000003</v>
      </c>
      <c r="S20" s="27">
        <f t="shared" si="3"/>
        <v>21074.10735256</v>
      </c>
      <c r="T20" s="27">
        <f t="shared" si="4"/>
        <v>20413.580446480002</v>
      </c>
      <c r="U20" s="27">
        <f t="shared" si="8"/>
        <v>79679.177769040019</v>
      </c>
      <c r="V20" s="119"/>
      <c r="W20" s="119"/>
      <c r="X20" s="119"/>
      <c r="Y20" s="29">
        <f t="shared" si="5"/>
        <v>100</v>
      </c>
      <c r="Z20" s="30">
        <f t="shared" si="6"/>
        <v>104</v>
      </c>
      <c r="AA20" s="2"/>
      <c r="AD20" s="32">
        <f t="shared" si="9"/>
        <v>0</v>
      </c>
      <c r="AE20" s="91"/>
      <c r="AF20" s="92"/>
    </row>
    <row r="21" spans="1:32" s="40" customFormat="1" ht="51" customHeight="1">
      <c r="A21" s="33">
        <v>2907017553</v>
      </c>
      <c r="B21" s="34" t="s">
        <v>25</v>
      </c>
      <c r="C21" s="35" t="s">
        <v>19</v>
      </c>
      <c r="D21" s="33" t="s">
        <v>37</v>
      </c>
      <c r="E21" s="33"/>
      <c r="F21" s="25" t="s">
        <v>428</v>
      </c>
      <c r="G21" s="36"/>
      <c r="H21" s="26">
        <f>'2023'!H23</f>
        <v>553.57000000000005</v>
      </c>
      <c r="I21" s="26">
        <f>'2023'!I23</f>
        <v>594.54999999999995</v>
      </c>
      <c r="J21" s="26">
        <f>'2023'!J23</f>
        <v>690.17</v>
      </c>
      <c r="K21" s="26">
        <f>'2023'!K23</f>
        <v>526.29</v>
      </c>
      <c r="L21" s="26">
        <f t="shared" si="7"/>
        <v>2364.58</v>
      </c>
      <c r="M21" s="38">
        <f>'2023'!N23</f>
        <v>67.779200000000003</v>
      </c>
      <c r="N21" s="27">
        <v>67.779200000000003</v>
      </c>
      <c r="O21" s="38">
        <v>45.416800000000002</v>
      </c>
      <c r="P21" s="27">
        <f t="shared" si="0"/>
        <v>47.233472000000006</v>
      </c>
      <c r="Q21" s="27">
        <f t="shared" si="1"/>
        <v>12379.153768000002</v>
      </c>
      <c r="R21" s="27">
        <f t="shared" si="2"/>
        <v>13295.564919999999</v>
      </c>
      <c r="S21" s="27">
        <f t="shared" si="3"/>
        <v>14180.045093759996</v>
      </c>
      <c r="T21" s="27">
        <f t="shared" si="4"/>
        <v>10813.011189119998</v>
      </c>
      <c r="U21" s="27">
        <f t="shared" si="8"/>
        <v>50667.774970879997</v>
      </c>
      <c r="V21" s="119"/>
      <c r="W21" s="119"/>
      <c r="X21" s="119"/>
      <c r="Y21" s="29">
        <f t="shared" si="5"/>
        <v>100</v>
      </c>
      <c r="Z21" s="30">
        <f t="shared" si="6"/>
        <v>104</v>
      </c>
      <c r="AA21" s="2"/>
      <c r="AD21" s="32">
        <f t="shared" si="9"/>
        <v>0</v>
      </c>
      <c r="AE21" s="91"/>
      <c r="AF21" s="92"/>
    </row>
    <row r="22" spans="1:32" s="40" customFormat="1" ht="51" customHeight="1">
      <c r="A22" s="33">
        <v>2907017553</v>
      </c>
      <c r="B22" s="34" t="s">
        <v>25</v>
      </c>
      <c r="C22" s="35" t="s">
        <v>19</v>
      </c>
      <c r="D22" s="33" t="s">
        <v>38</v>
      </c>
      <c r="E22" s="33"/>
      <c r="F22" s="25" t="s">
        <v>428</v>
      </c>
      <c r="G22" s="36"/>
      <c r="H22" s="26">
        <f>'2023'!H24</f>
        <v>730.38000000000011</v>
      </c>
      <c r="I22" s="26">
        <f>'2023'!I24</f>
        <v>723.25</v>
      </c>
      <c r="J22" s="26">
        <f>'2023'!J24</f>
        <v>754.61</v>
      </c>
      <c r="K22" s="26">
        <f>'2023'!K24</f>
        <v>786.62999999999988</v>
      </c>
      <c r="L22" s="26">
        <f t="shared" si="7"/>
        <v>2994.87</v>
      </c>
      <c r="M22" s="38">
        <f>'2023'!N24</f>
        <v>60.357000000000006</v>
      </c>
      <c r="N22" s="27">
        <v>60.357000000000006</v>
      </c>
      <c r="O22" s="38">
        <v>47.486399999999996</v>
      </c>
      <c r="P22" s="27">
        <f t="shared" si="0"/>
        <v>49.385855999999997</v>
      </c>
      <c r="Q22" s="27">
        <f t="shared" si="1"/>
        <v>9400.4288280000092</v>
      </c>
      <c r="R22" s="27">
        <f t="shared" si="2"/>
        <v>9308.6614500000069</v>
      </c>
      <c r="S22" s="27">
        <f t="shared" si="3"/>
        <v>8278.9349738400069</v>
      </c>
      <c r="T22" s="27">
        <f t="shared" si="4"/>
        <v>8630.2310047200062</v>
      </c>
      <c r="U22" s="27">
        <f t="shared" si="8"/>
        <v>35618.256256560031</v>
      </c>
      <c r="V22" s="119"/>
      <c r="W22" s="119"/>
      <c r="X22" s="119"/>
      <c r="Y22" s="29">
        <f t="shared" si="5"/>
        <v>100</v>
      </c>
      <c r="Z22" s="30">
        <f t="shared" si="6"/>
        <v>104</v>
      </c>
      <c r="AA22" s="2"/>
      <c r="AD22" s="32">
        <f t="shared" si="9"/>
        <v>0</v>
      </c>
      <c r="AE22" s="91"/>
      <c r="AF22" s="92"/>
    </row>
    <row r="23" spans="1:32" s="40" customFormat="1" ht="51" customHeight="1">
      <c r="A23" s="33">
        <v>2907017553</v>
      </c>
      <c r="B23" s="34" t="s">
        <v>25</v>
      </c>
      <c r="C23" s="35" t="s">
        <v>19</v>
      </c>
      <c r="D23" s="33" t="s">
        <v>39</v>
      </c>
      <c r="E23" s="33"/>
      <c r="F23" s="25" t="s">
        <v>428</v>
      </c>
      <c r="G23" s="36"/>
      <c r="H23" s="26">
        <f>'2023'!H25</f>
        <v>35.07</v>
      </c>
      <c r="I23" s="26">
        <f>'2023'!I25</f>
        <v>35.07</v>
      </c>
      <c r="J23" s="26">
        <f>'2023'!J25</f>
        <v>35.07</v>
      </c>
      <c r="K23" s="26">
        <f>'2023'!K25</f>
        <v>35.07</v>
      </c>
      <c r="L23" s="26">
        <f t="shared" si="7"/>
        <v>140.28</v>
      </c>
      <c r="M23" s="38">
        <f>'2023'!N25</f>
        <v>51.21200000000001</v>
      </c>
      <c r="N23" s="27">
        <v>51.21200000000001</v>
      </c>
      <c r="O23" s="38">
        <v>39.773656000000003</v>
      </c>
      <c r="P23" s="27">
        <f t="shared" si="0"/>
        <v>41.364602240000004</v>
      </c>
      <c r="Q23" s="27">
        <f t="shared" si="1"/>
        <v>401.14272408000028</v>
      </c>
      <c r="R23" s="27">
        <f t="shared" si="2"/>
        <v>401.14272408000028</v>
      </c>
      <c r="S23" s="27">
        <f t="shared" si="3"/>
        <v>345.34823944320027</v>
      </c>
      <c r="T23" s="27">
        <f t="shared" si="4"/>
        <v>345.34823944320027</v>
      </c>
      <c r="U23" s="27">
        <f t="shared" si="8"/>
        <v>1492.9819270464011</v>
      </c>
      <c r="V23" s="119"/>
      <c r="W23" s="119"/>
      <c r="X23" s="119"/>
      <c r="Y23" s="29">
        <f t="shared" si="5"/>
        <v>100</v>
      </c>
      <c r="Z23" s="30">
        <f t="shared" si="6"/>
        <v>104</v>
      </c>
      <c r="AA23" s="2"/>
      <c r="AD23" s="32">
        <f t="shared" si="9"/>
        <v>0</v>
      </c>
      <c r="AE23" s="91"/>
      <c r="AF23" s="92"/>
    </row>
    <row r="24" spans="1:32" s="40" customFormat="1" ht="51" customHeight="1">
      <c r="A24" s="33">
        <v>2907017553</v>
      </c>
      <c r="B24" s="34" t="s">
        <v>25</v>
      </c>
      <c r="C24" s="35" t="s">
        <v>19</v>
      </c>
      <c r="D24" s="33" t="s">
        <v>40</v>
      </c>
      <c r="E24" s="33"/>
      <c r="F24" s="25" t="s">
        <v>428</v>
      </c>
      <c r="G24" s="36"/>
      <c r="H24" s="26">
        <f>'2023'!H26</f>
        <v>379.04</v>
      </c>
      <c r="I24" s="26">
        <f>'2023'!I26</f>
        <v>363.5</v>
      </c>
      <c r="J24" s="26">
        <f>'2023'!J26</f>
        <v>453.49</v>
      </c>
      <c r="K24" s="26">
        <f>'2023'!K26</f>
        <v>375.04</v>
      </c>
      <c r="L24" s="26">
        <f t="shared" si="7"/>
        <v>1571.07</v>
      </c>
      <c r="M24" s="38">
        <f>'2023'!N26</f>
        <v>62.233200000000018</v>
      </c>
      <c r="N24" s="27">
        <v>62.233200000000018</v>
      </c>
      <c r="O24" s="38">
        <v>38.688000000000002</v>
      </c>
      <c r="P24" s="27">
        <f t="shared" si="0"/>
        <v>40.235520000000001</v>
      </c>
      <c r="Q24" s="27">
        <f t="shared" si="1"/>
        <v>8924.5726080000059</v>
      </c>
      <c r="R24" s="27">
        <f t="shared" si="2"/>
        <v>8558.6802000000062</v>
      </c>
      <c r="S24" s="27">
        <f t="shared" si="3"/>
        <v>9975.7279032000079</v>
      </c>
      <c r="T24" s="27">
        <f t="shared" si="4"/>
        <v>8250.0099072000066</v>
      </c>
      <c r="U24" s="27">
        <f t="shared" si="8"/>
        <v>35708.990618400028</v>
      </c>
      <c r="V24" s="119"/>
      <c r="W24" s="119"/>
      <c r="X24" s="119"/>
      <c r="Y24" s="29">
        <f t="shared" si="5"/>
        <v>100</v>
      </c>
      <c r="Z24" s="30">
        <f t="shared" si="6"/>
        <v>104</v>
      </c>
      <c r="AA24" s="2"/>
      <c r="AD24" s="32">
        <f t="shared" si="9"/>
        <v>0</v>
      </c>
      <c r="AE24" s="91"/>
      <c r="AF24" s="92"/>
    </row>
    <row r="25" spans="1:32" s="40" customFormat="1" ht="51" customHeight="1">
      <c r="A25" s="33">
        <v>2907017553</v>
      </c>
      <c r="B25" s="34" t="s">
        <v>25</v>
      </c>
      <c r="C25" s="35" t="s">
        <v>19</v>
      </c>
      <c r="D25" s="33" t="s">
        <v>41</v>
      </c>
      <c r="E25" s="33"/>
      <c r="F25" s="25" t="s">
        <v>428</v>
      </c>
      <c r="G25" s="36"/>
      <c r="H25" s="26">
        <f>'2023'!H27</f>
        <v>210.91000000000003</v>
      </c>
      <c r="I25" s="26">
        <f>'2023'!I27</f>
        <v>281</v>
      </c>
      <c r="J25" s="26">
        <f>'2023'!J27</f>
        <v>216.15999999999997</v>
      </c>
      <c r="K25" s="26">
        <f>'2023'!K27</f>
        <v>217.38</v>
      </c>
      <c r="L25" s="26">
        <f t="shared" si="7"/>
        <v>925.44999999999993</v>
      </c>
      <c r="M25" s="38">
        <f>'2023'!N27</f>
        <v>61.206600000000002</v>
      </c>
      <c r="N25" s="27">
        <v>61.206600000000002</v>
      </c>
      <c r="O25" s="38">
        <v>50.024000000000001</v>
      </c>
      <c r="P25" s="27">
        <f t="shared" si="0"/>
        <v>52.02496</v>
      </c>
      <c r="Q25" s="27">
        <f t="shared" si="1"/>
        <v>2358.5221660000007</v>
      </c>
      <c r="R25" s="27">
        <f t="shared" si="2"/>
        <v>3142.3106000000002</v>
      </c>
      <c r="S25" s="27">
        <f t="shared" si="3"/>
        <v>1984.7033024</v>
      </c>
      <c r="T25" s="27">
        <f t="shared" si="4"/>
        <v>1995.9049032000003</v>
      </c>
      <c r="U25" s="27">
        <f t="shared" si="8"/>
        <v>9481.4409716000009</v>
      </c>
      <c r="V25" s="119"/>
      <c r="W25" s="119"/>
      <c r="X25" s="119"/>
      <c r="Y25" s="29">
        <f t="shared" si="5"/>
        <v>100</v>
      </c>
      <c r="Z25" s="30">
        <f t="shared" si="6"/>
        <v>104</v>
      </c>
      <c r="AA25" s="2"/>
      <c r="AD25" s="32">
        <f t="shared" si="9"/>
        <v>0</v>
      </c>
      <c r="AE25" s="91"/>
      <c r="AF25" s="92"/>
    </row>
    <row r="26" spans="1:32" s="40" customFormat="1" ht="15" customHeight="1">
      <c r="A26" s="33"/>
      <c r="B26" s="34"/>
      <c r="C26" s="35"/>
      <c r="D26" s="33"/>
      <c r="E26" s="33"/>
      <c r="F26" s="36"/>
      <c r="G26" s="36"/>
      <c r="H26" s="26"/>
      <c r="I26" s="26"/>
      <c r="J26" s="26"/>
      <c r="K26" s="26"/>
      <c r="L26" s="37"/>
      <c r="M26" s="41"/>
      <c r="N26" s="41"/>
      <c r="O26" s="41"/>
      <c r="P26" s="41"/>
      <c r="Q26" s="27"/>
      <c r="R26" s="27"/>
      <c r="S26" s="27"/>
      <c r="T26" s="27"/>
      <c r="U26" s="27"/>
      <c r="V26" s="119"/>
      <c r="W26" s="119"/>
      <c r="X26" s="119"/>
      <c r="Y26" s="29" t="e">
        <f t="shared" si="5"/>
        <v>#DIV/0!</v>
      </c>
      <c r="Z26" s="30" t="e">
        <f t="shared" si="6"/>
        <v>#DIV/0!</v>
      </c>
      <c r="AA26" s="2"/>
      <c r="AD26" s="32" t="e">
        <f t="shared" si="9"/>
        <v>#DIV/0!</v>
      </c>
      <c r="AE26" s="91"/>
      <c r="AF26" s="92"/>
    </row>
    <row r="27" spans="1:32" s="40" customFormat="1" ht="51" customHeight="1">
      <c r="A27" s="33">
        <v>2908004701</v>
      </c>
      <c r="B27" s="34" t="s">
        <v>43</v>
      </c>
      <c r="C27" s="35" t="s">
        <v>303</v>
      </c>
      <c r="D27" s="33" t="s">
        <v>304</v>
      </c>
      <c r="E27" s="33"/>
      <c r="F27" s="25" t="s">
        <v>428</v>
      </c>
      <c r="G27" s="36"/>
      <c r="H27" s="26">
        <f>'2023'!H29</f>
        <v>10455.674999999999</v>
      </c>
      <c r="I27" s="26">
        <f>'2023'!I29</f>
        <v>9691.4269999999997</v>
      </c>
      <c r="J27" s="26">
        <f>'2023'!J29</f>
        <v>10461.446</v>
      </c>
      <c r="K27" s="26">
        <f>'2023'!K29</f>
        <v>10173.184000000001</v>
      </c>
      <c r="L27" s="26">
        <f t="shared" si="7"/>
        <v>40781.732000000004</v>
      </c>
      <c r="M27" s="38">
        <f>'2023'!N29</f>
        <v>82.375800000000027</v>
      </c>
      <c r="N27" s="27">
        <v>82.375800000000027</v>
      </c>
      <c r="O27" s="38">
        <f>'2023'!P29</f>
        <v>42.906358975999993</v>
      </c>
      <c r="P27" s="27">
        <v>44.622613335039993</v>
      </c>
      <c r="Q27" s="27">
        <f>(M27-O27)*H27</f>
        <v>412679.64777861151</v>
      </c>
      <c r="R27" s="27">
        <f t="shared" ref="R27:S29" si="10">(M27-O27)*I27</f>
        <v>382515.20641490154</v>
      </c>
      <c r="S27" s="27">
        <f t="shared" si="10"/>
        <v>394952.92362339946</v>
      </c>
      <c r="T27" s="27">
        <f>(N27-P27)*K27</f>
        <v>384070.11452898482</v>
      </c>
      <c r="U27" s="27">
        <f t="shared" si="8"/>
        <v>1574217.8923458974</v>
      </c>
      <c r="V27" s="119"/>
      <c r="W27" s="119"/>
      <c r="X27" s="119"/>
      <c r="Y27" s="29">
        <f t="shared" si="5"/>
        <v>100</v>
      </c>
      <c r="Z27" s="30">
        <f t="shared" si="6"/>
        <v>104</v>
      </c>
      <c r="AA27" s="2"/>
      <c r="AD27" s="32">
        <f t="shared" si="9"/>
        <v>0</v>
      </c>
      <c r="AE27" s="91"/>
      <c r="AF27" s="92"/>
    </row>
    <row r="28" spans="1:32" s="40" customFormat="1" ht="51" customHeight="1">
      <c r="A28" s="33">
        <v>2908004701</v>
      </c>
      <c r="B28" s="34" t="s">
        <v>43</v>
      </c>
      <c r="C28" s="35" t="s">
        <v>303</v>
      </c>
      <c r="D28" s="33" t="s">
        <v>305</v>
      </c>
      <c r="E28" s="33"/>
      <c r="F28" s="25" t="s">
        <v>428</v>
      </c>
      <c r="G28" s="36"/>
      <c r="H28" s="26">
        <f>'2023'!H30</f>
        <v>9684.8859999999986</v>
      </c>
      <c r="I28" s="26">
        <f>'2023'!I30</f>
        <v>9255.1990000000005</v>
      </c>
      <c r="J28" s="26">
        <f>'2023'!J30</f>
        <v>10721.526000000002</v>
      </c>
      <c r="K28" s="26">
        <f>'2023'!K30</f>
        <v>10001.27</v>
      </c>
      <c r="L28" s="26">
        <f t="shared" si="7"/>
        <v>39662.881000000001</v>
      </c>
      <c r="M28" s="38">
        <f>'2023'!N30</f>
        <v>146.19</v>
      </c>
      <c r="N28" s="27">
        <v>159.63947999999999</v>
      </c>
      <c r="O28" s="38">
        <f>'2023'!P30</f>
        <v>42.906358975999993</v>
      </c>
      <c r="P28" s="27">
        <v>44.622613335039993</v>
      </c>
      <c r="Q28" s="27">
        <f>(M28-O28)*H28</f>
        <v>1000290.2889823632</v>
      </c>
      <c r="R28" s="27">
        <f t="shared" si="10"/>
        <v>955910.65112168388</v>
      </c>
      <c r="S28" s="27">
        <f t="shared" si="10"/>
        <v>1233156.326386902</v>
      </c>
      <c r="T28" s="27">
        <f>(N28-P28)*K28</f>
        <v>1150314.7380702645</v>
      </c>
      <c r="U28" s="27">
        <f t="shared" si="8"/>
        <v>4339672.0045612138</v>
      </c>
      <c r="V28" s="119"/>
      <c r="W28" s="119"/>
      <c r="X28" s="119"/>
      <c r="Y28" s="29">
        <f t="shared" si="5"/>
        <v>109.19999999999999</v>
      </c>
      <c r="Z28" s="30">
        <f t="shared" si="6"/>
        <v>104</v>
      </c>
      <c r="AA28" s="2"/>
      <c r="AD28" s="32">
        <f t="shared" si="9"/>
        <v>0</v>
      </c>
      <c r="AE28" s="91"/>
      <c r="AF28" s="92"/>
    </row>
    <row r="29" spans="1:32" s="40" customFormat="1" ht="51" customHeight="1">
      <c r="A29" s="33" t="s">
        <v>45</v>
      </c>
      <c r="B29" s="34" t="s">
        <v>46</v>
      </c>
      <c r="C29" s="35" t="s">
        <v>303</v>
      </c>
      <c r="D29" s="33" t="s">
        <v>47</v>
      </c>
      <c r="E29" s="33"/>
      <c r="F29" s="25" t="s">
        <v>428</v>
      </c>
      <c r="G29" s="36"/>
      <c r="H29" s="26">
        <f>'2023'!H31</f>
        <v>3324.259</v>
      </c>
      <c r="I29" s="26">
        <f>'2023'!I31</f>
        <v>3279.3380000000002</v>
      </c>
      <c r="J29" s="26">
        <f>'2023'!J31</f>
        <v>3176.9130000000005</v>
      </c>
      <c r="K29" s="26">
        <f>'2023'!K31</f>
        <v>2921.5050000000001</v>
      </c>
      <c r="L29" s="26">
        <f t="shared" si="7"/>
        <v>12702.014999999999</v>
      </c>
      <c r="M29" s="38">
        <f>'2023'!N31</f>
        <v>63.831038000000007</v>
      </c>
      <c r="N29" s="27">
        <v>63.831038000000007</v>
      </c>
      <c r="O29" s="38">
        <f>'2023'!P31</f>
        <v>41.173600000000008</v>
      </c>
      <c r="P29" s="27">
        <v>42.820544000000012</v>
      </c>
      <c r="Q29" s="27">
        <f>(M29-O29)*H29</f>
        <v>75319.192188442001</v>
      </c>
      <c r="R29" s="27">
        <f t="shared" si="10"/>
        <v>74301.397416043998</v>
      </c>
      <c r="S29" s="27">
        <f t="shared" si="10"/>
        <v>66748.511525021997</v>
      </c>
      <c r="T29" s="27">
        <f>(N29-P29)*K29</f>
        <v>61382.263273469987</v>
      </c>
      <c r="U29" s="27">
        <f t="shared" si="8"/>
        <v>277751.36440297798</v>
      </c>
      <c r="V29" s="119"/>
      <c r="W29" s="119"/>
      <c r="X29" s="119"/>
      <c r="Y29" s="29">
        <f t="shared" si="5"/>
        <v>100</v>
      </c>
      <c r="Z29" s="30">
        <f t="shared" si="6"/>
        <v>104</v>
      </c>
      <c r="AA29" s="2"/>
      <c r="AD29" s="32">
        <f t="shared" si="9"/>
        <v>0</v>
      </c>
      <c r="AE29" s="91"/>
      <c r="AF29" s="92"/>
    </row>
    <row r="30" spans="1:32" s="40" customFormat="1" ht="15" customHeight="1">
      <c r="A30" s="33"/>
      <c r="B30" s="34"/>
      <c r="C30" s="35"/>
      <c r="D30" s="33"/>
      <c r="E30" s="33"/>
      <c r="F30" s="36"/>
      <c r="G30" s="36"/>
      <c r="H30" s="26"/>
      <c r="I30" s="26"/>
      <c r="J30" s="26"/>
      <c r="K30" s="26"/>
      <c r="L30" s="37"/>
      <c r="M30" s="41"/>
      <c r="N30" s="41"/>
      <c r="O30" s="41"/>
      <c r="P30" s="41"/>
      <c r="Q30" s="27"/>
      <c r="R30" s="27"/>
      <c r="S30" s="27"/>
      <c r="T30" s="27"/>
      <c r="U30" s="27"/>
      <c r="V30" s="119"/>
      <c r="W30" s="119"/>
      <c r="X30" s="119"/>
      <c r="Y30" s="29"/>
      <c r="Z30" s="30"/>
      <c r="AA30" s="2"/>
      <c r="AD30" s="32"/>
      <c r="AE30" s="91"/>
      <c r="AF30" s="92"/>
    </row>
    <row r="31" spans="1:32" s="40" customFormat="1" ht="72.75" customHeight="1">
      <c r="A31" s="33">
        <v>2901284489</v>
      </c>
      <c r="B31" s="34" t="s">
        <v>115</v>
      </c>
      <c r="C31" s="35" t="s">
        <v>306</v>
      </c>
      <c r="D31" s="33" t="s">
        <v>376</v>
      </c>
      <c r="E31" s="33"/>
      <c r="F31" s="25" t="s">
        <v>428</v>
      </c>
      <c r="G31" s="36"/>
      <c r="H31" s="26">
        <f>'2023'!H33</f>
        <v>22500</v>
      </c>
      <c r="I31" s="26">
        <f>'2023'!I33</f>
        <v>22500</v>
      </c>
      <c r="J31" s="26">
        <f>'2023'!J33</f>
        <v>22500</v>
      </c>
      <c r="K31" s="26">
        <f>'2023'!K33</f>
        <v>22500</v>
      </c>
      <c r="L31" s="26">
        <f t="shared" si="7"/>
        <v>90000</v>
      </c>
      <c r="M31" s="38">
        <f>'2023'!N33</f>
        <v>71.409116000000012</v>
      </c>
      <c r="N31" s="27">
        <v>71.409116000000012</v>
      </c>
      <c r="O31" s="38">
        <f>'2023'!P33</f>
        <v>49.37</v>
      </c>
      <c r="P31" s="38">
        <f>O31*1.04</f>
        <v>51.344799999999999</v>
      </c>
      <c r="Q31" s="27">
        <f>(M31-O31)*H31</f>
        <v>495880.11000000034</v>
      </c>
      <c r="R31" s="27">
        <f t="shared" ref="R31:S35" si="11">(M31-O31)*I31</f>
        <v>495880.11000000034</v>
      </c>
      <c r="S31" s="27">
        <f t="shared" si="11"/>
        <v>451447.11000000028</v>
      </c>
      <c r="T31" s="27">
        <f>(N31-P31)*K31</f>
        <v>451447.11000000028</v>
      </c>
      <c r="U31" s="27">
        <f t="shared" si="8"/>
        <v>1894654.4400000013</v>
      </c>
      <c r="V31" s="119"/>
      <c r="W31" s="119"/>
      <c r="X31" s="119"/>
      <c r="Y31" s="29"/>
      <c r="Z31" s="30"/>
      <c r="AA31" s="2"/>
      <c r="AD31" s="32"/>
      <c r="AE31" s="91"/>
      <c r="AF31" s="92"/>
    </row>
    <row r="32" spans="1:32" s="40" customFormat="1" ht="60" customHeight="1">
      <c r="A32" s="33">
        <v>2909002440</v>
      </c>
      <c r="B32" s="34" t="s">
        <v>48</v>
      </c>
      <c r="C32" s="35" t="s">
        <v>306</v>
      </c>
      <c r="D32" s="33" t="s">
        <v>307</v>
      </c>
      <c r="E32" s="33"/>
      <c r="F32" s="25" t="s">
        <v>428</v>
      </c>
      <c r="G32" s="36"/>
      <c r="H32" s="26">
        <f>'2023'!H34</f>
        <v>3119</v>
      </c>
      <c r="I32" s="26">
        <f>'2023'!I34</f>
        <v>3119</v>
      </c>
      <c r="J32" s="26">
        <f>'2023'!J34</f>
        <v>3119</v>
      </c>
      <c r="K32" s="26">
        <f>'2023'!K34</f>
        <v>3119</v>
      </c>
      <c r="L32" s="26">
        <f t="shared" si="7"/>
        <v>12476</v>
      </c>
      <c r="M32" s="38">
        <f>'2023'!N34</f>
        <v>50.52</v>
      </c>
      <c r="N32" s="27">
        <v>51.088476800000002</v>
      </c>
      <c r="O32" s="38">
        <f>'2023'!P34</f>
        <v>44.41</v>
      </c>
      <c r="P32" s="38">
        <v>46.18</v>
      </c>
      <c r="Q32" s="27">
        <f>(M32-O32)*H32</f>
        <v>19057.090000000022</v>
      </c>
      <c r="R32" s="27">
        <f t="shared" si="11"/>
        <v>19057.090000000022</v>
      </c>
      <c r="S32" s="27">
        <f t="shared" si="11"/>
        <v>15309.539139200007</v>
      </c>
      <c r="T32" s="27">
        <f>(N32-P32)*K32</f>
        <v>15309.539139200007</v>
      </c>
      <c r="U32" s="27">
        <f t="shared" si="8"/>
        <v>68733.258278400055</v>
      </c>
      <c r="V32" s="119"/>
      <c r="W32" s="119"/>
      <c r="X32" s="119"/>
      <c r="Y32" s="29">
        <f>N32/M32*100</f>
        <v>101.12525098970704</v>
      </c>
      <c r="Z32" s="30">
        <f>P32/O32*100</f>
        <v>103.9855888313443</v>
      </c>
      <c r="AA32" s="2" t="s">
        <v>49</v>
      </c>
      <c r="AD32" s="32">
        <f t="shared" si="9"/>
        <v>1.4411168655698248E-2</v>
      </c>
      <c r="AE32" s="91"/>
      <c r="AF32" s="92"/>
    </row>
    <row r="33" spans="1:32" s="40" customFormat="1" ht="51" customHeight="1">
      <c r="A33" s="33">
        <v>2909003034</v>
      </c>
      <c r="B33" s="34" t="s">
        <v>50</v>
      </c>
      <c r="C33" s="35" t="s">
        <v>306</v>
      </c>
      <c r="D33" s="33" t="s">
        <v>51</v>
      </c>
      <c r="E33" s="33"/>
      <c r="F33" s="25" t="s">
        <v>428</v>
      </c>
      <c r="G33" s="36"/>
      <c r="H33" s="26">
        <f>'2023'!H35</f>
        <v>1451</v>
      </c>
      <c r="I33" s="26">
        <f>'2023'!I35</f>
        <v>1451</v>
      </c>
      <c r="J33" s="26">
        <f>'2023'!J35</f>
        <v>1451</v>
      </c>
      <c r="K33" s="26">
        <f>'2023'!K35</f>
        <v>1451</v>
      </c>
      <c r="L33" s="26">
        <f t="shared" si="7"/>
        <v>5804</v>
      </c>
      <c r="M33" s="38">
        <f>'2023'!N35</f>
        <v>42.37</v>
      </c>
      <c r="N33" s="27">
        <f>M33</f>
        <v>42.37</v>
      </c>
      <c r="O33" s="38">
        <f>'2023'!P35</f>
        <v>37.35</v>
      </c>
      <c r="P33" s="38">
        <f>O33*1.04</f>
        <v>38.844000000000001</v>
      </c>
      <c r="Q33" s="27">
        <f>(M33-O33)*H33</f>
        <v>7284.0199999999941</v>
      </c>
      <c r="R33" s="27">
        <f t="shared" si="11"/>
        <v>7284.0199999999941</v>
      </c>
      <c r="S33" s="27">
        <f t="shared" si="11"/>
        <v>5116.2259999999942</v>
      </c>
      <c r="T33" s="27">
        <f>(N33-P33)*K33</f>
        <v>5116.2259999999942</v>
      </c>
      <c r="U33" s="27">
        <f t="shared" si="8"/>
        <v>24800.491999999977</v>
      </c>
      <c r="V33" s="119"/>
      <c r="W33" s="119"/>
      <c r="X33" s="119"/>
      <c r="Y33" s="29">
        <f>N33/M33*100</f>
        <v>100</v>
      </c>
      <c r="Z33" s="30">
        <f>P33/O33*100</f>
        <v>104</v>
      </c>
      <c r="AA33" s="2"/>
      <c r="AD33" s="32">
        <f t="shared" si="9"/>
        <v>0</v>
      </c>
      <c r="AE33" s="91"/>
      <c r="AF33" s="92"/>
    </row>
    <row r="34" spans="1:32" s="40" customFormat="1" ht="51" customHeight="1">
      <c r="A34" s="33">
        <v>2909003115</v>
      </c>
      <c r="B34" s="34" t="s">
        <v>53</v>
      </c>
      <c r="C34" s="35" t="s">
        <v>306</v>
      </c>
      <c r="D34" s="33" t="s">
        <v>54</v>
      </c>
      <c r="E34" s="33"/>
      <c r="F34" s="25" t="s">
        <v>428</v>
      </c>
      <c r="G34" s="36"/>
      <c r="H34" s="26">
        <f>'2023'!H36</f>
        <v>2530.6799999999998</v>
      </c>
      <c r="I34" s="26">
        <f>'2023'!I36</f>
        <v>2816.0430000000001</v>
      </c>
      <c r="J34" s="26">
        <f>'2023'!J36</f>
        <v>3104.43</v>
      </c>
      <c r="K34" s="26">
        <f>'2023'!K36</f>
        <v>2631.49</v>
      </c>
      <c r="L34" s="26">
        <f t="shared" si="7"/>
        <v>11082.643</v>
      </c>
      <c r="M34" s="38">
        <f>'2023'!N36</f>
        <v>51.23</v>
      </c>
      <c r="N34" s="27">
        <f>M34</f>
        <v>51.23</v>
      </c>
      <c r="O34" s="38">
        <f>'2023'!P36</f>
        <v>44.41</v>
      </c>
      <c r="P34" s="38">
        <v>46.18</v>
      </c>
      <c r="Q34" s="27">
        <f>(M34-O34)*H34</f>
        <v>17259.2376</v>
      </c>
      <c r="R34" s="27">
        <f t="shared" si="11"/>
        <v>19205.413260000001</v>
      </c>
      <c r="S34" s="27">
        <f t="shared" si="11"/>
        <v>15677.37149999999</v>
      </c>
      <c r="T34" s="27">
        <f>(N34-P34)*K34</f>
        <v>13289.024499999992</v>
      </c>
      <c r="U34" s="27">
        <f t="shared" si="8"/>
        <v>65431.04685999998</v>
      </c>
      <c r="V34" s="119"/>
      <c r="W34" s="119"/>
      <c r="X34" s="119"/>
      <c r="Y34" s="29">
        <f>N34/M34*100</f>
        <v>100</v>
      </c>
      <c r="Z34" s="30">
        <f>P34/O34*100</f>
        <v>103.9855888313443</v>
      </c>
      <c r="AA34" s="2"/>
      <c r="AD34" s="32">
        <f t="shared" si="9"/>
        <v>1.4411168655698248E-2</v>
      </c>
      <c r="AE34" s="91"/>
      <c r="AF34" s="92"/>
    </row>
    <row r="35" spans="1:32" s="40" customFormat="1" ht="57" customHeight="1">
      <c r="A35" s="33">
        <v>2909003115</v>
      </c>
      <c r="B35" s="34" t="s">
        <v>53</v>
      </c>
      <c r="C35" s="35" t="s">
        <v>306</v>
      </c>
      <c r="D35" s="33" t="s">
        <v>55</v>
      </c>
      <c r="E35" s="33"/>
      <c r="F35" s="25" t="s">
        <v>428</v>
      </c>
      <c r="G35" s="36"/>
      <c r="H35" s="26">
        <f>'2023'!H37</f>
        <v>21467.5</v>
      </c>
      <c r="I35" s="26">
        <f>'2023'!I37</f>
        <v>21467.5</v>
      </c>
      <c r="J35" s="26">
        <f>'2023'!J37</f>
        <v>21467.5</v>
      </c>
      <c r="K35" s="26">
        <f>'2023'!K37</f>
        <v>21467.5</v>
      </c>
      <c r="L35" s="26">
        <f t="shared" si="7"/>
        <v>85870</v>
      </c>
      <c r="M35" s="38">
        <f>'2023'!N37</f>
        <v>63.5</v>
      </c>
      <c r="N35" s="27">
        <f>M35</f>
        <v>63.5</v>
      </c>
      <c r="O35" s="38">
        <f>'2023'!P37</f>
        <v>56.91</v>
      </c>
      <c r="P35" s="38">
        <f>O35*1.04</f>
        <v>59.186399999999999</v>
      </c>
      <c r="Q35" s="27">
        <f>(M35-O35)*H35</f>
        <v>141470.82500000007</v>
      </c>
      <c r="R35" s="27">
        <f t="shared" si="11"/>
        <v>141470.82500000007</v>
      </c>
      <c r="S35" s="27">
        <f t="shared" si="11"/>
        <v>92602.208000000028</v>
      </c>
      <c r="T35" s="27">
        <f>(N35-P35)*K35</f>
        <v>92602.208000000028</v>
      </c>
      <c r="U35" s="27">
        <f t="shared" si="8"/>
        <v>468146.06600000022</v>
      </c>
      <c r="V35" s="119"/>
      <c r="W35" s="119"/>
      <c r="X35" s="119"/>
      <c r="Y35" s="29">
        <f>N35/M35*100</f>
        <v>100</v>
      </c>
      <c r="Z35" s="30">
        <f>P35/O35*100</f>
        <v>104</v>
      </c>
      <c r="AA35" s="2"/>
      <c r="AD35" s="32">
        <f t="shared" si="9"/>
        <v>0</v>
      </c>
      <c r="AE35" s="91"/>
      <c r="AF35" s="92"/>
    </row>
    <row r="36" spans="1:32" s="40" customFormat="1" ht="15" customHeight="1">
      <c r="A36" s="33"/>
      <c r="B36" s="34"/>
      <c r="C36" s="35"/>
      <c r="D36" s="33"/>
      <c r="E36" s="33"/>
      <c r="F36" s="36"/>
      <c r="G36" s="36"/>
      <c r="H36" s="26"/>
      <c r="I36" s="26"/>
      <c r="J36" s="26"/>
      <c r="K36" s="26"/>
      <c r="L36" s="37"/>
      <c r="M36" s="41"/>
      <c r="N36" s="41"/>
      <c r="O36" s="41"/>
      <c r="P36" s="41"/>
      <c r="Q36" s="27"/>
      <c r="R36" s="27"/>
      <c r="S36" s="27"/>
      <c r="T36" s="27"/>
      <c r="U36" s="27"/>
      <c r="V36" s="119"/>
      <c r="W36" s="119"/>
      <c r="X36" s="119"/>
      <c r="Y36" s="29"/>
      <c r="Z36" s="30"/>
      <c r="AA36" s="2"/>
      <c r="AD36" s="32"/>
      <c r="AE36" s="91"/>
      <c r="AF36" s="92"/>
    </row>
    <row r="37" spans="1:32" s="40" customFormat="1" ht="51.75" customHeight="1">
      <c r="A37" s="33">
        <v>2910005156</v>
      </c>
      <c r="B37" s="34" t="s">
        <v>56</v>
      </c>
      <c r="C37" s="35" t="s">
        <v>298</v>
      </c>
      <c r="D37" s="33" t="s">
        <v>299</v>
      </c>
      <c r="E37" s="33"/>
      <c r="F37" s="25" t="s">
        <v>428</v>
      </c>
      <c r="G37" s="36"/>
      <c r="H37" s="26">
        <f>'2023'!H39</f>
        <v>559.42100000000005</v>
      </c>
      <c r="I37" s="26">
        <f>'2023'!I39</f>
        <v>457.339</v>
      </c>
      <c r="J37" s="26">
        <f>'2023'!J39</f>
        <v>578.351</v>
      </c>
      <c r="K37" s="26">
        <f>'2023'!K39</f>
        <v>556.68299999999999</v>
      </c>
      <c r="L37" s="26">
        <f t="shared" si="7"/>
        <v>2151.7939999999999</v>
      </c>
      <c r="M37" s="38">
        <f>'2023'!N39</f>
        <v>271.45</v>
      </c>
      <c r="N37" s="27">
        <f>M37</f>
        <v>271.45</v>
      </c>
      <c r="O37" s="38">
        <f>'2023'!P39</f>
        <v>66.56</v>
      </c>
      <c r="P37" s="27">
        <f>O37*1.04</f>
        <v>69.222400000000007</v>
      </c>
      <c r="Q37" s="27">
        <f>(M37-O37)*H37</f>
        <v>114619.76869</v>
      </c>
      <c r="R37" s="27">
        <f t="shared" ref="R37:S41" si="12">(M37-O37)*I37</f>
        <v>93704.187709999998</v>
      </c>
      <c r="S37" s="27">
        <f t="shared" si="12"/>
        <v>116958.5346876</v>
      </c>
      <c r="T37" s="27">
        <f>(N37-P37)*K37</f>
        <v>112576.6670508</v>
      </c>
      <c r="U37" s="27">
        <f t="shared" si="8"/>
        <v>437859.1581384</v>
      </c>
      <c r="V37" s="119"/>
      <c r="W37" s="119"/>
      <c r="X37" s="119"/>
      <c r="Y37" s="29">
        <f t="shared" ref="Y37:Y57" si="13">N37/M37*100</f>
        <v>100</v>
      </c>
      <c r="Z37" s="30">
        <f t="shared" ref="Z37:Z57" si="14">P37/O37*100</f>
        <v>104</v>
      </c>
      <c r="AA37" s="2"/>
      <c r="AD37" s="32">
        <f t="shared" si="9"/>
        <v>0</v>
      </c>
      <c r="AE37" s="91"/>
      <c r="AF37" s="92"/>
    </row>
    <row r="38" spans="1:32" s="40" customFormat="1" ht="51.75" customHeight="1">
      <c r="A38" s="33">
        <v>2910005156</v>
      </c>
      <c r="B38" s="34" t="s">
        <v>56</v>
      </c>
      <c r="C38" s="35" t="s">
        <v>298</v>
      </c>
      <c r="D38" s="33" t="s">
        <v>300</v>
      </c>
      <c r="E38" s="33"/>
      <c r="F38" s="25" t="s">
        <v>428</v>
      </c>
      <c r="G38" s="36"/>
      <c r="H38" s="26">
        <f>'2023'!H40</f>
        <v>273.21100000000001</v>
      </c>
      <c r="I38" s="26">
        <f>'2023'!I40</f>
        <v>307.11099999999999</v>
      </c>
      <c r="J38" s="26">
        <f>'2023'!J40</f>
        <v>365.20400000000001</v>
      </c>
      <c r="K38" s="26">
        <f>'2023'!K40</f>
        <v>255.37700000000001</v>
      </c>
      <c r="L38" s="26">
        <f t="shared" si="7"/>
        <v>1200.903</v>
      </c>
      <c r="M38" s="38">
        <f>'2023'!N40</f>
        <v>253.63</v>
      </c>
      <c r="N38" s="27">
        <f>M38</f>
        <v>253.63</v>
      </c>
      <c r="O38" s="38">
        <f>'2023'!P40</f>
        <v>31.04</v>
      </c>
      <c r="P38" s="27">
        <v>32.29</v>
      </c>
      <c r="Q38" s="27">
        <f>(M38-O38)*H38</f>
        <v>60814.036490000006</v>
      </c>
      <c r="R38" s="27">
        <f t="shared" si="12"/>
        <v>68359.837490000005</v>
      </c>
      <c r="S38" s="27">
        <f t="shared" si="12"/>
        <v>80834.253360000002</v>
      </c>
      <c r="T38" s="27">
        <f>(N38-P38)*K38</f>
        <v>56525.14518</v>
      </c>
      <c r="U38" s="27">
        <f t="shared" si="8"/>
        <v>266533.27252</v>
      </c>
      <c r="V38" s="119"/>
      <c r="W38" s="119"/>
      <c r="X38" s="119"/>
      <c r="Y38" s="29">
        <f t="shared" si="13"/>
        <v>100</v>
      </c>
      <c r="Z38" s="30">
        <f t="shared" si="14"/>
        <v>104.0270618556701</v>
      </c>
      <c r="AA38" s="2"/>
      <c r="AD38" s="32">
        <f t="shared" si="9"/>
        <v>-2.7061855670098112E-2</v>
      </c>
      <c r="AE38" s="91"/>
      <c r="AF38" s="92"/>
    </row>
    <row r="39" spans="1:32" s="40" customFormat="1" ht="51.75" customHeight="1">
      <c r="A39" s="33">
        <v>2910005156</v>
      </c>
      <c r="B39" s="34" t="s">
        <v>56</v>
      </c>
      <c r="C39" s="35" t="s">
        <v>298</v>
      </c>
      <c r="D39" s="33" t="s">
        <v>301</v>
      </c>
      <c r="E39" s="33"/>
      <c r="F39" s="25" t="s">
        <v>428</v>
      </c>
      <c r="G39" s="36"/>
      <c r="H39" s="26">
        <f>'2023'!H41</f>
        <v>2044.883</v>
      </c>
      <c r="I39" s="26">
        <f>'2023'!I41</f>
        <v>2060.6880000000001</v>
      </c>
      <c r="J39" s="26">
        <f>'2023'!J41</f>
        <v>2142.7689999999998</v>
      </c>
      <c r="K39" s="26">
        <f>'2023'!K41</f>
        <v>1927.5629999999999</v>
      </c>
      <c r="L39" s="26">
        <f t="shared" si="7"/>
        <v>8175.9030000000002</v>
      </c>
      <c r="M39" s="38">
        <f>'2023'!N41</f>
        <v>191.49</v>
      </c>
      <c r="N39" s="27">
        <f>M39</f>
        <v>191.49</v>
      </c>
      <c r="O39" s="38">
        <f>'2023'!P41</f>
        <v>69.16</v>
      </c>
      <c r="P39" s="27">
        <f>O39*1.04</f>
        <v>71.926400000000001</v>
      </c>
      <c r="Q39" s="27">
        <f>(M39-O39)*H39</f>
        <v>250150.53739000004</v>
      </c>
      <c r="R39" s="27">
        <f t="shared" si="12"/>
        <v>252083.96304000003</v>
      </c>
      <c r="S39" s="27">
        <f t="shared" si="12"/>
        <v>256197.17560839999</v>
      </c>
      <c r="T39" s="27">
        <f>(N39-P39)*K39</f>
        <v>230466.3715068</v>
      </c>
      <c r="U39" s="27">
        <f t="shared" si="8"/>
        <v>988898.04754519998</v>
      </c>
      <c r="V39" s="119"/>
      <c r="W39" s="119"/>
      <c r="X39" s="119"/>
      <c r="Y39" s="29">
        <f t="shared" si="13"/>
        <v>100</v>
      </c>
      <c r="Z39" s="30">
        <f t="shared" si="14"/>
        <v>104</v>
      </c>
      <c r="AA39" s="2"/>
      <c r="AD39" s="32">
        <f t="shared" si="9"/>
        <v>0</v>
      </c>
      <c r="AE39" s="91"/>
      <c r="AF39" s="92"/>
    </row>
    <row r="40" spans="1:32" s="40" customFormat="1" ht="51.75" customHeight="1">
      <c r="A40" s="33">
        <v>2922008546</v>
      </c>
      <c r="B40" s="34" t="s">
        <v>59</v>
      </c>
      <c r="C40" s="35" t="s">
        <v>298</v>
      </c>
      <c r="D40" s="33" t="s">
        <v>308</v>
      </c>
      <c r="E40" s="33"/>
      <c r="F40" s="25" t="s">
        <v>428</v>
      </c>
      <c r="G40" s="36"/>
      <c r="H40" s="26">
        <f>'2023'!H42</f>
        <v>7966.72</v>
      </c>
      <c r="I40" s="26">
        <f>'2023'!I42</f>
        <v>5301.76</v>
      </c>
      <c r="J40" s="26">
        <f>'2023'!J42</f>
        <v>7014.75</v>
      </c>
      <c r="K40" s="26">
        <f>'2023'!K42</f>
        <v>6684.8499999999995</v>
      </c>
      <c r="L40" s="26">
        <f t="shared" si="7"/>
        <v>26968.079999999998</v>
      </c>
      <c r="M40" s="38">
        <f>'2023'!N42</f>
        <v>85.97</v>
      </c>
      <c r="N40" s="27">
        <f>M40</f>
        <v>85.97</v>
      </c>
      <c r="O40" s="38">
        <f>'2023'!P42</f>
        <v>25.51</v>
      </c>
      <c r="P40" s="27">
        <f>O40*1.04</f>
        <v>26.530400000000004</v>
      </c>
      <c r="Q40" s="27">
        <f>(M40-O40)*H40</f>
        <v>481667.89119999995</v>
      </c>
      <c r="R40" s="27">
        <f t="shared" si="12"/>
        <v>320544.40959999996</v>
      </c>
      <c r="S40" s="27">
        <f t="shared" si="12"/>
        <v>416953.93410000001</v>
      </c>
      <c r="T40" s="27">
        <f>(N40-P40)*K40</f>
        <v>397344.81005999993</v>
      </c>
      <c r="U40" s="27">
        <f t="shared" si="8"/>
        <v>1616511.0449599996</v>
      </c>
      <c r="V40" s="119"/>
      <c r="W40" s="119"/>
      <c r="X40" s="119"/>
      <c r="Y40" s="29">
        <f t="shared" si="13"/>
        <v>100</v>
      </c>
      <c r="Z40" s="30">
        <f t="shared" si="14"/>
        <v>104</v>
      </c>
      <c r="AA40" s="2"/>
      <c r="AD40" s="32">
        <f t="shared" si="9"/>
        <v>0</v>
      </c>
      <c r="AE40" s="91"/>
      <c r="AF40" s="92"/>
    </row>
    <row r="41" spans="1:32" s="40" customFormat="1" ht="51.75" customHeight="1">
      <c r="A41" s="33">
        <v>2910005090</v>
      </c>
      <c r="B41" s="34" t="s">
        <v>57</v>
      </c>
      <c r="C41" s="35" t="s">
        <v>298</v>
      </c>
      <c r="D41" s="33" t="s">
        <v>309</v>
      </c>
      <c r="E41" s="33"/>
      <c r="F41" s="25" t="s">
        <v>428</v>
      </c>
      <c r="G41" s="36"/>
      <c r="H41" s="26">
        <f>'2023'!H43</f>
        <v>579.54899999999998</v>
      </c>
      <c r="I41" s="26">
        <f>'2023'!I43</f>
        <v>674.46500000000003</v>
      </c>
      <c r="J41" s="26">
        <f>'2023'!J43</f>
        <v>706.42500000000007</v>
      </c>
      <c r="K41" s="26">
        <f>'2023'!K43</f>
        <v>561.08400000000006</v>
      </c>
      <c r="L41" s="26">
        <f t="shared" si="7"/>
        <v>2521.5230000000001</v>
      </c>
      <c r="M41" s="38">
        <f>'2023'!N43</f>
        <v>91.53</v>
      </c>
      <c r="N41" s="27">
        <f>M41</f>
        <v>91.53</v>
      </c>
      <c r="O41" s="38">
        <f>'2023'!P43</f>
        <v>52.23</v>
      </c>
      <c r="P41" s="27">
        <f>O41*1.04</f>
        <v>54.319200000000002</v>
      </c>
      <c r="Q41" s="27">
        <f>(M41-O41)*H41</f>
        <v>22776.275700000002</v>
      </c>
      <c r="R41" s="27">
        <f t="shared" si="12"/>
        <v>26506.474500000004</v>
      </c>
      <c r="S41" s="27">
        <f t="shared" si="12"/>
        <v>26286.63939</v>
      </c>
      <c r="T41" s="27">
        <f>(N41-P41)*K41</f>
        <v>20878.3845072</v>
      </c>
      <c r="U41" s="27">
        <f t="shared" si="8"/>
        <v>96447.774097200003</v>
      </c>
      <c r="V41" s="119"/>
      <c r="W41" s="119"/>
      <c r="X41" s="119"/>
      <c r="Y41" s="29">
        <f t="shared" si="13"/>
        <v>100</v>
      </c>
      <c r="Z41" s="30">
        <f t="shared" si="14"/>
        <v>104</v>
      </c>
      <c r="AA41" s="2"/>
      <c r="AD41" s="32">
        <f t="shared" si="9"/>
        <v>0</v>
      </c>
      <c r="AE41" s="91"/>
      <c r="AF41" s="92"/>
    </row>
    <row r="42" spans="1:32" s="40" customFormat="1" ht="15" customHeight="1">
      <c r="A42" s="33"/>
      <c r="B42" s="34"/>
      <c r="C42" s="35"/>
      <c r="D42" s="33"/>
      <c r="E42" s="33"/>
      <c r="F42" s="36"/>
      <c r="G42" s="36"/>
      <c r="H42" s="26"/>
      <c r="I42" s="26"/>
      <c r="J42" s="26"/>
      <c r="K42" s="26"/>
      <c r="L42" s="37"/>
      <c r="M42" s="41"/>
      <c r="N42" s="41"/>
      <c r="O42" s="41"/>
      <c r="P42" s="41"/>
      <c r="Q42" s="27"/>
      <c r="R42" s="27"/>
      <c r="S42" s="27"/>
      <c r="T42" s="27"/>
      <c r="U42" s="27"/>
      <c r="V42" s="119"/>
      <c r="W42" s="119"/>
      <c r="X42" s="119"/>
      <c r="Y42" s="29" t="e">
        <f t="shared" si="13"/>
        <v>#DIV/0!</v>
      </c>
      <c r="Z42" s="30" t="e">
        <f t="shared" si="14"/>
        <v>#DIV/0!</v>
      </c>
      <c r="AA42" s="2"/>
      <c r="AD42" s="32" t="e">
        <f t="shared" si="9"/>
        <v>#DIV/0!</v>
      </c>
      <c r="AE42" s="91"/>
      <c r="AF42" s="92"/>
    </row>
    <row r="43" spans="1:32" s="40" customFormat="1" ht="54.75" customHeight="1">
      <c r="A43" s="33">
        <v>7708503727</v>
      </c>
      <c r="B43" s="34" t="s">
        <v>61</v>
      </c>
      <c r="C43" s="35" t="s">
        <v>62</v>
      </c>
      <c r="D43" s="33" t="s">
        <v>63</v>
      </c>
      <c r="E43" s="33"/>
      <c r="F43" s="25" t="s">
        <v>428</v>
      </c>
      <c r="G43" s="36"/>
      <c r="H43" s="26">
        <f>'2023'!H45</f>
        <v>786.79</v>
      </c>
      <c r="I43" s="26">
        <f>'2023'!I45</f>
        <v>871.79</v>
      </c>
      <c r="J43" s="26">
        <f>'2023'!J45</f>
        <v>259.84199999999998</v>
      </c>
      <c r="K43" s="26">
        <f>'2023'!K45</f>
        <v>785.76800000000003</v>
      </c>
      <c r="L43" s="26">
        <f t="shared" si="7"/>
        <v>2704.19</v>
      </c>
      <c r="M43" s="38">
        <f>'2023'!N45</f>
        <v>54.992384506</v>
      </c>
      <c r="N43" s="27">
        <v>54.992384506</v>
      </c>
      <c r="O43" s="38">
        <f>'2023'!P45</f>
        <v>37.527838400000007</v>
      </c>
      <c r="P43" s="27">
        <v>39.028951936000006</v>
      </c>
      <c r="Q43" s="27">
        <f>(M43-O43)*H43</f>
        <v>13740.930230739734</v>
      </c>
      <c r="R43" s="27">
        <f t="shared" ref="R43:S45" si="15">(M43-O43)*I43</f>
        <v>15225.416649749734</v>
      </c>
      <c r="S43" s="27">
        <f t="shared" si="15"/>
        <v>4147.9702458539386</v>
      </c>
      <c r="T43" s="27">
        <f>(N43-P43)*K43</f>
        <v>12543.554483663756</v>
      </c>
      <c r="U43" s="27">
        <f t="shared" si="8"/>
        <v>45657.871610007162</v>
      </c>
      <c r="V43" s="119"/>
      <c r="W43" s="119"/>
      <c r="X43" s="119"/>
      <c r="Y43" s="29">
        <f t="shared" si="13"/>
        <v>100</v>
      </c>
      <c r="Z43" s="30">
        <f t="shared" si="14"/>
        <v>104</v>
      </c>
      <c r="AA43" s="2"/>
      <c r="AD43" s="32">
        <f t="shared" si="9"/>
        <v>0</v>
      </c>
      <c r="AE43" s="91"/>
      <c r="AF43" s="92"/>
    </row>
    <row r="44" spans="1:32" s="40" customFormat="1" ht="65.25" customHeight="1">
      <c r="A44" s="33">
        <v>2901243725</v>
      </c>
      <c r="B44" s="34" t="s">
        <v>65</v>
      </c>
      <c r="C44" s="34" t="s">
        <v>66</v>
      </c>
      <c r="D44" s="42"/>
      <c r="E44" s="42"/>
      <c r="F44" s="25" t="s">
        <v>428</v>
      </c>
      <c r="G44" s="36"/>
      <c r="H44" s="26">
        <f>'2023'!H46</f>
        <v>213710.30900000001</v>
      </c>
      <c r="I44" s="26">
        <f>'2023'!I46</f>
        <v>207351.625</v>
      </c>
      <c r="J44" s="26">
        <f>'2023'!J46</f>
        <v>208513.883</v>
      </c>
      <c r="K44" s="26">
        <f>'2023'!K46</f>
        <v>204169.28400000001</v>
      </c>
      <c r="L44" s="26">
        <f t="shared" si="7"/>
        <v>833745.10100000002</v>
      </c>
      <c r="M44" s="38">
        <v>361.20540966334801</v>
      </c>
      <c r="N44" s="38">
        <v>361.20540966334778</v>
      </c>
      <c r="O44" s="38">
        <f>'2023'!P46</f>
        <v>37.527838400000007</v>
      </c>
      <c r="P44" s="27">
        <f>O44*1.04</f>
        <v>39.028951936000006</v>
      </c>
      <c r="Q44" s="27">
        <f>(M44-O44)*H44</f>
        <v>69173233.771059617</v>
      </c>
      <c r="R44" s="27">
        <f t="shared" si="15"/>
        <v>67115070.377508506</v>
      </c>
      <c r="S44" s="27">
        <f t="shared" si="15"/>
        <v>67178264.211914644</v>
      </c>
      <c r="T44" s="27">
        <f>(N44-P44)*K44</f>
        <v>65778536.695848867</v>
      </c>
      <c r="U44" s="27">
        <f t="shared" si="8"/>
        <v>269245105.05633163</v>
      </c>
      <c r="V44" s="119"/>
      <c r="W44" s="119"/>
      <c r="X44" s="119"/>
      <c r="Y44" s="29">
        <f t="shared" si="13"/>
        <v>99.999999999999929</v>
      </c>
      <c r="Z44" s="30">
        <f t="shared" si="14"/>
        <v>104</v>
      </c>
      <c r="AA44" s="2"/>
      <c r="AD44" s="32">
        <f t="shared" si="9"/>
        <v>0</v>
      </c>
      <c r="AE44" s="91"/>
      <c r="AF44" s="92"/>
    </row>
    <row r="45" spans="1:32" s="40" customFormat="1" ht="65.25" customHeight="1">
      <c r="A45" s="33">
        <v>7726747370</v>
      </c>
      <c r="B45" s="34" t="s">
        <v>68</v>
      </c>
      <c r="C45" s="34" t="s">
        <v>66</v>
      </c>
      <c r="D45" s="33"/>
      <c r="E45" s="33"/>
      <c r="F45" s="25" t="s">
        <v>428</v>
      </c>
      <c r="G45" s="36"/>
      <c r="H45" s="26">
        <f>'2023'!H47</f>
        <v>3707766.75</v>
      </c>
      <c r="I45" s="26">
        <f>'2023'!I47</f>
        <v>3656160.5200000005</v>
      </c>
      <c r="J45" s="26">
        <f>'2023'!J47</f>
        <v>3436458.22</v>
      </c>
      <c r="K45" s="26">
        <f>'2023'!K47</f>
        <v>3832078.22</v>
      </c>
      <c r="L45" s="26">
        <f t="shared" si="7"/>
        <v>14632463.710000001</v>
      </c>
      <c r="M45" s="38">
        <v>69.955476430864053</v>
      </c>
      <c r="N45" s="27">
        <v>84.579452199363999</v>
      </c>
      <c r="O45" s="38">
        <f>'2023'!P47</f>
        <v>37.527838400000007</v>
      </c>
      <c r="P45" s="27">
        <f>O45*1.04</f>
        <v>39.028951936000006</v>
      </c>
      <c r="Q45" s="27">
        <f>(M45-O45)*H45</f>
        <v>120234118.07187319</v>
      </c>
      <c r="R45" s="27">
        <f t="shared" si="15"/>
        <v>118560649.92529568</v>
      </c>
      <c r="S45" s="27">
        <f t="shared" si="15"/>
        <v>156532391.05514938</v>
      </c>
      <c r="T45" s="27">
        <f>(N45-P45)*K45</f>
        <v>174553079.96934143</v>
      </c>
      <c r="U45" s="27">
        <f t="shared" si="8"/>
        <v>569880239.02165961</v>
      </c>
      <c r="V45" s="119"/>
      <c r="W45" s="119"/>
      <c r="X45" s="119"/>
      <c r="Y45" s="29">
        <f t="shared" si="13"/>
        <v>120.90469040397802</v>
      </c>
      <c r="Z45" s="30">
        <f t="shared" si="14"/>
        <v>104</v>
      </c>
      <c r="AA45" s="2"/>
      <c r="AD45" s="32">
        <f t="shared" si="9"/>
        <v>0</v>
      </c>
      <c r="AE45" s="91"/>
      <c r="AF45" s="92"/>
    </row>
    <row r="46" spans="1:32" s="40" customFormat="1" ht="15" customHeight="1">
      <c r="A46" s="33"/>
      <c r="B46" s="34"/>
      <c r="C46" s="35"/>
      <c r="D46" s="33"/>
      <c r="E46" s="33"/>
      <c r="F46" s="36"/>
      <c r="G46" s="36"/>
      <c r="H46" s="26"/>
      <c r="I46" s="26"/>
      <c r="J46" s="26"/>
      <c r="K46" s="26"/>
      <c r="L46" s="37"/>
      <c r="M46" s="41"/>
      <c r="N46" s="41"/>
      <c r="O46" s="41"/>
      <c r="P46" s="41"/>
      <c r="Q46" s="27"/>
      <c r="R46" s="27"/>
      <c r="S46" s="27"/>
      <c r="T46" s="27"/>
      <c r="U46" s="27"/>
      <c r="V46" s="119"/>
      <c r="W46" s="119"/>
      <c r="X46" s="119"/>
      <c r="Y46" s="29" t="e">
        <f t="shared" si="13"/>
        <v>#DIV/0!</v>
      </c>
      <c r="Z46" s="30" t="e">
        <f t="shared" si="14"/>
        <v>#DIV/0!</v>
      </c>
      <c r="AA46" s="2"/>
      <c r="AD46" s="32" t="e">
        <f t="shared" si="9"/>
        <v>#DIV/0!</v>
      </c>
      <c r="AE46" s="91"/>
      <c r="AF46" s="92"/>
    </row>
    <row r="47" spans="1:32" s="40" customFormat="1" ht="45.75" customHeight="1">
      <c r="A47" s="33">
        <v>2903011092</v>
      </c>
      <c r="B47" s="34" t="s">
        <v>70</v>
      </c>
      <c r="C47" s="35" t="s">
        <v>71</v>
      </c>
      <c r="D47" s="33" t="s">
        <v>63</v>
      </c>
      <c r="E47" s="33"/>
      <c r="F47" s="25" t="s">
        <v>428</v>
      </c>
      <c r="G47" s="36"/>
      <c r="H47" s="26">
        <f>'2023'!H49</f>
        <v>333454.59999999998</v>
      </c>
      <c r="I47" s="26">
        <f>'2023'!I49</f>
        <v>302738.8</v>
      </c>
      <c r="J47" s="26">
        <f>'2023'!J49</f>
        <v>289830.08</v>
      </c>
      <c r="K47" s="26">
        <f>'2023'!K49</f>
        <v>305615.04000000004</v>
      </c>
      <c r="L47" s="26">
        <f t="shared" si="7"/>
        <v>1231638.52</v>
      </c>
      <c r="M47" s="38">
        <f>'2023'!N49</f>
        <v>82.97</v>
      </c>
      <c r="N47" s="27">
        <v>82.97</v>
      </c>
      <c r="O47" s="38">
        <v>44.647199999999998</v>
      </c>
      <c r="P47" s="27">
        <f>O47*1.04</f>
        <v>46.433087999999998</v>
      </c>
      <c r="Q47" s="27">
        <f>(M47-O47)*H47</f>
        <v>12778913.944879999</v>
      </c>
      <c r="R47" s="27">
        <f>(M47-O47)*I47</f>
        <v>11601798.48464</v>
      </c>
      <c r="S47" s="27">
        <f>(N47-P47)*J47</f>
        <v>10589496.127912961</v>
      </c>
      <c r="T47" s="27">
        <f>(N47-P47)*K47</f>
        <v>11166229.822356481</v>
      </c>
      <c r="U47" s="27">
        <f t="shared" si="8"/>
        <v>46136438.379789442</v>
      </c>
      <c r="V47" s="119"/>
      <c r="W47" s="119"/>
      <c r="X47" s="119"/>
      <c r="Y47" s="29">
        <f t="shared" si="13"/>
        <v>100</v>
      </c>
      <c r="Z47" s="30">
        <f t="shared" si="14"/>
        <v>104</v>
      </c>
      <c r="AA47" s="2"/>
      <c r="AD47" s="32">
        <f t="shared" si="9"/>
        <v>0</v>
      </c>
      <c r="AE47" s="91"/>
      <c r="AF47" s="92"/>
    </row>
    <row r="48" spans="1:32" s="40" customFormat="1" ht="15" customHeight="1">
      <c r="A48" s="33"/>
      <c r="B48" s="34"/>
      <c r="C48" s="35"/>
      <c r="D48" s="33"/>
      <c r="E48" s="33"/>
      <c r="F48" s="36"/>
      <c r="G48" s="36"/>
      <c r="H48" s="26"/>
      <c r="I48" s="26"/>
      <c r="J48" s="26"/>
      <c r="K48" s="26"/>
      <c r="L48" s="37"/>
      <c r="M48" s="41"/>
      <c r="N48" s="41"/>
      <c r="O48" s="41"/>
      <c r="P48" s="41"/>
      <c r="Q48" s="27"/>
      <c r="R48" s="27"/>
      <c r="S48" s="27"/>
      <c r="T48" s="27"/>
      <c r="U48" s="27"/>
      <c r="V48" s="119"/>
      <c r="W48" s="119"/>
      <c r="X48" s="119"/>
      <c r="Y48" s="29" t="e">
        <f t="shared" si="13"/>
        <v>#DIV/0!</v>
      </c>
      <c r="Z48" s="30" t="e">
        <f t="shared" si="14"/>
        <v>#DIV/0!</v>
      </c>
      <c r="AA48" s="2"/>
      <c r="AD48" s="32" t="e">
        <f t="shared" si="9"/>
        <v>#DIV/0!</v>
      </c>
      <c r="AE48" s="91"/>
      <c r="AF48" s="92"/>
    </row>
    <row r="49" spans="1:32" s="40" customFormat="1" ht="41.25" customHeight="1">
      <c r="A49" s="33">
        <v>2905001195</v>
      </c>
      <c r="B49" s="34" t="s">
        <v>72</v>
      </c>
      <c r="C49" s="35" t="s">
        <v>73</v>
      </c>
      <c r="D49" s="33"/>
      <c r="E49" s="33"/>
      <c r="F49" s="25" t="s">
        <v>428</v>
      </c>
      <c r="G49" s="36"/>
      <c r="H49" s="26">
        <f>'2023'!H51</f>
        <v>314236.375</v>
      </c>
      <c r="I49" s="26">
        <f>'2023'!I51</f>
        <v>314236.375</v>
      </c>
      <c r="J49" s="26">
        <f>'2023'!J51</f>
        <v>314236.375</v>
      </c>
      <c r="K49" s="26">
        <f>'2023'!K51</f>
        <v>314236.375</v>
      </c>
      <c r="L49" s="26">
        <f t="shared" si="7"/>
        <v>1256945.5</v>
      </c>
      <c r="M49" s="38">
        <f>'2023'!N51</f>
        <v>39.54</v>
      </c>
      <c r="N49" s="27">
        <f>M49</f>
        <v>39.54</v>
      </c>
      <c r="O49" s="38">
        <f>'2023'!P51</f>
        <v>26.99</v>
      </c>
      <c r="P49" s="27">
        <f>O49*1.04</f>
        <v>28.069599999999998</v>
      </c>
      <c r="Q49" s="27">
        <f>(M49-O49)*H49</f>
        <v>3943666.5062500001</v>
      </c>
      <c r="R49" s="27">
        <f>(M49-O49)*I49</f>
        <v>3943666.5062500001</v>
      </c>
      <c r="S49" s="27">
        <f>(N49-P49)*J49</f>
        <v>3604416.9158000005</v>
      </c>
      <c r="T49" s="27">
        <f>(N49-P49)*K49</f>
        <v>3604416.9158000005</v>
      </c>
      <c r="U49" s="27">
        <f t="shared" si="8"/>
        <v>15096166.844100002</v>
      </c>
      <c r="V49" s="119"/>
      <c r="W49" s="119"/>
      <c r="X49" s="119"/>
      <c r="Y49" s="29">
        <f t="shared" si="13"/>
        <v>100</v>
      </c>
      <c r="Z49" s="30">
        <f t="shared" si="14"/>
        <v>104</v>
      </c>
      <c r="AA49" s="2"/>
      <c r="AD49" s="32">
        <f t="shared" si="9"/>
        <v>0</v>
      </c>
      <c r="AE49" s="91"/>
      <c r="AF49" s="92"/>
    </row>
    <row r="50" spans="1:32" s="40" customFormat="1" ht="15" customHeight="1">
      <c r="A50" s="33"/>
      <c r="B50" s="34"/>
      <c r="C50" s="35"/>
      <c r="D50" s="33"/>
      <c r="E50" s="33"/>
      <c r="F50" s="36"/>
      <c r="G50" s="36"/>
      <c r="H50" s="26"/>
      <c r="I50" s="26"/>
      <c r="J50" s="26"/>
      <c r="K50" s="26"/>
      <c r="L50" s="37"/>
      <c r="M50" s="41"/>
      <c r="N50" s="41"/>
      <c r="O50" s="41"/>
      <c r="P50" s="41"/>
      <c r="Q50" s="27"/>
      <c r="R50" s="27"/>
      <c r="S50" s="27"/>
      <c r="T50" s="27"/>
      <c r="U50" s="27"/>
      <c r="V50" s="119"/>
      <c r="W50" s="119"/>
      <c r="X50" s="119"/>
      <c r="Y50" s="29" t="e">
        <f t="shared" si="13"/>
        <v>#DIV/0!</v>
      </c>
      <c r="Z50" s="30" t="e">
        <f t="shared" si="14"/>
        <v>#DIV/0!</v>
      </c>
      <c r="AA50" s="2"/>
      <c r="AD50" s="32" t="e">
        <f t="shared" si="9"/>
        <v>#DIV/0!</v>
      </c>
      <c r="AE50" s="91"/>
      <c r="AF50" s="92"/>
    </row>
    <row r="51" spans="1:32" s="40" customFormat="1" ht="51.75" customHeight="1">
      <c r="A51" s="33">
        <v>2904002069</v>
      </c>
      <c r="B51" s="34" t="s">
        <v>77</v>
      </c>
      <c r="C51" s="35" t="s">
        <v>75</v>
      </c>
      <c r="D51" s="33" t="s">
        <v>63</v>
      </c>
      <c r="E51" s="33"/>
      <c r="F51" s="25" t="s">
        <v>428</v>
      </c>
      <c r="G51" s="36"/>
      <c r="H51" s="26">
        <f>'2023'!H53</f>
        <v>619485.255</v>
      </c>
      <c r="I51" s="26">
        <f>'2023'!I53</f>
        <v>618288.47600000002</v>
      </c>
      <c r="J51" s="26">
        <f>'2023'!J53</f>
        <v>584787.076</v>
      </c>
      <c r="K51" s="26">
        <f>'2023'!K53</f>
        <v>609914.78</v>
      </c>
      <c r="L51" s="26">
        <f t="shared" si="7"/>
        <v>2432475.5870000003</v>
      </c>
      <c r="M51" s="38">
        <v>58.84</v>
      </c>
      <c r="N51" s="27">
        <v>58.84</v>
      </c>
      <c r="O51" s="38">
        <v>36.14</v>
      </c>
      <c r="P51" s="27">
        <v>37.590000000000003</v>
      </c>
      <c r="Q51" s="27">
        <f>(M51-O51)*H51</f>
        <v>14062315.288500002</v>
      </c>
      <c r="R51" s="27">
        <f>(M51-O51)*I51</f>
        <v>14035148.405200003</v>
      </c>
      <c r="S51" s="27">
        <f>(N51-P51)*J51</f>
        <v>12426725.365</v>
      </c>
      <c r="T51" s="27">
        <f>(N51-P51)*K51</f>
        <v>12960689.075000001</v>
      </c>
      <c r="U51" s="27">
        <f t="shared" si="8"/>
        <v>53484878.133700006</v>
      </c>
      <c r="V51" s="119"/>
      <c r="W51" s="119"/>
      <c r="X51" s="119"/>
      <c r="Y51" s="29">
        <f t="shared" si="13"/>
        <v>100</v>
      </c>
      <c r="Z51" s="30">
        <f t="shared" si="14"/>
        <v>104.01217487548425</v>
      </c>
      <c r="AA51" s="2"/>
      <c r="AD51" s="32">
        <f t="shared" si="9"/>
        <v>-1.217487548424856E-2</v>
      </c>
      <c r="AE51" s="91"/>
      <c r="AF51" s="92"/>
    </row>
    <row r="52" spans="1:32" s="40" customFormat="1" ht="54" customHeight="1">
      <c r="A52" s="33">
        <v>7708503727</v>
      </c>
      <c r="B52" s="34" t="s">
        <v>74</v>
      </c>
      <c r="C52" s="35" t="s">
        <v>75</v>
      </c>
      <c r="D52" s="33" t="s">
        <v>63</v>
      </c>
      <c r="E52" s="33"/>
      <c r="F52" s="25" t="s">
        <v>428</v>
      </c>
      <c r="G52" s="36"/>
      <c r="H52" s="26">
        <f>'2023'!H54</f>
        <v>84489.909</v>
      </c>
      <c r="I52" s="26">
        <f>'2023'!I54</f>
        <v>85028.68299999999</v>
      </c>
      <c r="J52" s="26">
        <f>'2023'!J54</f>
        <v>87119.528999999995</v>
      </c>
      <c r="K52" s="26">
        <f>'2023'!K54</f>
        <v>78858.16</v>
      </c>
      <c r="L52" s="26">
        <f t="shared" si="7"/>
        <v>335496.28099999996</v>
      </c>
      <c r="M52" s="38">
        <f>'2023'!N54</f>
        <v>62.85</v>
      </c>
      <c r="N52" s="27">
        <v>62.85441500000001</v>
      </c>
      <c r="O52" s="38">
        <f>'2023'!P54</f>
        <v>36.14</v>
      </c>
      <c r="P52" s="27">
        <v>37.585599999999999</v>
      </c>
      <c r="Q52" s="27">
        <f>(M52-O52)*H52</f>
        <v>2256725.4693900002</v>
      </c>
      <c r="R52" s="27">
        <f>(M52-O52)*I52</f>
        <v>2271116.1229299996</v>
      </c>
      <c r="S52" s="27">
        <f>(N52-P52)*J52</f>
        <v>2201407.2611881359</v>
      </c>
      <c r="T52" s="27">
        <f>(N52-P52)*K52</f>
        <v>1992652.256280401</v>
      </c>
      <c r="U52" s="27">
        <f t="shared" si="8"/>
        <v>8721901.109788537</v>
      </c>
      <c r="V52" s="119"/>
      <c r="W52" s="119"/>
      <c r="X52" s="119"/>
      <c r="Y52" s="29">
        <f t="shared" si="13"/>
        <v>100.00702466189341</v>
      </c>
      <c r="Z52" s="30">
        <f t="shared" si="14"/>
        <v>104</v>
      </c>
      <c r="AA52" s="2"/>
      <c r="AD52" s="32">
        <f t="shared" si="9"/>
        <v>0</v>
      </c>
      <c r="AE52" s="91"/>
      <c r="AF52" s="92"/>
    </row>
    <row r="53" spans="1:32" s="40" customFormat="1" ht="15" customHeight="1">
      <c r="A53" s="33"/>
      <c r="B53" s="34"/>
      <c r="C53" s="35"/>
      <c r="D53" s="33"/>
      <c r="E53" s="33"/>
      <c r="F53" s="36"/>
      <c r="G53" s="36"/>
      <c r="H53" s="26"/>
      <c r="I53" s="26"/>
      <c r="J53" s="26"/>
      <c r="K53" s="26"/>
      <c r="L53" s="37"/>
      <c r="M53" s="41"/>
      <c r="N53" s="41"/>
      <c r="O53" s="41"/>
      <c r="P53" s="41"/>
      <c r="Q53" s="27"/>
      <c r="R53" s="27"/>
      <c r="S53" s="27"/>
      <c r="T53" s="27"/>
      <c r="U53" s="27"/>
      <c r="V53" s="119"/>
      <c r="W53" s="119"/>
      <c r="X53" s="119"/>
      <c r="Y53" s="29" t="e">
        <f t="shared" si="13"/>
        <v>#DIV/0!</v>
      </c>
      <c r="Z53" s="30" t="e">
        <f t="shared" si="14"/>
        <v>#DIV/0!</v>
      </c>
      <c r="AA53" s="2"/>
      <c r="AD53" s="32" t="e">
        <f t="shared" si="9"/>
        <v>#DIV/0!</v>
      </c>
      <c r="AE53" s="91"/>
      <c r="AF53" s="92"/>
    </row>
    <row r="54" spans="1:32" s="40" customFormat="1" ht="51" customHeight="1">
      <c r="A54" s="33">
        <v>2911005590</v>
      </c>
      <c r="B54" s="34" t="s">
        <v>78</v>
      </c>
      <c r="C54" s="35" t="s">
        <v>311</v>
      </c>
      <c r="D54" s="33" t="s">
        <v>80</v>
      </c>
      <c r="E54" s="33"/>
      <c r="F54" s="25" t="s">
        <v>428</v>
      </c>
      <c r="G54" s="36"/>
      <c r="H54" s="26">
        <f>'2023'!H56</f>
        <v>24924.713000000003</v>
      </c>
      <c r="I54" s="26">
        <f>'2023'!I56</f>
        <v>25054.510000000002</v>
      </c>
      <c r="J54" s="26">
        <f>'2023'!J56</f>
        <v>25326.057000000001</v>
      </c>
      <c r="K54" s="26">
        <f>'2023'!K56</f>
        <v>24049.828999999998</v>
      </c>
      <c r="L54" s="26">
        <f t="shared" si="7"/>
        <v>99355.108999999997</v>
      </c>
      <c r="M54" s="38">
        <f>'2023'!N56</f>
        <v>96.524800000000013</v>
      </c>
      <c r="N54" s="27">
        <v>96.524800000000013</v>
      </c>
      <c r="O54" s="38">
        <f>'2023'!P56</f>
        <v>60.32</v>
      </c>
      <c r="P54" s="27">
        <v>62.732800000000005</v>
      </c>
      <c r="Q54" s="27">
        <f t="shared" ref="Q54:Q59" si="16">(M54-O54)*H54</f>
        <v>902394.24922240048</v>
      </c>
      <c r="R54" s="27">
        <f t="shared" ref="R54:S59" si="17">(M54-O54)*I54</f>
        <v>907093.52364800044</v>
      </c>
      <c r="S54" s="27">
        <f t="shared" si="17"/>
        <v>855818.1181440003</v>
      </c>
      <c r="T54" s="27">
        <f t="shared" ref="T54:T59" si="18">(N54-P54)*K54</f>
        <v>812691.82156800013</v>
      </c>
      <c r="U54" s="27">
        <f t="shared" si="8"/>
        <v>3477997.7125824015</v>
      </c>
      <c r="V54" s="119"/>
      <c r="W54" s="119"/>
      <c r="X54" s="119"/>
      <c r="Y54" s="29">
        <f t="shared" si="13"/>
        <v>100</v>
      </c>
      <c r="Z54" s="30">
        <f t="shared" si="14"/>
        <v>104</v>
      </c>
      <c r="AA54" s="2"/>
      <c r="AD54" s="32">
        <f t="shared" si="9"/>
        <v>0</v>
      </c>
      <c r="AE54" s="91"/>
      <c r="AF54" s="92"/>
    </row>
    <row r="55" spans="1:32" s="40" customFormat="1" ht="63.75" customHeight="1">
      <c r="A55" s="33">
        <v>2911004356</v>
      </c>
      <c r="B55" s="34" t="s">
        <v>312</v>
      </c>
      <c r="C55" s="35" t="s">
        <v>311</v>
      </c>
      <c r="D55" s="33" t="s">
        <v>313</v>
      </c>
      <c r="E55" s="33"/>
      <c r="F55" s="25" t="s">
        <v>428</v>
      </c>
      <c r="G55" s="36"/>
      <c r="H55" s="26">
        <f>'2023'!H57</f>
        <v>142.5</v>
      </c>
      <c r="I55" s="26">
        <f>'2023'!I57</f>
        <v>142.5</v>
      </c>
      <c r="J55" s="26">
        <f>'2023'!J57</f>
        <v>141.10499999999999</v>
      </c>
      <c r="K55" s="26">
        <f>'2023'!K57</f>
        <v>109.52</v>
      </c>
      <c r="L55" s="26">
        <f t="shared" si="7"/>
        <v>535.625</v>
      </c>
      <c r="M55" s="38">
        <f>'2023'!N57</f>
        <v>170.40380000000002</v>
      </c>
      <c r="N55" s="27">
        <v>170.40380000000002</v>
      </c>
      <c r="O55" s="38">
        <f>'2023'!P57</f>
        <v>125.84</v>
      </c>
      <c r="P55" s="27">
        <v>130.87360000000001</v>
      </c>
      <c r="Q55" s="27">
        <f t="shared" si="16"/>
        <v>6350.3415000000023</v>
      </c>
      <c r="R55" s="27">
        <f t="shared" si="17"/>
        <v>6350.3415000000023</v>
      </c>
      <c r="S55" s="27">
        <f t="shared" si="17"/>
        <v>5577.9088710000005</v>
      </c>
      <c r="T55" s="27">
        <f t="shared" si="18"/>
        <v>4329.3475040000003</v>
      </c>
      <c r="U55" s="27">
        <f t="shared" si="8"/>
        <v>22607.939375000005</v>
      </c>
      <c r="V55" s="119"/>
      <c r="W55" s="119"/>
      <c r="X55" s="119"/>
      <c r="Y55" s="29">
        <f t="shared" si="13"/>
        <v>100</v>
      </c>
      <c r="Z55" s="30">
        <f t="shared" si="14"/>
        <v>104</v>
      </c>
      <c r="AA55" s="2"/>
      <c r="AD55" s="32">
        <f t="shared" si="9"/>
        <v>0</v>
      </c>
      <c r="AE55" s="91"/>
      <c r="AF55" s="92"/>
    </row>
    <row r="56" spans="1:32" s="40" customFormat="1" ht="65.25" customHeight="1">
      <c r="A56" s="33">
        <v>2911004405</v>
      </c>
      <c r="B56" s="34" t="s">
        <v>314</v>
      </c>
      <c r="C56" s="35" t="s">
        <v>311</v>
      </c>
      <c r="D56" s="33" t="s">
        <v>81</v>
      </c>
      <c r="E56" s="33"/>
      <c r="F56" s="25" t="s">
        <v>428</v>
      </c>
      <c r="G56" s="36"/>
      <c r="H56" s="26">
        <f>'2023'!H58</f>
        <v>1160.1669999999999</v>
      </c>
      <c r="I56" s="26">
        <f>'2023'!I58</f>
        <v>1355.413</v>
      </c>
      <c r="J56" s="26">
        <f>'2023'!J58</f>
        <v>1531.2930000000001</v>
      </c>
      <c r="K56" s="26">
        <f>'2023'!K58</f>
        <v>1072.366</v>
      </c>
      <c r="L56" s="26">
        <f t="shared" si="7"/>
        <v>5119.2389999999996</v>
      </c>
      <c r="M56" s="38">
        <f>'2023'!N58</f>
        <v>142.05000000000001</v>
      </c>
      <c r="N56" s="27">
        <v>155.11860000000001</v>
      </c>
      <c r="O56" s="38">
        <f>'2023'!P58</f>
        <v>111.28</v>
      </c>
      <c r="P56" s="27">
        <v>115.7312</v>
      </c>
      <c r="Q56" s="27">
        <f t="shared" si="16"/>
        <v>35698.338590000007</v>
      </c>
      <c r="R56" s="27">
        <f t="shared" si="17"/>
        <v>41706.058010000015</v>
      </c>
      <c r="S56" s="27">
        <f t="shared" si="17"/>
        <v>60313.649908200023</v>
      </c>
      <c r="T56" s="27">
        <f t="shared" si="18"/>
        <v>42237.708588400012</v>
      </c>
      <c r="U56" s="27">
        <f t="shared" si="8"/>
        <v>179955.75509660007</v>
      </c>
      <c r="V56" s="119"/>
      <c r="W56" s="119"/>
      <c r="X56" s="119"/>
      <c r="Y56" s="29">
        <f t="shared" si="13"/>
        <v>109.2</v>
      </c>
      <c r="Z56" s="30">
        <f t="shared" si="14"/>
        <v>104</v>
      </c>
      <c r="AA56" s="2"/>
      <c r="AD56" s="32">
        <f t="shared" si="9"/>
        <v>0</v>
      </c>
      <c r="AE56" s="91"/>
      <c r="AF56" s="92"/>
    </row>
    <row r="57" spans="1:32" s="40" customFormat="1" ht="65.25" customHeight="1">
      <c r="A57" s="33">
        <v>2911004331</v>
      </c>
      <c r="B57" s="34" t="s">
        <v>315</v>
      </c>
      <c r="C57" s="35" t="s">
        <v>311</v>
      </c>
      <c r="D57" s="33" t="s">
        <v>316</v>
      </c>
      <c r="E57" s="33"/>
      <c r="F57" s="25" t="s">
        <v>428</v>
      </c>
      <c r="G57" s="36"/>
      <c r="H57" s="26">
        <f>'2023'!H59</f>
        <v>2876.25</v>
      </c>
      <c r="I57" s="26">
        <f>'2023'!I59</f>
        <v>2876.25</v>
      </c>
      <c r="J57" s="26">
        <f>'2023'!J59</f>
        <v>2836</v>
      </c>
      <c r="K57" s="26">
        <f>'2023'!K59</f>
        <v>2697.42</v>
      </c>
      <c r="L57" s="26">
        <f t="shared" si="7"/>
        <v>11285.92</v>
      </c>
      <c r="M57" s="38">
        <f>'2023'!N59</f>
        <v>118.22420000000002</v>
      </c>
      <c r="N57" s="27">
        <v>118.22420000000002</v>
      </c>
      <c r="O57" s="38">
        <f>'2023'!P59</f>
        <v>95.68</v>
      </c>
      <c r="P57" s="27">
        <v>99.507200000000012</v>
      </c>
      <c r="Q57" s="27">
        <f t="shared" si="16"/>
        <v>64842.755250000053</v>
      </c>
      <c r="R57" s="27">
        <f t="shared" si="17"/>
        <v>64842.755250000053</v>
      </c>
      <c r="S57" s="27">
        <f t="shared" si="17"/>
        <v>53081.41200000004</v>
      </c>
      <c r="T57" s="27">
        <f t="shared" si="18"/>
        <v>50487.610140000033</v>
      </c>
      <c r="U57" s="27">
        <f t="shared" si="8"/>
        <v>233254.53264000019</v>
      </c>
      <c r="V57" s="119"/>
      <c r="W57" s="119"/>
      <c r="X57" s="119"/>
      <c r="Y57" s="29">
        <f t="shared" si="13"/>
        <v>100</v>
      </c>
      <c r="Z57" s="30">
        <f t="shared" si="14"/>
        <v>104</v>
      </c>
      <c r="AA57" s="2"/>
      <c r="AD57" s="32">
        <f t="shared" si="9"/>
        <v>0</v>
      </c>
      <c r="AE57" s="91"/>
      <c r="AF57" s="92"/>
    </row>
    <row r="58" spans="1:32" s="40" customFormat="1" ht="65.25" customHeight="1">
      <c r="A58" s="33">
        <v>2911004420</v>
      </c>
      <c r="B58" s="34" t="s">
        <v>317</v>
      </c>
      <c r="C58" s="35" t="s">
        <v>311</v>
      </c>
      <c r="D58" s="33" t="s">
        <v>318</v>
      </c>
      <c r="E58" s="33"/>
      <c r="F58" s="25" t="s">
        <v>428</v>
      </c>
      <c r="G58" s="36"/>
      <c r="H58" s="26">
        <f>'2023'!H60</f>
        <v>1796</v>
      </c>
      <c r="I58" s="26">
        <f>'2023'!I60</f>
        <v>1796</v>
      </c>
      <c r="J58" s="26">
        <f>'2023'!J60</f>
        <v>1796</v>
      </c>
      <c r="K58" s="26">
        <f>'2023'!K60</f>
        <v>1796</v>
      </c>
      <c r="L58" s="26">
        <f t="shared" si="7"/>
        <v>7184</v>
      </c>
      <c r="M58" s="38">
        <f>'2023'!N60</f>
        <v>150.79</v>
      </c>
      <c r="N58" s="27">
        <v>164.66267999999999</v>
      </c>
      <c r="O58" s="38">
        <f>'2023'!P60</f>
        <v>121.68</v>
      </c>
      <c r="P58" s="27">
        <v>126.54720000000002</v>
      </c>
      <c r="Q58" s="27">
        <f t="shared" si="16"/>
        <v>52281.559999999976</v>
      </c>
      <c r="R58" s="27">
        <f t="shared" si="17"/>
        <v>52281.559999999976</v>
      </c>
      <c r="S58" s="27">
        <f t="shared" si="17"/>
        <v>68455.402079999956</v>
      </c>
      <c r="T58" s="27">
        <f t="shared" si="18"/>
        <v>68455.402079999956</v>
      </c>
      <c r="U58" s="27">
        <f t="shared" si="8"/>
        <v>241473.92415999988</v>
      </c>
      <c r="V58" s="119"/>
      <c r="W58" s="119"/>
      <c r="X58" s="119"/>
      <c r="Y58" s="29"/>
      <c r="Z58" s="30"/>
      <c r="AA58" s="2"/>
      <c r="AD58" s="32"/>
      <c r="AE58" s="91"/>
      <c r="AF58" s="92"/>
    </row>
    <row r="59" spans="1:32" s="40" customFormat="1" ht="69.75" customHeight="1">
      <c r="A59" s="33">
        <v>2911004363</v>
      </c>
      <c r="B59" s="34" t="s">
        <v>82</v>
      </c>
      <c r="C59" s="35" t="s">
        <v>79</v>
      </c>
      <c r="D59" s="33" t="s">
        <v>83</v>
      </c>
      <c r="E59" s="33"/>
      <c r="F59" s="25" t="s">
        <v>428</v>
      </c>
      <c r="G59" s="36" t="s">
        <v>408</v>
      </c>
      <c r="H59" s="26">
        <f>'2023'!H61</f>
        <v>504.5</v>
      </c>
      <c r="I59" s="26">
        <f>'2023'!I61</f>
        <v>504.5</v>
      </c>
      <c r="J59" s="26">
        <f>'2023'!J61</f>
        <v>504.5</v>
      </c>
      <c r="K59" s="26">
        <f>'2023'!K61</f>
        <v>504.5</v>
      </c>
      <c r="L59" s="26">
        <f t="shared" si="7"/>
        <v>2018</v>
      </c>
      <c r="M59" s="38">
        <f>'2023'!N61</f>
        <v>165.80160000000004</v>
      </c>
      <c r="N59" s="27">
        <v>171.95347360000002</v>
      </c>
      <c r="O59" s="38">
        <f>'2023'!P61</f>
        <v>121.68</v>
      </c>
      <c r="P59" s="27">
        <v>126.54720000000002</v>
      </c>
      <c r="Q59" s="27">
        <f t="shared" si="16"/>
        <v>22259.347200000015</v>
      </c>
      <c r="R59" s="27">
        <f t="shared" si="17"/>
        <v>22259.347200000015</v>
      </c>
      <c r="S59" s="27">
        <f t="shared" si="17"/>
        <v>22907.465031200001</v>
      </c>
      <c r="T59" s="27">
        <f t="shared" si="18"/>
        <v>22907.465031200001</v>
      </c>
      <c r="U59" s="27">
        <f t="shared" si="8"/>
        <v>90333.624462400039</v>
      </c>
      <c r="V59" s="119"/>
      <c r="W59" s="119"/>
      <c r="X59" s="119"/>
      <c r="Y59" s="29">
        <f t="shared" ref="Y59:Y66" si="19">N59/M59*100</f>
        <v>103.71038252948101</v>
      </c>
      <c r="Z59" s="30">
        <f t="shared" ref="Z59:Z66" si="20">P59/O59*100</f>
        <v>104</v>
      </c>
      <c r="AA59" s="2"/>
      <c r="AD59" s="32">
        <f>104-Z59</f>
        <v>0</v>
      </c>
      <c r="AE59" s="91"/>
      <c r="AF59" s="92"/>
    </row>
    <row r="60" spans="1:32" s="40" customFormat="1" ht="15" customHeight="1">
      <c r="A60" s="33"/>
      <c r="B60" s="34"/>
      <c r="C60" s="35"/>
      <c r="D60" s="33"/>
      <c r="E60" s="33"/>
      <c r="F60" s="36"/>
      <c r="G60" s="36"/>
      <c r="H60" s="26"/>
      <c r="I60" s="26"/>
      <c r="J60" s="26"/>
      <c r="K60" s="26"/>
      <c r="L60" s="37"/>
      <c r="M60" s="41"/>
      <c r="N60" s="41"/>
      <c r="O60" s="41"/>
      <c r="P60" s="41"/>
      <c r="Q60" s="27"/>
      <c r="R60" s="27"/>
      <c r="S60" s="27"/>
      <c r="T60" s="27"/>
      <c r="U60" s="27"/>
      <c r="V60" s="119"/>
      <c r="W60" s="119"/>
      <c r="X60" s="119"/>
      <c r="Y60" s="29" t="e">
        <f t="shared" si="19"/>
        <v>#DIV/0!</v>
      </c>
      <c r="Z60" s="30" t="e">
        <f t="shared" si="20"/>
        <v>#DIV/0!</v>
      </c>
      <c r="AA60" s="2"/>
      <c r="AD60" s="32" t="e">
        <f t="shared" si="9"/>
        <v>#DIV/0!</v>
      </c>
      <c r="AE60" s="91"/>
      <c r="AF60" s="92"/>
    </row>
    <row r="61" spans="1:32" s="40" customFormat="1" ht="51" customHeight="1">
      <c r="A61" s="33">
        <v>7708503727</v>
      </c>
      <c r="B61" s="34" t="s">
        <v>61</v>
      </c>
      <c r="C61" s="35" t="s">
        <v>86</v>
      </c>
      <c r="D61" s="33" t="s">
        <v>87</v>
      </c>
      <c r="E61" s="33"/>
      <c r="F61" s="25" t="s">
        <v>428</v>
      </c>
      <c r="G61" s="36"/>
      <c r="H61" s="26">
        <f>'2023'!H63</f>
        <v>5793.0060000000003</v>
      </c>
      <c r="I61" s="26">
        <f>'2023'!I63</f>
        <v>5723.3730000000005</v>
      </c>
      <c r="J61" s="26">
        <f>'2023'!J63</f>
        <v>5815.1939999999995</v>
      </c>
      <c r="K61" s="26">
        <f>'2023'!K63</f>
        <v>5693.1859999999997</v>
      </c>
      <c r="L61" s="26">
        <f t="shared" si="7"/>
        <v>23024.758999999998</v>
      </c>
      <c r="M61" s="38">
        <f>'2023'!N63</f>
        <v>54.992384506</v>
      </c>
      <c r="N61" s="27">
        <v>54.992384506</v>
      </c>
      <c r="O61" s="38">
        <f>'2023'!P63</f>
        <v>43.889040000000001</v>
      </c>
      <c r="P61" s="27">
        <v>45.644601600000001</v>
      </c>
      <c r="Q61" s="27">
        <f t="shared" ref="Q61:Q69" si="21">(M61-O61)*H61</f>
        <v>64321.741343325033</v>
      </c>
      <c r="R61" s="27">
        <f t="shared" ref="R61:R69" si="22">(M61-O61)*I61</f>
        <v>63548.582155338736</v>
      </c>
      <c r="S61" s="27">
        <f t="shared" ref="S61:S69" si="23">(N61-P61)*J61</f>
        <v>54359.171068273754</v>
      </c>
      <c r="T61" s="27">
        <f t="shared" ref="T61:T69" si="24">(N61-P61)*K61</f>
        <v>53218.666771478507</v>
      </c>
      <c r="U61" s="27">
        <f t="shared" si="8"/>
        <v>235448.16133841604</v>
      </c>
      <c r="V61" s="119"/>
      <c r="W61" s="119"/>
      <c r="X61" s="119"/>
      <c r="Y61" s="29">
        <f t="shared" si="19"/>
        <v>100</v>
      </c>
      <c r="Z61" s="30">
        <f t="shared" si="20"/>
        <v>104</v>
      </c>
      <c r="AA61" s="2"/>
      <c r="AD61" s="32">
        <f t="shared" si="9"/>
        <v>0</v>
      </c>
      <c r="AE61" s="91"/>
      <c r="AF61" s="92"/>
    </row>
    <row r="62" spans="1:32" s="40" customFormat="1" ht="51" customHeight="1">
      <c r="A62" s="33">
        <v>2912006998</v>
      </c>
      <c r="B62" s="34" t="s">
        <v>85</v>
      </c>
      <c r="C62" s="35" t="s">
        <v>86</v>
      </c>
      <c r="D62" s="33" t="s">
        <v>87</v>
      </c>
      <c r="E62" s="33"/>
      <c r="F62" s="25" t="s">
        <v>428</v>
      </c>
      <c r="G62" s="36"/>
      <c r="H62" s="26">
        <f>'2023'!H64</f>
        <v>40933.187000000005</v>
      </c>
      <c r="I62" s="26">
        <f>'2023'!I64</f>
        <v>40925.372000000003</v>
      </c>
      <c r="J62" s="26">
        <f>'2023'!J64</f>
        <v>37909.815000000002</v>
      </c>
      <c r="K62" s="26">
        <f>'2023'!K64</f>
        <v>39247.715000000004</v>
      </c>
      <c r="L62" s="26">
        <f t="shared" si="7"/>
        <v>159016.08900000001</v>
      </c>
      <c r="M62" s="38">
        <f>'2023'!N64</f>
        <v>61.899898181465936</v>
      </c>
      <c r="N62" s="27">
        <v>61.899898181465936</v>
      </c>
      <c r="O62" s="38">
        <f>'2023'!P64</f>
        <v>51.116</v>
      </c>
      <c r="P62" s="27">
        <v>53.160640000000001</v>
      </c>
      <c r="Q62" s="27">
        <f t="shared" si="21"/>
        <v>441419.32085090515</v>
      </c>
      <c r="R62" s="27">
        <f t="shared" si="22"/>
        <v>441335.04468661698</v>
      </c>
      <c r="S62" s="27">
        <f t="shared" si="23"/>
        <v>331303.66089661006</v>
      </c>
      <c r="T62" s="27">
        <f t="shared" si="24"/>
        <v>342995.91441759333</v>
      </c>
      <c r="U62" s="27">
        <f t="shared" si="8"/>
        <v>1557053.9408517254</v>
      </c>
      <c r="V62" s="119"/>
      <c r="W62" s="119"/>
      <c r="X62" s="119"/>
      <c r="Y62" s="29">
        <f t="shared" si="19"/>
        <v>100</v>
      </c>
      <c r="Z62" s="30">
        <f t="shared" si="20"/>
        <v>104</v>
      </c>
      <c r="AA62" s="2"/>
      <c r="AD62" s="32">
        <f t="shared" si="9"/>
        <v>0</v>
      </c>
      <c r="AE62" s="91"/>
      <c r="AF62" s="92"/>
    </row>
    <row r="63" spans="1:32" s="40" customFormat="1" ht="47.25" customHeight="1">
      <c r="A63" s="33">
        <v>2912005994</v>
      </c>
      <c r="B63" s="34" t="s">
        <v>92</v>
      </c>
      <c r="C63" s="35" t="s">
        <v>86</v>
      </c>
      <c r="D63" s="33" t="s">
        <v>93</v>
      </c>
      <c r="E63" s="33"/>
      <c r="F63" s="25" t="s">
        <v>428</v>
      </c>
      <c r="G63" s="36"/>
      <c r="H63" s="26">
        <f>'2023'!H65</f>
        <v>733</v>
      </c>
      <c r="I63" s="26">
        <f>'2023'!I65</f>
        <v>761.5</v>
      </c>
      <c r="J63" s="26">
        <f>'2023'!J65</f>
        <v>796.65</v>
      </c>
      <c r="K63" s="26">
        <f>'2023'!K65</f>
        <v>791.56999999999994</v>
      </c>
      <c r="L63" s="26">
        <f t="shared" si="7"/>
        <v>3082.7200000000003</v>
      </c>
      <c r="M63" s="38">
        <f>'2023'!N65</f>
        <v>99.897974640263598</v>
      </c>
      <c r="N63" s="27">
        <v>99.897974640263598</v>
      </c>
      <c r="O63" s="38">
        <f>'2023'!P65</f>
        <v>61.36</v>
      </c>
      <c r="P63" s="27">
        <v>63.814399999999999</v>
      </c>
      <c r="Q63" s="27">
        <f t="shared" si="21"/>
        <v>28248.335411313219</v>
      </c>
      <c r="R63" s="27">
        <f t="shared" si="22"/>
        <v>29346.66768856073</v>
      </c>
      <c r="S63" s="27">
        <f t="shared" si="23"/>
        <v>28745.979737165995</v>
      </c>
      <c r="T63" s="27">
        <f t="shared" si="24"/>
        <v>28562.675177993457</v>
      </c>
      <c r="U63" s="27">
        <f t="shared" si="8"/>
        <v>114903.6580150334</v>
      </c>
      <c r="V63" s="119"/>
      <c r="W63" s="119"/>
      <c r="X63" s="119"/>
      <c r="Y63" s="29">
        <f t="shared" si="19"/>
        <v>100</v>
      </c>
      <c r="Z63" s="30">
        <f t="shared" si="20"/>
        <v>104</v>
      </c>
      <c r="AA63" s="2"/>
      <c r="AD63" s="32">
        <f t="shared" si="9"/>
        <v>0</v>
      </c>
      <c r="AE63" s="91"/>
      <c r="AF63" s="92"/>
    </row>
    <row r="64" spans="1:32" s="40" customFormat="1" ht="47.25" customHeight="1">
      <c r="A64" s="33">
        <v>2912005994</v>
      </c>
      <c r="B64" s="34" t="s">
        <v>92</v>
      </c>
      <c r="C64" s="35" t="s">
        <v>86</v>
      </c>
      <c r="D64" s="33" t="s">
        <v>95</v>
      </c>
      <c r="E64" s="33"/>
      <c r="F64" s="25" t="s">
        <v>428</v>
      </c>
      <c r="G64" s="36"/>
      <c r="H64" s="26">
        <f>'2023'!H66</f>
        <v>968</v>
      </c>
      <c r="I64" s="26">
        <f>'2023'!I66</f>
        <v>954.2700000000001</v>
      </c>
      <c r="J64" s="26">
        <f>'2023'!J66</f>
        <v>955.61999999999989</v>
      </c>
      <c r="K64" s="26">
        <f>'2023'!K66</f>
        <v>978.08</v>
      </c>
      <c r="L64" s="26">
        <f t="shared" si="7"/>
        <v>3855.97</v>
      </c>
      <c r="M64" s="38">
        <f>'2023'!N66</f>
        <v>138.73160473246094</v>
      </c>
      <c r="N64" s="27">
        <v>138.73160473246094</v>
      </c>
      <c r="O64" s="38">
        <f>'2023'!P66</f>
        <v>65.52</v>
      </c>
      <c r="P64" s="27">
        <v>68.140799999999999</v>
      </c>
      <c r="Q64" s="27">
        <f t="shared" si="21"/>
        <v>70868.833381022196</v>
      </c>
      <c r="R64" s="27">
        <f t="shared" si="22"/>
        <v>69863.638048045512</v>
      </c>
      <c r="S64" s="27">
        <f t="shared" si="23"/>
        <v>67457.984818434314</v>
      </c>
      <c r="T64" s="27">
        <f t="shared" si="24"/>
        <v>69043.454292725393</v>
      </c>
      <c r="U64" s="27">
        <f t="shared" si="8"/>
        <v>277233.91054022743</v>
      </c>
      <c r="V64" s="119"/>
      <c r="W64" s="119"/>
      <c r="X64" s="119"/>
      <c r="Y64" s="29">
        <f t="shared" si="19"/>
        <v>100</v>
      </c>
      <c r="Z64" s="30">
        <f t="shared" si="20"/>
        <v>104</v>
      </c>
      <c r="AA64" s="2"/>
      <c r="AD64" s="32">
        <f t="shared" si="9"/>
        <v>0</v>
      </c>
      <c r="AE64" s="91"/>
      <c r="AF64" s="92"/>
    </row>
    <row r="65" spans="1:32" s="40" customFormat="1" ht="47.25" customHeight="1">
      <c r="A65" s="33">
        <v>2912005994</v>
      </c>
      <c r="B65" s="34" t="s">
        <v>92</v>
      </c>
      <c r="C65" s="35" t="s">
        <v>86</v>
      </c>
      <c r="D65" s="33" t="s">
        <v>94</v>
      </c>
      <c r="E65" s="33"/>
      <c r="F65" s="25" t="s">
        <v>428</v>
      </c>
      <c r="G65" s="36"/>
      <c r="H65" s="26">
        <f>'2023'!H67</f>
        <v>102</v>
      </c>
      <c r="I65" s="26">
        <f>'2023'!I67</f>
        <v>104.31</v>
      </c>
      <c r="J65" s="26">
        <f>'2023'!J67</f>
        <v>168.29000000000002</v>
      </c>
      <c r="K65" s="26">
        <f>'2023'!K67</f>
        <v>195.29999999999998</v>
      </c>
      <c r="L65" s="26">
        <f t="shared" si="7"/>
        <v>569.9</v>
      </c>
      <c r="M65" s="38">
        <f>'2023'!N67</f>
        <v>138.73160473246094</v>
      </c>
      <c r="N65" s="27">
        <v>138.73160473246094</v>
      </c>
      <c r="O65" s="38">
        <f>'2023'!P67</f>
        <v>76.960000000000008</v>
      </c>
      <c r="P65" s="27">
        <v>80.03840000000001</v>
      </c>
      <c r="Q65" s="27">
        <f t="shared" si="21"/>
        <v>6300.7036827110151</v>
      </c>
      <c r="R65" s="27">
        <f t="shared" si="22"/>
        <v>6443.3960896429999</v>
      </c>
      <c r="S65" s="27">
        <f t="shared" si="23"/>
        <v>9877.4794244258501</v>
      </c>
      <c r="T65" s="27">
        <f t="shared" si="24"/>
        <v>11462.782884249618</v>
      </c>
      <c r="U65" s="27">
        <f t="shared" si="8"/>
        <v>34084.362081029481</v>
      </c>
      <c r="V65" s="119"/>
      <c r="W65" s="119"/>
      <c r="X65" s="119"/>
      <c r="Y65" s="29">
        <f t="shared" si="19"/>
        <v>100</v>
      </c>
      <c r="Z65" s="30">
        <f t="shared" si="20"/>
        <v>104</v>
      </c>
      <c r="AA65" s="2"/>
      <c r="AD65" s="32">
        <f t="shared" si="9"/>
        <v>0</v>
      </c>
      <c r="AE65" s="91"/>
      <c r="AF65" s="92"/>
    </row>
    <row r="66" spans="1:32" s="40" customFormat="1" ht="47.25" customHeight="1">
      <c r="A66" s="33">
        <v>2912005994</v>
      </c>
      <c r="B66" s="34" t="s">
        <v>92</v>
      </c>
      <c r="C66" s="35" t="s">
        <v>86</v>
      </c>
      <c r="D66" s="33" t="s">
        <v>96</v>
      </c>
      <c r="E66" s="33"/>
      <c r="F66" s="25" t="s">
        <v>428</v>
      </c>
      <c r="G66" s="36"/>
      <c r="H66" s="26">
        <f>'2023'!H68</f>
        <v>447</v>
      </c>
      <c r="I66" s="26">
        <f>'2023'!I68</f>
        <v>383.64</v>
      </c>
      <c r="J66" s="26">
        <f>'2023'!J68</f>
        <v>376.73</v>
      </c>
      <c r="K66" s="26">
        <f>'2023'!K68</f>
        <v>333.58000000000004</v>
      </c>
      <c r="L66" s="26">
        <f t="shared" si="7"/>
        <v>1540.9499999999998</v>
      </c>
      <c r="M66" s="38">
        <f>'2023'!N68</f>
        <v>149.88822216028171</v>
      </c>
      <c r="N66" s="27">
        <v>149.88822216028171</v>
      </c>
      <c r="O66" s="38">
        <f>'2023'!P68</f>
        <v>61.36</v>
      </c>
      <c r="P66" s="27">
        <v>63.814399999999999</v>
      </c>
      <c r="Q66" s="27">
        <f t="shared" si="21"/>
        <v>39572.11530564593</v>
      </c>
      <c r="R66" s="27">
        <f t="shared" si="22"/>
        <v>33962.967149570475</v>
      </c>
      <c r="S66" s="27">
        <f t="shared" si="23"/>
        <v>32426.591022442928</v>
      </c>
      <c r="T66" s="27">
        <f t="shared" si="24"/>
        <v>28712.505596226776</v>
      </c>
      <c r="U66" s="27">
        <f t="shared" si="8"/>
        <v>134674.1790738861</v>
      </c>
      <c r="V66" s="119"/>
      <c r="W66" s="119"/>
      <c r="X66" s="119"/>
      <c r="Y66" s="29">
        <f t="shared" si="19"/>
        <v>100</v>
      </c>
      <c r="Z66" s="30">
        <f t="shared" si="20"/>
        <v>104</v>
      </c>
      <c r="AA66" s="2"/>
      <c r="AD66" s="32">
        <f t="shared" si="9"/>
        <v>0</v>
      </c>
      <c r="AE66" s="91"/>
      <c r="AF66" s="92"/>
    </row>
    <row r="67" spans="1:32" s="40" customFormat="1" ht="52.5" customHeight="1">
      <c r="A67" s="33">
        <v>2912005994</v>
      </c>
      <c r="B67" s="34" t="s">
        <v>92</v>
      </c>
      <c r="C67" s="35" t="s">
        <v>86</v>
      </c>
      <c r="D67" s="33" t="s">
        <v>435</v>
      </c>
      <c r="E67" s="33"/>
      <c r="F67" s="36" t="s">
        <v>428</v>
      </c>
      <c r="G67" s="36" t="s">
        <v>440</v>
      </c>
      <c r="H67" s="37">
        <f>3740/4</f>
        <v>935</v>
      </c>
      <c r="I67" s="37">
        <f t="shared" ref="I67:K67" si="25">3740/4</f>
        <v>935</v>
      </c>
      <c r="J67" s="37">
        <f t="shared" si="25"/>
        <v>935</v>
      </c>
      <c r="K67" s="37">
        <f t="shared" si="25"/>
        <v>935</v>
      </c>
      <c r="L67" s="37">
        <f t="shared" si="7"/>
        <v>3740</v>
      </c>
      <c r="M67" s="38">
        <f>'2023'!N69</f>
        <v>105.47213608299113</v>
      </c>
      <c r="N67" s="38">
        <v>105.47213608299113</v>
      </c>
      <c r="O67" s="38">
        <f>'2023'!P69</f>
        <v>58.510399999999997</v>
      </c>
      <c r="P67" s="38">
        <v>60.850816000000002</v>
      </c>
      <c r="Q67" s="38">
        <f t="shared" si="21"/>
        <v>43909.223237596707</v>
      </c>
      <c r="R67" s="38">
        <f t="shared" si="22"/>
        <v>43909.223237596707</v>
      </c>
      <c r="S67" s="38">
        <f t="shared" si="23"/>
        <v>41720.934277596702</v>
      </c>
      <c r="T67" s="38">
        <f t="shared" si="24"/>
        <v>41720.934277596702</v>
      </c>
      <c r="U67" s="120">
        <f t="shared" si="8"/>
        <v>171260.31503038682</v>
      </c>
      <c r="V67" s="121"/>
      <c r="W67" s="119"/>
      <c r="X67" s="119"/>
      <c r="Y67" s="29"/>
      <c r="Z67" s="30"/>
      <c r="AA67" s="2"/>
      <c r="AD67" s="32"/>
      <c r="AE67" s="91"/>
      <c r="AF67" s="92"/>
    </row>
    <row r="68" spans="1:32" s="40" customFormat="1" ht="47.25" customHeight="1">
      <c r="A68" s="33">
        <v>2912006155</v>
      </c>
      <c r="B68" s="34" t="s">
        <v>89</v>
      </c>
      <c r="C68" s="35" t="s">
        <v>86</v>
      </c>
      <c r="D68" s="33" t="s">
        <v>90</v>
      </c>
      <c r="E68" s="33"/>
      <c r="F68" s="25" t="s">
        <v>428</v>
      </c>
      <c r="G68" s="36"/>
      <c r="H68" s="26">
        <f>'2023'!H70</f>
        <v>8058.1259999999993</v>
      </c>
      <c r="I68" s="26">
        <f>'2023'!I70</f>
        <v>8800</v>
      </c>
      <c r="J68" s="26">
        <f>'2023'!J70</f>
        <v>9343.3639999999996</v>
      </c>
      <c r="K68" s="26">
        <f>'2023'!K70</f>
        <v>9337.7920000000013</v>
      </c>
      <c r="L68" s="26">
        <f t="shared" si="7"/>
        <v>35539.281999999999</v>
      </c>
      <c r="M68" s="38">
        <f>'2023'!N70</f>
        <v>80.73</v>
      </c>
      <c r="N68" s="27">
        <v>82.268179999999987</v>
      </c>
      <c r="O68" s="38">
        <f>'2023'!P70</f>
        <v>57.2</v>
      </c>
      <c r="P68" s="27">
        <v>59.488000000000007</v>
      </c>
      <c r="Q68" s="27">
        <f t="shared" si="21"/>
        <v>189607.70478</v>
      </c>
      <c r="R68" s="27">
        <f t="shared" si="22"/>
        <v>207064</v>
      </c>
      <c r="S68" s="27">
        <f t="shared" si="23"/>
        <v>212843.51372551979</v>
      </c>
      <c r="T68" s="27">
        <f t="shared" si="24"/>
        <v>212716.58256255984</v>
      </c>
      <c r="U68" s="27">
        <f t="shared" si="8"/>
        <v>822231.80106807966</v>
      </c>
      <c r="V68" s="119"/>
      <c r="W68" s="119"/>
      <c r="X68" s="119"/>
      <c r="Y68" s="29">
        <f t="shared" ref="Y68:Y99" si="26">N68/M68*100</f>
        <v>101.90533878359965</v>
      </c>
      <c r="Z68" s="30">
        <f t="shared" ref="Z68:Z99" si="27">P68/O68*100</f>
        <v>104</v>
      </c>
      <c r="AA68" s="2"/>
      <c r="AD68" s="32">
        <f t="shared" si="9"/>
        <v>0</v>
      </c>
      <c r="AE68" s="91"/>
      <c r="AF68" s="92"/>
    </row>
    <row r="69" spans="1:32" s="40" customFormat="1" ht="47.25" customHeight="1">
      <c r="A69" s="33">
        <v>2912006155</v>
      </c>
      <c r="B69" s="34" t="s">
        <v>89</v>
      </c>
      <c r="C69" s="35" t="s">
        <v>86</v>
      </c>
      <c r="D69" s="33" t="s">
        <v>91</v>
      </c>
      <c r="E69" s="33"/>
      <c r="F69" s="25" t="s">
        <v>428</v>
      </c>
      <c r="G69" s="36"/>
      <c r="H69" s="26">
        <f>'2023'!H71</f>
        <v>728.58699999999999</v>
      </c>
      <c r="I69" s="26">
        <f>'2023'!I71</f>
        <v>446.39699999999999</v>
      </c>
      <c r="J69" s="26">
        <f>'2023'!J71</f>
        <v>450.79600000000005</v>
      </c>
      <c r="K69" s="26">
        <f>'2023'!K71</f>
        <v>347.99600000000004</v>
      </c>
      <c r="L69" s="26">
        <f t="shared" si="7"/>
        <v>1973.7760000000001</v>
      </c>
      <c r="M69" s="38">
        <f>'2023'!N71</f>
        <v>205.71320000000003</v>
      </c>
      <c r="N69" s="27">
        <v>216.68586720000002</v>
      </c>
      <c r="O69" s="38">
        <f>'2023'!P71</f>
        <v>65.52</v>
      </c>
      <c r="P69" s="27">
        <v>68.140799999999999</v>
      </c>
      <c r="Q69" s="27">
        <f t="shared" si="21"/>
        <v>102142.94300840003</v>
      </c>
      <c r="R69" s="27">
        <f t="shared" si="22"/>
        <v>62581.823900400021</v>
      </c>
      <c r="S69" s="27">
        <f t="shared" si="23"/>
        <v>66963.522113491214</v>
      </c>
      <c r="T69" s="27">
        <f t="shared" si="24"/>
        <v>51693.089205331205</v>
      </c>
      <c r="U69" s="27">
        <f t="shared" si="8"/>
        <v>283381.37822762248</v>
      </c>
      <c r="V69" s="119"/>
      <c r="W69" s="119"/>
      <c r="X69" s="119"/>
      <c r="Y69" s="29">
        <f t="shared" si="26"/>
        <v>105.33396359591897</v>
      </c>
      <c r="Z69" s="30">
        <f t="shared" si="27"/>
        <v>104</v>
      </c>
      <c r="AA69" s="2"/>
      <c r="AD69" s="32">
        <f t="shared" si="9"/>
        <v>0</v>
      </c>
      <c r="AE69" s="91"/>
      <c r="AF69" s="92"/>
    </row>
    <row r="70" spans="1:32" s="40" customFormat="1" ht="15" customHeight="1">
      <c r="A70" s="33"/>
      <c r="B70" s="34"/>
      <c r="C70" s="35"/>
      <c r="D70" s="33"/>
      <c r="E70" s="33"/>
      <c r="F70" s="36"/>
      <c r="G70" s="36"/>
      <c r="H70" s="26"/>
      <c r="I70" s="26"/>
      <c r="J70" s="26"/>
      <c r="K70" s="26"/>
      <c r="L70" s="37"/>
      <c r="M70" s="41"/>
      <c r="N70" s="41"/>
      <c r="O70" s="41"/>
      <c r="P70" s="41"/>
      <c r="Q70" s="27"/>
      <c r="R70" s="27"/>
      <c r="S70" s="27"/>
      <c r="T70" s="27"/>
      <c r="U70" s="27"/>
      <c r="V70" s="119"/>
      <c r="W70" s="119"/>
      <c r="X70" s="119"/>
      <c r="Y70" s="29" t="e">
        <f t="shared" si="26"/>
        <v>#DIV/0!</v>
      </c>
      <c r="Z70" s="30" t="e">
        <f t="shared" si="27"/>
        <v>#DIV/0!</v>
      </c>
      <c r="AA70" s="2"/>
      <c r="AD70" s="32" t="e">
        <f t="shared" si="9"/>
        <v>#DIV/0!</v>
      </c>
      <c r="AE70" s="91"/>
      <c r="AF70" s="92"/>
    </row>
    <row r="71" spans="1:32" s="40" customFormat="1" ht="51.75" customHeight="1">
      <c r="A71" s="33">
        <v>2901302219</v>
      </c>
      <c r="B71" s="34" t="s">
        <v>120</v>
      </c>
      <c r="C71" s="35" t="s">
        <v>97</v>
      </c>
      <c r="D71" s="33" t="s">
        <v>319</v>
      </c>
      <c r="E71" s="33" t="s">
        <v>320</v>
      </c>
      <c r="F71" s="25" t="s">
        <v>428</v>
      </c>
      <c r="G71" s="36" t="s">
        <v>384</v>
      </c>
      <c r="H71" s="26">
        <f>'2023'!H73</f>
        <v>9114.387999999999</v>
      </c>
      <c r="I71" s="26">
        <f>'2023'!I73</f>
        <v>10851.897000000001</v>
      </c>
      <c r="J71" s="26">
        <f>'2023'!J73</f>
        <v>9760.9390000000003</v>
      </c>
      <c r="K71" s="26">
        <f>'2023'!K73</f>
        <v>8430.5240000000013</v>
      </c>
      <c r="L71" s="26">
        <f t="shared" si="7"/>
        <v>38157.748000000007</v>
      </c>
      <c r="M71" s="38">
        <v>210.29</v>
      </c>
      <c r="N71" s="27">
        <v>210.29</v>
      </c>
      <c r="O71" s="38">
        <v>68.03</v>
      </c>
      <c r="P71" s="27">
        <v>70.75</v>
      </c>
      <c r="Q71" s="27">
        <f t="shared" ref="Q71:Q76" si="28">(M71-O71)*H71</f>
        <v>1296612.8368799998</v>
      </c>
      <c r="R71" s="27">
        <f t="shared" ref="R71:S76" si="29">(M71-O71)*I71</f>
        <v>1543790.8672200001</v>
      </c>
      <c r="S71" s="27">
        <f t="shared" si="29"/>
        <v>1362041.4280600001</v>
      </c>
      <c r="T71" s="27">
        <f t="shared" ref="T71:T76" si="30">(N71-P71)*K71</f>
        <v>1176395.3189600001</v>
      </c>
      <c r="U71" s="27">
        <f t="shared" si="8"/>
        <v>5378840.4511199994</v>
      </c>
      <c r="V71" s="119"/>
      <c r="W71" s="119"/>
      <c r="X71" s="119"/>
      <c r="Y71" s="29">
        <f t="shared" si="26"/>
        <v>100</v>
      </c>
      <c r="Z71" s="30">
        <f t="shared" si="27"/>
        <v>103.99823607232103</v>
      </c>
      <c r="AA71" s="2"/>
      <c r="AD71" s="32">
        <f t="shared" si="9"/>
        <v>1.7639276789651603E-3</v>
      </c>
      <c r="AE71" s="91"/>
      <c r="AF71" s="92"/>
    </row>
    <row r="72" spans="1:32" s="40" customFormat="1" ht="51.75" customHeight="1">
      <c r="A72" s="33">
        <v>2901302219</v>
      </c>
      <c r="B72" s="34" t="s">
        <v>120</v>
      </c>
      <c r="C72" s="35" t="s">
        <v>97</v>
      </c>
      <c r="D72" s="33" t="s">
        <v>319</v>
      </c>
      <c r="E72" s="33" t="s">
        <v>321</v>
      </c>
      <c r="F72" s="25" t="s">
        <v>428</v>
      </c>
      <c r="G72" s="36" t="s">
        <v>384</v>
      </c>
      <c r="H72" s="26">
        <f>'2023'!H74</f>
        <v>1684.596</v>
      </c>
      <c r="I72" s="26">
        <f>'2023'!I74</f>
        <v>1661.3069999999998</v>
      </c>
      <c r="J72" s="26">
        <f>'2023'!J74</f>
        <v>1867.1320000000001</v>
      </c>
      <c r="K72" s="26">
        <f>'2023'!K74</f>
        <v>1407.6510000000001</v>
      </c>
      <c r="L72" s="26">
        <f t="shared" si="7"/>
        <v>6620.6859999999997</v>
      </c>
      <c r="M72" s="38">
        <v>210.29</v>
      </c>
      <c r="N72" s="27">
        <v>210.29</v>
      </c>
      <c r="O72" s="38">
        <v>80.75</v>
      </c>
      <c r="P72" s="27">
        <v>83.98</v>
      </c>
      <c r="Q72" s="27">
        <f t="shared" si="28"/>
        <v>218222.56584</v>
      </c>
      <c r="R72" s="27">
        <f t="shared" si="29"/>
        <v>215205.70877999996</v>
      </c>
      <c r="S72" s="27">
        <f t="shared" si="29"/>
        <v>235837.44291999997</v>
      </c>
      <c r="T72" s="27">
        <f t="shared" si="30"/>
        <v>177800.39780999999</v>
      </c>
      <c r="U72" s="27">
        <f t="shared" si="8"/>
        <v>847066.11534999986</v>
      </c>
      <c r="V72" s="119"/>
      <c r="W72" s="119"/>
      <c r="X72" s="119"/>
      <c r="Y72" s="29">
        <f t="shared" si="26"/>
        <v>100</v>
      </c>
      <c r="Z72" s="30">
        <f t="shared" si="27"/>
        <v>104</v>
      </c>
      <c r="AA72" s="2"/>
      <c r="AD72" s="32">
        <f t="shared" si="9"/>
        <v>0</v>
      </c>
      <c r="AE72" s="91"/>
      <c r="AF72" s="92"/>
    </row>
    <row r="73" spans="1:32" s="40" customFormat="1" ht="51.75" customHeight="1">
      <c r="A73" s="33">
        <v>2901302219</v>
      </c>
      <c r="B73" s="34" t="s">
        <v>120</v>
      </c>
      <c r="C73" s="35" t="s">
        <v>97</v>
      </c>
      <c r="D73" s="33" t="s">
        <v>104</v>
      </c>
      <c r="E73" s="33"/>
      <c r="F73" s="25" t="s">
        <v>428</v>
      </c>
      <c r="G73" s="36" t="s">
        <v>385</v>
      </c>
      <c r="H73" s="26">
        <f>'2023'!H75</f>
        <v>9222.8070000000007</v>
      </c>
      <c r="I73" s="26">
        <f>'2023'!I75</f>
        <v>9328.4599999999991</v>
      </c>
      <c r="J73" s="26">
        <f>'2023'!J75</f>
        <v>10804.179</v>
      </c>
      <c r="K73" s="26">
        <f>'2023'!K75</f>
        <v>8156.5599999999995</v>
      </c>
      <c r="L73" s="26">
        <f t="shared" si="7"/>
        <v>37512.006000000001</v>
      </c>
      <c r="M73" s="38">
        <v>160.49</v>
      </c>
      <c r="N73" s="27">
        <v>175.26</v>
      </c>
      <c r="O73" s="38">
        <v>89.26</v>
      </c>
      <c r="P73" s="27">
        <v>92.83</v>
      </c>
      <c r="Q73" s="27">
        <f t="shared" si="28"/>
        <v>656940.54261000012</v>
      </c>
      <c r="R73" s="27">
        <f t="shared" si="29"/>
        <v>664466.2058</v>
      </c>
      <c r="S73" s="27">
        <f t="shared" si="29"/>
        <v>890588.47496999998</v>
      </c>
      <c r="T73" s="27">
        <f t="shared" si="30"/>
        <v>672345.24079999991</v>
      </c>
      <c r="U73" s="27">
        <f t="shared" si="8"/>
        <v>2884340.4641799997</v>
      </c>
      <c r="V73" s="119"/>
      <c r="W73" s="119"/>
      <c r="X73" s="119"/>
      <c r="Y73" s="29">
        <f t="shared" si="26"/>
        <v>109.20306561156457</v>
      </c>
      <c r="Z73" s="30">
        <f t="shared" si="27"/>
        <v>103.99955187093883</v>
      </c>
      <c r="AA73" s="2"/>
      <c r="AD73" s="32">
        <f t="shared" si="9"/>
        <v>4.4812906116931117E-4</v>
      </c>
      <c r="AE73" s="91"/>
      <c r="AF73" s="92"/>
    </row>
    <row r="74" spans="1:32" s="40" customFormat="1" ht="51.75" customHeight="1">
      <c r="A74" s="33">
        <v>2901302219</v>
      </c>
      <c r="B74" s="34" t="s">
        <v>120</v>
      </c>
      <c r="C74" s="35" t="s">
        <v>97</v>
      </c>
      <c r="D74" s="33" t="s">
        <v>98</v>
      </c>
      <c r="E74" s="33"/>
      <c r="F74" s="25" t="s">
        <v>428</v>
      </c>
      <c r="G74" s="36"/>
      <c r="H74" s="26">
        <f>'2023'!H76</f>
        <v>824.81100000000015</v>
      </c>
      <c r="I74" s="26">
        <f>'2023'!I76</f>
        <v>1089.5</v>
      </c>
      <c r="J74" s="26">
        <f>'2023'!J76</f>
        <v>1089.5</v>
      </c>
      <c r="K74" s="26">
        <f>'2023'!K76</f>
        <v>1089.5</v>
      </c>
      <c r="L74" s="26">
        <f t="shared" ref="L74:L138" si="31">H74+I74+J74+K74</f>
        <v>4093.3110000000001</v>
      </c>
      <c r="M74" s="38">
        <v>408.41</v>
      </c>
      <c r="N74" s="27">
        <v>445.98</v>
      </c>
      <c r="O74" s="38">
        <v>81.459999999999994</v>
      </c>
      <c r="P74" s="27">
        <v>84.72</v>
      </c>
      <c r="Q74" s="27">
        <f t="shared" si="28"/>
        <v>269671.95645000011</v>
      </c>
      <c r="R74" s="27">
        <f t="shared" si="29"/>
        <v>356212.02500000002</v>
      </c>
      <c r="S74" s="27">
        <f t="shared" si="29"/>
        <v>393592.77</v>
      </c>
      <c r="T74" s="27">
        <f t="shared" si="30"/>
        <v>393592.77</v>
      </c>
      <c r="U74" s="27">
        <f t="shared" ref="U74:U138" si="32">Q74+R74+S74+T74</f>
        <v>1413069.5214500001</v>
      </c>
      <c r="V74" s="119"/>
      <c r="W74" s="119"/>
      <c r="X74" s="119"/>
      <c r="Y74" s="29">
        <f t="shared" si="26"/>
        <v>109.19908915060846</v>
      </c>
      <c r="Z74" s="30">
        <f t="shared" si="27"/>
        <v>104.0019641541861</v>
      </c>
      <c r="AA74" s="2"/>
      <c r="AD74" s="32">
        <f t="shared" si="9"/>
        <v>-1.9641541860977441E-3</v>
      </c>
      <c r="AE74" s="91"/>
      <c r="AF74" s="92"/>
    </row>
    <row r="75" spans="1:32" s="79" customFormat="1" ht="51.75" customHeight="1">
      <c r="A75" s="73">
        <v>2904028490</v>
      </c>
      <c r="B75" s="74" t="s">
        <v>103</v>
      </c>
      <c r="C75" s="75" t="s">
        <v>97</v>
      </c>
      <c r="D75" s="73" t="s">
        <v>98</v>
      </c>
      <c r="E75" s="73" t="s">
        <v>322</v>
      </c>
      <c r="F75" s="25" t="s">
        <v>428</v>
      </c>
      <c r="G75" s="36"/>
      <c r="H75" s="26">
        <f>'2023'!H77</f>
        <v>23297.888999999999</v>
      </c>
      <c r="I75" s="26">
        <f>'2023'!I77</f>
        <v>23810.504000000001</v>
      </c>
      <c r="J75" s="26">
        <f>'2023'!J77</f>
        <v>20387</v>
      </c>
      <c r="K75" s="26">
        <f>'2023'!K77</f>
        <v>20387</v>
      </c>
      <c r="L75" s="26">
        <f t="shared" si="31"/>
        <v>87882.392999999996</v>
      </c>
      <c r="M75" s="70">
        <v>56.98</v>
      </c>
      <c r="N75" s="45">
        <v>56.98</v>
      </c>
      <c r="O75" s="70">
        <v>53.04</v>
      </c>
      <c r="P75" s="45">
        <v>55.16</v>
      </c>
      <c r="Q75" s="27">
        <f t="shared" si="28"/>
        <v>91793.682659999948</v>
      </c>
      <c r="R75" s="27">
        <f t="shared" si="29"/>
        <v>93813.385759999946</v>
      </c>
      <c r="S75" s="27">
        <f t="shared" si="29"/>
        <v>37104.340000000004</v>
      </c>
      <c r="T75" s="27">
        <f t="shared" si="30"/>
        <v>37104.340000000004</v>
      </c>
      <c r="U75" s="27">
        <f t="shared" si="32"/>
        <v>259815.7484199999</v>
      </c>
      <c r="V75" s="122"/>
      <c r="W75" s="122"/>
      <c r="X75" s="122"/>
      <c r="Y75" s="43">
        <f t="shared" si="26"/>
        <v>100</v>
      </c>
      <c r="Z75" s="44">
        <f t="shared" si="27"/>
        <v>103.99698340874809</v>
      </c>
      <c r="AA75" s="138" t="s">
        <v>105</v>
      </c>
      <c r="AD75" s="32">
        <f t="shared" si="9"/>
        <v>3.0165912519066751E-3</v>
      </c>
      <c r="AE75" s="91"/>
      <c r="AF75" s="92"/>
    </row>
    <row r="76" spans="1:32" s="100" customFormat="1" ht="84.75" customHeight="1">
      <c r="A76" s="97">
        <v>2904028490</v>
      </c>
      <c r="B76" s="98" t="s">
        <v>103</v>
      </c>
      <c r="C76" s="111" t="s">
        <v>97</v>
      </c>
      <c r="D76" s="73" t="s">
        <v>98</v>
      </c>
      <c r="E76" s="73" t="s">
        <v>323</v>
      </c>
      <c r="F76" s="25" t="s">
        <v>428</v>
      </c>
      <c r="G76" s="99"/>
      <c r="H76" s="26">
        <f>'2023'!H78</f>
        <v>5326.3770000000004</v>
      </c>
      <c r="I76" s="26">
        <f>'2023'!I78</f>
        <v>5679.57</v>
      </c>
      <c r="J76" s="26">
        <f>'2023'!J78</f>
        <v>6427.3</v>
      </c>
      <c r="K76" s="26">
        <f>'2023'!K78</f>
        <v>5296.54</v>
      </c>
      <c r="L76" s="26">
        <f t="shared" si="31"/>
        <v>22729.787</v>
      </c>
      <c r="M76" s="70">
        <v>164.47</v>
      </c>
      <c r="N76" s="45">
        <v>164.47</v>
      </c>
      <c r="O76" s="70">
        <v>53.04</v>
      </c>
      <c r="P76" s="45">
        <v>55.16</v>
      </c>
      <c r="Q76" s="27">
        <f t="shared" si="28"/>
        <v>593518.18911000004</v>
      </c>
      <c r="R76" s="27">
        <f t="shared" si="29"/>
        <v>632874.48510000005</v>
      </c>
      <c r="S76" s="27">
        <f t="shared" si="29"/>
        <v>702568.16300000006</v>
      </c>
      <c r="T76" s="27">
        <f t="shared" si="30"/>
        <v>578964.78740000003</v>
      </c>
      <c r="U76" s="27">
        <f t="shared" si="32"/>
        <v>2507925.6246100003</v>
      </c>
      <c r="V76" s="128"/>
      <c r="W76" s="128"/>
      <c r="X76" s="128"/>
      <c r="Y76" s="29">
        <f t="shared" si="26"/>
        <v>100</v>
      </c>
      <c r="Z76" s="30">
        <f t="shared" si="27"/>
        <v>103.99698340874809</v>
      </c>
      <c r="AA76" s="138"/>
      <c r="AD76" s="32">
        <f t="shared" si="9"/>
        <v>3.0165912519066751E-3</v>
      </c>
      <c r="AE76" s="91"/>
      <c r="AF76" s="92"/>
    </row>
    <row r="77" spans="1:32" s="40" customFormat="1" ht="15" customHeight="1">
      <c r="A77" s="33"/>
      <c r="B77" s="34"/>
      <c r="C77" s="35"/>
      <c r="D77" s="33"/>
      <c r="E77" s="33"/>
      <c r="F77" s="36"/>
      <c r="G77" s="36"/>
      <c r="H77" s="26"/>
      <c r="I77" s="26"/>
      <c r="J77" s="26"/>
      <c r="K77" s="26"/>
      <c r="L77" s="37"/>
      <c r="M77" s="41"/>
      <c r="N77" s="41"/>
      <c r="O77" s="41"/>
      <c r="P77" s="41"/>
      <c r="Q77" s="27"/>
      <c r="R77" s="27"/>
      <c r="S77" s="27"/>
      <c r="T77" s="27"/>
      <c r="U77" s="27"/>
      <c r="V77" s="119"/>
      <c r="W77" s="119"/>
      <c r="X77" s="119"/>
      <c r="Y77" s="29" t="e">
        <f t="shared" si="26"/>
        <v>#DIV/0!</v>
      </c>
      <c r="Z77" s="30" t="e">
        <f t="shared" si="27"/>
        <v>#DIV/0!</v>
      </c>
      <c r="AA77" s="2"/>
      <c r="AD77" s="32" t="e">
        <f t="shared" si="9"/>
        <v>#DIV/0!</v>
      </c>
      <c r="AE77" s="91"/>
      <c r="AF77" s="92"/>
    </row>
    <row r="78" spans="1:32" s="40" customFormat="1" ht="51.75" customHeight="1">
      <c r="A78" s="33">
        <v>2914003174</v>
      </c>
      <c r="B78" s="34" t="s">
        <v>106</v>
      </c>
      <c r="C78" s="35" t="s">
        <v>107</v>
      </c>
      <c r="D78" s="33" t="s">
        <v>108</v>
      </c>
      <c r="E78" s="33"/>
      <c r="F78" s="25" t="s">
        <v>428</v>
      </c>
      <c r="G78" s="36"/>
      <c r="H78" s="26">
        <f>'2023'!H80</f>
        <v>2943.3609999999999</v>
      </c>
      <c r="I78" s="26">
        <f>'2023'!I80</f>
        <v>2900.75</v>
      </c>
      <c r="J78" s="26">
        <f>'2023'!J80</f>
        <v>2960.0120000000002</v>
      </c>
      <c r="K78" s="26">
        <f>'2023'!K80</f>
        <v>2894.9989999999998</v>
      </c>
      <c r="L78" s="26">
        <f t="shared" si="31"/>
        <v>11699.121999999999</v>
      </c>
      <c r="M78" s="38">
        <f>'2023'!N80</f>
        <v>78.210400000000021</v>
      </c>
      <c r="N78" s="27">
        <v>78.210400000000021</v>
      </c>
      <c r="O78" s="38">
        <f>'2023'!P80</f>
        <v>29.015999999999998</v>
      </c>
      <c r="P78" s="27">
        <v>30.176639999999999</v>
      </c>
      <c r="Q78" s="27">
        <f t="shared" ref="Q78:Q85" si="33">(M78-O78)*H78</f>
        <v>144796.87837840006</v>
      </c>
      <c r="R78" s="27">
        <f t="shared" ref="R78:S85" si="34">(M78-O78)*I78</f>
        <v>142700.65580000007</v>
      </c>
      <c r="S78" s="27">
        <f t="shared" si="34"/>
        <v>142180.50600512009</v>
      </c>
      <c r="T78" s="27">
        <f t="shared" ref="T78:T85" si="35">(N78-P78)*K78</f>
        <v>139057.68716624007</v>
      </c>
      <c r="U78" s="27">
        <f t="shared" si="32"/>
        <v>568735.72734976024</v>
      </c>
      <c r="V78" s="119"/>
      <c r="W78" s="119"/>
      <c r="X78" s="119"/>
      <c r="Y78" s="29">
        <f t="shared" si="26"/>
        <v>100</v>
      </c>
      <c r="Z78" s="30">
        <f t="shared" si="27"/>
        <v>104</v>
      </c>
      <c r="AA78" s="2"/>
      <c r="AD78" s="32">
        <f t="shared" si="9"/>
        <v>0</v>
      </c>
      <c r="AE78" s="91"/>
      <c r="AF78" s="92"/>
    </row>
    <row r="79" spans="1:32" s="40" customFormat="1" ht="51.75" customHeight="1">
      <c r="A79" s="33">
        <v>2904025965</v>
      </c>
      <c r="B79" s="34" t="s">
        <v>277</v>
      </c>
      <c r="C79" s="35" t="s">
        <v>107</v>
      </c>
      <c r="D79" s="33" t="s">
        <v>110</v>
      </c>
      <c r="E79" s="33"/>
      <c r="F79" s="25" t="s">
        <v>428</v>
      </c>
      <c r="G79" s="36"/>
      <c r="H79" s="26">
        <f>'2023'!H81</f>
        <v>6201.5</v>
      </c>
      <c r="I79" s="26">
        <f>'2023'!I81</f>
        <v>6201.5</v>
      </c>
      <c r="J79" s="26">
        <f>'2023'!J81</f>
        <v>6468.5</v>
      </c>
      <c r="K79" s="26">
        <f>'2023'!K81</f>
        <v>6468.5</v>
      </c>
      <c r="L79" s="26">
        <f t="shared" si="31"/>
        <v>25340</v>
      </c>
      <c r="M79" s="38">
        <f>'2023'!N81</f>
        <v>85.323241760000016</v>
      </c>
      <c r="N79" s="27">
        <v>85.323241760000016</v>
      </c>
      <c r="O79" s="38">
        <f>'2023'!P81</f>
        <v>25.584000000000003</v>
      </c>
      <c r="P79" s="27">
        <v>26.607360000000003</v>
      </c>
      <c r="Q79" s="27">
        <f t="shared" si="33"/>
        <v>370472.90777464007</v>
      </c>
      <c r="R79" s="27">
        <f t="shared" si="34"/>
        <v>370472.90777464007</v>
      </c>
      <c r="S79" s="27">
        <f t="shared" si="34"/>
        <v>379803.68116456008</v>
      </c>
      <c r="T79" s="27">
        <f t="shared" si="35"/>
        <v>379803.68116456008</v>
      </c>
      <c r="U79" s="27">
        <f t="shared" si="32"/>
        <v>1500553.1778784003</v>
      </c>
      <c r="V79" s="119"/>
      <c r="W79" s="119"/>
      <c r="X79" s="119"/>
      <c r="Y79" s="29">
        <f t="shared" si="26"/>
        <v>100</v>
      </c>
      <c r="Z79" s="30">
        <f t="shared" si="27"/>
        <v>104</v>
      </c>
      <c r="AA79" s="2"/>
      <c r="AD79" s="32">
        <f t="shared" si="9"/>
        <v>0</v>
      </c>
      <c r="AE79" s="91"/>
      <c r="AF79" s="92"/>
    </row>
    <row r="80" spans="1:32" s="40" customFormat="1" ht="51.75" customHeight="1">
      <c r="A80" s="33">
        <v>2914000511</v>
      </c>
      <c r="B80" s="34" t="s">
        <v>109</v>
      </c>
      <c r="C80" s="35" t="s">
        <v>107</v>
      </c>
      <c r="D80" s="33" t="s">
        <v>108</v>
      </c>
      <c r="E80" s="33"/>
      <c r="F80" s="25" t="s">
        <v>428</v>
      </c>
      <c r="G80" s="36"/>
      <c r="H80" s="26">
        <f>'2023'!H82</f>
        <v>125</v>
      </c>
      <c r="I80" s="26">
        <f>'2023'!I82</f>
        <v>125</v>
      </c>
      <c r="J80" s="26">
        <f>'2023'!J82</f>
        <v>125</v>
      </c>
      <c r="K80" s="26">
        <f>'2023'!K82</f>
        <v>125</v>
      </c>
      <c r="L80" s="26">
        <f t="shared" si="31"/>
        <v>500</v>
      </c>
      <c r="M80" s="38">
        <f>'2023'!N82</f>
        <v>41.48</v>
      </c>
      <c r="N80" s="27">
        <v>45.296159999999993</v>
      </c>
      <c r="O80" s="38">
        <f>'2023'!P82</f>
        <v>29.015999999999998</v>
      </c>
      <c r="P80" s="27">
        <v>30.176639999999999</v>
      </c>
      <c r="Q80" s="27">
        <f t="shared" si="33"/>
        <v>1557.9999999999998</v>
      </c>
      <c r="R80" s="27">
        <f t="shared" si="34"/>
        <v>1557.9999999999998</v>
      </c>
      <c r="S80" s="27">
        <f t="shared" si="34"/>
        <v>1889.9399999999994</v>
      </c>
      <c r="T80" s="27">
        <f t="shared" si="35"/>
        <v>1889.9399999999994</v>
      </c>
      <c r="U80" s="27">
        <f t="shared" si="32"/>
        <v>6895.8799999999983</v>
      </c>
      <c r="V80" s="119"/>
      <c r="W80" s="119"/>
      <c r="X80" s="119"/>
      <c r="Y80" s="29">
        <f t="shared" si="26"/>
        <v>109.19999999999999</v>
      </c>
      <c r="Z80" s="30">
        <f t="shared" si="27"/>
        <v>104</v>
      </c>
      <c r="AA80" s="2"/>
      <c r="AD80" s="32">
        <f>104-Z80</f>
        <v>0</v>
      </c>
      <c r="AE80" s="91"/>
      <c r="AF80" s="92"/>
    </row>
    <row r="81" spans="1:32" s="40" customFormat="1" ht="15" customHeight="1">
      <c r="A81" s="33"/>
      <c r="B81" s="34"/>
      <c r="C81" s="35"/>
      <c r="D81" s="33"/>
      <c r="E81" s="33"/>
      <c r="F81" s="36"/>
      <c r="G81" s="36"/>
      <c r="H81" s="26"/>
      <c r="I81" s="26"/>
      <c r="J81" s="26"/>
      <c r="K81" s="26"/>
      <c r="L81" s="37"/>
      <c r="M81" s="41"/>
      <c r="N81" s="41"/>
      <c r="O81" s="41"/>
      <c r="P81" s="41"/>
      <c r="Q81" s="27">
        <f t="shared" si="33"/>
        <v>0</v>
      </c>
      <c r="R81" s="27">
        <f t="shared" si="34"/>
        <v>0</v>
      </c>
      <c r="S81" s="27">
        <f t="shared" si="34"/>
        <v>0</v>
      </c>
      <c r="T81" s="27">
        <f t="shared" si="35"/>
        <v>0</v>
      </c>
      <c r="U81" s="27">
        <f t="shared" si="32"/>
        <v>0</v>
      </c>
      <c r="V81" s="119"/>
      <c r="W81" s="119"/>
      <c r="X81" s="119"/>
      <c r="Y81" s="29" t="e">
        <f t="shared" si="26"/>
        <v>#DIV/0!</v>
      </c>
      <c r="Z81" s="30" t="e">
        <f t="shared" si="27"/>
        <v>#DIV/0!</v>
      </c>
      <c r="AA81" s="2"/>
      <c r="AD81" s="32" t="e">
        <f t="shared" si="9"/>
        <v>#DIV/0!</v>
      </c>
      <c r="AE81" s="91"/>
      <c r="AF81" s="92"/>
    </row>
    <row r="82" spans="1:32" s="40" customFormat="1" ht="51" customHeight="1">
      <c r="A82" s="33" t="s">
        <v>111</v>
      </c>
      <c r="B82" s="34" t="s">
        <v>112</v>
      </c>
      <c r="C82" s="35" t="s">
        <v>113</v>
      </c>
      <c r="D82" s="33" t="s">
        <v>114</v>
      </c>
      <c r="E82" s="33"/>
      <c r="F82" s="25" t="s">
        <v>428</v>
      </c>
      <c r="G82" s="36"/>
      <c r="H82" s="26">
        <f>'2023'!H84</f>
        <v>1301.58</v>
      </c>
      <c r="I82" s="26">
        <f>'2023'!I84</f>
        <v>1286.53</v>
      </c>
      <c r="J82" s="26">
        <f>'2023'!J84</f>
        <v>1397.96</v>
      </c>
      <c r="K82" s="26">
        <f>'2023'!K84</f>
        <v>1243.92</v>
      </c>
      <c r="L82" s="26">
        <f t="shared" si="31"/>
        <v>5229.99</v>
      </c>
      <c r="M82" s="38">
        <f>'2023'!N84</f>
        <v>156.52000000000001</v>
      </c>
      <c r="N82" s="27">
        <v>182.97</v>
      </c>
      <c r="O82" s="38">
        <f>'2023'!P84</f>
        <v>43.71</v>
      </c>
      <c r="P82" s="27">
        <f>O82*1.04</f>
        <v>45.458400000000005</v>
      </c>
      <c r="Q82" s="27">
        <f t="shared" si="33"/>
        <v>146831.23979999998</v>
      </c>
      <c r="R82" s="27">
        <f t="shared" si="34"/>
        <v>145133.44930000001</v>
      </c>
      <c r="S82" s="27">
        <f t="shared" si="34"/>
        <v>192235.71633599998</v>
      </c>
      <c r="T82" s="27">
        <f t="shared" si="35"/>
        <v>171053.42947199999</v>
      </c>
      <c r="U82" s="27">
        <f t="shared" si="32"/>
        <v>655253.83490799996</v>
      </c>
      <c r="V82" s="119"/>
      <c r="W82" s="119"/>
      <c r="X82" s="119"/>
      <c r="Y82" s="29">
        <f t="shared" si="26"/>
        <v>116.89879887554306</v>
      </c>
      <c r="Z82" s="30">
        <f t="shared" si="27"/>
        <v>104</v>
      </c>
      <c r="AA82" s="2"/>
      <c r="AD82" s="32">
        <f t="shared" ref="AD82:AD146" si="36">104-Z82</f>
        <v>0</v>
      </c>
      <c r="AE82" s="91"/>
      <c r="AF82" s="92"/>
    </row>
    <row r="83" spans="1:32" s="40" customFormat="1" ht="51" customHeight="1">
      <c r="A83" s="33">
        <v>2901284489</v>
      </c>
      <c r="B83" s="34" t="s">
        <v>115</v>
      </c>
      <c r="C83" s="35" t="s">
        <v>113</v>
      </c>
      <c r="D83" s="33" t="s">
        <v>324</v>
      </c>
      <c r="E83" s="33"/>
      <c r="F83" s="25" t="s">
        <v>428</v>
      </c>
      <c r="G83" s="36" t="s">
        <v>325</v>
      </c>
      <c r="H83" s="26">
        <f>'2023'!H85</f>
        <v>8116.0299999999988</v>
      </c>
      <c r="I83" s="26">
        <f>'2023'!I85</f>
        <v>8590.4089999999997</v>
      </c>
      <c r="J83" s="26">
        <f>'2023'!J85</f>
        <v>6967.2349999999997</v>
      </c>
      <c r="K83" s="26">
        <f>'2023'!K85</f>
        <v>6433.5360000000001</v>
      </c>
      <c r="L83" s="26">
        <f t="shared" si="31"/>
        <v>30107.21</v>
      </c>
      <c r="M83" s="38">
        <f>'2023'!N85</f>
        <v>207.58</v>
      </c>
      <c r="N83" s="27">
        <f>M83</f>
        <v>207.58</v>
      </c>
      <c r="O83" s="38">
        <f>'2023'!P85</f>
        <v>39.64</v>
      </c>
      <c r="P83" s="27">
        <f>O83*1.04</f>
        <v>41.2256</v>
      </c>
      <c r="Q83" s="27">
        <f t="shared" si="33"/>
        <v>1363006.0781999999</v>
      </c>
      <c r="R83" s="27">
        <f t="shared" si="34"/>
        <v>1442673.28746</v>
      </c>
      <c r="S83" s="27">
        <f t="shared" si="34"/>
        <v>1159030.198084</v>
      </c>
      <c r="T83" s="27">
        <f t="shared" si="35"/>
        <v>1070247.0211584</v>
      </c>
      <c r="U83" s="27">
        <f t="shared" si="32"/>
        <v>5034956.5849024002</v>
      </c>
      <c r="V83" s="119"/>
      <c r="W83" s="119"/>
      <c r="X83" s="119"/>
      <c r="Y83" s="29">
        <f t="shared" si="26"/>
        <v>100</v>
      </c>
      <c r="Z83" s="30">
        <f t="shared" si="27"/>
        <v>104</v>
      </c>
      <c r="AA83" s="2"/>
      <c r="AD83" s="32">
        <f t="shared" si="36"/>
        <v>0</v>
      </c>
      <c r="AE83" s="91"/>
      <c r="AF83" s="92"/>
    </row>
    <row r="84" spans="1:32" s="40" customFormat="1" ht="51" customHeight="1">
      <c r="A84" s="33">
        <v>7736186950</v>
      </c>
      <c r="B84" s="34" t="s">
        <v>117</v>
      </c>
      <c r="C84" s="35" t="s">
        <v>113</v>
      </c>
      <c r="D84" s="33" t="s">
        <v>118</v>
      </c>
      <c r="E84" s="33"/>
      <c r="F84" s="25" t="s">
        <v>428</v>
      </c>
      <c r="G84" s="36"/>
      <c r="H84" s="26">
        <f>'2023'!H86</f>
        <v>16699.669999999998</v>
      </c>
      <c r="I84" s="26">
        <f>'2023'!I86</f>
        <v>16630.146000000001</v>
      </c>
      <c r="J84" s="26">
        <f>'2023'!J86</f>
        <v>16464.810000000001</v>
      </c>
      <c r="K84" s="26">
        <f>'2023'!K86</f>
        <v>16245.277</v>
      </c>
      <c r="L84" s="26">
        <f t="shared" si="31"/>
        <v>66039.903000000006</v>
      </c>
      <c r="M84" s="38">
        <f>'2023'!N86</f>
        <v>71.23</v>
      </c>
      <c r="N84" s="27">
        <f>M84</f>
        <v>71.23</v>
      </c>
      <c r="O84" s="38">
        <f>'2023'!P86</f>
        <v>23.92</v>
      </c>
      <c r="P84" s="27">
        <f>O84*1.04</f>
        <v>24.876800000000003</v>
      </c>
      <c r="Q84" s="27">
        <f t="shared" si="33"/>
        <v>790061.38769999996</v>
      </c>
      <c r="R84" s="27">
        <f t="shared" si="34"/>
        <v>786772.20726000005</v>
      </c>
      <c r="S84" s="27">
        <f t="shared" si="34"/>
        <v>763196.63089200004</v>
      </c>
      <c r="T84" s="27">
        <f t="shared" si="35"/>
        <v>753020.57383640006</v>
      </c>
      <c r="U84" s="27">
        <f t="shared" si="32"/>
        <v>3093050.7996884002</v>
      </c>
      <c r="V84" s="119"/>
      <c r="W84" s="119"/>
      <c r="X84" s="119"/>
      <c r="Y84" s="29">
        <f t="shared" si="26"/>
        <v>100</v>
      </c>
      <c r="Z84" s="30">
        <f t="shared" si="27"/>
        <v>104</v>
      </c>
      <c r="AA84" s="2"/>
      <c r="AD84" s="32">
        <f t="shared" si="36"/>
        <v>0</v>
      </c>
      <c r="AE84" s="91"/>
      <c r="AF84" s="92"/>
    </row>
    <row r="85" spans="1:32" s="40" customFormat="1" ht="51" customHeight="1">
      <c r="A85" s="33">
        <v>2915004011</v>
      </c>
      <c r="B85" s="34" t="s">
        <v>119</v>
      </c>
      <c r="C85" s="35" t="s">
        <v>113</v>
      </c>
      <c r="D85" s="33" t="s">
        <v>118</v>
      </c>
      <c r="E85" s="33"/>
      <c r="F85" s="25" t="s">
        <v>428</v>
      </c>
      <c r="G85" s="36" t="s">
        <v>413</v>
      </c>
      <c r="H85" s="26">
        <f>'2023'!H87</f>
        <v>5372.25</v>
      </c>
      <c r="I85" s="26">
        <f>'2023'!I87</f>
        <v>5372.25</v>
      </c>
      <c r="J85" s="26">
        <f>'2023'!J87</f>
        <v>5372.25</v>
      </c>
      <c r="K85" s="26">
        <f>'2023'!K87</f>
        <v>5372.25</v>
      </c>
      <c r="L85" s="26">
        <f t="shared" si="31"/>
        <v>21489</v>
      </c>
      <c r="M85" s="38">
        <f>'2023'!N87</f>
        <v>100.14</v>
      </c>
      <c r="N85" s="27">
        <v>118.26</v>
      </c>
      <c r="O85" s="38">
        <f>'2023'!P87</f>
        <v>38.5</v>
      </c>
      <c r="P85" s="27">
        <f>O85*1.04</f>
        <v>40.04</v>
      </c>
      <c r="Q85" s="27">
        <f t="shared" si="33"/>
        <v>331145.49</v>
      </c>
      <c r="R85" s="27">
        <f t="shared" si="34"/>
        <v>331145.49</v>
      </c>
      <c r="S85" s="27">
        <f t="shared" si="34"/>
        <v>420217.39500000002</v>
      </c>
      <c r="T85" s="27">
        <f t="shared" si="35"/>
        <v>420217.39500000002</v>
      </c>
      <c r="U85" s="27">
        <f t="shared" si="32"/>
        <v>1502725.77</v>
      </c>
      <c r="V85" s="119"/>
      <c r="W85" s="119"/>
      <c r="X85" s="119"/>
      <c r="Y85" s="29">
        <f t="shared" si="26"/>
        <v>118.09466746554824</v>
      </c>
      <c r="Z85" s="30">
        <f t="shared" si="27"/>
        <v>104</v>
      </c>
      <c r="AA85" s="2"/>
      <c r="AD85" s="32">
        <f t="shared" si="36"/>
        <v>0</v>
      </c>
      <c r="AE85" s="91"/>
      <c r="AF85" s="92"/>
    </row>
    <row r="86" spans="1:32" s="40" customFormat="1" ht="15" customHeight="1">
      <c r="A86" s="33"/>
      <c r="B86" s="34"/>
      <c r="C86" s="35"/>
      <c r="D86" s="33"/>
      <c r="E86" s="33"/>
      <c r="F86" s="36"/>
      <c r="G86" s="36"/>
      <c r="H86" s="26"/>
      <c r="I86" s="26"/>
      <c r="J86" s="26"/>
      <c r="K86" s="26"/>
      <c r="L86" s="37"/>
      <c r="M86" s="41"/>
      <c r="N86" s="41"/>
      <c r="O86" s="41"/>
      <c r="P86" s="41"/>
      <c r="Q86" s="27"/>
      <c r="R86" s="27"/>
      <c r="S86" s="27"/>
      <c r="T86" s="27"/>
      <c r="U86" s="27"/>
      <c r="V86" s="119"/>
      <c r="W86" s="119"/>
      <c r="X86" s="119"/>
      <c r="Y86" s="29" t="e">
        <f t="shared" si="26"/>
        <v>#DIV/0!</v>
      </c>
      <c r="Z86" s="30" t="e">
        <f t="shared" si="27"/>
        <v>#DIV/0!</v>
      </c>
      <c r="AA86" s="2"/>
      <c r="AD86" s="32" t="e">
        <f t="shared" si="36"/>
        <v>#DIV/0!</v>
      </c>
      <c r="AE86" s="91"/>
      <c r="AF86" s="92"/>
    </row>
    <row r="87" spans="1:32" s="40" customFormat="1" ht="48.75" customHeight="1">
      <c r="A87" s="33">
        <v>2901302219</v>
      </c>
      <c r="B87" s="34" t="s">
        <v>120</v>
      </c>
      <c r="C87" s="35" t="s">
        <v>121</v>
      </c>
      <c r="D87" s="33" t="s">
        <v>63</v>
      </c>
      <c r="E87" s="33"/>
      <c r="F87" s="25" t="s">
        <v>428</v>
      </c>
      <c r="G87" s="36" t="s">
        <v>101</v>
      </c>
      <c r="H87" s="26">
        <f>'2023'!H89</f>
        <v>20623.195</v>
      </c>
      <c r="I87" s="26">
        <f>'2023'!I89</f>
        <v>18691.107</v>
      </c>
      <c r="J87" s="26">
        <f>'2023'!J89</f>
        <v>20529.962</v>
      </c>
      <c r="K87" s="26">
        <f>'2023'!K89</f>
        <v>19135.057000000001</v>
      </c>
      <c r="L87" s="26">
        <f t="shared" si="31"/>
        <v>78979.320999999996</v>
      </c>
      <c r="M87" s="38">
        <v>201.14</v>
      </c>
      <c r="N87" s="27">
        <v>219.64</v>
      </c>
      <c r="O87" s="38">
        <v>64.510000000000005</v>
      </c>
      <c r="P87" s="27">
        <v>67.09</v>
      </c>
      <c r="Q87" s="27">
        <f>(M87-O87)*H87</f>
        <v>2817747.1328499997</v>
      </c>
      <c r="R87" s="27">
        <f>(M87-O87)*I87</f>
        <v>2553765.9494099999</v>
      </c>
      <c r="S87" s="27">
        <f>(N87-P87)*J87</f>
        <v>3131845.7030999996</v>
      </c>
      <c r="T87" s="27">
        <f>(N87-P87)*K87</f>
        <v>2919052.9453499997</v>
      </c>
      <c r="U87" s="27">
        <f t="shared" si="32"/>
        <v>11422411.73071</v>
      </c>
      <c r="V87" s="119"/>
      <c r="W87" s="119"/>
      <c r="X87" s="119"/>
      <c r="Y87" s="29">
        <f t="shared" si="26"/>
        <v>109.19757382917371</v>
      </c>
      <c r="Z87" s="30">
        <f t="shared" si="27"/>
        <v>103.9993799410944</v>
      </c>
      <c r="AA87" s="2"/>
      <c r="AD87" s="32">
        <f t="shared" si="36"/>
        <v>6.2005890559646559E-4</v>
      </c>
      <c r="AE87" s="91"/>
      <c r="AF87" s="92"/>
    </row>
    <row r="88" spans="1:32" s="40" customFormat="1" ht="15" customHeight="1">
      <c r="A88" s="33"/>
      <c r="B88" s="34"/>
      <c r="C88" s="35"/>
      <c r="D88" s="33"/>
      <c r="E88" s="33"/>
      <c r="F88" s="36"/>
      <c r="G88" s="36"/>
      <c r="H88" s="26"/>
      <c r="I88" s="26"/>
      <c r="J88" s="26"/>
      <c r="K88" s="26"/>
      <c r="L88" s="37"/>
      <c r="M88" s="41"/>
      <c r="N88" s="41"/>
      <c r="O88" s="41"/>
      <c r="P88" s="41"/>
      <c r="Q88" s="27"/>
      <c r="R88" s="27"/>
      <c r="S88" s="27"/>
      <c r="T88" s="27"/>
      <c r="U88" s="27"/>
      <c r="V88" s="119"/>
      <c r="W88" s="119"/>
      <c r="X88" s="119"/>
      <c r="Y88" s="29" t="e">
        <f t="shared" si="26"/>
        <v>#DIV/0!</v>
      </c>
      <c r="Z88" s="30" t="e">
        <f t="shared" si="27"/>
        <v>#DIV/0!</v>
      </c>
      <c r="AA88" s="2"/>
      <c r="AD88" s="32" t="e">
        <f t="shared" si="36"/>
        <v>#DIV/0!</v>
      </c>
      <c r="AE88" s="91"/>
      <c r="AF88" s="92"/>
    </row>
    <row r="89" spans="1:32" s="40" customFormat="1" ht="51" customHeight="1">
      <c r="A89" s="33">
        <v>2917125967</v>
      </c>
      <c r="B89" s="34" t="s">
        <v>122</v>
      </c>
      <c r="C89" s="35" t="s">
        <v>123</v>
      </c>
      <c r="D89" s="33" t="s">
        <v>124</v>
      </c>
      <c r="E89" s="33"/>
      <c r="F89" s="25" t="s">
        <v>428</v>
      </c>
      <c r="G89" s="36" t="s">
        <v>414</v>
      </c>
      <c r="H89" s="26">
        <f>'2023'!H91</f>
        <v>1860</v>
      </c>
      <c r="I89" s="26">
        <f>'2023'!I91</f>
        <v>1860</v>
      </c>
      <c r="J89" s="26">
        <f>'2023'!J91</f>
        <v>1860</v>
      </c>
      <c r="K89" s="26">
        <f>'2023'!K91</f>
        <v>1860</v>
      </c>
      <c r="L89" s="26">
        <f t="shared" si="31"/>
        <v>7440</v>
      </c>
      <c r="M89" s="38">
        <f>'2023'!N91</f>
        <v>49.765300000000003</v>
      </c>
      <c r="N89" s="27">
        <v>49.765300000000003</v>
      </c>
      <c r="O89" s="38">
        <f>'2023'!P91</f>
        <v>44.7928</v>
      </c>
      <c r="P89" s="38">
        <v>46.584512000000004</v>
      </c>
      <c r="Q89" s="27">
        <f>(M89-O89)*H89</f>
        <v>9248.8500000000076</v>
      </c>
      <c r="R89" s="27">
        <f>(M89-O89)*I89</f>
        <v>9248.8500000000076</v>
      </c>
      <c r="S89" s="27">
        <f>(N89-P89)*J89</f>
        <v>5916.2656799999995</v>
      </c>
      <c r="T89" s="27">
        <f>(N89-P89)*K89</f>
        <v>5916.2656799999995</v>
      </c>
      <c r="U89" s="27">
        <f t="shared" si="32"/>
        <v>30330.231360000016</v>
      </c>
      <c r="V89" s="119"/>
      <c r="W89" s="119"/>
      <c r="X89" s="119"/>
      <c r="Y89" s="29">
        <f t="shared" si="26"/>
        <v>100</v>
      </c>
      <c r="Z89" s="30">
        <f t="shared" si="27"/>
        <v>104</v>
      </c>
      <c r="AA89" s="2"/>
      <c r="AD89" s="32">
        <f t="shared" si="36"/>
        <v>0</v>
      </c>
      <c r="AE89" s="91"/>
      <c r="AF89" s="92"/>
    </row>
    <row r="90" spans="1:32" s="40" customFormat="1" ht="105" customHeight="1">
      <c r="A90" s="33">
        <v>2901302219</v>
      </c>
      <c r="B90" s="34" t="s">
        <v>120</v>
      </c>
      <c r="C90" s="35" t="s">
        <v>123</v>
      </c>
      <c r="D90" s="33" t="s">
        <v>326</v>
      </c>
      <c r="E90" s="33"/>
      <c r="F90" s="25" t="s">
        <v>428</v>
      </c>
      <c r="G90" s="36" t="s">
        <v>125</v>
      </c>
      <c r="H90" s="26">
        <f>'2023'!H92</f>
        <v>19766.213</v>
      </c>
      <c r="I90" s="26">
        <f>'2023'!I92</f>
        <v>19812.165000000001</v>
      </c>
      <c r="J90" s="26">
        <f>'2023'!J92</f>
        <v>21614.526999999998</v>
      </c>
      <c r="K90" s="26">
        <f>'2023'!K92</f>
        <v>20295</v>
      </c>
      <c r="L90" s="26">
        <f t="shared" si="31"/>
        <v>81487.904999999999</v>
      </c>
      <c r="M90" s="38">
        <v>227.22</v>
      </c>
      <c r="N90" s="27">
        <v>248.12</v>
      </c>
      <c r="O90" s="38">
        <v>66.3</v>
      </c>
      <c r="P90" s="27">
        <v>68.95</v>
      </c>
      <c r="Q90" s="27">
        <f>(M90-O90)*H90</f>
        <v>3180778.9959600004</v>
      </c>
      <c r="R90" s="27">
        <f>(M90-O90)*I90</f>
        <v>3188173.5918000005</v>
      </c>
      <c r="S90" s="27">
        <f>(N90-P90)*J90</f>
        <v>3872674.80259</v>
      </c>
      <c r="T90" s="27">
        <f>(N90-P90)*K90</f>
        <v>3636255.1500000004</v>
      </c>
      <c r="U90" s="27">
        <f t="shared" si="32"/>
        <v>13877882.540350001</v>
      </c>
      <c r="V90" s="119"/>
      <c r="W90" s="119"/>
      <c r="X90" s="119"/>
      <c r="Y90" s="29">
        <f t="shared" si="26"/>
        <v>109.19813396708035</v>
      </c>
      <c r="Z90" s="30">
        <f t="shared" si="27"/>
        <v>103.99698340874812</v>
      </c>
      <c r="AA90" s="2"/>
      <c r="AD90" s="32">
        <f t="shared" si="36"/>
        <v>3.0165912518782534E-3</v>
      </c>
      <c r="AE90" s="91"/>
      <c r="AF90" s="92"/>
    </row>
    <row r="91" spans="1:32" s="40" customFormat="1" ht="15" customHeight="1">
      <c r="A91" s="33"/>
      <c r="B91" s="34"/>
      <c r="C91" s="35"/>
      <c r="D91" s="33"/>
      <c r="E91" s="33"/>
      <c r="F91" s="36"/>
      <c r="G91" s="36"/>
      <c r="H91" s="26"/>
      <c r="I91" s="26"/>
      <c r="J91" s="26"/>
      <c r="K91" s="26"/>
      <c r="L91" s="37"/>
      <c r="M91" s="41"/>
      <c r="N91" s="41"/>
      <c r="O91" s="41"/>
      <c r="P91" s="41"/>
      <c r="Q91" s="27"/>
      <c r="R91" s="27"/>
      <c r="S91" s="27"/>
      <c r="T91" s="27"/>
      <c r="U91" s="27"/>
      <c r="V91" s="119"/>
      <c r="W91" s="119"/>
      <c r="X91" s="119"/>
      <c r="Y91" s="29" t="e">
        <f t="shared" si="26"/>
        <v>#DIV/0!</v>
      </c>
      <c r="Z91" s="30" t="e">
        <f t="shared" si="27"/>
        <v>#DIV/0!</v>
      </c>
      <c r="AA91" s="2"/>
      <c r="AD91" s="32" t="e">
        <f t="shared" si="36"/>
        <v>#DIV/0!</v>
      </c>
      <c r="AE91" s="91"/>
      <c r="AF91" s="92"/>
    </row>
    <row r="92" spans="1:32" s="49" customFormat="1" ht="51" customHeight="1">
      <c r="A92" s="50">
        <v>2925003747</v>
      </c>
      <c r="B92" s="51" t="s">
        <v>126</v>
      </c>
      <c r="C92" s="52" t="s">
        <v>127</v>
      </c>
      <c r="D92" s="50"/>
      <c r="E92" s="50"/>
      <c r="F92" s="25" t="s">
        <v>428</v>
      </c>
      <c r="G92" s="46" t="s">
        <v>327</v>
      </c>
      <c r="H92" s="26">
        <f>'2023'!H94</f>
        <v>396985.25</v>
      </c>
      <c r="I92" s="26">
        <f>'2023'!I94</f>
        <v>396985.25</v>
      </c>
      <c r="J92" s="26">
        <f>'2023'!J94</f>
        <v>396985.25</v>
      </c>
      <c r="K92" s="26">
        <f>'2023'!K94</f>
        <v>396985.25</v>
      </c>
      <c r="L92" s="26">
        <f t="shared" si="31"/>
        <v>1587941</v>
      </c>
      <c r="M92" s="38">
        <f>'2023'!N94</f>
        <v>32.804510567252329</v>
      </c>
      <c r="N92" s="27">
        <v>32.989315821313603</v>
      </c>
      <c r="O92" s="38">
        <f>'2023'!P94</f>
        <v>31.299732952799999</v>
      </c>
      <c r="P92" s="27">
        <v>32.551722270912002</v>
      </c>
      <c r="Q92" s="27">
        <f>(M92-O92)*H92</f>
        <v>597374.51746776176</v>
      </c>
      <c r="R92" s="27">
        <f>(M92-O92)*I92</f>
        <v>597374.51746776176</v>
      </c>
      <c r="S92" s="27">
        <f>(N92-P92)*J92</f>
        <v>173718.18500456729</v>
      </c>
      <c r="T92" s="27">
        <f>(N92-P92)*K92</f>
        <v>173718.18500456729</v>
      </c>
      <c r="U92" s="27">
        <f t="shared" si="32"/>
        <v>1542185.404944658</v>
      </c>
      <c r="V92" s="123"/>
      <c r="W92" s="123"/>
      <c r="X92" s="123"/>
      <c r="Y92" s="43">
        <f t="shared" si="26"/>
        <v>100.56335318182055</v>
      </c>
      <c r="Z92" s="44">
        <f t="shared" si="27"/>
        <v>104</v>
      </c>
      <c r="AA92" s="48"/>
      <c r="AD92" s="32">
        <f t="shared" si="36"/>
        <v>0</v>
      </c>
      <c r="AE92" s="91"/>
      <c r="AF92" s="92"/>
    </row>
    <row r="93" spans="1:32" s="40" customFormat="1" ht="15" customHeight="1">
      <c r="A93" s="33"/>
      <c r="B93" s="34"/>
      <c r="C93" s="35"/>
      <c r="D93" s="33"/>
      <c r="E93" s="33"/>
      <c r="F93" s="36"/>
      <c r="G93" s="36"/>
      <c r="H93" s="26"/>
      <c r="I93" s="26"/>
      <c r="J93" s="26"/>
      <c r="K93" s="26"/>
      <c r="L93" s="37"/>
      <c r="M93" s="41"/>
      <c r="N93" s="41"/>
      <c r="O93" s="41"/>
      <c r="P93" s="41"/>
      <c r="Q93" s="27"/>
      <c r="R93" s="27"/>
      <c r="S93" s="27"/>
      <c r="T93" s="27"/>
      <c r="U93" s="27"/>
      <c r="V93" s="119"/>
      <c r="W93" s="119"/>
      <c r="X93" s="119"/>
      <c r="Y93" s="29" t="e">
        <f t="shared" si="26"/>
        <v>#DIV/0!</v>
      </c>
      <c r="Z93" s="30" t="e">
        <f t="shared" si="27"/>
        <v>#DIV/0!</v>
      </c>
      <c r="AA93" s="2"/>
      <c r="AD93" s="32" t="e">
        <f t="shared" si="36"/>
        <v>#DIV/0!</v>
      </c>
      <c r="AE93" s="91"/>
      <c r="AF93" s="92"/>
    </row>
    <row r="94" spans="1:32" s="40" customFormat="1" ht="82.5" customHeight="1">
      <c r="A94" s="33">
        <v>2918002171</v>
      </c>
      <c r="B94" s="34" t="s">
        <v>128</v>
      </c>
      <c r="C94" s="35" t="s">
        <v>129</v>
      </c>
      <c r="D94" s="33" t="s">
        <v>328</v>
      </c>
      <c r="E94" s="33" t="s">
        <v>329</v>
      </c>
      <c r="F94" s="25" t="s">
        <v>428</v>
      </c>
      <c r="G94" s="36"/>
      <c r="H94" s="26">
        <f>'2023'!H96</f>
        <v>999.56600000000003</v>
      </c>
      <c r="I94" s="26">
        <f>'2023'!I96</f>
        <v>957.02400000000011</v>
      </c>
      <c r="J94" s="26">
        <f>'2023'!J96</f>
        <v>974.33500000000004</v>
      </c>
      <c r="K94" s="26">
        <f>'2023'!K96</f>
        <v>919.13900000000001</v>
      </c>
      <c r="L94" s="26">
        <f t="shared" si="31"/>
        <v>3850.0640000000003</v>
      </c>
      <c r="M94" s="38">
        <f>'2023'!N96</f>
        <v>337.11571558600008</v>
      </c>
      <c r="N94" s="27">
        <v>337.11571558600008</v>
      </c>
      <c r="O94" s="38">
        <f>'2023'!P96</f>
        <v>84.240000000000009</v>
      </c>
      <c r="P94" s="27">
        <v>87.609600000000015</v>
      </c>
      <c r="Q94" s="27">
        <f t="shared" ref="Q94:Q99" si="37">(M94-O94)*H94</f>
        <v>252765.96752543576</v>
      </c>
      <c r="R94" s="27">
        <f t="shared" ref="R94:S99" si="38">(M94-O94)*I94</f>
        <v>242008.12883297616</v>
      </c>
      <c r="S94" s="27">
        <f t="shared" si="38"/>
        <v>243102.54112948538</v>
      </c>
      <c r="T94" s="27">
        <f t="shared" ref="T94:T99" si="39">(N94-P94)*K94</f>
        <v>229330.80157360053</v>
      </c>
      <c r="U94" s="27">
        <f t="shared" si="32"/>
        <v>967207.4390614978</v>
      </c>
      <c r="V94" s="119"/>
      <c r="W94" s="119"/>
      <c r="X94" s="119"/>
      <c r="Y94" s="29">
        <f t="shared" si="26"/>
        <v>100</v>
      </c>
      <c r="Z94" s="30">
        <f t="shared" si="27"/>
        <v>104</v>
      </c>
      <c r="AA94" s="2"/>
      <c r="AD94" s="32">
        <f t="shared" si="36"/>
        <v>0</v>
      </c>
      <c r="AE94" s="91"/>
      <c r="AF94" s="92"/>
    </row>
    <row r="95" spans="1:32" s="40" customFormat="1" ht="51.75" customHeight="1">
      <c r="A95" s="33">
        <v>2918002171</v>
      </c>
      <c r="B95" s="34" t="s">
        <v>128</v>
      </c>
      <c r="C95" s="35" t="s">
        <v>129</v>
      </c>
      <c r="D95" s="33" t="s">
        <v>328</v>
      </c>
      <c r="E95" s="33" t="s">
        <v>330</v>
      </c>
      <c r="F95" s="25" t="s">
        <v>428</v>
      </c>
      <c r="G95" s="36"/>
      <c r="H95" s="26">
        <f>'2023'!H97</f>
        <v>176.625</v>
      </c>
      <c r="I95" s="26">
        <f>'2023'!I97</f>
        <v>174.60300000000001</v>
      </c>
      <c r="J95" s="26">
        <f>'2023'!J97</f>
        <v>172.77699999999999</v>
      </c>
      <c r="K95" s="26">
        <f>'2023'!K97</f>
        <v>161.89699999999999</v>
      </c>
      <c r="L95" s="26">
        <f t="shared" si="31"/>
        <v>685.90200000000004</v>
      </c>
      <c r="M95" s="38">
        <f>'2023'!N97</f>
        <v>337.11571558600008</v>
      </c>
      <c r="N95" s="27">
        <v>337.11571558600008</v>
      </c>
      <c r="O95" s="38">
        <f>'2023'!P97</f>
        <v>80.08</v>
      </c>
      <c r="P95" s="27">
        <v>83.283200000000008</v>
      </c>
      <c r="Q95" s="27">
        <f t="shared" si="37"/>
        <v>45398.933265377265</v>
      </c>
      <c r="R95" s="27">
        <f t="shared" si="38"/>
        <v>44879.207048462376</v>
      </c>
      <c r="S95" s="27">
        <f t="shared" si="38"/>
        <v>43856.420545402325</v>
      </c>
      <c r="T95" s="27">
        <f t="shared" si="39"/>
        <v>41094.722775826645</v>
      </c>
      <c r="U95" s="27">
        <f t="shared" si="32"/>
        <v>175229.2836350686</v>
      </c>
      <c r="V95" s="119"/>
      <c r="W95" s="119"/>
      <c r="X95" s="119"/>
      <c r="Y95" s="29">
        <f t="shared" si="26"/>
        <v>100</v>
      </c>
      <c r="Z95" s="30">
        <f t="shared" si="27"/>
        <v>104</v>
      </c>
      <c r="AA95" s="2"/>
      <c r="AD95" s="32">
        <f t="shared" si="36"/>
        <v>0</v>
      </c>
      <c r="AE95" s="91"/>
      <c r="AF95" s="92"/>
    </row>
    <row r="96" spans="1:32" s="40" customFormat="1" ht="68.25" customHeight="1">
      <c r="A96" s="33">
        <v>2918002171</v>
      </c>
      <c r="B96" s="34" t="s">
        <v>128</v>
      </c>
      <c r="C96" s="35" t="s">
        <v>129</v>
      </c>
      <c r="D96" s="33" t="s">
        <v>328</v>
      </c>
      <c r="E96" s="33" t="s">
        <v>331</v>
      </c>
      <c r="F96" s="25" t="s">
        <v>428</v>
      </c>
      <c r="G96" s="36"/>
      <c r="H96" s="26">
        <f>'2023'!H98</f>
        <v>610.34699999999998</v>
      </c>
      <c r="I96" s="26">
        <f>'2023'!I98</f>
        <v>597.375</v>
      </c>
      <c r="J96" s="26">
        <f>'2023'!J98</f>
        <v>578.67200000000003</v>
      </c>
      <c r="K96" s="26">
        <f>'2023'!K98</f>
        <v>556.83100000000002</v>
      </c>
      <c r="L96" s="26">
        <f t="shared" si="31"/>
        <v>2343.2249999999999</v>
      </c>
      <c r="M96" s="38">
        <f>'2023'!N98</f>
        <v>337.11571558600008</v>
      </c>
      <c r="N96" s="27">
        <v>337.11571558600008</v>
      </c>
      <c r="O96" s="38">
        <f>'2023'!P98</f>
        <v>25.272000000000002</v>
      </c>
      <c r="P96" s="27">
        <v>26.282880000000002</v>
      </c>
      <c r="Q96" s="27">
        <f t="shared" si="37"/>
        <v>190332.87627676839</v>
      </c>
      <c r="R96" s="27">
        <f t="shared" si="38"/>
        <v>186287.6395981868</v>
      </c>
      <c r="S96" s="27">
        <f t="shared" si="38"/>
        <v>179870.25863422186</v>
      </c>
      <c r="T96" s="27">
        <f t="shared" si="39"/>
        <v>173081.35867218804</v>
      </c>
      <c r="U96" s="27">
        <f t="shared" si="32"/>
        <v>729572.13318136509</v>
      </c>
      <c r="V96" s="119"/>
      <c r="W96" s="119"/>
      <c r="X96" s="119"/>
      <c r="Y96" s="29">
        <f t="shared" si="26"/>
        <v>100</v>
      </c>
      <c r="Z96" s="30">
        <f t="shared" si="27"/>
        <v>104</v>
      </c>
      <c r="AA96" s="2"/>
      <c r="AD96" s="32">
        <f t="shared" si="36"/>
        <v>0</v>
      </c>
      <c r="AE96" s="91"/>
      <c r="AF96" s="92"/>
    </row>
    <row r="97" spans="1:32" s="40" customFormat="1" ht="51.75" customHeight="1">
      <c r="A97" s="33">
        <v>2918002171</v>
      </c>
      <c r="B97" s="34" t="s">
        <v>128</v>
      </c>
      <c r="C97" s="35" t="s">
        <v>129</v>
      </c>
      <c r="D97" s="33" t="s">
        <v>132</v>
      </c>
      <c r="E97" s="33"/>
      <c r="F97" s="25" t="s">
        <v>428</v>
      </c>
      <c r="G97" s="36" t="s">
        <v>407</v>
      </c>
      <c r="H97" s="26">
        <f>'2023'!H99</f>
        <v>3416</v>
      </c>
      <c r="I97" s="26">
        <f>'2023'!I99</f>
        <v>3447.3609999999999</v>
      </c>
      <c r="J97" s="26">
        <f>'2023'!J99</f>
        <v>3394.25</v>
      </c>
      <c r="K97" s="26">
        <f>'2023'!K99</f>
        <v>2392.0280000000002</v>
      </c>
      <c r="L97" s="26">
        <f t="shared" si="31"/>
        <v>12649.639000000001</v>
      </c>
      <c r="M97" s="38">
        <f>'2023'!N99</f>
        <v>101.72780000000002</v>
      </c>
      <c r="N97" s="27">
        <v>101.72780000000002</v>
      </c>
      <c r="O97" s="38">
        <f>'2023'!P99</f>
        <v>45.7288</v>
      </c>
      <c r="P97" s="27">
        <v>47.557952</v>
      </c>
      <c r="Q97" s="27">
        <f t="shared" si="37"/>
        <v>191292.58400000006</v>
      </c>
      <c r="R97" s="27">
        <f t="shared" si="38"/>
        <v>193048.76863900005</v>
      </c>
      <c r="S97" s="27">
        <f t="shared" si="38"/>
        <v>183866.00657400006</v>
      </c>
      <c r="T97" s="27">
        <f t="shared" si="39"/>
        <v>129575.79317174405</v>
      </c>
      <c r="U97" s="27">
        <f t="shared" si="32"/>
        <v>697783.15238474426</v>
      </c>
      <c r="V97" s="119"/>
      <c r="W97" s="119"/>
      <c r="X97" s="119"/>
      <c r="Y97" s="29">
        <f t="shared" si="26"/>
        <v>100</v>
      </c>
      <c r="Z97" s="30">
        <f t="shared" si="27"/>
        <v>104</v>
      </c>
      <c r="AA97" s="2"/>
      <c r="AD97" s="32">
        <f t="shared" si="36"/>
        <v>0</v>
      </c>
      <c r="AE97" s="91"/>
      <c r="AF97" s="92"/>
    </row>
    <row r="98" spans="1:32" s="40" customFormat="1" ht="51.75" customHeight="1">
      <c r="A98" s="33">
        <v>2918012010</v>
      </c>
      <c r="B98" s="34" t="s">
        <v>131</v>
      </c>
      <c r="C98" s="35" t="s">
        <v>129</v>
      </c>
      <c r="D98" s="33" t="s">
        <v>130</v>
      </c>
      <c r="E98" s="33"/>
      <c r="F98" s="25" t="s">
        <v>428</v>
      </c>
      <c r="G98" s="36"/>
      <c r="H98" s="26">
        <f>'2023'!H100</f>
        <v>95821.563999999998</v>
      </c>
      <c r="I98" s="26">
        <f>'2023'!I100</f>
        <v>89847.9</v>
      </c>
      <c r="J98" s="26">
        <f>'2023'!J100</f>
        <v>99068.733999999997</v>
      </c>
      <c r="K98" s="26">
        <f>'2023'!K100</f>
        <v>93994.226999999999</v>
      </c>
      <c r="L98" s="26">
        <f t="shared" si="31"/>
        <v>378732.42499999999</v>
      </c>
      <c r="M98" s="38">
        <f>'2023'!N100</f>
        <v>98.436191000000008</v>
      </c>
      <c r="N98" s="27">
        <v>98.436191000000008</v>
      </c>
      <c r="O98" s="38">
        <f>'2023'!P100</f>
        <v>54.288000000000004</v>
      </c>
      <c r="P98" s="27">
        <v>56.459520000000005</v>
      </c>
      <c r="Q98" s="27">
        <f t="shared" si="37"/>
        <v>4230348.7093907241</v>
      </c>
      <c r="R98" s="27">
        <f t="shared" si="38"/>
        <v>3966622.2501489003</v>
      </c>
      <c r="S98" s="27">
        <f t="shared" si="38"/>
        <v>4158575.6535045141</v>
      </c>
      <c r="T98" s="27">
        <f t="shared" si="39"/>
        <v>3945564.7426783172</v>
      </c>
      <c r="U98" s="27">
        <f t="shared" si="32"/>
        <v>16301111.355722457</v>
      </c>
      <c r="V98" s="119"/>
      <c r="W98" s="119"/>
      <c r="X98" s="119"/>
      <c r="Y98" s="29">
        <f t="shared" si="26"/>
        <v>100</v>
      </c>
      <c r="Z98" s="30">
        <f t="shared" si="27"/>
        <v>104</v>
      </c>
      <c r="AA98" s="2"/>
      <c r="AD98" s="32">
        <f t="shared" si="36"/>
        <v>0</v>
      </c>
      <c r="AE98" s="91"/>
      <c r="AF98" s="92"/>
    </row>
    <row r="99" spans="1:32" s="40" customFormat="1" ht="51" customHeight="1">
      <c r="A99" s="33">
        <v>7708503727</v>
      </c>
      <c r="B99" s="34" t="s">
        <v>61</v>
      </c>
      <c r="C99" s="35" t="s">
        <v>129</v>
      </c>
      <c r="D99" s="33" t="s">
        <v>130</v>
      </c>
      <c r="E99" s="33"/>
      <c r="F99" s="25" t="s">
        <v>428</v>
      </c>
      <c r="G99" s="36"/>
      <c r="H99" s="26">
        <f>'2023'!H101</f>
        <v>3841.7190000000001</v>
      </c>
      <c r="I99" s="26">
        <f>'2023'!I101</f>
        <v>2841.4500000000003</v>
      </c>
      <c r="J99" s="26">
        <f>'2023'!J101</f>
        <v>2804.681</v>
      </c>
      <c r="K99" s="26">
        <f>'2023'!K101</f>
        <v>3247.4890000000005</v>
      </c>
      <c r="L99" s="26">
        <f t="shared" si="31"/>
        <v>12735.339</v>
      </c>
      <c r="M99" s="38">
        <f>'2023'!N101</f>
        <v>54.992384506</v>
      </c>
      <c r="N99" s="27">
        <v>54.992384506</v>
      </c>
      <c r="O99" s="38">
        <f>'2023'!P101</f>
        <v>45.24</v>
      </c>
      <c r="P99" s="27">
        <v>47.049600000000005</v>
      </c>
      <c r="Q99" s="27">
        <f t="shared" si="37"/>
        <v>37465.920852005809</v>
      </c>
      <c r="R99" s="27">
        <f t="shared" si="38"/>
        <v>27710.912954573698</v>
      </c>
      <c r="S99" s="27">
        <f t="shared" si="38"/>
        <v>22276.976791072571</v>
      </c>
      <c r="T99" s="27">
        <f t="shared" si="39"/>
        <v>25794.105312605421</v>
      </c>
      <c r="U99" s="27">
        <f t="shared" si="32"/>
        <v>113247.91591025749</v>
      </c>
      <c r="V99" s="119"/>
      <c r="W99" s="119"/>
      <c r="X99" s="119"/>
      <c r="Y99" s="29">
        <f t="shared" si="26"/>
        <v>100</v>
      </c>
      <c r="Z99" s="30">
        <f t="shared" si="27"/>
        <v>104</v>
      </c>
      <c r="AA99" s="112" t="s">
        <v>133</v>
      </c>
      <c r="AD99" s="32">
        <f t="shared" si="36"/>
        <v>0</v>
      </c>
      <c r="AE99" s="91"/>
      <c r="AF99" s="92"/>
    </row>
    <row r="100" spans="1:32" s="40" customFormat="1" ht="15" customHeight="1">
      <c r="A100" s="33"/>
      <c r="B100" s="34"/>
      <c r="C100" s="35"/>
      <c r="D100" s="33"/>
      <c r="E100" s="33"/>
      <c r="F100" s="36"/>
      <c r="G100" s="36"/>
      <c r="H100" s="26"/>
      <c r="I100" s="26"/>
      <c r="J100" s="26"/>
      <c r="K100" s="26"/>
      <c r="L100" s="37"/>
      <c r="M100" s="41"/>
      <c r="N100" s="41"/>
      <c r="O100" s="41"/>
      <c r="P100" s="41"/>
      <c r="Q100" s="27"/>
      <c r="R100" s="27"/>
      <c r="S100" s="27"/>
      <c r="T100" s="27"/>
      <c r="U100" s="27"/>
      <c r="V100" s="119"/>
      <c r="W100" s="119"/>
      <c r="X100" s="119"/>
      <c r="Y100" s="29" t="e">
        <f t="shared" ref="Y100:Y126" si="40">N100/M100*100</f>
        <v>#DIV/0!</v>
      </c>
      <c r="Z100" s="30" t="e">
        <f t="shared" ref="Z100:Z126" si="41">P100/O100*100</f>
        <v>#DIV/0!</v>
      </c>
      <c r="AA100" s="2"/>
      <c r="AD100" s="32" t="e">
        <f t="shared" si="36"/>
        <v>#DIV/0!</v>
      </c>
      <c r="AE100" s="91"/>
      <c r="AF100" s="92"/>
    </row>
    <row r="101" spans="1:32" s="40" customFormat="1" ht="51" customHeight="1">
      <c r="A101" s="33">
        <v>7708503727</v>
      </c>
      <c r="B101" s="34" t="s">
        <v>61</v>
      </c>
      <c r="C101" s="35" t="s">
        <v>134</v>
      </c>
      <c r="D101" s="33" t="s">
        <v>135</v>
      </c>
      <c r="E101" s="33"/>
      <c r="F101" s="25" t="s">
        <v>428</v>
      </c>
      <c r="G101" s="36"/>
      <c r="H101" s="26">
        <f>'2023'!H103</f>
        <v>8511.5819999999985</v>
      </c>
      <c r="I101" s="26">
        <f>'2023'!I103</f>
        <v>8909.42</v>
      </c>
      <c r="J101" s="26">
        <f>'2023'!J103</f>
        <v>8819.9140000000007</v>
      </c>
      <c r="K101" s="26">
        <f>'2023'!K103</f>
        <v>8490.76</v>
      </c>
      <c r="L101" s="26">
        <f t="shared" si="31"/>
        <v>34731.675999999999</v>
      </c>
      <c r="M101" s="38">
        <f>'2023'!N103</f>
        <v>54.992384506</v>
      </c>
      <c r="N101" s="27">
        <v>54.992384506</v>
      </c>
      <c r="O101" s="38">
        <f>'2023'!P103</f>
        <v>45.24</v>
      </c>
      <c r="P101" s="27">
        <v>47.049600000000005</v>
      </c>
      <c r="Q101" s="27">
        <f t="shared" ref="Q101:Q108" si="42">(M101-O101)*H101</f>
        <v>83008.220418348472</v>
      </c>
      <c r="R101" s="27">
        <f t="shared" ref="R101:S108" si="43">(M101-O101)*I101</f>
        <v>86888.089565446513</v>
      </c>
      <c r="S101" s="27">
        <f t="shared" si="43"/>
        <v>70054.676263452449</v>
      </c>
      <c r="T101" s="27">
        <f t="shared" ref="T101:T108" si="44">(N101-P101)*K101</f>
        <v>67440.276972164516</v>
      </c>
      <c r="U101" s="27">
        <f t="shared" si="32"/>
        <v>307391.26321941195</v>
      </c>
      <c r="V101" s="119"/>
      <c r="W101" s="119"/>
      <c r="X101" s="119"/>
      <c r="Y101" s="29">
        <f t="shared" si="40"/>
        <v>100</v>
      </c>
      <c r="Z101" s="30">
        <f t="shared" si="41"/>
        <v>104</v>
      </c>
      <c r="AA101" s="2"/>
      <c r="AD101" s="32">
        <f t="shared" si="36"/>
        <v>0</v>
      </c>
      <c r="AE101" s="91"/>
      <c r="AF101" s="92"/>
    </row>
    <row r="102" spans="1:32" s="40" customFormat="1" ht="51" customHeight="1">
      <c r="A102" s="33">
        <v>2906008059</v>
      </c>
      <c r="B102" s="34" t="s">
        <v>137</v>
      </c>
      <c r="C102" s="35" t="s">
        <v>134</v>
      </c>
      <c r="D102" s="33" t="s">
        <v>138</v>
      </c>
      <c r="E102" s="33"/>
      <c r="F102" s="25" t="s">
        <v>428</v>
      </c>
      <c r="G102" s="36"/>
      <c r="H102" s="26">
        <f>'2023'!H104</f>
        <v>123931.12400000001</v>
      </c>
      <c r="I102" s="26">
        <f>'2023'!I104</f>
        <v>124007.5</v>
      </c>
      <c r="J102" s="26">
        <f>'2023'!J104</f>
        <v>123270.46699999999</v>
      </c>
      <c r="K102" s="26">
        <f>'2023'!K104</f>
        <v>120203.095</v>
      </c>
      <c r="L102" s="26">
        <f t="shared" si="31"/>
        <v>491412.18599999999</v>
      </c>
      <c r="M102" s="38">
        <f>'2023'!N104</f>
        <v>84.57</v>
      </c>
      <c r="N102" s="27">
        <v>84.57</v>
      </c>
      <c r="O102" s="38">
        <f>'2023'!P104</f>
        <v>44.647616000000006</v>
      </c>
      <c r="P102" s="27">
        <v>46.433520640000012</v>
      </c>
      <c r="Q102" s="27">
        <f t="shared" si="42"/>
        <v>4947625.9218796147</v>
      </c>
      <c r="R102" s="27">
        <f t="shared" si="43"/>
        <v>4950675.0338799981</v>
      </c>
      <c r="S102" s="27">
        <f t="shared" si="43"/>
        <v>4701101.6204430582</v>
      </c>
      <c r="T102" s="27">
        <f t="shared" si="44"/>
        <v>4584122.8514756169</v>
      </c>
      <c r="U102" s="27">
        <f t="shared" si="32"/>
        <v>19183525.427678287</v>
      </c>
      <c r="V102" s="119"/>
      <c r="W102" s="119"/>
      <c r="X102" s="119"/>
      <c r="Y102" s="29">
        <f t="shared" si="40"/>
        <v>100</v>
      </c>
      <c r="Z102" s="30">
        <f t="shared" si="41"/>
        <v>104</v>
      </c>
      <c r="AA102" s="2"/>
      <c r="AD102" s="32">
        <f t="shared" si="36"/>
        <v>0</v>
      </c>
      <c r="AE102" s="91"/>
      <c r="AF102" s="92"/>
    </row>
    <row r="103" spans="1:32" s="40" customFormat="1" ht="63" customHeight="1">
      <c r="A103" s="33">
        <v>2906008154</v>
      </c>
      <c r="B103" s="34" t="s">
        <v>140</v>
      </c>
      <c r="C103" s="35" t="s">
        <v>134</v>
      </c>
      <c r="D103" s="33" t="s">
        <v>332</v>
      </c>
      <c r="E103" s="33" t="s">
        <v>333</v>
      </c>
      <c r="F103" s="25" t="s">
        <v>428</v>
      </c>
      <c r="G103" s="36"/>
      <c r="H103" s="26">
        <f>'2023'!H105</f>
        <v>5167.5879999999997</v>
      </c>
      <c r="I103" s="26">
        <f>'2023'!I105</f>
        <v>5138.97</v>
      </c>
      <c r="J103" s="26">
        <f>'2023'!J105</f>
        <v>5138.0680000000002</v>
      </c>
      <c r="K103" s="26">
        <f>'2023'!K105</f>
        <v>4987.3710000000001</v>
      </c>
      <c r="L103" s="26">
        <f t="shared" si="31"/>
        <v>20431.996999999999</v>
      </c>
      <c r="M103" s="38">
        <v>128.18</v>
      </c>
      <c r="N103" s="27">
        <v>128.18</v>
      </c>
      <c r="O103" s="38">
        <v>44.72</v>
      </c>
      <c r="P103" s="27">
        <v>46.51</v>
      </c>
      <c r="Q103" s="27">
        <f t="shared" si="42"/>
        <v>431286.89448000002</v>
      </c>
      <c r="R103" s="27">
        <f t="shared" si="43"/>
        <v>428898.43620000005</v>
      </c>
      <c r="S103" s="27">
        <f t="shared" si="43"/>
        <v>419626.01356000011</v>
      </c>
      <c r="T103" s="27">
        <f t="shared" si="44"/>
        <v>407318.58957000007</v>
      </c>
      <c r="U103" s="27">
        <f t="shared" si="32"/>
        <v>1687129.9338100003</v>
      </c>
      <c r="V103" s="119"/>
      <c r="W103" s="119"/>
      <c r="X103" s="119"/>
      <c r="Y103" s="29">
        <f t="shared" si="40"/>
        <v>100</v>
      </c>
      <c r="Z103" s="30">
        <f t="shared" si="41"/>
        <v>104.00268336314849</v>
      </c>
      <c r="AA103" s="2"/>
      <c r="AD103" s="32">
        <f t="shared" si="36"/>
        <v>-2.6833631484919351E-3</v>
      </c>
      <c r="AE103" s="91"/>
      <c r="AF103" s="92"/>
    </row>
    <row r="104" spans="1:32" s="40" customFormat="1" ht="99" customHeight="1">
      <c r="A104" s="33">
        <v>2906008154</v>
      </c>
      <c r="B104" s="34" t="s">
        <v>140</v>
      </c>
      <c r="C104" s="35" t="s">
        <v>134</v>
      </c>
      <c r="D104" s="33" t="s">
        <v>334</v>
      </c>
      <c r="E104" s="33" t="s">
        <v>335</v>
      </c>
      <c r="F104" s="25" t="s">
        <v>428</v>
      </c>
      <c r="G104" s="36"/>
      <c r="H104" s="26">
        <f>'2023'!H106</f>
        <v>4080.4459999999999</v>
      </c>
      <c r="I104" s="26">
        <f>'2023'!I106</f>
        <v>3998.1759999999999</v>
      </c>
      <c r="J104" s="26">
        <f>'2023'!J106</f>
        <v>4081.8609999999999</v>
      </c>
      <c r="K104" s="26">
        <f>'2023'!K106</f>
        <v>3906.6189999999997</v>
      </c>
      <c r="L104" s="26">
        <f t="shared" si="31"/>
        <v>16067.101999999999</v>
      </c>
      <c r="M104" s="38">
        <v>115.32</v>
      </c>
      <c r="N104" s="27">
        <v>125.93</v>
      </c>
      <c r="O104" s="38">
        <v>84.87</v>
      </c>
      <c r="P104" s="27">
        <v>88.27</v>
      </c>
      <c r="Q104" s="27">
        <f t="shared" si="42"/>
        <v>124249.58069999995</v>
      </c>
      <c r="R104" s="27">
        <f t="shared" si="43"/>
        <v>121744.45919999995</v>
      </c>
      <c r="S104" s="27">
        <f t="shared" si="43"/>
        <v>153722.88526000004</v>
      </c>
      <c r="T104" s="27">
        <f t="shared" si="44"/>
        <v>147123.27154000002</v>
      </c>
      <c r="U104" s="27">
        <f t="shared" si="32"/>
        <v>546840.19669999997</v>
      </c>
      <c r="V104" s="119"/>
      <c r="W104" s="119"/>
      <c r="X104" s="119"/>
      <c r="Y104" s="29">
        <f t="shared" si="40"/>
        <v>109.20048560527229</v>
      </c>
      <c r="Z104" s="30">
        <f t="shared" si="41"/>
        <v>104.00612701779191</v>
      </c>
      <c r="AA104" s="2"/>
      <c r="AD104" s="32">
        <f t="shared" si="36"/>
        <v>-6.1270177919112712E-3</v>
      </c>
      <c r="AE104" s="91"/>
      <c r="AF104" s="92"/>
    </row>
    <row r="105" spans="1:32" s="40" customFormat="1" ht="51" customHeight="1">
      <c r="A105" s="33">
        <v>2906008154</v>
      </c>
      <c r="B105" s="34" t="s">
        <v>140</v>
      </c>
      <c r="C105" s="35" t="s">
        <v>134</v>
      </c>
      <c r="D105" s="33" t="s">
        <v>336</v>
      </c>
      <c r="E105" s="33" t="s">
        <v>337</v>
      </c>
      <c r="F105" s="25" t="s">
        <v>428</v>
      </c>
      <c r="G105" s="36"/>
      <c r="H105" s="26">
        <f>'2023'!H107</f>
        <v>1019.28</v>
      </c>
      <c r="I105" s="26">
        <f>'2023'!I107</f>
        <v>1060.048</v>
      </c>
      <c r="J105" s="26">
        <f>'2023'!J107</f>
        <v>1003.929</v>
      </c>
      <c r="K105" s="26">
        <f>'2023'!K107</f>
        <v>978.96100000000001</v>
      </c>
      <c r="L105" s="26">
        <f t="shared" si="31"/>
        <v>4062.2179999999998</v>
      </c>
      <c r="M105" s="38">
        <v>139.55000000000001</v>
      </c>
      <c r="N105" s="27">
        <v>139.55000000000001</v>
      </c>
      <c r="O105" s="38">
        <v>84.87</v>
      </c>
      <c r="P105" s="27">
        <v>88.27</v>
      </c>
      <c r="Q105" s="27">
        <f t="shared" si="42"/>
        <v>55734.230400000008</v>
      </c>
      <c r="R105" s="27">
        <f t="shared" si="43"/>
        <v>57963.424640000005</v>
      </c>
      <c r="S105" s="27">
        <f t="shared" si="43"/>
        <v>51481.479120000011</v>
      </c>
      <c r="T105" s="27">
        <f t="shared" si="44"/>
        <v>50201.120080000015</v>
      </c>
      <c r="U105" s="27">
        <f t="shared" si="32"/>
        <v>215380.25424000004</v>
      </c>
      <c r="V105" s="119"/>
      <c r="W105" s="119"/>
      <c r="X105" s="119"/>
      <c r="Y105" s="29">
        <f t="shared" si="40"/>
        <v>100</v>
      </c>
      <c r="Z105" s="30">
        <f t="shared" si="41"/>
        <v>104.00612701779191</v>
      </c>
      <c r="AA105" s="2"/>
      <c r="AD105" s="32">
        <f t="shared" si="36"/>
        <v>-6.1270177919112712E-3</v>
      </c>
      <c r="AE105" s="91"/>
      <c r="AF105" s="92"/>
    </row>
    <row r="106" spans="1:32" s="40" customFormat="1" ht="51" customHeight="1">
      <c r="A106" s="33">
        <v>2906008154</v>
      </c>
      <c r="B106" s="34" t="s">
        <v>140</v>
      </c>
      <c r="C106" s="35" t="s">
        <v>134</v>
      </c>
      <c r="D106" s="33" t="s">
        <v>338</v>
      </c>
      <c r="E106" s="33" t="s">
        <v>339</v>
      </c>
      <c r="F106" s="25" t="s">
        <v>428</v>
      </c>
      <c r="G106" s="36"/>
      <c r="H106" s="26">
        <f>'2023'!H108</f>
        <v>1401.346</v>
      </c>
      <c r="I106" s="26">
        <f>'2023'!I108</f>
        <v>1426.5129999999999</v>
      </c>
      <c r="J106" s="26">
        <f>'2023'!J108</f>
        <v>1364.653</v>
      </c>
      <c r="K106" s="26">
        <f>'2023'!K108</f>
        <v>1271.7550000000001</v>
      </c>
      <c r="L106" s="26">
        <f t="shared" si="31"/>
        <v>5464.2669999999998</v>
      </c>
      <c r="M106" s="38">
        <v>90.69</v>
      </c>
      <c r="N106" s="27">
        <v>90.69</v>
      </c>
      <c r="O106" s="38">
        <v>32.24</v>
      </c>
      <c r="P106" s="27">
        <v>33.53</v>
      </c>
      <c r="Q106" s="27">
        <f t="shared" si="42"/>
        <v>81908.673699999999</v>
      </c>
      <c r="R106" s="27">
        <f t="shared" si="43"/>
        <v>83379.684849999991</v>
      </c>
      <c r="S106" s="27">
        <f t="shared" si="43"/>
        <v>78003.56547999999</v>
      </c>
      <c r="T106" s="27">
        <f t="shared" si="44"/>
        <v>72693.515800000008</v>
      </c>
      <c r="U106" s="27">
        <f t="shared" si="32"/>
        <v>315985.43982999999</v>
      </c>
      <c r="V106" s="119"/>
      <c r="W106" s="119"/>
      <c r="X106" s="119"/>
      <c r="Y106" s="29">
        <f t="shared" si="40"/>
        <v>100</v>
      </c>
      <c r="Z106" s="30">
        <f t="shared" si="41"/>
        <v>104.00124069478909</v>
      </c>
      <c r="AA106" s="2"/>
      <c r="AD106" s="32">
        <f t="shared" si="36"/>
        <v>-1.2406947890895026E-3</v>
      </c>
      <c r="AE106" s="91"/>
      <c r="AF106" s="92"/>
    </row>
    <row r="107" spans="1:32" s="40" customFormat="1" ht="51" customHeight="1">
      <c r="A107" s="33">
        <v>2906007552</v>
      </c>
      <c r="B107" s="34" t="s">
        <v>139</v>
      </c>
      <c r="C107" s="35" t="s">
        <v>134</v>
      </c>
      <c r="D107" s="33" t="s">
        <v>340</v>
      </c>
      <c r="E107" s="33" t="s">
        <v>341</v>
      </c>
      <c r="F107" s="25" t="s">
        <v>428</v>
      </c>
      <c r="G107" s="36"/>
      <c r="H107" s="26">
        <f>'2023'!H109</f>
        <v>3888.6109999999999</v>
      </c>
      <c r="I107" s="26">
        <f>'2023'!I109</f>
        <v>3974.5540000000001</v>
      </c>
      <c r="J107" s="26">
        <f>'2023'!J109</f>
        <v>3725.9790000000003</v>
      </c>
      <c r="K107" s="26">
        <f>'2023'!K109</f>
        <v>3973.5209999999997</v>
      </c>
      <c r="L107" s="26">
        <f t="shared" si="31"/>
        <v>15562.665000000001</v>
      </c>
      <c r="M107" s="38">
        <v>134.05000000000001</v>
      </c>
      <c r="N107" s="27">
        <v>134.05000000000001</v>
      </c>
      <c r="O107" s="38">
        <v>40.56</v>
      </c>
      <c r="P107" s="27">
        <v>42.18</v>
      </c>
      <c r="Q107" s="27">
        <f t="shared" si="42"/>
        <v>363546.24239000003</v>
      </c>
      <c r="R107" s="27">
        <f t="shared" si="43"/>
        <v>371581.05346000002</v>
      </c>
      <c r="S107" s="27">
        <f t="shared" si="43"/>
        <v>342305.69073000003</v>
      </c>
      <c r="T107" s="27">
        <f t="shared" si="44"/>
        <v>365047.37426999997</v>
      </c>
      <c r="U107" s="27">
        <f t="shared" si="32"/>
        <v>1442480.3608500003</v>
      </c>
      <c r="V107" s="119"/>
      <c r="W107" s="119"/>
      <c r="X107" s="119"/>
      <c r="Y107" s="29">
        <f t="shared" si="40"/>
        <v>100</v>
      </c>
      <c r="Z107" s="30">
        <f t="shared" si="41"/>
        <v>103.99408284023667</v>
      </c>
      <c r="AA107" s="2"/>
      <c r="AD107" s="32">
        <f t="shared" si="36"/>
        <v>5.9171597633280726E-3</v>
      </c>
      <c r="AE107" s="91"/>
      <c r="AF107" s="92"/>
    </row>
    <row r="108" spans="1:32" s="40" customFormat="1" ht="51" customHeight="1">
      <c r="A108" s="33">
        <v>2906007552</v>
      </c>
      <c r="B108" s="34" t="s">
        <v>139</v>
      </c>
      <c r="C108" s="35" t="s">
        <v>134</v>
      </c>
      <c r="D108" s="33" t="s">
        <v>340</v>
      </c>
      <c r="E108" s="33" t="s">
        <v>342</v>
      </c>
      <c r="F108" s="25" t="s">
        <v>428</v>
      </c>
      <c r="G108" s="36"/>
      <c r="H108" s="26">
        <f>'2023'!H110</f>
        <v>3068.5539999999996</v>
      </c>
      <c r="I108" s="26">
        <f>'2023'!I110</f>
        <v>3322.558</v>
      </c>
      <c r="J108" s="26">
        <f>'2023'!J110</f>
        <v>2998.5499999999997</v>
      </c>
      <c r="K108" s="26">
        <f>'2023'!K110</f>
        <v>3195.5969999999998</v>
      </c>
      <c r="L108" s="26">
        <f t="shared" si="31"/>
        <v>12585.258999999998</v>
      </c>
      <c r="M108" s="38">
        <v>65.84</v>
      </c>
      <c r="N108" s="27">
        <v>71.900000000000006</v>
      </c>
      <c r="O108" s="38">
        <v>40.56</v>
      </c>
      <c r="P108" s="27">
        <v>42.18</v>
      </c>
      <c r="Q108" s="27">
        <f t="shared" si="42"/>
        <v>77573.045119999995</v>
      </c>
      <c r="R108" s="27">
        <f t="shared" si="43"/>
        <v>83994.266239999997</v>
      </c>
      <c r="S108" s="27">
        <f t="shared" si="43"/>
        <v>89116.906000000003</v>
      </c>
      <c r="T108" s="27">
        <f t="shared" si="44"/>
        <v>94973.142840000015</v>
      </c>
      <c r="U108" s="27">
        <f t="shared" si="32"/>
        <v>345657.3602</v>
      </c>
      <c r="V108" s="119"/>
      <c r="W108" s="119"/>
      <c r="X108" s="119"/>
      <c r="Y108" s="29">
        <f t="shared" si="40"/>
        <v>109.2041312272175</v>
      </c>
      <c r="Z108" s="30">
        <f t="shared" si="41"/>
        <v>103.99408284023667</v>
      </c>
      <c r="AA108" s="2"/>
      <c r="AD108" s="32">
        <f t="shared" si="36"/>
        <v>5.9171597633280726E-3</v>
      </c>
      <c r="AE108" s="91"/>
      <c r="AF108" s="92"/>
    </row>
    <row r="109" spans="1:32" s="40" customFormat="1" ht="15" customHeight="1">
      <c r="A109" s="33"/>
      <c r="B109" s="34"/>
      <c r="C109" s="35"/>
      <c r="D109" s="33"/>
      <c r="E109" s="33"/>
      <c r="F109" s="36"/>
      <c r="G109" s="36"/>
      <c r="H109" s="26"/>
      <c r="I109" s="26"/>
      <c r="J109" s="26"/>
      <c r="K109" s="26"/>
      <c r="L109" s="37"/>
      <c r="M109" s="41"/>
      <c r="N109" s="41"/>
      <c r="O109" s="41"/>
      <c r="P109" s="41"/>
      <c r="Q109" s="27"/>
      <c r="R109" s="27"/>
      <c r="S109" s="27"/>
      <c r="T109" s="27"/>
      <c r="U109" s="27"/>
      <c r="V109" s="119"/>
      <c r="W109" s="119"/>
      <c r="X109" s="119"/>
      <c r="Y109" s="29" t="e">
        <f t="shared" si="40"/>
        <v>#DIV/0!</v>
      </c>
      <c r="Z109" s="30" t="e">
        <f t="shared" si="41"/>
        <v>#DIV/0!</v>
      </c>
      <c r="AA109" s="2"/>
      <c r="AD109" s="32" t="e">
        <f t="shared" si="36"/>
        <v>#DIV/0!</v>
      </c>
      <c r="AE109" s="91"/>
      <c r="AF109" s="92"/>
    </row>
    <row r="110" spans="1:32" s="40" customFormat="1" ht="51" customHeight="1">
      <c r="A110" s="33">
        <v>2901280678</v>
      </c>
      <c r="B110" s="34" t="s">
        <v>141</v>
      </c>
      <c r="C110" s="35" t="s">
        <v>142</v>
      </c>
      <c r="D110" s="33" t="s">
        <v>143</v>
      </c>
      <c r="E110" s="33"/>
      <c r="F110" s="25" t="s">
        <v>428</v>
      </c>
      <c r="G110" s="36"/>
      <c r="H110" s="26">
        <f>'2023'!H112</f>
        <v>635.91399999999999</v>
      </c>
      <c r="I110" s="26">
        <f>'2023'!I112</f>
        <v>593.803</v>
      </c>
      <c r="J110" s="26">
        <f>'2023'!J112</f>
        <v>686.99300000000005</v>
      </c>
      <c r="K110" s="26">
        <f>'2023'!K112</f>
        <v>633.85</v>
      </c>
      <c r="L110" s="26">
        <f t="shared" si="31"/>
        <v>2550.56</v>
      </c>
      <c r="M110" s="38">
        <f>'2023'!N112</f>
        <v>338.56</v>
      </c>
      <c r="N110" s="27">
        <v>342.14558560000006</v>
      </c>
      <c r="O110" s="38">
        <f>'2023'!P112</f>
        <v>85.8</v>
      </c>
      <c r="P110" s="38">
        <f t="shared" ref="P110:P116" si="45">O110*1.04</f>
        <v>89.231999999999999</v>
      </c>
      <c r="Q110" s="27">
        <f t="shared" ref="Q110:Q116" si="46">(M110-O110)*H110</f>
        <v>160733.62263999999</v>
      </c>
      <c r="R110" s="27">
        <f t="shared" ref="R110:S116" si="47">(M110-O110)*I110</f>
        <v>150089.64627999999</v>
      </c>
      <c r="S110" s="27">
        <f t="shared" si="47"/>
        <v>173749.86291210086</v>
      </c>
      <c r="T110" s="27">
        <f t="shared" ref="T110:T116" si="48">(N110-P110)*K110</f>
        <v>160309.27623256005</v>
      </c>
      <c r="U110" s="27">
        <f t="shared" si="32"/>
        <v>644882.40806466085</v>
      </c>
      <c r="V110" s="119"/>
      <c r="W110" s="119"/>
      <c r="X110" s="119"/>
      <c r="Y110" s="29">
        <f t="shared" si="40"/>
        <v>101.05906947069944</v>
      </c>
      <c r="Z110" s="30">
        <f t="shared" si="41"/>
        <v>104</v>
      </c>
      <c r="AA110" s="2"/>
      <c r="AD110" s="32">
        <f t="shared" si="36"/>
        <v>0</v>
      </c>
      <c r="AE110" s="91"/>
      <c r="AF110" s="92"/>
    </row>
    <row r="111" spans="1:32" s="40" customFormat="1" ht="51" customHeight="1">
      <c r="A111" s="33">
        <v>2919000794</v>
      </c>
      <c r="B111" s="34" t="s">
        <v>152</v>
      </c>
      <c r="C111" s="35" t="s">
        <v>142</v>
      </c>
      <c r="D111" s="33" t="s">
        <v>153</v>
      </c>
      <c r="E111" s="33"/>
      <c r="F111" s="25" t="s">
        <v>428</v>
      </c>
      <c r="G111" s="36"/>
      <c r="H111" s="26">
        <f>'2023'!H113</f>
        <v>8324.1970000000001</v>
      </c>
      <c r="I111" s="26">
        <f>'2023'!I113</f>
        <v>8290.5960000000014</v>
      </c>
      <c r="J111" s="26">
        <f>'2023'!J113</f>
        <v>8436.4519999999993</v>
      </c>
      <c r="K111" s="26">
        <f>'2023'!K113</f>
        <v>8231.018</v>
      </c>
      <c r="L111" s="26">
        <f t="shared" si="31"/>
        <v>33282.263000000006</v>
      </c>
      <c r="M111" s="38">
        <f>'2023'!N113</f>
        <v>164.67</v>
      </c>
      <c r="N111" s="27">
        <v>169.90358300000003</v>
      </c>
      <c r="O111" s="38">
        <f>'2023'!P113</f>
        <v>111.56</v>
      </c>
      <c r="P111" s="38">
        <f t="shared" si="45"/>
        <v>116.0224</v>
      </c>
      <c r="Q111" s="27">
        <f t="shared" si="46"/>
        <v>442098.10266999988</v>
      </c>
      <c r="R111" s="27">
        <f t="shared" si="47"/>
        <v>440313.55355999997</v>
      </c>
      <c r="S111" s="27">
        <f t="shared" si="47"/>
        <v>454566.01408271614</v>
      </c>
      <c r="T111" s="27">
        <f t="shared" si="48"/>
        <v>443496.98713429418</v>
      </c>
      <c r="U111" s="27">
        <f t="shared" si="32"/>
        <v>1780474.65744701</v>
      </c>
      <c r="V111" s="119"/>
      <c r="W111" s="119"/>
      <c r="X111" s="119"/>
      <c r="Y111" s="29">
        <f t="shared" si="40"/>
        <v>103.17822493471796</v>
      </c>
      <c r="Z111" s="30">
        <f t="shared" si="41"/>
        <v>104</v>
      </c>
      <c r="AA111" s="2"/>
      <c r="AD111" s="32">
        <f t="shared" si="36"/>
        <v>0</v>
      </c>
      <c r="AE111" s="91"/>
      <c r="AF111" s="92"/>
    </row>
    <row r="112" spans="1:32" s="40" customFormat="1" ht="51" customHeight="1">
      <c r="A112" s="33">
        <v>2919000794</v>
      </c>
      <c r="B112" s="34" t="s">
        <v>152</v>
      </c>
      <c r="C112" s="35" t="s">
        <v>142</v>
      </c>
      <c r="D112" s="33" t="s">
        <v>154</v>
      </c>
      <c r="E112" s="33"/>
      <c r="F112" s="25" t="s">
        <v>428</v>
      </c>
      <c r="G112" s="36"/>
      <c r="H112" s="26">
        <f>'2023'!H114</f>
        <v>19479.953000000001</v>
      </c>
      <c r="I112" s="26">
        <f>'2023'!I114</f>
        <v>18795.073999999997</v>
      </c>
      <c r="J112" s="26">
        <f>'2023'!J114</f>
        <v>18011.317999999999</v>
      </c>
      <c r="K112" s="26">
        <f>'2023'!K114</f>
        <v>16455.407999999999</v>
      </c>
      <c r="L112" s="26">
        <f t="shared" si="31"/>
        <v>72741.752999999997</v>
      </c>
      <c r="M112" s="38">
        <f>'2023'!N114</f>
        <v>116.85</v>
      </c>
      <c r="N112" s="27">
        <f>M112</f>
        <v>116.85</v>
      </c>
      <c r="O112" s="38">
        <f>'2023'!P114</f>
        <v>74.88</v>
      </c>
      <c r="P112" s="38">
        <f t="shared" si="45"/>
        <v>77.875199999999992</v>
      </c>
      <c r="Q112" s="27">
        <f t="shared" si="46"/>
        <v>817573.62741000007</v>
      </c>
      <c r="R112" s="27">
        <f t="shared" si="47"/>
        <v>788829.25577999989</v>
      </c>
      <c r="S112" s="27">
        <f t="shared" si="47"/>
        <v>701987.5167864</v>
      </c>
      <c r="T112" s="27">
        <f t="shared" si="48"/>
        <v>641346.23571839998</v>
      </c>
      <c r="U112" s="27">
        <f t="shared" si="32"/>
        <v>2949736.6356947999</v>
      </c>
      <c r="V112" s="119"/>
      <c r="W112" s="119"/>
      <c r="X112" s="119"/>
      <c r="Y112" s="29">
        <f t="shared" si="40"/>
        <v>100</v>
      </c>
      <c r="Z112" s="30">
        <f t="shared" si="41"/>
        <v>104</v>
      </c>
      <c r="AA112" s="2"/>
      <c r="AD112" s="32">
        <f t="shared" si="36"/>
        <v>0</v>
      </c>
      <c r="AE112" s="91"/>
      <c r="AF112" s="92"/>
    </row>
    <row r="113" spans="1:32" s="40" customFormat="1" ht="51" customHeight="1">
      <c r="A113" s="33">
        <v>2919006299</v>
      </c>
      <c r="B113" s="34" t="s">
        <v>148</v>
      </c>
      <c r="C113" s="35" t="s">
        <v>142</v>
      </c>
      <c r="D113" s="33" t="s">
        <v>149</v>
      </c>
      <c r="E113" s="33"/>
      <c r="F113" s="25" t="s">
        <v>428</v>
      </c>
      <c r="G113" s="36"/>
      <c r="H113" s="26">
        <f>'2023'!H115</f>
        <v>8636.2000000000007</v>
      </c>
      <c r="I113" s="26">
        <f>'2023'!I115</f>
        <v>8725.7000000000007</v>
      </c>
      <c r="J113" s="26">
        <f>'2023'!J115</f>
        <v>7408</v>
      </c>
      <c r="K113" s="26">
        <f>'2023'!K115</f>
        <v>9617.2000000000007</v>
      </c>
      <c r="L113" s="26">
        <f t="shared" si="31"/>
        <v>34387.100000000006</v>
      </c>
      <c r="M113" s="38">
        <f>'2023'!N115</f>
        <v>178.13</v>
      </c>
      <c r="N113" s="27">
        <v>185.17711100000002</v>
      </c>
      <c r="O113" s="38">
        <f>'2023'!P115</f>
        <v>64.48</v>
      </c>
      <c r="P113" s="38">
        <f t="shared" si="45"/>
        <v>67.059200000000004</v>
      </c>
      <c r="Q113" s="27">
        <f t="shared" si="46"/>
        <v>981504.13</v>
      </c>
      <c r="R113" s="27">
        <f t="shared" si="47"/>
        <v>991675.80500000005</v>
      </c>
      <c r="S113" s="27">
        <f t="shared" si="47"/>
        <v>875017.48468800017</v>
      </c>
      <c r="T113" s="27">
        <f t="shared" si="48"/>
        <v>1135963.5736692003</v>
      </c>
      <c r="U113" s="27">
        <f t="shared" si="32"/>
        <v>3984160.9933572006</v>
      </c>
      <c r="V113" s="119"/>
      <c r="W113" s="119"/>
      <c r="X113" s="119"/>
      <c r="Y113" s="29">
        <f t="shared" si="40"/>
        <v>103.95616179194971</v>
      </c>
      <c r="Z113" s="30">
        <f t="shared" si="41"/>
        <v>104</v>
      </c>
      <c r="AA113" s="2"/>
      <c r="AD113" s="32">
        <f t="shared" si="36"/>
        <v>0</v>
      </c>
      <c r="AE113" s="91"/>
      <c r="AF113" s="92"/>
    </row>
    <row r="114" spans="1:32" s="40" customFormat="1" ht="51" customHeight="1">
      <c r="A114" s="33">
        <v>2919007479</v>
      </c>
      <c r="B114" s="35" t="s">
        <v>155</v>
      </c>
      <c r="C114" s="35" t="s">
        <v>142</v>
      </c>
      <c r="D114" s="33" t="s">
        <v>156</v>
      </c>
      <c r="E114" s="33"/>
      <c r="F114" s="25" t="s">
        <v>428</v>
      </c>
      <c r="G114" s="36"/>
      <c r="H114" s="26">
        <f>'2023'!H116</f>
        <v>6764</v>
      </c>
      <c r="I114" s="26">
        <f>'2023'!I116</f>
        <v>6764</v>
      </c>
      <c r="J114" s="26">
        <f>'2023'!J116</f>
        <v>6764</v>
      </c>
      <c r="K114" s="26">
        <f>'2023'!K116</f>
        <v>6764</v>
      </c>
      <c r="L114" s="26">
        <f t="shared" si="31"/>
        <v>27056</v>
      </c>
      <c r="M114" s="38">
        <f>'2023'!N116</f>
        <v>74.3</v>
      </c>
      <c r="N114" s="27">
        <f>M114</f>
        <v>74.3</v>
      </c>
      <c r="O114" s="38">
        <f>'2023'!P116</f>
        <v>67.599999999999994</v>
      </c>
      <c r="P114" s="38">
        <f t="shared" si="45"/>
        <v>70.304000000000002</v>
      </c>
      <c r="Q114" s="27">
        <f t="shared" si="46"/>
        <v>45318.800000000017</v>
      </c>
      <c r="R114" s="27">
        <f t="shared" si="47"/>
        <v>45318.800000000017</v>
      </c>
      <c r="S114" s="27">
        <f t="shared" si="47"/>
        <v>27028.943999999967</v>
      </c>
      <c r="T114" s="27">
        <f t="shared" si="48"/>
        <v>27028.943999999967</v>
      </c>
      <c r="U114" s="27">
        <f t="shared" si="32"/>
        <v>144695.48799999995</v>
      </c>
      <c r="V114" s="119"/>
      <c r="W114" s="119"/>
      <c r="X114" s="119"/>
      <c r="Y114" s="29">
        <f t="shared" si="40"/>
        <v>100</v>
      </c>
      <c r="Z114" s="30">
        <f t="shared" si="41"/>
        <v>104</v>
      </c>
      <c r="AA114" s="2"/>
      <c r="AD114" s="32">
        <f t="shared" si="36"/>
        <v>0</v>
      </c>
      <c r="AE114" s="91"/>
      <c r="AF114" s="92"/>
    </row>
    <row r="115" spans="1:32" s="40" customFormat="1" ht="51" customHeight="1">
      <c r="A115" s="33">
        <v>2919000794</v>
      </c>
      <c r="B115" s="34" t="s">
        <v>152</v>
      </c>
      <c r="C115" s="35" t="s">
        <v>142</v>
      </c>
      <c r="D115" s="33" t="s">
        <v>150</v>
      </c>
      <c r="E115" s="33"/>
      <c r="F115" s="25" t="s">
        <v>428</v>
      </c>
      <c r="G115" s="36" t="s">
        <v>415</v>
      </c>
      <c r="H115" s="26">
        <f>'2023'!H117</f>
        <v>765.9</v>
      </c>
      <c r="I115" s="26">
        <f>'2023'!I117</f>
        <v>688.5</v>
      </c>
      <c r="J115" s="26">
        <f>'2023'!J117</f>
        <v>722</v>
      </c>
      <c r="K115" s="26">
        <f>'2023'!K117</f>
        <v>627.79999999999995</v>
      </c>
      <c r="L115" s="37">
        <f t="shared" si="31"/>
        <v>2804.2</v>
      </c>
      <c r="M115" s="38">
        <f>'2023'!N117</f>
        <v>512.29</v>
      </c>
      <c r="N115" s="27">
        <f>M115</f>
        <v>512.29</v>
      </c>
      <c r="O115" s="38">
        <f>'2023'!P117</f>
        <v>111.56</v>
      </c>
      <c r="P115" s="38">
        <f t="shared" si="45"/>
        <v>116.0224</v>
      </c>
      <c r="Q115" s="27">
        <f t="shared" si="46"/>
        <v>306919.10699999996</v>
      </c>
      <c r="R115" s="27">
        <f t="shared" si="47"/>
        <v>275902.60499999998</v>
      </c>
      <c r="S115" s="27">
        <f t="shared" si="47"/>
        <v>286105.20719999995</v>
      </c>
      <c r="T115" s="27">
        <f t="shared" si="48"/>
        <v>248776.79927999995</v>
      </c>
      <c r="U115" s="27">
        <f t="shared" si="32"/>
        <v>1117703.7184799998</v>
      </c>
      <c r="V115" s="119"/>
      <c r="W115" s="119"/>
      <c r="X115" s="119"/>
      <c r="Y115" s="29">
        <f t="shared" si="40"/>
        <v>100</v>
      </c>
      <c r="Z115" s="30">
        <f t="shared" si="41"/>
        <v>104</v>
      </c>
      <c r="AA115" s="2"/>
      <c r="AD115" s="32">
        <f>104-Z115</f>
        <v>0</v>
      </c>
      <c r="AE115" s="91"/>
      <c r="AF115" s="92"/>
    </row>
    <row r="116" spans="1:32" s="40" customFormat="1" ht="51" customHeight="1">
      <c r="A116" s="33" t="s">
        <v>144</v>
      </c>
      <c r="B116" s="34" t="s">
        <v>145</v>
      </c>
      <c r="C116" s="35" t="s">
        <v>142</v>
      </c>
      <c r="D116" s="33" t="s">
        <v>146</v>
      </c>
      <c r="E116" s="33"/>
      <c r="F116" s="25" t="s">
        <v>428</v>
      </c>
      <c r="G116" s="36"/>
      <c r="H116" s="26">
        <f>'2023'!H118</f>
        <v>9807</v>
      </c>
      <c r="I116" s="26">
        <f>'2023'!I118</f>
        <v>9807</v>
      </c>
      <c r="J116" s="26">
        <f>'2023'!J118</f>
        <v>11386.948</v>
      </c>
      <c r="K116" s="26">
        <f>'2023'!K118</f>
        <v>9074.732</v>
      </c>
      <c r="L116" s="26">
        <f t="shared" si="31"/>
        <v>40075.68</v>
      </c>
      <c r="M116" s="38">
        <f>'2023'!N118</f>
        <v>80.81</v>
      </c>
      <c r="N116" s="27">
        <f>M116</f>
        <v>80.81</v>
      </c>
      <c r="O116" s="38">
        <f>'2023'!P118</f>
        <v>71.22</v>
      </c>
      <c r="P116" s="38">
        <f t="shared" si="45"/>
        <v>74.068799999999996</v>
      </c>
      <c r="Q116" s="27">
        <f t="shared" si="46"/>
        <v>94049.130000000034</v>
      </c>
      <c r="R116" s="27">
        <f t="shared" si="47"/>
        <v>94049.130000000034</v>
      </c>
      <c r="S116" s="27">
        <f t="shared" si="47"/>
        <v>76761.693857600068</v>
      </c>
      <c r="T116" s="27">
        <f t="shared" si="48"/>
        <v>61174.583358400057</v>
      </c>
      <c r="U116" s="27">
        <f t="shared" si="32"/>
        <v>326034.53721600014</v>
      </c>
      <c r="V116" s="119"/>
      <c r="W116" s="119"/>
      <c r="X116" s="119"/>
      <c r="Y116" s="29">
        <f t="shared" si="40"/>
        <v>100</v>
      </c>
      <c r="Z116" s="30">
        <f t="shared" si="41"/>
        <v>104</v>
      </c>
      <c r="AA116" s="2"/>
      <c r="AD116" s="32">
        <f>104-Z116</f>
        <v>0</v>
      </c>
      <c r="AE116" s="91"/>
      <c r="AF116" s="92"/>
    </row>
    <row r="117" spans="1:32" s="40" customFormat="1" ht="15" customHeight="1">
      <c r="A117" s="33"/>
      <c r="B117" s="34"/>
      <c r="C117" s="35"/>
      <c r="D117" s="33"/>
      <c r="E117" s="33"/>
      <c r="F117" s="36"/>
      <c r="G117" s="36"/>
      <c r="H117" s="26"/>
      <c r="I117" s="26"/>
      <c r="J117" s="26"/>
      <c r="K117" s="26"/>
      <c r="L117" s="37"/>
      <c r="M117" s="41"/>
      <c r="N117" s="41"/>
      <c r="O117" s="41"/>
      <c r="P117" s="41"/>
      <c r="Q117" s="27"/>
      <c r="R117" s="27"/>
      <c r="S117" s="27"/>
      <c r="T117" s="27"/>
      <c r="U117" s="27"/>
      <c r="V117" s="119"/>
      <c r="W117" s="119"/>
      <c r="X117" s="119"/>
      <c r="Y117" s="29" t="e">
        <f t="shared" si="40"/>
        <v>#DIV/0!</v>
      </c>
      <c r="Z117" s="30" t="e">
        <f t="shared" si="41"/>
        <v>#DIV/0!</v>
      </c>
      <c r="AA117" s="2"/>
      <c r="AD117" s="32" t="e">
        <f t="shared" si="36"/>
        <v>#DIV/0!</v>
      </c>
      <c r="AE117" s="91"/>
      <c r="AF117" s="92"/>
    </row>
    <row r="118" spans="1:32" s="40" customFormat="1" ht="51.75" customHeight="1">
      <c r="A118" s="33">
        <v>2920011448</v>
      </c>
      <c r="B118" s="34" t="s">
        <v>164</v>
      </c>
      <c r="C118" s="35" t="s">
        <v>343</v>
      </c>
      <c r="D118" s="33" t="s">
        <v>296</v>
      </c>
      <c r="E118" s="33"/>
      <c r="F118" s="25" t="s">
        <v>428</v>
      </c>
      <c r="G118" s="36"/>
      <c r="H118" s="26">
        <f>'2023'!H120</f>
        <v>5140.393</v>
      </c>
      <c r="I118" s="26">
        <f>'2023'!I120</f>
        <v>5089.1109999999999</v>
      </c>
      <c r="J118" s="26">
        <f>'2023'!J120</f>
        <v>5056.5739999999996</v>
      </c>
      <c r="K118" s="26">
        <f>'2023'!K120</f>
        <v>5045.4930000000004</v>
      </c>
      <c r="L118" s="26">
        <f t="shared" si="31"/>
        <v>20331.571000000004</v>
      </c>
      <c r="M118" s="38">
        <f>'2023'!N120</f>
        <v>144.19999999999999</v>
      </c>
      <c r="N118" s="27">
        <v>144.20049999999998</v>
      </c>
      <c r="O118" s="38">
        <f>'2023'!P120</f>
        <v>89.96</v>
      </c>
      <c r="P118" s="27">
        <v>93.558400000000006</v>
      </c>
      <c r="Q118" s="27">
        <f t="shared" ref="Q118:Q126" si="49">(M118-O118)*H118</f>
        <v>278814.91631999996</v>
      </c>
      <c r="R118" s="27">
        <f t="shared" ref="R118:R126" si="50">(M118-O118)*I118</f>
        <v>276033.38063999999</v>
      </c>
      <c r="S118" s="27">
        <f t="shared" ref="S118:S126" si="51">(N118-P118)*J118</f>
        <v>256075.52616539985</v>
      </c>
      <c r="T118" s="27">
        <f t="shared" ref="T118:T126" si="52">(N118-P118)*K118</f>
        <v>255514.36105529987</v>
      </c>
      <c r="U118" s="27">
        <f t="shared" si="32"/>
        <v>1066438.1841806998</v>
      </c>
      <c r="V118" s="119"/>
      <c r="W118" s="119"/>
      <c r="X118" s="119"/>
      <c r="Y118" s="29">
        <f t="shared" si="40"/>
        <v>100.00034674063801</v>
      </c>
      <c r="Z118" s="30">
        <f t="shared" si="41"/>
        <v>104</v>
      </c>
      <c r="AA118" s="2"/>
      <c r="AD118" s="32">
        <f t="shared" si="36"/>
        <v>0</v>
      </c>
      <c r="AE118" s="91"/>
      <c r="AF118" s="92"/>
    </row>
    <row r="119" spans="1:32" s="40" customFormat="1" ht="51.75" customHeight="1">
      <c r="A119" s="33">
        <v>2920011448</v>
      </c>
      <c r="B119" s="34" t="s">
        <v>164</v>
      </c>
      <c r="C119" s="35" t="s">
        <v>343</v>
      </c>
      <c r="D119" s="33" t="s">
        <v>297</v>
      </c>
      <c r="E119" s="33"/>
      <c r="F119" s="25" t="s">
        <v>428</v>
      </c>
      <c r="G119" s="36"/>
      <c r="H119" s="26">
        <f>'2023'!H121</f>
        <v>567.74</v>
      </c>
      <c r="I119" s="26">
        <f>'2023'!I121</f>
        <v>427.01</v>
      </c>
      <c r="J119" s="26">
        <f>'2023'!J121</f>
        <v>559.73</v>
      </c>
      <c r="K119" s="26">
        <f>'2023'!K121</f>
        <v>442.76300000000003</v>
      </c>
      <c r="L119" s="26">
        <f t="shared" si="31"/>
        <v>1997.2429999999999</v>
      </c>
      <c r="M119" s="38">
        <f>'2023'!N121</f>
        <v>241.77</v>
      </c>
      <c r="N119" s="27">
        <v>262.20338419999996</v>
      </c>
      <c r="O119" s="38">
        <f>'2023'!P121</f>
        <v>81.64</v>
      </c>
      <c r="P119" s="27">
        <v>84.905600000000007</v>
      </c>
      <c r="Q119" s="27">
        <f t="shared" si="49"/>
        <v>90912.206200000001</v>
      </c>
      <c r="R119" s="27">
        <f t="shared" si="50"/>
        <v>68377.11129999999</v>
      </c>
      <c r="S119" s="27">
        <f t="shared" si="51"/>
        <v>99238.888750265978</v>
      </c>
      <c r="T119" s="27">
        <f t="shared" si="52"/>
        <v>78500.898825744589</v>
      </c>
      <c r="U119" s="27">
        <f t="shared" si="32"/>
        <v>337029.10507601057</v>
      </c>
      <c r="V119" s="119"/>
      <c r="W119" s="119"/>
      <c r="X119" s="119"/>
      <c r="Y119" s="29">
        <f t="shared" si="40"/>
        <v>108.45157968316994</v>
      </c>
      <c r="Z119" s="30">
        <f t="shared" si="41"/>
        <v>104</v>
      </c>
      <c r="AA119" s="2"/>
      <c r="AD119" s="32">
        <f t="shared" si="36"/>
        <v>0</v>
      </c>
      <c r="AE119" s="91"/>
      <c r="AF119" s="92"/>
    </row>
    <row r="120" spans="1:32" s="40" customFormat="1" ht="51.75" customHeight="1">
      <c r="A120" s="33">
        <v>2920016774</v>
      </c>
      <c r="B120" s="34" t="s">
        <v>167</v>
      </c>
      <c r="C120" s="35" t="s">
        <v>343</v>
      </c>
      <c r="D120" s="33" t="s">
        <v>344</v>
      </c>
      <c r="E120" s="33"/>
      <c r="F120" s="25" t="s">
        <v>428</v>
      </c>
      <c r="G120" s="36"/>
      <c r="H120" s="26">
        <f>'2023'!H122</f>
        <v>65979.013999999996</v>
      </c>
      <c r="I120" s="26">
        <f>'2023'!I122</f>
        <v>59227.919000000002</v>
      </c>
      <c r="J120" s="26">
        <f>'2023'!J122</f>
        <v>53821.607000000004</v>
      </c>
      <c r="K120" s="26">
        <f>'2023'!K122</f>
        <v>60989.759999999995</v>
      </c>
      <c r="L120" s="26">
        <f t="shared" si="31"/>
        <v>240018.3</v>
      </c>
      <c r="M120" s="38">
        <v>47.21</v>
      </c>
      <c r="N120" s="27">
        <v>47.21</v>
      </c>
      <c r="O120" s="38">
        <v>35.36</v>
      </c>
      <c r="P120" s="27">
        <v>36.7744</v>
      </c>
      <c r="Q120" s="27">
        <f t="shared" si="49"/>
        <v>781851.31590000005</v>
      </c>
      <c r="R120" s="27">
        <f t="shared" si="50"/>
        <v>701850.84015000006</v>
      </c>
      <c r="S120" s="27">
        <f t="shared" si="51"/>
        <v>561660.76200920006</v>
      </c>
      <c r="T120" s="27">
        <f t="shared" si="52"/>
        <v>636464.73945600004</v>
      </c>
      <c r="U120" s="27">
        <f t="shared" si="32"/>
        <v>2681827.6575151999</v>
      </c>
      <c r="V120" s="119"/>
      <c r="W120" s="119"/>
      <c r="X120" s="119"/>
      <c r="Y120" s="29">
        <f t="shared" si="40"/>
        <v>100</v>
      </c>
      <c r="Z120" s="30">
        <f t="shared" si="41"/>
        <v>104</v>
      </c>
      <c r="AA120" s="2"/>
      <c r="AD120" s="32">
        <f t="shared" si="36"/>
        <v>0</v>
      </c>
      <c r="AE120" s="91"/>
      <c r="AF120" s="92"/>
    </row>
    <row r="121" spans="1:32" s="40" customFormat="1" ht="51.75" customHeight="1">
      <c r="A121" s="33">
        <v>2920016125</v>
      </c>
      <c r="B121" s="34" t="s">
        <v>161</v>
      </c>
      <c r="C121" s="35" t="s">
        <v>343</v>
      </c>
      <c r="D121" s="33" t="s">
        <v>345</v>
      </c>
      <c r="E121" s="33"/>
      <c r="F121" s="25" t="s">
        <v>428</v>
      </c>
      <c r="G121" s="36"/>
      <c r="H121" s="26">
        <f>'2023'!H123</f>
        <v>1260</v>
      </c>
      <c r="I121" s="26">
        <f>'2023'!I123</f>
        <v>1260</v>
      </c>
      <c r="J121" s="26">
        <f>'2023'!J123</f>
        <v>1260</v>
      </c>
      <c r="K121" s="26">
        <f>'2023'!K123</f>
        <v>1260</v>
      </c>
      <c r="L121" s="26">
        <f t="shared" si="31"/>
        <v>5040</v>
      </c>
      <c r="M121" s="38">
        <f>'2023'!N123</f>
        <v>227.09</v>
      </c>
      <c r="N121" s="27">
        <v>227.09150000000008</v>
      </c>
      <c r="O121" s="38">
        <f>'2023'!P123</f>
        <v>100.88</v>
      </c>
      <c r="P121" s="27">
        <v>104.91520000000001</v>
      </c>
      <c r="Q121" s="27">
        <f t="shared" si="49"/>
        <v>159024.6</v>
      </c>
      <c r="R121" s="27">
        <f t="shared" si="50"/>
        <v>159024.6</v>
      </c>
      <c r="S121" s="27">
        <f t="shared" si="51"/>
        <v>153942.13800000009</v>
      </c>
      <c r="T121" s="27">
        <f t="shared" si="52"/>
        <v>153942.13800000009</v>
      </c>
      <c r="U121" s="27">
        <f t="shared" si="32"/>
        <v>625933.47600000026</v>
      </c>
      <c r="V121" s="119"/>
      <c r="W121" s="119"/>
      <c r="X121" s="119"/>
      <c r="Y121" s="29">
        <f t="shared" si="40"/>
        <v>100.00066053106703</v>
      </c>
      <c r="Z121" s="30">
        <f t="shared" si="41"/>
        <v>104.00000000000003</v>
      </c>
      <c r="AA121" s="2"/>
      <c r="AD121" s="32">
        <f t="shared" si="36"/>
        <v>0</v>
      </c>
      <c r="AE121" s="91"/>
      <c r="AF121" s="92"/>
    </row>
    <row r="122" spans="1:32" s="40" customFormat="1" ht="51.75" customHeight="1">
      <c r="A122" s="33">
        <v>2920015308</v>
      </c>
      <c r="B122" s="34" t="s">
        <v>163</v>
      </c>
      <c r="C122" s="35" t="s">
        <v>343</v>
      </c>
      <c r="D122" s="33" t="s">
        <v>346</v>
      </c>
      <c r="E122" s="33"/>
      <c r="F122" s="25" t="s">
        <v>428</v>
      </c>
      <c r="G122" s="36"/>
      <c r="H122" s="26">
        <f>'2023'!H124</f>
        <v>69503.254000000001</v>
      </c>
      <c r="I122" s="26">
        <f>'2023'!I124</f>
        <v>65422.506999999998</v>
      </c>
      <c r="J122" s="26">
        <f>'2023'!J124</f>
        <v>68792.967999999993</v>
      </c>
      <c r="K122" s="26">
        <f>'2023'!K124</f>
        <v>68808.898000000001</v>
      </c>
      <c r="L122" s="26">
        <f t="shared" si="31"/>
        <v>272527.62699999998</v>
      </c>
      <c r="M122" s="38">
        <f>'2023'!N124</f>
        <v>85.729181230000023</v>
      </c>
      <c r="N122" s="27">
        <v>85.729181230000023</v>
      </c>
      <c r="O122" s="38">
        <f>'2023'!P124</f>
        <v>51.73542504000001</v>
      </c>
      <c r="P122" s="27">
        <v>53.804842041600011</v>
      </c>
      <c r="Q122" s="27">
        <f t="shared" si="49"/>
        <v>2362676.670887643</v>
      </c>
      <c r="R122" s="27">
        <f t="shared" si="50"/>
        <v>2223956.7522965693</v>
      </c>
      <c r="S122" s="27">
        <f t="shared" si="51"/>
        <v>2196170.0442087478</v>
      </c>
      <c r="T122" s="27">
        <f t="shared" si="52"/>
        <v>2196678.5989320194</v>
      </c>
      <c r="U122" s="27">
        <f t="shared" si="32"/>
        <v>8979482.0663249791</v>
      </c>
      <c r="V122" s="119"/>
      <c r="W122" s="119"/>
      <c r="X122" s="119"/>
      <c r="Y122" s="29">
        <f t="shared" si="40"/>
        <v>100</v>
      </c>
      <c r="Z122" s="30">
        <f t="shared" si="41"/>
        <v>104</v>
      </c>
      <c r="AA122" s="2"/>
      <c r="AD122" s="32">
        <f t="shared" si="36"/>
        <v>0</v>
      </c>
      <c r="AE122" s="91"/>
      <c r="AF122" s="92"/>
    </row>
    <row r="123" spans="1:32" s="40" customFormat="1" ht="51.75" customHeight="1">
      <c r="A123" s="33">
        <v>2920016929</v>
      </c>
      <c r="B123" s="34" t="s">
        <v>158</v>
      </c>
      <c r="C123" s="35" t="s">
        <v>343</v>
      </c>
      <c r="D123" s="33" t="s">
        <v>347</v>
      </c>
      <c r="E123" s="33"/>
      <c r="F123" s="25" t="s">
        <v>428</v>
      </c>
      <c r="G123" s="36"/>
      <c r="H123" s="26">
        <f>'2023'!H125</f>
        <v>8290.14</v>
      </c>
      <c r="I123" s="26">
        <f>'2023'!I125</f>
        <v>7183.5830000000005</v>
      </c>
      <c r="J123" s="26">
        <f>'2023'!J125</f>
        <v>7926.9400000000005</v>
      </c>
      <c r="K123" s="26">
        <f>'2023'!K125</f>
        <v>7769.7430000000004</v>
      </c>
      <c r="L123" s="26">
        <f t="shared" si="31"/>
        <v>31170.406000000003</v>
      </c>
      <c r="M123" s="38">
        <v>115.33</v>
      </c>
      <c r="N123" s="27">
        <v>125.94</v>
      </c>
      <c r="O123" s="38">
        <v>35.36</v>
      </c>
      <c r="P123" s="27">
        <v>36.770000000000003</v>
      </c>
      <c r="Q123" s="27">
        <f t="shared" si="49"/>
        <v>662962.49579999992</v>
      </c>
      <c r="R123" s="27">
        <f t="shared" si="50"/>
        <v>574471.13251000002</v>
      </c>
      <c r="S123" s="27">
        <f t="shared" si="51"/>
        <v>706845.23979999998</v>
      </c>
      <c r="T123" s="27">
        <f t="shared" si="52"/>
        <v>692827.98330999992</v>
      </c>
      <c r="U123" s="27">
        <f t="shared" si="32"/>
        <v>2637106.8514200002</v>
      </c>
      <c r="V123" s="119"/>
      <c r="W123" s="119"/>
      <c r="X123" s="119"/>
      <c r="Y123" s="29">
        <f t="shared" si="40"/>
        <v>109.19968785225007</v>
      </c>
      <c r="Z123" s="30">
        <f t="shared" si="41"/>
        <v>103.98755656108598</v>
      </c>
      <c r="AA123" s="2"/>
      <c r="AD123" s="32">
        <f>104-Z123</f>
        <v>1.2443438914019112E-2</v>
      </c>
      <c r="AE123" s="91"/>
      <c r="AF123" s="92"/>
    </row>
    <row r="124" spans="1:32" s="40" customFormat="1" ht="51.75" customHeight="1">
      <c r="A124" s="33">
        <v>2920016929</v>
      </c>
      <c r="B124" s="34" t="s">
        <v>158</v>
      </c>
      <c r="C124" s="35" t="s">
        <v>343</v>
      </c>
      <c r="D124" s="33" t="s">
        <v>348</v>
      </c>
      <c r="E124" s="33"/>
      <c r="F124" s="25" t="s">
        <v>428</v>
      </c>
      <c r="G124" s="36"/>
      <c r="H124" s="26">
        <f>'2023'!H126</f>
        <v>16693.326000000001</v>
      </c>
      <c r="I124" s="26">
        <f>'2023'!I126</f>
        <v>22685.004000000001</v>
      </c>
      <c r="J124" s="26">
        <f>'2023'!J126</f>
        <v>18912.190999999999</v>
      </c>
      <c r="K124" s="26">
        <f>'2023'!K126</f>
        <v>17541.462</v>
      </c>
      <c r="L124" s="26">
        <f t="shared" si="31"/>
        <v>75831.983000000007</v>
      </c>
      <c r="M124" s="38">
        <v>116.49</v>
      </c>
      <c r="N124" s="27">
        <v>116.49</v>
      </c>
      <c r="O124" s="38">
        <v>39.56</v>
      </c>
      <c r="P124" s="27">
        <v>41.14</v>
      </c>
      <c r="Q124" s="27">
        <f t="shared" si="49"/>
        <v>1284217.5691799999</v>
      </c>
      <c r="R124" s="27">
        <f t="shared" si="50"/>
        <v>1745157.35772</v>
      </c>
      <c r="S124" s="27">
        <f t="shared" si="51"/>
        <v>1425033.5918499997</v>
      </c>
      <c r="T124" s="27">
        <f t="shared" si="52"/>
        <v>1321749.1616999998</v>
      </c>
      <c r="U124" s="27">
        <f t="shared" si="32"/>
        <v>5776157.6804499999</v>
      </c>
      <c r="V124" s="119"/>
      <c r="W124" s="119"/>
      <c r="X124" s="119"/>
      <c r="Y124" s="29">
        <f t="shared" si="40"/>
        <v>100</v>
      </c>
      <c r="Z124" s="30">
        <f t="shared" si="41"/>
        <v>103.99393326592516</v>
      </c>
      <c r="AA124" s="2"/>
      <c r="AD124" s="32">
        <f t="shared" si="36"/>
        <v>6.0667340748352672E-3</v>
      </c>
      <c r="AE124" s="91"/>
      <c r="AF124" s="92"/>
    </row>
    <row r="125" spans="1:32" s="40" customFormat="1" ht="51.75" customHeight="1">
      <c r="A125" s="33">
        <v>7708503727</v>
      </c>
      <c r="B125" s="34" t="s">
        <v>61</v>
      </c>
      <c r="C125" s="35" t="s">
        <v>343</v>
      </c>
      <c r="D125" s="33" t="s">
        <v>349</v>
      </c>
      <c r="E125" s="33"/>
      <c r="F125" s="25" t="s">
        <v>428</v>
      </c>
      <c r="G125" s="36"/>
      <c r="H125" s="26">
        <f>'2023'!H127</f>
        <v>2566.4410000000003</v>
      </c>
      <c r="I125" s="26">
        <f>'2023'!I127</f>
        <v>2520.5920000000001</v>
      </c>
      <c r="J125" s="26">
        <f>'2023'!J127</f>
        <v>2236.6819999999998</v>
      </c>
      <c r="K125" s="26">
        <f>'2023'!K127</f>
        <v>2924.0709999999999</v>
      </c>
      <c r="L125" s="26">
        <f t="shared" si="31"/>
        <v>10247.786</v>
      </c>
      <c r="M125" s="38">
        <f>'2023'!N127</f>
        <v>54.992384506</v>
      </c>
      <c r="N125" s="27">
        <v>54.992384506</v>
      </c>
      <c r="O125" s="38">
        <f>'2023'!P127</f>
        <v>32.968000000000004</v>
      </c>
      <c r="P125" s="27">
        <v>34.286720000000003</v>
      </c>
      <c r="Q125" s="27">
        <f t="shared" si="49"/>
        <v>56524.283395963146</v>
      </c>
      <c r="R125" s="27">
        <f t="shared" si="50"/>
        <v>55514.487390747548</v>
      </c>
      <c r="S125" s="27">
        <f t="shared" si="51"/>
        <v>46311.987098609083</v>
      </c>
      <c r="T125" s="27">
        <f t="shared" si="52"/>
        <v>60544.833117723916</v>
      </c>
      <c r="U125" s="27">
        <f t="shared" si="32"/>
        <v>218895.59100304369</v>
      </c>
      <c r="V125" s="119"/>
      <c r="W125" s="119"/>
      <c r="X125" s="119"/>
      <c r="Y125" s="29">
        <f t="shared" si="40"/>
        <v>100</v>
      </c>
      <c r="Z125" s="30">
        <f t="shared" si="41"/>
        <v>104</v>
      </c>
      <c r="AA125" s="2"/>
      <c r="AD125" s="32">
        <f t="shared" si="36"/>
        <v>0</v>
      </c>
      <c r="AE125" s="91"/>
      <c r="AF125" s="92"/>
    </row>
    <row r="126" spans="1:32" s="40" customFormat="1" ht="51" customHeight="1">
      <c r="A126" s="33">
        <v>2920011448</v>
      </c>
      <c r="B126" s="34" t="s">
        <v>164</v>
      </c>
      <c r="C126" s="35" t="s">
        <v>343</v>
      </c>
      <c r="D126" s="33" t="s">
        <v>350</v>
      </c>
      <c r="E126" s="33"/>
      <c r="F126" s="25" t="s">
        <v>428</v>
      </c>
      <c r="G126" s="36" t="s">
        <v>411</v>
      </c>
      <c r="H126" s="26">
        <f>'2023'!H128</f>
        <v>60</v>
      </c>
      <c r="I126" s="26">
        <f>'2023'!I128</f>
        <v>60</v>
      </c>
      <c r="J126" s="26">
        <f>'2023'!J128</f>
        <v>60</v>
      </c>
      <c r="K126" s="26">
        <f>'2023'!K128</f>
        <v>60</v>
      </c>
      <c r="L126" s="26">
        <f t="shared" si="31"/>
        <v>240</v>
      </c>
      <c r="M126" s="38">
        <f>'2023'!N128</f>
        <v>235.79</v>
      </c>
      <c r="N126" s="27">
        <v>235.79070000000004</v>
      </c>
      <c r="O126" s="38">
        <f>'2023'!P128</f>
        <v>81.64</v>
      </c>
      <c r="P126" s="27">
        <v>84.905600000000007</v>
      </c>
      <c r="Q126" s="27">
        <f t="shared" si="49"/>
        <v>9248.9999999999982</v>
      </c>
      <c r="R126" s="27">
        <f t="shared" si="50"/>
        <v>9248.9999999999982</v>
      </c>
      <c r="S126" s="27">
        <f t="shared" si="51"/>
        <v>9053.1060000000016</v>
      </c>
      <c r="T126" s="27">
        <f t="shared" si="52"/>
        <v>9053.1060000000016</v>
      </c>
      <c r="U126" s="27">
        <f t="shared" si="32"/>
        <v>36604.212</v>
      </c>
      <c r="V126" s="119"/>
      <c r="W126" s="119"/>
      <c r="X126" s="119"/>
      <c r="Y126" s="29">
        <f t="shared" si="40"/>
        <v>100.00029687433735</v>
      </c>
      <c r="Z126" s="30">
        <f t="shared" si="41"/>
        <v>104</v>
      </c>
      <c r="AA126" s="2"/>
      <c r="AD126" s="32">
        <f t="shared" si="36"/>
        <v>0</v>
      </c>
      <c r="AE126" s="91"/>
      <c r="AF126" s="92"/>
    </row>
    <row r="127" spans="1:32" s="96" customFormat="1" ht="51" customHeight="1">
      <c r="A127" s="33">
        <f>'2023'!A129</f>
        <v>2924005075</v>
      </c>
      <c r="B127" s="34" t="str">
        <f>'2023'!B129</f>
        <v>ООО "УК "Уютный город"</v>
      </c>
      <c r="C127" s="33" t="str">
        <f>'2023'!C129</f>
        <v>Плесецкий муниципальный округ</v>
      </c>
      <c r="D127" s="33" t="str">
        <f>'2023'!D129</f>
        <v>рп. Савинский</v>
      </c>
      <c r="E127" s="33"/>
      <c r="F127" s="33" t="str">
        <f>'2023'!F129</f>
        <v>ХОЛОДНАЯ ВОДА, м3</v>
      </c>
      <c r="G127" s="33">
        <f>'2023'!G129</f>
        <v>0</v>
      </c>
      <c r="H127" s="113">
        <f>'2023'!H129</f>
        <v>20.596307870370374</v>
      </c>
      <c r="I127" s="113">
        <f>'2023'!I129</f>
        <v>20.596307870370374</v>
      </c>
      <c r="J127" s="113">
        <f>'2023'!J129</f>
        <v>20.596307870370374</v>
      </c>
      <c r="K127" s="113">
        <f>'2023'!K129</f>
        <v>20.596307870370374</v>
      </c>
      <c r="L127" s="113">
        <f>'2023'!L129</f>
        <v>82.385231481481497</v>
      </c>
      <c r="M127" s="38">
        <f>'2023'!N129</f>
        <v>21.283447328600005</v>
      </c>
      <c r="N127" s="27">
        <v>21.283447328600005</v>
      </c>
      <c r="O127" s="38">
        <f>'2023'!P129</f>
        <v>18.758292560800001</v>
      </c>
      <c r="P127" s="27">
        <v>19.508624263232001</v>
      </c>
      <c r="Q127" s="27"/>
      <c r="R127" s="27"/>
      <c r="S127" s="27"/>
      <c r="T127" s="27"/>
      <c r="U127" s="27"/>
      <c r="V127" s="119"/>
      <c r="W127" s="119"/>
      <c r="X127" s="119"/>
      <c r="Y127" s="114"/>
      <c r="Z127" s="115"/>
      <c r="AA127" s="116"/>
      <c r="AD127" s="117"/>
      <c r="AE127" s="91"/>
      <c r="AF127" s="92"/>
    </row>
    <row r="128" spans="1:32" s="40" customFormat="1" ht="51" customHeight="1">
      <c r="A128" s="33">
        <v>2920017016</v>
      </c>
      <c r="B128" s="34" t="str">
        <f>'2023'!B130</f>
        <v>ООО "ПРУК АО"</v>
      </c>
      <c r="C128" s="35" t="s">
        <v>343</v>
      </c>
      <c r="D128" s="33" t="s">
        <v>165</v>
      </c>
      <c r="E128" s="33"/>
      <c r="F128" s="25" t="s">
        <v>428</v>
      </c>
      <c r="G128" s="36" t="s">
        <v>398</v>
      </c>
      <c r="H128" s="26">
        <f>'2023'!H130</f>
        <v>41552.25</v>
      </c>
      <c r="I128" s="26">
        <f>'2023'!I130</f>
        <v>41552.25</v>
      </c>
      <c r="J128" s="26">
        <f>'2023'!J130</f>
        <v>41552.25</v>
      </c>
      <c r="K128" s="26">
        <f>'2023'!K130</f>
        <v>41552.25</v>
      </c>
      <c r="L128" s="26">
        <f t="shared" si="31"/>
        <v>166209</v>
      </c>
      <c r="M128" s="38">
        <f>'2023'!N130</f>
        <v>38.468000000000011</v>
      </c>
      <c r="N128" s="27">
        <v>38.47</v>
      </c>
      <c r="O128" s="38">
        <f>'2023'!P130</f>
        <v>33.9</v>
      </c>
      <c r="P128" s="27">
        <v>35.26</v>
      </c>
      <c r="Q128" s="27">
        <f>(M128-O128)*H128</f>
        <v>189810.67800000051</v>
      </c>
      <c r="R128" s="27">
        <f>(M128-O128)*I128</f>
        <v>189810.67800000051</v>
      </c>
      <c r="S128" s="27">
        <f>(N128-P128)*J128</f>
        <v>133382.72250000003</v>
      </c>
      <c r="T128" s="27">
        <f>(N128-P128)*K128</f>
        <v>133382.72250000003</v>
      </c>
      <c r="U128" s="27">
        <f t="shared" si="32"/>
        <v>646386.80100000114</v>
      </c>
      <c r="V128" s="119"/>
      <c r="W128" s="119"/>
      <c r="X128" s="119"/>
      <c r="Y128" s="29">
        <f t="shared" ref="Y128:Y159" si="53">N128/M128*100</f>
        <v>100.0051991265467</v>
      </c>
      <c r="Z128" s="30">
        <f t="shared" ref="Z128:Z159" si="54">P128/O128*100</f>
        <v>104.0117994100295</v>
      </c>
      <c r="AA128" s="2"/>
      <c r="AD128" s="32">
        <f>104-Z128</f>
        <v>-1.1799410029496471E-2</v>
      </c>
      <c r="AE128" s="91"/>
      <c r="AF128" s="92"/>
    </row>
    <row r="129" spans="1:32" s="40" customFormat="1" ht="15" customHeight="1">
      <c r="A129" s="33"/>
      <c r="B129" s="34"/>
      <c r="C129" s="35"/>
      <c r="D129" s="33"/>
      <c r="E129" s="33"/>
      <c r="F129" s="36"/>
      <c r="G129" s="36"/>
      <c r="H129" s="26"/>
      <c r="I129" s="26"/>
      <c r="J129" s="26"/>
      <c r="K129" s="26"/>
      <c r="L129" s="37"/>
      <c r="M129" s="41"/>
      <c r="N129" s="41"/>
      <c r="O129" s="41"/>
      <c r="P129" s="41"/>
      <c r="Q129" s="27"/>
      <c r="R129" s="27"/>
      <c r="S129" s="27"/>
      <c r="T129" s="27"/>
      <c r="U129" s="27"/>
      <c r="V129" s="119"/>
      <c r="W129" s="119"/>
      <c r="X129" s="119"/>
      <c r="Y129" s="29" t="e">
        <f t="shared" si="53"/>
        <v>#DIV/0!</v>
      </c>
      <c r="Z129" s="30" t="e">
        <f t="shared" si="54"/>
        <v>#DIV/0!</v>
      </c>
      <c r="AA129" s="2"/>
      <c r="AD129" s="32" t="e">
        <f t="shared" si="36"/>
        <v>#DIV/0!</v>
      </c>
      <c r="AE129" s="91"/>
      <c r="AF129" s="92"/>
    </row>
    <row r="130" spans="1:32" s="40" customFormat="1" ht="75.75" customHeight="1">
      <c r="A130" s="33">
        <v>2921127389</v>
      </c>
      <c r="B130" s="34" t="s">
        <v>195</v>
      </c>
      <c r="C130" s="35" t="s">
        <v>170</v>
      </c>
      <c r="D130" s="33" t="s">
        <v>351</v>
      </c>
      <c r="E130" s="33" t="s">
        <v>352</v>
      </c>
      <c r="F130" s="25" t="s">
        <v>428</v>
      </c>
      <c r="G130" s="36"/>
      <c r="H130" s="26">
        <f>'2023'!H132</f>
        <v>13140.509999999998</v>
      </c>
      <c r="I130" s="26">
        <f>'2023'!I132</f>
        <v>12835.63</v>
      </c>
      <c r="J130" s="26">
        <f>'2023'!J132</f>
        <v>9723.84</v>
      </c>
      <c r="K130" s="26">
        <f>'2023'!K132</f>
        <v>9077.11</v>
      </c>
      <c r="L130" s="26">
        <f t="shared" si="31"/>
        <v>44777.09</v>
      </c>
      <c r="M130" s="38">
        <v>161.51</v>
      </c>
      <c r="N130" s="27">
        <v>161.51</v>
      </c>
      <c r="O130" s="38">
        <v>26.16</v>
      </c>
      <c r="P130" s="27">
        <v>27.2</v>
      </c>
      <c r="Q130" s="27">
        <f t="shared" ref="Q130:Q149" si="55">(M130-O130)*H130</f>
        <v>1778568.0284999998</v>
      </c>
      <c r="R130" s="27">
        <f t="shared" ref="R130:R149" si="56">(M130-O130)*I130</f>
        <v>1737302.5204999999</v>
      </c>
      <c r="S130" s="27">
        <f t="shared" ref="S130:S149" si="57">(N130-P130)*J130</f>
        <v>1306008.9504</v>
      </c>
      <c r="T130" s="27">
        <f t="shared" ref="T130:T149" si="58">(N130-P130)*K130</f>
        <v>1219146.6441000002</v>
      </c>
      <c r="U130" s="27">
        <f t="shared" si="32"/>
        <v>6041026.1434999993</v>
      </c>
      <c r="V130" s="119"/>
      <c r="W130" s="119"/>
      <c r="X130" s="119"/>
      <c r="Y130" s="29">
        <f t="shared" si="53"/>
        <v>100</v>
      </c>
      <c r="Z130" s="30">
        <f t="shared" si="54"/>
        <v>103.97553516819571</v>
      </c>
      <c r="AA130" s="2"/>
      <c r="AD130" s="32">
        <f t="shared" si="36"/>
        <v>2.4464831804294818E-2</v>
      </c>
      <c r="AE130" s="91"/>
      <c r="AF130" s="92"/>
    </row>
    <row r="131" spans="1:32" s="40" customFormat="1" ht="51" customHeight="1">
      <c r="A131" s="33">
        <v>2901165080</v>
      </c>
      <c r="B131" s="34" t="s">
        <v>433</v>
      </c>
      <c r="C131" s="35" t="s">
        <v>170</v>
      </c>
      <c r="D131" s="33" t="s">
        <v>353</v>
      </c>
      <c r="E131" s="33" t="s">
        <v>354</v>
      </c>
      <c r="F131" s="25" t="s">
        <v>428</v>
      </c>
      <c r="G131" s="36"/>
      <c r="H131" s="26">
        <f>'2023'!H133</f>
        <v>3769.56</v>
      </c>
      <c r="I131" s="26">
        <f>'2023'!I133</f>
        <v>3843.34</v>
      </c>
      <c r="J131" s="26">
        <f>'2023'!J133</f>
        <v>3640.47</v>
      </c>
      <c r="K131" s="26">
        <f>'2023'!K133</f>
        <v>3789.71</v>
      </c>
      <c r="L131" s="26">
        <f t="shared" si="31"/>
        <v>15043.079999999998</v>
      </c>
      <c r="M131" s="38">
        <f>'2023'!N133</f>
        <v>189.91</v>
      </c>
      <c r="N131" s="27">
        <v>189.91030000000003</v>
      </c>
      <c r="O131" s="38">
        <v>35.536799999999999</v>
      </c>
      <c r="P131" s="27">
        <f>O131*1.04</f>
        <v>36.958272000000001</v>
      </c>
      <c r="Q131" s="27">
        <f t="shared" si="55"/>
        <v>581919.03979199997</v>
      </c>
      <c r="R131" s="27">
        <f t="shared" si="56"/>
        <v>593308.69448800001</v>
      </c>
      <c r="S131" s="27">
        <f t="shared" si="57"/>
        <v>556817.26937316009</v>
      </c>
      <c r="T131" s="27">
        <f t="shared" si="58"/>
        <v>579643.83003188018</v>
      </c>
      <c r="U131" s="27">
        <f t="shared" si="32"/>
        <v>2311688.8336850405</v>
      </c>
      <c r="V131" s="119"/>
      <c r="W131" s="119"/>
      <c r="X131" s="119"/>
      <c r="Y131" s="29">
        <f t="shared" si="53"/>
        <v>100.00015796956454</v>
      </c>
      <c r="Z131" s="30">
        <f t="shared" si="54"/>
        <v>104</v>
      </c>
      <c r="AA131" s="2"/>
      <c r="AD131" s="32">
        <f t="shared" si="36"/>
        <v>0</v>
      </c>
      <c r="AE131" s="91"/>
      <c r="AF131" s="92"/>
    </row>
    <row r="132" spans="1:32" s="40" customFormat="1" ht="51" customHeight="1">
      <c r="A132" s="33">
        <v>2921128103</v>
      </c>
      <c r="B132" s="34" t="s">
        <v>183</v>
      </c>
      <c r="C132" s="35" t="s">
        <v>170</v>
      </c>
      <c r="D132" s="33" t="s">
        <v>285</v>
      </c>
      <c r="E132" s="33" t="s">
        <v>355</v>
      </c>
      <c r="F132" s="25" t="s">
        <v>428</v>
      </c>
      <c r="G132" s="36"/>
      <c r="H132" s="26">
        <f>'2023'!H134</f>
        <v>7583.8</v>
      </c>
      <c r="I132" s="26">
        <f>'2023'!I134</f>
        <v>7604.8670000000002</v>
      </c>
      <c r="J132" s="26">
        <f>'2023'!J134</f>
        <v>6918.6569999999992</v>
      </c>
      <c r="K132" s="26">
        <f>'2023'!K134</f>
        <v>7862.9030000000002</v>
      </c>
      <c r="L132" s="26">
        <f t="shared" si="31"/>
        <v>29970.226999999999</v>
      </c>
      <c r="M132" s="38">
        <v>139.01</v>
      </c>
      <c r="N132" s="27">
        <v>139.01</v>
      </c>
      <c r="O132" s="38">
        <v>42.93</v>
      </c>
      <c r="P132" s="27">
        <v>44.65</v>
      </c>
      <c r="Q132" s="27">
        <f t="shared" si="55"/>
        <v>728651.50399999984</v>
      </c>
      <c r="R132" s="27">
        <f t="shared" si="56"/>
        <v>730675.62135999987</v>
      </c>
      <c r="S132" s="27">
        <f t="shared" si="57"/>
        <v>652844.47451999981</v>
      </c>
      <c r="T132" s="27">
        <f t="shared" si="58"/>
        <v>741943.52707999991</v>
      </c>
      <c r="U132" s="27">
        <f t="shared" si="32"/>
        <v>2854115.1269599996</v>
      </c>
      <c r="V132" s="119"/>
      <c r="W132" s="119"/>
      <c r="X132" s="119"/>
      <c r="Y132" s="29">
        <f t="shared" si="53"/>
        <v>100</v>
      </c>
      <c r="Z132" s="30">
        <f t="shared" si="54"/>
        <v>104.00652224551597</v>
      </c>
      <c r="AA132" s="2"/>
      <c r="AD132" s="32">
        <f t="shared" si="36"/>
        <v>-6.522245515967029E-3</v>
      </c>
      <c r="AE132" s="91"/>
      <c r="AF132" s="92"/>
    </row>
    <row r="133" spans="1:32" s="40" customFormat="1" ht="51" customHeight="1">
      <c r="A133" s="33">
        <v>2921128103</v>
      </c>
      <c r="B133" s="34" t="s">
        <v>183</v>
      </c>
      <c r="C133" s="35" t="s">
        <v>170</v>
      </c>
      <c r="D133" s="33" t="s">
        <v>285</v>
      </c>
      <c r="E133" s="33" t="s">
        <v>356</v>
      </c>
      <c r="F133" s="25" t="s">
        <v>428</v>
      </c>
      <c r="G133" s="36"/>
      <c r="H133" s="26">
        <f>'2023'!H135</f>
        <v>565.79999999999995</v>
      </c>
      <c r="I133" s="26">
        <f>'2023'!I135</f>
        <v>666.4</v>
      </c>
      <c r="J133" s="26">
        <f>'2023'!J135</f>
        <v>687</v>
      </c>
      <c r="K133" s="26">
        <f>'2023'!K135</f>
        <v>566</v>
      </c>
      <c r="L133" s="26">
        <f t="shared" si="31"/>
        <v>2485.1999999999998</v>
      </c>
      <c r="M133" s="38">
        <v>612.23</v>
      </c>
      <c r="N133" s="27">
        <v>612.23</v>
      </c>
      <c r="O133" s="38">
        <v>42.93</v>
      </c>
      <c r="P133" s="27">
        <v>44.65</v>
      </c>
      <c r="Q133" s="27">
        <f t="shared" si="55"/>
        <v>322109.94</v>
      </c>
      <c r="R133" s="27">
        <f t="shared" si="56"/>
        <v>379381.52</v>
      </c>
      <c r="S133" s="27">
        <f t="shared" si="57"/>
        <v>389927.46</v>
      </c>
      <c r="T133" s="27">
        <f t="shared" si="58"/>
        <v>321250.28000000003</v>
      </c>
      <c r="U133" s="27">
        <f t="shared" si="32"/>
        <v>1412669.2</v>
      </c>
      <c r="V133" s="119"/>
      <c r="W133" s="119"/>
      <c r="X133" s="119"/>
      <c r="Y133" s="29">
        <f t="shared" si="53"/>
        <v>100</v>
      </c>
      <c r="Z133" s="30">
        <f t="shared" si="54"/>
        <v>104.00652224551597</v>
      </c>
      <c r="AA133" s="2"/>
      <c r="AD133" s="32">
        <f t="shared" si="36"/>
        <v>-6.522245515967029E-3</v>
      </c>
      <c r="AE133" s="91"/>
      <c r="AF133" s="92"/>
    </row>
    <row r="134" spans="1:32" s="40" customFormat="1" ht="51" customHeight="1">
      <c r="A134" s="33">
        <v>2921128103</v>
      </c>
      <c r="B134" s="34" t="s">
        <v>183</v>
      </c>
      <c r="C134" s="35" t="s">
        <v>170</v>
      </c>
      <c r="D134" s="33" t="s">
        <v>285</v>
      </c>
      <c r="E134" s="33" t="s">
        <v>357</v>
      </c>
      <c r="F134" s="25" t="s">
        <v>428</v>
      </c>
      <c r="G134" s="36"/>
      <c r="H134" s="26">
        <f>'2023'!H136</f>
        <v>4891.8980000000001</v>
      </c>
      <c r="I134" s="26">
        <f>'2023'!I136</f>
        <v>5373.3389999999999</v>
      </c>
      <c r="J134" s="26">
        <f>'2023'!J136</f>
        <v>5595.277</v>
      </c>
      <c r="K134" s="26">
        <f>'2023'!K136</f>
        <v>4572.5379999999996</v>
      </c>
      <c r="L134" s="26">
        <f t="shared" si="31"/>
        <v>20433.052</v>
      </c>
      <c r="M134" s="38">
        <v>163.13999999999999</v>
      </c>
      <c r="N134" s="27">
        <v>163.13999999999999</v>
      </c>
      <c r="O134" s="38">
        <v>37.44</v>
      </c>
      <c r="P134" s="27">
        <v>38.94</v>
      </c>
      <c r="Q134" s="27">
        <f t="shared" si="55"/>
        <v>614911.57860000001</v>
      </c>
      <c r="R134" s="27">
        <f t="shared" si="56"/>
        <v>675428.7122999999</v>
      </c>
      <c r="S134" s="27">
        <f t="shared" si="57"/>
        <v>694933.40339999995</v>
      </c>
      <c r="T134" s="27">
        <f t="shared" si="58"/>
        <v>567909.21959999984</v>
      </c>
      <c r="U134" s="27">
        <f t="shared" si="32"/>
        <v>2553182.9138999996</v>
      </c>
      <c r="V134" s="119"/>
      <c r="W134" s="119"/>
      <c r="X134" s="119"/>
      <c r="Y134" s="29">
        <f t="shared" si="53"/>
        <v>100</v>
      </c>
      <c r="Z134" s="30">
        <f t="shared" si="54"/>
        <v>104.00641025641026</v>
      </c>
      <c r="AA134" s="2"/>
      <c r="AD134" s="32">
        <f t="shared" si="36"/>
        <v>-6.4102564102626047E-3</v>
      </c>
      <c r="AE134" s="91"/>
      <c r="AF134" s="92"/>
    </row>
    <row r="135" spans="1:32" s="40" customFormat="1" ht="51" customHeight="1">
      <c r="A135" s="33">
        <v>2921128103</v>
      </c>
      <c r="B135" s="34" t="s">
        <v>183</v>
      </c>
      <c r="C135" s="35" t="s">
        <v>170</v>
      </c>
      <c r="D135" s="33" t="s">
        <v>187</v>
      </c>
      <c r="E135" s="33"/>
      <c r="F135" s="25" t="s">
        <v>428</v>
      </c>
      <c r="G135" s="36"/>
      <c r="H135" s="26">
        <f>'2023'!H137</f>
        <v>9995.17</v>
      </c>
      <c r="I135" s="26">
        <f>'2023'!I137</f>
        <v>10826.48</v>
      </c>
      <c r="J135" s="26">
        <f>'2023'!J137</f>
        <v>10965.89</v>
      </c>
      <c r="K135" s="26">
        <f>'2023'!K137</f>
        <v>10476</v>
      </c>
      <c r="L135" s="26">
        <f t="shared" si="31"/>
        <v>42263.54</v>
      </c>
      <c r="M135" s="38">
        <v>89.63</v>
      </c>
      <c r="N135" s="27">
        <v>89.63</v>
      </c>
      <c r="O135" s="38">
        <v>23.92</v>
      </c>
      <c r="P135" s="27">
        <v>24.88</v>
      </c>
      <c r="Q135" s="27">
        <f t="shared" si="55"/>
        <v>656782.62069999997</v>
      </c>
      <c r="R135" s="27">
        <f t="shared" si="56"/>
        <v>711408.00079999992</v>
      </c>
      <c r="S135" s="27">
        <f t="shared" si="57"/>
        <v>710041.37749999994</v>
      </c>
      <c r="T135" s="27">
        <f t="shared" si="58"/>
        <v>678321</v>
      </c>
      <c r="U135" s="27">
        <f t="shared" si="32"/>
        <v>2756552.9989999998</v>
      </c>
      <c r="V135" s="119"/>
      <c r="W135" s="119"/>
      <c r="X135" s="119"/>
      <c r="Y135" s="29">
        <f t="shared" si="53"/>
        <v>100</v>
      </c>
      <c r="Z135" s="30">
        <f t="shared" si="54"/>
        <v>104.0133779264214</v>
      </c>
      <c r="AA135" s="2"/>
      <c r="AD135" s="32">
        <f t="shared" si="36"/>
        <v>-1.3377926421398456E-2</v>
      </c>
      <c r="AE135" s="91"/>
      <c r="AF135" s="92"/>
    </row>
    <row r="136" spans="1:32" s="40" customFormat="1" ht="51" customHeight="1">
      <c r="A136" s="33">
        <v>2921127533</v>
      </c>
      <c r="B136" s="34" t="s">
        <v>186</v>
      </c>
      <c r="C136" s="35" t="s">
        <v>170</v>
      </c>
      <c r="D136" s="33" t="s">
        <v>187</v>
      </c>
      <c r="E136" s="33"/>
      <c r="F136" s="25" t="s">
        <v>428</v>
      </c>
      <c r="G136" s="36"/>
      <c r="H136" s="26">
        <f>'2023'!H138</f>
        <v>3859.3220000000001</v>
      </c>
      <c r="I136" s="26">
        <f>'2023'!I138</f>
        <v>3910.192</v>
      </c>
      <c r="J136" s="26">
        <f>'2023'!J138</f>
        <v>3271.0010000000002</v>
      </c>
      <c r="K136" s="26">
        <f>'2023'!K138</f>
        <v>3793.761</v>
      </c>
      <c r="L136" s="26">
        <f t="shared" si="31"/>
        <v>14834.276</v>
      </c>
      <c r="M136" s="38">
        <v>439.48</v>
      </c>
      <c r="N136" s="27">
        <v>439.48</v>
      </c>
      <c r="O136" s="38">
        <v>31.62</v>
      </c>
      <c r="P136" s="27">
        <v>32.880000000000003</v>
      </c>
      <c r="Q136" s="27">
        <f t="shared" si="55"/>
        <v>1574063.0709200001</v>
      </c>
      <c r="R136" s="27">
        <f t="shared" si="56"/>
        <v>1594810.90912</v>
      </c>
      <c r="S136" s="27">
        <f t="shared" si="57"/>
        <v>1329989.0066000002</v>
      </c>
      <c r="T136" s="27">
        <f t="shared" si="58"/>
        <v>1542543.2226</v>
      </c>
      <c r="U136" s="27">
        <f t="shared" si="32"/>
        <v>6041406.2092399998</v>
      </c>
      <c r="V136" s="119"/>
      <c r="W136" s="119"/>
      <c r="X136" s="119"/>
      <c r="Y136" s="29">
        <f t="shared" si="53"/>
        <v>100</v>
      </c>
      <c r="Z136" s="30">
        <f t="shared" si="54"/>
        <v>103.98481973434535</v>
      </c>
      <c r="AA136" s="2"/>
      <c r="AD136" s="32">
        <f t="shared" si="36"/>
        <v>1.5180265654649361E-2</v>
      </c>
      <c r="AE136" s="91"/>
      <c r="AF136" s="92"/>
    </row>
    <row r="137" spans="1:32" s="40" customFormat="1" ht="51" customHeight="1">
      <c r="A137" s="33">
        <v>2921127290</v>
      </c>
      <c r="B137" s="34" t="s">
        <v>169</v>
      </c>
      <c r="C137" s="35" t="s">
        <v>170</v>
      </c>
      <c r="D137" s="33" t="s">
        <v>358</v>
      </c>
      <c r="E137" s="33" t="s">
        <v>359</v>
      </c>
      <c r="F137" s="25" t="s">
        <v>428</v>
      </c>
      <c r="G137" s="36"/>
      <c r="H137" s="26">
        <f>'2023'!H139</f>
        <v>873</v>
      </c>
      <c r="I137" s="26">
        <f>'2023'!I139</f>
        <v>842</v>
      </c>
      <c r="J137" s="26">
        <f>'2023'!J139</f>
        <v>842</v>
      </c>
      <c r="K137" s="26">
        <f>'2023'!K139</f>
        <v>869</v>
      </c>
      <c r="L137" s="26">
        <f t="shared" si="31"/>
        <v>3426</v>
      </c>
      <c r="M137" s="38">
        <f>'2023'!N139</f>
        <v>440.06525870321082</v>
      </c>
      <c r="N137" s="27">
        <v>440.06525870321082</v>
      </c>
      <c r="O137" s="38">
        <f>'2023'!P139</f>
        <v>28.392000000000003</v>
      </c>
      <c r="P137" s="27">
        <v>29.527680000000004</v>
      </c>
      <c r="Q137" s="27">
        <f t="shared" si="55"/>
        <v>359390.75484790304</v>
      </c>
      <c r="R137" s="27">
        <f t="shared" si="56"/>
        <v>346628.88382810348</v>
      </c>
      <c r="S137" s="27">
        <f t="shared" si="57"/>
        <v>345672.6412681035</v>
      </c>
      <c r="T137" s="27">
        <f t="shared" si="58"/>
        <v>356757.15589309018</v>
      </c>
      <c r="U137" s="27">
        <f t="shared" si="32"/>
        <v>1408449.4358372004</v>
      </c>
      <c r="V137" s="119"/>
      <c r="W137" s="119"/>
      <c r="X137" s="119"/>
      <c r="Y137" s="29">
        <f t="shared" si="53"/>
        <v>100</v>
      </c>
      <c r="Z137" s="30">
        <f t="shared" si="54"/>
        <v>104</v>
      </c>
      <c r="AA137" s="2"/>
      <c r="AD137" s="32">
        <f t="shared" si="36"/>
        <v>0</v>
      </c>
      <c r="AE137" s="91"/>
      <c r="AF137" s="92"/>
    </row>
    <row r="138" spans="1:32" s="49" customFormat="1" ht="51" customHeight="1">
      <c r="A138" s="50">
        <v>2921127290</v>
      </c>
      <c r="B138" s="51" t="s">
        <v>169</v>
      </c>
      <c r="C138" s="52" t="s">
        <v>170</v>
      </c>
      <c r="D138" s="50" t="s">
        <v>358</v>
      </c>
      <c r="E138" s="50" t="s">
        <v>360</v>
      </c>
      <c r="F138" s="25" t="s">
        <v>428</v>
      </c>
      <c r="G138" s="46"/>
      <c r="H138" s="26">
        <f>'2023'!H140</f>
        <v>4661</v>
      </c>
      <c r="I138" s="26">
        <f>'2023'!I140</f>
        <v>4585</v>
      </c>
      <c r="J138" s="26">
        <f>'2023'!J140</f>
        <v>4688</v>
      </c>
      <c r="K138" s="26">
        <f>'2023'!K140</f>
        <v>4670</v>
      </c>
      <c r="L138" s="26">
        <f t="shared" si="31"/>
        <v>18604</v>
      </c>
      <c r="M138" s="38">
        <f>'2023'!N140</f>
        <v>216.46116061351103</v>
      </c>
      <c r="N138" s="27">
        <v>216.46116061351103</v>
      </c>
      <c r="O138" s="38">
        <f>'2023'!P140</f>
        <v>37.863779200000003</v>
      </c>
      <c r="P138" s="27">
        <v>39.378330368000007</v>
      </c>
      <c r="Q138" s="27">
        <f t="shared" si="55"/>
        <v>832442.39476837486</v>
      </c>
      <c r="R138" s="27">
        <f t="shared" si="56"/>
        <v>818868.99378094799</v>
      </c>
      <c r="S138" s="27">
        <f t="shared" si="57"/>
        <v>830164.30819095566</v>
      </c>
      <c r="T138" s="27">
        <f t="shared" si="58"/>
        <v>826976.81724653649</v>
      </c>
      <c r="U138" s="27">
        <f t="shared" si="32"/>
        <v>3308452.5139868148</v>
      </c>
      <c r="V138" s="123"/>
      <c r="W138" s="123"/>
      <c r="X138" s="123"/>
      <c r="Y138" s="43">
        <f t="shared" si="53"/>
        <v>100</v>
      </c>
      <c r="Z138" s="44">
        <f t="shared" si="54"/>
        <v>104</v>
      </c>
      <c r="AA138" s="48"/>
      <c r="AD138" s="32">
        <f t="shared" si="36"/>
        <v>0</v>
      </c>
      <c r="AE138" s="91"/>
      <c r="AF138" s="92"/>
    </row>
    <row r="139" spans="1:32" s="40" customFormat="1" ht="51" customHeight="1">
      <c r="A139" s="33">
        <v>2921127290</v>
      </c>
      <c r="B139" s="34" t="s">
        <v>169</v>
      </c>
      <c r="C139" s="35" t="s">
        <v>170</v>
      </c>
      <c r="D139" s="33" t="s">
        <v>358</v>
      </c>
      <c r="E139" s="33" t="s">
        <v>361</v>
      </c>
      <c r="F139" s="25" t="s">
        <v>428</v>
      </c>
      <c r="G139" s="36"/>
      <c r="H139" s="26">
        <f>'2023'!H141</f>
        <v>3375</v>
      </c>
      <c r="I139" s="26">
        <f>'2023'!I141</f>
        <v>3280</v>
      </c>
      <c r="J139" s="26">
        <f>'2023'!J141</f>
        <v>3390</v>
      </c>
      <c r="K139" s="26">
        <f>'2023'!K141</f>
        <v>3320</v>
      </c>
      <c r="L139" s="26">
        <f t="shared" ref="L139:L201" si="59">H139+I139+J139+K139</f>
        <v>13365</v>
      </c>
      <c r="M139" s="38">
        <f>'2023'!N141</f>
        <v>98.6</v>
      </c>
      <c r="N139" s="27">
        <v>107.6712</v>
      </c>
      <c r="O139" s="38">
        <f>'2023'!P141</f>
        <v>28.392000000000003</v>
      </c>
      <c r="P139" s="27">
        <v>29.527680000000004</v>
      </c>
      <c r="Q139" s="27">
        <f t="shared" si="55"/>
        <v>236952</v>
      </c>
      <c r="R139" s="27">
        <f t="shared" si="56"/>
        <v>230282.23999999999</v>
      </c>
      <c r="S139" s="27">
        <f t="shared" si="57"/>
        <v>264906.53279999999</v>
      </c>
      <c r="T139" s="27">
        <f t="shared" si="58"/>
        <v>259436.48639999999</v>
      </c>
      <c r="U139" s="27">
        <f t="shared" ref="U139:U201" si="60">Q139+R139+S139+T139</f>
        <v>991577.25919999997</v>
      </c>
      <c r="V139" s="119"/>
      <c r="W139" s="119"/>
      <c r="X139" s="119"/>
      <c r="Y139" s="29">
        <f t="shared" si="53"/>
        <v>109.2</v>
      </c>
      <c r="Z139" s="30">
        <f t="shared" si="54"/>
        <v>104</v>
      </c>
      <c r="AA139" s="2"/>
      <c r="AD139" s="32">
        <f t="shared" si="36"/>
        <v>0</v>
      </c>
      <c r="AE139" s="91"/>
      <c r="AF139" s="92"/>
    </row>
    <row r="140" spans="1:32" s="40" customFormat="1" ht="66" customHeight="1">
      <c r="A140" s="33">
        <v>2901291983</v>
      </c>
      <c r="B140" s="34" t="s">
        <v>177</v>
      </c>
      <c r="C140" s="35" t="s">
        <v>170</v>
      </c>
      <c r="D140" s="33" t="s">
        <v>362</v>
      </c>
      <c r="E140" s="33" t="s">
        <v>363</v>
      </c>
      <c r="F140" s="25" t="s">
        <v>428</v>
      </c>
      <c r="G140" s="36"/>
      <c r="H140" s="26">
        <f>'2023'!H142</f>
        <v>52382.455000000002</v>
      </c>
      <c r="I140" s="26">
        <f>'2023'!I142</f>
        <v>52182.01</v>
      </c>
      <c r="J140" s="26">
        <f>'2023'!J142</f>
        <v>49284.84</v>
      </c>
      <c r="K140" s="26">
        <f>'2023'!K142</f>
        <v>50483.11</v>
      </c>
      <c r="L140" s="26">
        <f t="shared" si="59"/>
        <v>204332.41499999998</v>
      </c>
      <c r="M140" s="38">
        <f>'2023'!N142</f>
        <v>59.34</v>
      </c>
      <c r="N140" s="27">
        <v>59.340065922800015</v>
      </c>
      <c r="O140" s="38">
        <v>32.697600000000001</v>
      </c>
      <c r="P140" s="27">
        <f>O140*1.04</f>
        <v>34.005504000000002</v>
      </c>
      <c r="Q140" s="27">
        <f t="shared" si="55"/>
        <v>1395594.3190920001</v>
      </c>
      <c r="R140" s="27">
        <f t="shared" si="56"/>
        <v>1390253.9832240001</v>
      </c>
      <c r="S140" s="27">
        <f t="shared" si="57"/>
        <v>1248609.830835291</v>
      </c>
      <c r="T140" s="27">
        <f t="shared" si="58"/>
        <v>1278967.4763505247</v>
      </c>
      <c r="U140" s="27">
        <f t="shared" si="60"/>
        <v>5313425.6095018154</v>
      </c>
      <c r="V140" s="119"/>
      <c r="W140" s="119"/>
      <c r="X140" s="119"/>
      <c r="Y140" s="29">
        <f t="shared" si="53"/>
        <v>100.00011109336032</v>
      </c>
      <c r="Z140" s="30">
        <f t="shared" si="54"/>
        <v>104</v>
      </c>
      <c r="AA140" s="2"/>
      <c r="AD140" s="32">
        <f t="shared" si="36"/>
        <v>0</v>
      </c>
      <c r="AE140" s="91"/>
      <c r="AF140" s="92"/>
    </row>
    <row r="141" spans="1:32" s="40" customFormat="1" ht="224.25" customHeight="1">
      <c r="A141" s="33">
        <v>2901294173</v>
      </c>
      <c r="B141" s="34" t="s">
        <v>179</v>
      </c>
      <c r="C141" s="35" t="s">
        <v>170</v>
      </c>
      <c r="D141" s="33" t="s">
        <v>180</v>
      </c>
      <c r="E141" s="33" t="s">
        <v>364</v>
      </c>
      <c r="F141" s="25" t="s">
        <v>428</v>
      </c>
      <c r="G141" s="36"/>
      <c r="H141" s="26">
        <f>'2023'!H143</f>
        <v>36407.534</v>
      </c>
      <c r="I141" s="26">
        <f>'2023'!I143</f>
        <v>37106.838000000003</v>
      </c>
      <c r="J141" s="26">
        <f>'2023'!J143</f>
        <v>35130.641000000003</v>
      </c>
      <c r="K141" s="26">
        <f>'2023'!K143</f>
        <v>35574.851000000002</v>
      </c>
      <c r="L141" s="26">
        <f t="shared" si="59"/>
        <v>144219.864</v>
      </c>
      <c r="M141" s="38">
        <v>168</v>
      </c>
      <c r="N141" s="27">
        <v>168</v>
      </c>
      <c r="O141" s="38">
        <v>39.880000000000003</v>
      </c>
      <c r="P141" s="27">
        <v>41.47</v>
      </c>
      <c r="Q141" s="27">
        <f t="shared" si="55"/>
        <v>4664533.2560799997</v>
      </c>
      <c r="R141" s="27">
        <f t="shared" si="56"/>
        <v>4754128.0845600003</v>
      </c>
      <c r="S141" s="27">
        <f t="shared" si="57"/>
        <v>4445080.0057300003</v>
      </c>
      <c r="T141" s="27">
        <f t="shared" si="58"/>
        <v>4501285.8970300006</v>
      </c>
      <c r="U141" s="27">
        <f t="shared" si="60"/>
        <v>18365027.2434</v>
      </c>
      <c r="V141" s="119"/>
      <c r="W141" s="119"/>
      <c r="X141" s="119"/>
      <c r="Y141" s="29">
        <f t="shared" si="53"/>
        <v>100</v>
      </c>
      <c r="Z141" s="30">
        <f t="shared" si="54"/>
        <v>103.98696088264794</v>
      </c>
      <c r="AA141" s="2"/>
      <c r="AD141" s="32">
        <f t="shared" si="36"/>
        <v>1.3039117352064977E-2</v>
      </c>
      <c r="AE141" s="91"/>
      <c r="AF141" s="92"/>
    </row>
    <row r="142" spans="1:32" s="40" customFormat="1" ht="51" customHeight="1">
      <c r="A142" s="33">
        <v>2901294173</v>
      </c>
      <c r="B142" s="34" t="s">
        <v>179</v>
      </c>
      <c r="C142" s="35" t="s">
        <v>170</v>
      </c>
      <c r="D142" s="33" t="s">
        <v>362</v>
      </c>
      <c r="E142" s="33" t="s">
        <v>365</v>
      </c>
      <c r="F142" s="25" t="s">
        <v>428</v>
      </c>
      <c r="G142" s="36" t="s">
        <v>397</v>
      </c>
      <c r="H142" s="26">
        <f>'2023'!H144</f>
        <v>3516.5899999999997</v>
      </c>
      <c r="I142" s="26">
        <f>'2023'!I144</f>
        <v>3068.74</v>
      </c>
      <c r="J142" s="26">
        <f>'2023'!J144</f>
        <v>3090.5</v>
      </c>
      <c r="K142" s="26">
        <f>'2023'!K144</f>
        <v>3044.52</v>
      </c>
      <c r="L142" s="26">
        <f t="shared" si="59"/>
        <v>12720.35</v>
      </c>
      <c r="M142" s="38">
        <f>'2023'!N144</f>
        <v>255.5397000000001</v>
      </c>
      <c r="N142" s="27">
        <v>255.5397000000001</v>
      </c>
      <c r="O142" s="38">
        <v>34.070399999999999</v>
      </c>
      <c r="P142" s="27">
        <f>O142*1.04</f>
        <v>35.433216000000002</v>
      </c>
      <c r="Q142" s="27">
        <f t="shared" si="55"/>
        <v>778816.7256870002</v>
      </c>
      <c r="R142" s="27">
        <f t="shared" si="56"/>
        <v>679631.69968200021</v>
      </c>
      <c r="S142" s="27">
        <f t="shared" si="57"/>
        <v>680239.08880200027</v>
      </c>
      <c r="T142" s="27">
        <f t="shared" si="58"/>
        <v>670118.59266768023</v>
      </c>
      <c r="U142" s="27">
        <f t="shared" si="60"/>
        <v>2808806.1068386808</v>
      </c>
      <c r="V142" s="119"/>
      <c r="W142" s="119"/>
      <c r="X142" s="119"/>
      <c r="Y142" s="29">
        <f t="shared" si="53"/>
        <v>100</v>
      </c>
      <c r="Z142" s="30">
        <f t="shared" si="54"/>
        <v>104</v>
      </c>
      <c r="AA142" s="2"/>
      <c r="AD142" s="32">
        <f t="shared" si="36"/>
        <v>0</v>
      </c>
      <c r="AE142" s="91"/>
      <c r="AF142" s="92"/>
    </row>
    <row r="143" spans="1:32" s="40" customFormat="1" ht="51" customHeight="1">
      <c r="A143" s="33">
        <v>2901243725</v>
      </c>
      <c r="B143" s="34" t="s">
        <v>65</v>
      </c>
      <c r="C143" s="35" t="s">
        <v>170</v>
      </c>
      <c r="D143" s="33" t="s">
        <v>358</v>
      </c>
      <c r="E143" s="33" t="s">
        <v>366</v>
      </c>
      <c r="F143" s="25" t="s">
        <v>428</v>
      </c>
      <c r="G143" s="36" t="s">
        <v>403</v>
      </c>
      <c r="H143" s="26">
        <f>'2023'!H145</f>
        <v>3996</v>
      </c>
      <c r="I143" s="26">
        <f>'2023'!I145</f>
        <v>3897</v>
      </c>
      <c r="J143" s="26">
        <f>'2023'!J145</f>
        <v>3659.8490000000002</v>
      </c>
      <c r="K143" s="26">
        <f>'2023'!K145</f>
        <v>2193.3049999999998</v>
      </c>
      <c r="L143" s="26">
        <f t="shared" si="59"/>
        <v>13746.154</v>
      </c>
      <c r="M143" s="38">
        <v>361.20540966334801</v>
      </c>
      <c r="N143" s="27">
        <v>361.20540966334778</v>
      </c>
      <c r="O143" s="38">
        <f>'2023'!P145</f>
        <v>30.16</v>
      </c>
      <c r="P143" s="27">
        <f>O143*1.04</f>
        <v>31.366400000000002</v>
      </c>
      <c r="Q143" s="27">
        <f t="shared" si="55"/>
        <v>1322857.4570147386</v>
      </c>
      <c r="R143" s="27">
        <f t="shared" si="56"/>
        <v>1290083.9614580672</v>
      </c>
      <c r="S143" s="27">
        <f t="shared" si="57"/>
        <v>1207160.9696773938</v>
      </c>
      <c r="T143" s="27">
        <f t="shared" si="58"/>
        <v>723437.5490896689</v>
      </c>
      <c r="U143" s="27">
        <f t="shared" si="60"/>
        <v>4543539.9372398686</v>
      </c>
      <c r="V143" s="119"/>
      <c r="W143" s="119"/>
      <c r="X143" s="119"/>
      <c r="Y143" s="29">
        <f t="shared" si="53"/>
        <v>99.999999999999929</v>
      </c>
      <c r="Z143" s="30">
        <f t="shared" si="54"/>
        <v>104</v>
      </c>
      <c r="AA143" s="2"/>
      <c r="AD143" s="32">
        <f t="shared" si="36"/>
        <v>0</v>
      </c>
      <c r="AE143" s="91"/>
      <c r="AF143" s="92"/>
    </row>
    <row r="144" spans="1:32" s="40" customFormat="1" ht="51" customHeight="1">
      <c r="A144" s="33">
        <v>2901179251</v>
      </c>
      <c r="B144" s="34" t="s">
        <v>192</v>
      </c>
      <c r="C144" s="35" t="s">
        <v>170</v>
      </c>
      <c r="D144" s="33" t="s">
        <v>193</v>
      </c>
      <c r="E144" s="33"/>
      <c r="F144" s="25" t="s">
        <v>428</v>
      </c>
      <c r="G144" s="36"/>
      <c r="H144" s="26">
        <f>'2023'!H146</f>
        <v>6578.2279999999992</v>
      </c>
      <c r="I144" s="26">
        <f>'2023'!I146</f>
        <v>6731.1720000000005</v>
      </c>
      <c r="J144" s="26">
        <f>'2023'!J146</f>
        <v>9393.8189999999995</v>
      </c>
      <c r="K144" s="26">
        <f>'2023'!K146</f>
        <v>6261.2699999999995</v>
      </c>
      <c r="L144" s="26">
        <f t="shared" si="59"/>
        <v>28964.488999999998</v>
      </c>
      <c r="M144" s="38">
        <f>'2023'!N146</f>
        <v>210.58220000000003</v>
      </c>
      <c r="N144" s="27">
        <v>210.58220000000003</v>
      </c>
      <c r="O144" s="38">
        <v>55.636131200000008</v>
      </c>
      <c r="P144" s="27">
        <f>O144*1.04</f>
        <v>57.861576448000008</v>
      </c>
      <c r="Q144" s="27">
        <f t="shared" si="55"/>
        <v>1019270.5682700865</v>
      </c>
      <c r="R144" s="27">
        <f t="shared" si="56"/>
        <v>1042968.6398166339</v>
      </c>
      <c r="S144" s="27">
        <f t="shared" si="57"/>
        <v>1434629.8952146252</v>
      </c>
      <c r="T144" s="27">
        <f t="shared" si="58"/>
        <v>956225.05862743105</v>
      </c>
      <c r="U144" s="27">
        <f t="shared" si="60"/>
        <v>4453094.1619287767</v>
      </c>
      <c r="V144" s="119"/>
      <c r="W144" s="119"/>
      <c r="X144" s="119"/>
      <c r="Y144" s="29">
        <f t="shared" si="53"/>
        <v>100</v>
      </c>
      <c r="Z144" s="30">
        <f t="shared" si="54"/>
        <v>104</v>
      </c>
      <c r="AA144" s="2"/>
      <c r="AD144" s="32">
        <f t="shared" si="36"/>
        <v>0</v>
      </c>
      <c r="AE144" s="91"/>
      <c r="AF144" s="92"/>
    </row>
    <row r="145" spans="1:32" s="40" customFormat="1" ht="131.25" customHeight="1">
      <c r="A145" s="33">
        <v>2901295850</v>
      </c>
      <c r="B145" s="34" t="s">
        <v>184</v>
      </c>
      <c r="C145" s="35" t="s">
        <v>170</v>
      </c>
      <c r="D145" s="33" t="s">
        <v>351</v>
      </c>
      <c r="E145" s="33" t="s">
        <v>367</v>
      </c>
      <c r="F145" s="25" t="s">
        <v>428</v>
      </c>
      <c r="G145" s="36"/>
      <c r="H145" s="26">
        <f>'2023'!H147</f>
        <v>2876.2660000000001</v>
      </c>
      <c r="I145" s="26">
        <f>'2023'!I147</f>
        <v>2188.9100000000003</v>
      </c>
      <c r="J145" s="26">
        <f>'2023'!J147</f>
        <v>2392.84</v>
      </c>
      <c r="K145" s="26">
        <f>'2023'!K147</f>
        <v>2127.4760000000001</v>
      </c>
      <c r="L145" s="26">
        <f t="shared" si="59"/>
        <v>9585.4920000000002</v>
      </c>
      <c r="M145" s="38">
        <v>117.62</v>
      </c>
      <c r="N145" s="27">
        <v>144.25</v>
      </c>
      <c r="O145" s="38">
        <v>28.39</v>
      </c>
      <c r="P145" s="27">
        <v>29.53</v>
      </c>
      <c r="Q145" s="27">
        <f t="shared" si="55"/>
        <v>256649.21518000003</v>
      </c>
      <c r="R145" s="27">
        <f t="shared" si="56"/>
        <v>195316.43930000003</v>
      </c>
      <c r="S145" s="27">
        <f t="shared" si="57"/>
        <v>274506.60480000003</v>
      </c>
      <c r="T145" s="27">
        <f t="shared" si="58"/>
        <v>244064.04672000001</v>
      </c>
      <c r="U145" s="27">
        <f t="shared" si="60"/>
        <v>970536.3060000001</v>
      </c>
      <c r="V145" s="119"/>
      <c r="W145" s="119"/>
      <c r="X145" s="119"/>
      <c r="Y145" s="29">
        <f t="shared" si="53"/>
        <v>122.64070736269342</v>
      </c>
      <c r="Z145" s="30">
        <f t="shared" si="54"/>
        <v>104.01549841493485</v>
      </c>
      <c r="AA145" s="2"/>
      <c r="AD145" s="32">
        <f t="shared" si="36"/>
        <v>-1.5498414934853599E-2</v>
      </c>
      <c r="AE145" s="91"/>
      <c r="AF145" s="92"/>
    </row>
    <row r="146" spans="1:32" s="40" customFormat="1" ht="51" customHeight="1">
      <c r="A146" s="33">
        <v>2901150333</v>
      </c>
      <c r="B146" s="34" t="s">
        <v>368</v>
      </c>
      <c r="C146" s="35" t="s">
        <v>170</v>
      </c>
      <c r="D146" s="33" t="s">
        <v>351</v>
      </c>
      <c r="E146" s="33" t="s">
        <v>369</v>
      </c>
      <c r="F146" s="25" t="s">
        <v>428</v>
      </c>
      <c r="G146" s="36"/>
      <c r="H146" s="26">
        <f>'2023'!H148</f>
        <v>9709.8829999999998</v>
      </c>
      <c r="I146" s="26">
        <f>'2023'!I148</f>
        <v>9969.8840000000018</v>
      </c>
      <c r="J146" s="26">
        <f>'2023'!J148</f>
        <v>10590.242</v>
      </c>
      <c r="K146" s="26">
        <f>'2023'!K148</f>
        <v>10641.885</v>
      </c>
      <c r="L146" s="26">
        <f t="shared" si="59"/>
        <v>40911.894</v>
      </c>
      <c r="M146" s="38">
        <v>154.78</v>
      </c>
      <c r="N146" s="27">
        <v>169.02</v>
      </c>
      <c r="O146" s="38">
        <v>28.39</v>
      </c>
      <c r="P146" s="27">
        <v>29.53</v>
      </c>
      <c r="Q146" s="27">
        <f t="shared" si="55"/>
        <v>1227232.11237</v>
      </c>
      <c r="R146" s="27">
        <f t="shared" si="56"/>
        <v>1260093.6387600002</v>
      </c>
      <c r="S146" s="27">
        <f t="shared" si="57"/>
        <v>1477232.8565800001</v>
      </c>
      <c r="T146" s="27">
        <f t="shared" si="58"/>
        <v>1484436.5386500002</v>
      </c>
      <c r="U146" s="27">
        <f t="shared" si="60"/>
        <v>5448995.1463600006</v>
      </c>
      <c r="V146" s="119"/>
      <c r="W146" s="119"/>
      <c r="X146" s="119"/>
      <c r="Y146" s="29">
        <f t="shared" si="53"/>
        <v>109.20015505879313</v>
      </c>
      <c r="Z146" s="30">
        <f t="shared" si="54"/>
        <v>104.01549841493485</v>
      </c>
      <c r="AA146" s="2"/>
      <c r="AD146" s="32">
        <f t="shared" si="36"/>
        <v>-1.5498414934853599E-2</v>
      </c>
      <c r="AE146" s="91"/>
      <c r="AF146" s="92"/>
    </row>
    <row r="147" spans="1:32" s="40" customFormat="1" ht="51" customHeight="1">
      <c r="A147" s="33">
        <v>2903003687</v>
      </c>
      <c r="B147" s="34" t="s">
        <v>189</v>
      </c>
      <c r="C147" s="35" t="s">
        <v>170</v>
      </c>
      <c r="D147" s="33" t="s">
        <v>353</v>
      </c>
      <c r="E147" s="33" t="s">
        <v>370</v>
      </c>
      <c r="F147" s="25" t="s">
        <v>428</v>
      </c>
      <c r="G147" s="36"/>
      <c r="H147" s="26">
        <f>'2023'!H149</f>
        <v>25793.906000000003</v>
      </c>
      <c r="I147" s="26">
        <f>'2023'!I149</f>
        <v>26257.067000000003</v>
      </c>
      <c r="J147" s="26">
        <f>'2023'!J149</f>
        <v>23156.911</v>
      </c>
      <c r="K147" s="26">
        <f>'2023'!K149</f>
        <v>21390.26</v>
      </c>
      <c r="L147" s="26">
        <f t="shared" si="59"/>
        <v>96598.144</v>
      </c>
      <c r="M147" s="38">
        <v>273.7</v>
      </c>
      <c r="N147" s="27">
        <v>273.7</v>
      </c>
      <c r="O147" s="38">
        <v>35.299999999999997</v>
      </c>
      <c r="P147" s="27">
        <v>36.71</v>
      </c>
      <c r="Q147" s="27">
        <f t="shared" si="55"/>
        <v>6149267.1903999997</v>
      </c>
      <c r="R147" s="27">
        <f t="shared" si="56"/>
        <v>6259684.7728000004</v>
      </c>
      <c r="S147" s="27">
        <f t="shared" si="57"/>
        <v>5487956.3378899992</v>
      </c>
      <c r="T147" s="27">
        <f t="shared" si="58"/>
        <v>5069277.7173999995</v>
      </c>
      <c r="U147" s="27">
        <f t="shared" si="60"/>
        <v>22966186.018489998</v>
      </c>
      <c r="V147" s="119"/>
      <c r="W147" s="119"/>
      <c r="X147" s="119"/>
      <c r="Y147" s="29">
        <f t="shared" si="53"/>
        <v>100</v>
      </c>
      <c r="Z147" s="30">
        <f t="shared" si="54"/>
        <v>103.99433427762041</v>
      </c>
      <c r="AA147" s="2"/>
      <c r="AD147" s="32">
        <f t="shared" ref="AD147:AD212" si="61">104-Z147</f>
        <v>5.6657223795895106E-3</v>
      </c>
      <c r="AE147" s="91"/>
      <c r="AF147" s="92"/>
    </row>
    <row r="148" spans="1:32" s="40" customFormat="1" ht="51" customHeight="1">
      <c r="A148" s="33">
        <v>2901286983</v>
      </c>
      <c r="B148" s="34" t="s">
        <v>175</v>
      </c>
      <c r="C148" s="35" t="s">
        <v>170</v>
      </c>
      <c r="D148" s="33" t="s">
        <v>371</v>
      </c>
      <c r="E148" s="33" t="s">
        <v>372</v>
      </c>
      <c r="F148" s="25" t="s">
        <v>428</v>
      </c>
      <c r="G148" s="36"/>
      <c r="H148" s="26">
        <f>'2023'!H150</f>
        <v>31123.906999999999</v>
      </c>
      <c r="I148" s="26">
        <f>'2023'!I150</f>
        <v>31495.370999999999</v>
      </c>
      <c r="J148" s="26">
        <f>'2023'!J150</f>
        <v>31703.370999999999</v>
      </c>
      <c r="K148" s="26">
        <f>'2023'!K150</f>
        <v>31819.370999999999</v>
      </c>
      <c r="L148" s="26">
        <f t="shared" si="59"/>
        <v>126142.02</v>
      </c>
      <c r="M148" s="38">
        <f>'2023'!N150</f>
        <v>173.95</v>
      </c>
      <c r="N148" s="27">
        <v>173.94889370600001</v>
      </c>
      <c r="O148" s="38">
        <v>40.272149632000001</v>
      </c>
      <c r="P148" s="27">
        <f>O148*1.04</f>
        <v>41.883035617280001</v>
      </c>
      <c r="Q148" s="27">
        <f t="shared" si="55"/>
        <v>4160576.9828135469</v>
      </c>
      <c r="R148" s="27">
        <f t="shared" si="56"/>
        <v>4210233.491822646</v>
      </c>
      <c r="S148" s="27">
        <f t="shared" si="57"/>
        <v>4186932.8954200409</v>
      </c>
      <c r="T148" s="27">
        <f t="shared" si="58"/>
        <v>4202252.5349583328</v>
      </c>
      <c r="U148" s="27">
        <f t="shared" si="60"/>
        <v>16759995.905014567</v>
      </c>
      <c r="V148" s="119"/>
      <c r="W148" s="119"/>
      <c r="X148" s="119"/>
      <c r="Y148" s="29">
        <f t="shared" si="53"/>
        <v>99.999364016096592</v>
      </c>
      <c r="Z148" s="30">
        <f t="shared" si="54"/>
        <v>104</v>
      </c>
      <c r="AA148" s="2"/>
      <c r="AD148" s="32">
        <f t="shared" si="61"/>
        <v>0</v>
      </c>
      <c r="AE148" s="91"/>
      <c r="AF148" s="92"/>
    </row>
    <row r="149" spans="1:32" s="40" customFormat="1" ht="51" customHeight="1">
      <c r="A149" s="33">
        <v>2901207290</v>
      </c>
      <c r="B149" s="34" t="s">
        <v>173</v>
      </c>
      <c r="C149" s="35" t="s">
        <v>170</v>
      </c>
      <c r="D149" s="33" t="s">
        <v>371</v>
      </c>
      <c r="E149" s="33" t="s">
        <v>373</v>
      </c>
      <c r="F149" s="25" t="s">
        <v>428</v>
      </c>
      <c r="G149" s="36"/>
      <c r="H149" s="26">
        <f>'2023'!H151</f>
        <v>6032.54</v>
      </c>
      <c r="I149" s="26">
        <f>'2023'!I151</f>
        <v>6058.72</v>
      </c>
      <c r="J149" s="26">
        <f>'2023'!J151</f>
        <v>5915.5599999999995</v>
      </c>
      <c r="K149" s="26">
        <f>'2023'!K151</f>
        <v>5252.75</v>
      </c>
      <c r="L149" s="26">
        <f t="shared" si="59"/>
        <v>23259.57</v>
      </c>
      <c r="M149" s="38">
        <f>'2023'!N151</f>
        <v>146.19999999999999</v>
      </c>
      <c r="N149" s="27">
        <v>146.19999045999998</v>
      </c>
      <c r="O149" s="38">
        <v>27.248000000000001</v>
      </c>
      <c r="P149" s="27">
        <f>O149*1.04</f>
        <v>28.33792</v>
      </c>
      <c r="Q149" s="27">
        <f t="shared" si="55"/>
        <v>717582.69807999989</v>
      </c>
      <c r="R149" s="27">
        <f t="shared" si="56"/>
        <v>720696.86143999989</v>
      </c>
      <c r="S149" s="27">
        <f t="shared" si="57"/>
        <v>697220.14953035745</v>
      </c>
      <c r="T149" s="27">
        <f t="shared" si="58"/>
        <v>619099.99060876493</v>
      </c>
      <c r="U149" s="27">
        <f t="shared" si="60"/>
        <v>2754599.6996591222</v>
      </c>
      <c r="V149" s="119"/>
      <c r="W149" s="119"/>
      <c r="X149" s="119"/>
      <c r="Y149" s="29">
        <f t="shared" si="53"/>
        <v>99.999993474692189</v>
      </c>
      <c r="Z149" s="30">
        <f t="shared" si="54"/>
        <v>104</v>
      </c>
      <c r="AA149" s="2"/>
      <c r="AD149" s="32">
        <f t="shared" si="61"/>
        <v>0</v>
      </c>
      <c r="AE149" s="91"/>
      <c r="AF149" s="92"/>
    </row>
    <row r="150" spans="1:32" s="40" customFormat="1" ht="15" customHeight="1">
      <c r="A150" s="33"/>
      <c r="B150" s="34"/>
      <c r="C150" s="35"/>
      <c r="D150" s="33"/>
      <c r="E150" s="33"/>
      <c r="F150" s="36"/>
      <c r="G150" s="36"/>
      <c r="H150" s="26"/>
      <c r="I150" s="26"/>
      <c r="J150" s="26"/>
      <c r="K150" s="26"/>
      <c r="L150" s="37"/>
      <c r="M150" s="41"/>
      <c r="N150" s="41"/>
      <c r="O150" s="41"/>
      <c r="P150" s="41"/>
      <c r="Q150" s="27"/>
      <c r="R150" s="27"/>
      <c r="S150" s="27"/>
      <c r="T150" s="27"/>
      <c r="U150" s="27"/>
      <c r="V150" s="119"/>
      <c r="W150" s="119"/>
      <c r="X150" s="119"/>
      <c r="Y150" s="29" t="e">
        <f t="shared" si="53"/>
        <v>#DIV/0!</v>
      </c>
      <c r="Z150" s="30" t="e">
        <f t="shared" si="54"/>
        <v>#DIV/0!</v>
      </c>
      <c r="AA150" s="2"/>
      <c r="AD150" s="32" t="e">
        <f t="shared" si="61"/>
        <v>#DIV/0!</v>
      </c>
      <c r="AE150" s="91"/>
      <c r="AF150" s="92"/>
    </row>
    <row r="151" spans="1:32" s="49" customFormat="1" ht="51" customHeight="1">
      <c r="A151" s="50">
        <v>2902060361</v>
      </c>
      <c r="B151" s="51" t="s">
        <v>198</v>
      </c>
      <c r="C151" s="52" t="s">
        <v>199</v>
      </c>
      <c r="D151" s="50"/>
      <c r="E151" s="50"/>
      <c r="F151" s="25" t="s">
        <v>428</v>
      </c>
      <c r="G151" s="46"/>
      <c r="H151" s="26">
        <f>'2023'!H153</f>
        <v>264838.96100000001</v>
      </c>
      <c r="I151" s="26">
        <f>'2023'!I153</f>
        <v>238769.79699999999</v>
      </c>
      <c r="J151" s="26">
        <f>'2023'!J153</f>
        <v>226746.56799999997</v>
      </c>
      <c r="K151" s="26">
        <f>'2023'!K153</f>
        <v>253824.57900000003</v>
      </c>
      <c r="L151" s="26">
        <f t="shared" si="59"/>
        <v>984179.90500000003</v>
      </c>
      <c r="M151" s="38">
        <f>'2023'!N153</f>
        <v>55.925223000000017</v>
      </c>
      <c r="N151" s="27">
        <v>59.108860258000007</v>
      </c>
      <c r="O151" s="38">
        <f>'2023'!P153</f>
        <v>33.040799999999997</v>
      </c>
      <c r="P151" s="27">
        <v>34.362431999999998</v>
      </c>
      <c r="Q151" s="27">
        <f>(M151-O151)*H151</f>
        <v>6060686.8104045084</v>
      </c>
      <c r="R151" s="27">
        <f>(M151-O151)*I151</f>
        <v>5464109.0341721354</v>
      </c>
      <c r="S151" s="27">
        <f>(N151-P151)*J151</f>
        <v>5611167.67775972</v>
      </c>
      <c r="T151" s="27">
        <f>(N151-P151)*K151</f>
        <v>6281251.734340556</v>
      </c>
      <c r="U151" s="27">
        <f t="shared" si="60"/>
        <v>23417215.25667692</v>
      </c>
      <c r="V151" s="123"/>
      <c r="W151" s="123"/>
      <c r="X151" s="123"/>
      <c r="Y151" s="43">
        <f t="shared" si="53"/>
        <v>105.69266797201682</v>
      </c>
      <c r="Z151" s="44">
        <f t="shared" si="54"/>
        <v>104</v>
      </c>
      <c r="AA151" s="48"/>
      <c r="AD151" s="32">
        <f t="shared" si="61"/>
        <v>0</v>
      </c>
      <c r="AE151" s="91"/>
      <c r="AF151" s="92"/>
    </row>
    <row r="152" spans="1:32" s="49" customFormat="1" ht="51" customHeight="1">
      <c r="A152" s="50">
        <v>2902059091</v>
      </c>
      <c r="B152" s="51" t="s">
        <v>200</v>
      </c>
      <c r="C152" s="52" t="s">
        <v>199</v>
      </c>
      <c r="D152" s="50"/>
      <c r="E152" s="50"/>
      <c r="F152" s="25" t="s">
        <v>428</v>
      </c>
      <c r="G152" s="46" t="s">
        <v>310</v>
      </c>
      <c r="H152" s="26">
        <f>'2023'!H154</f>
        <v>1465000</v>
      </c>
      <c r="I152" s="26">
        <f>'2023'!I154</f>
        <v>1465000</v>
      </c>
      <c r="J152" s="26">
        <f>'2023'!J154</f>
        <v>1465000</v>
      </c>
      <c r="K152" s="26">
        <f>'2023'!K154</f>
        <v>1465000</v>
      </c>
      <c r="L152" s="26">
        <f t="shared" si="59"/>
        <v>5860000</v>
      </c>
      <c r="M152" s="38">
        <f>'2023'!N154</f>
        <v>52.475469199676397</v>
      </c>
      <c r="N152" s="27">
        <v>52.475469199676397</v>
      </c>
      <c r="O152" s="38">
        <f>'2023'!P154</f>
        <v>33.036162140800002</v>
      </c>
      <c r="P152" s="27">
        <v>34.357608626432004</v>
      </c>
      <c r="Q152" s="27">
        <f>(M152-O152)*H152</f>
        <v>28478584.841253918</v>
      </c>
      <c r="R152" s="27">
        <f>(M152-O152)*I152</f>
        <v>28478584.841253918</v>
      </c>
      <c r="S152" s="27">
        <f>(N152-P152)*J152</f>
        <v>26542665.739803035</v>
      </c>
      <c r="T152" s="27">
        <f>(N152-P152)*K152</f>
        <v>26542665.739803035</v>
      </c>
      <c r="U152" s="27">
        <f t="shared" si="60"/>
        <v>110042501.1621139</v>
      </c>
      <c r="V152" s="123"/>
      <c r="W152" s="123"/>
      <c r="X152" s="123"/>
      <c r="Y152" s="43">
        <f t="shared" si="53"/>
        <v>100</v>
      </c>
      <c r="Z152" s="44">
        <f t="shared" si="54"/>
        <v>104</v>
      </c>
      <c r="AA152" s="48"/>
      <c r="AD152" s="32">
        <f t="shared" si="61"/>
        <v>0</v>
      </c>
      <c r="AE152" s="91"/>
      <c r="AF152" s="92"/>
    </row>
    <row r="153" spans="1:32" s="40" customFormat="1" ht="15" customHeight="1">
      <c r="A153" s="33"/>
      <c r="B153" s="34"/>
      <c r="C153" s="35"/>
      <c r="D153" s="33"/>
      <c r="E153" s="33"/>
      <c r="F153" s="36"/>
      <c r="G153" s="36"/>
      <c r="H153" s="26"/>
      <c r="I153" s="26"/>
      <c r="J153" s="26"/>
      <c r="K153" s="26"/>
      <c r="L153" s="37"/>
      <c r="M153" s="41"/>
      <c r="N153" s="41"/>
      <c r="O153" s="41"/>
      <c r="P153" s="41"/>
      <c r="Q153" s="27"/>
      <c r="R153" s="27"/>
      <c r="S153" s="27"/>
      <c r="T153" s="27"/>
      <c r="U153" s="27"/>
      <c r="V153" s="119"/>
      <c r="W153" s="119"/>
      <c r="X153" s="119"/>
      <c r="Y153" s="29" t="e">
        <f t="shared" si="53"/>
        <v>#DIV/0!</v>
      </c>
      <c r="Z153" s="30" t="e">
        <f t="shared" si="54"/>
        <v>#DIV/0!</v>
      </c>
      <c r="AA153" s="2"/>
      <c r="AD153" s="32" t="e">
        <f t="shared" si="61"/>
        <v>#DIV/0!</v>
      </c>
      <c r="AE153" s="91"/>
      <c r="AF153" s="92"/>
    </row>
    <row r="154" spans="1:32" s="40" customFormat="1" ht="51" customHeight="1">
      <c r="A154" s="33">
        <v>2922008546</v>
      </c>
      <c r="B154" s="34" t="s">
        <v>59</v>
      </c>
      <c r="C154" s="35" t="s">
        <v>203</v>
      </c>
      <c r="D154" s="33" t="s">
        <v>206</v>
      </c>
      <c r="E154" s="33"/>
      <c r="F154" s="25" t="s">
        <v>428</v>
      </c>
      <c r="G154" s="36"/>
      <c r="H154" s="26">
        <f>'2023'!H156</f>
        <v>1145.71</v>
      </c>
      <c r="I154" s="26">
        <f>'2023'!I156</f>
        <v>1160.22</v>
      </c>
      <c r="J154" s="26">
        <f>'2023'!J156</f>
        <v>1230.49</v>
      </c>
      <c r="K154" s="26">
        <f>'2023'!K156</f>
        <v>1019.4100000000001</v>
      </c>
      <c r="L154" s="26">
        <f t="shared" si="59"/>
        <v>4555.83</v>
      </c>
      <c r="M154" s="38">
        <f>'2023'!N156</f>
        <v>130.71</v>
      </c>
      <c r="N154" s="27">
        <v>130.71</v>
      </c>
      <c r="O154" s="38">
        <f>'2023'!P156</f>
        <v>31.200000000000003</v>
      </c>
      <c r="P154" s="27">
        <v>32.448000000000008</v>
      </c>
      <c r="Q154" s="27">
        <f t="shared" ref="Q154:Q164" si="62">(M154-O154)*H154</f>
        <v>114009.6021</v>
      </c>
      <c r="R154" s="27">
        <f t="shared" ref="R154:R164" si="63">(M154-O154)*I154</f>
        <v>115453.49220000001</v>
      </c>
      <c r="S154" s="27">
        <f t="shared" ref="S154:S164" si="64">(N154-P154)*J154</f>
        <v>120910.40838000001</v>
      </c>
      <c r="T154" s="27">
        <f t="shared" ref="T154:T164" si="65">(N154-P154)*K154</f>
        <v>100169.26542000001</v>
      </c>
      <c r="U154" s="27">
        <f t="shared" si="60"/>
        <v>450542.76810000004</v>
      </c>
      <c r="V154" s="119"/>
      <c r="W154" s="119"/>
      <c r="X154" s="119"/>
      <c r="Y154" s="29">
        <f t="shared" si="53"/>
        <v>100</v>
      </c>
      <c r="Z154" s="30">
        <f t="shared" si="54"/>
        <v>104</v>
      </c>
      <c r="AA154" s="2"/>
      <c r="AD154" s="32">
        <f t="shared" si="61"/>
        <v>0</v>
      </c>
      <c r="AE154" s="91"/>
      <c r="AF154" s="92"/>
    </row>
    <row r="155" spans="1:32" s="40" customFormat="1" ht="51" customHeight="1">
      <c r="A155" s="33">
        <v>2922008546</v>
      </c>
      <c r="B155" s="34" t="s">
        <v>59</v>
      </c>
      <c r="C155" s="35" t="s">
        <v>203</v>
      </c>
      <c r="D155" s="33" t="s">
        <v>205</v>
      </c>
      <c r="E155" s="33"/>
      <c r="F155" s="25" t="s">
        <v>428</v>
      </c>
      <c r="G155" s="36"/>
      <c r="H155" s="26">
        <f>'2023'!H157</f>
        <v>50973.729999999996</v>
      </c>
      <c r="I155" s="26">
        <f>'2023'!I157</f>
        <v>47848.56</v>
      </c>
      <c r="J155" s="26">
        <f>'2023'!J157</f>
        <v>49621.3</v>
      </c>
      <c r="K155" s="26">
        <f>'2023'!K157</f>
        <v>47394.26</v>
      </c>
      <c r="L155" s="26">
        <f t="shared" si="59"/>
        <v>195837.85</v>
      </c>
      <c r="M155" s="38">
        <f>'2023'!N157</f>
        <v>205.52692711180359</v>
      </c>
      <c r="N155" s="27">
        <v>205.52692711180359</v>
      </c>
      <c r="O155" s="38">
        <f>'2023'!P157</f>
        <v>39.738400000000006</v>
      </c>
      <c r="P155" s="27">
        <v>41.327936000000008</v>
      </c>
      <c r="Q155" s="27">
        <f t="shared" si="62"/>
        <v>8450859.6180947553</v>
      </c>
      <c r="R155" s="27">
        <f t="shared" si="63"/>
        <v>7932742.28682076</v>
      </c>
      <c r="S155" s="27">
        <f t="shared" si="64"/>
        <v>8147767.3976561399</v>
      </c>
      <c r="T155" s="27">
        <f t="shared" si="65"/>
        <v>7782089.676490509</v>
      </c>
      <c r="U155" s="27">
        <f t="shared" si="60"/>
        <v>32313458.979062162</v>
      </c>
      <c r="V155" s="119"/>
      <c r="W155" s="119"/>
      <c r="X155" s="119"/>
      <c r="Y155" s="29">
        <f t="shared" si="53"/>
        <v>100</v>
      </c>
      <c r="Z155" s="30">
        <f t="shared" si="54"/>
        <v>104</v>
      </c>
      <c r="AA155" s="2"/>
      <c r="AD155" s="32">
        <f t="shared" si="61"/>
        <v>0</v>
      </c>
      <c r="AE155" s="91"/>
      <c r="AF155" s="92"/>
    </row>
    <row r="156" spans="1:32" s="40" customFormat="1" ht="51" customHeight="1">
      <c r="A156" s="33">
        <v>2922009317</v>
      </c>
      <c r="B156" s="34" t="s">
        <v>202</v>
      </c>
      <c r="C156" s="35" t="s">
        <v>203</v>
      </c>
      <c r="D156" s="33" t="s">
        <v>204</v>
      </c>
      <c r="E156" s="33"/>
      <c r="F156" s="25" t="s">
        <v>428</v>
      </c>
      <c r="G156" s="36"/>
      <c r="H156" s="26">
        <f>'2023'!H158</f>
        <v>7418.2610000000004</v>
      </c>
      <c r="I156" s="26">
        <f>'2023'!I158</f>
        <v>7618.848</v>
      </c>
      <c r="J156" s="26">
        <f>'2023'!J158</f>
        <v>8236.2920000000013</v>
      </c>
      <c r="K156" s="26">
        <f>'2023'!K158</f>
        <v>10921.228999999999</v>
      </c>
      <c r="L156" s="26">
        <f t="shared" si="59"/>
        <v>34194.630000000005</v>
      </c>
      <c r="M156" s="38">
        <f>'2023'!N158</f>
        <v>117.1871375919453</v>
      </c>
      <c r="N156" s="27">
        <v>117.1871375919453</v>
      </c>
      <c r="O156" s="38">
        <f>'2023'!P158</f>
        <v>40.260987728000003</v>
      </c>
      <c r="P156" s="27">
        <v>41.871427237120002</v>
      </c>
      <c r="Q156" s="27">
        <f t="shared" si="62"/>
        <v>570658.25741586077</v>
      </c>
      <c r="R156" s="27">
        <f t="shared" si="63"/>
        <v>586088.64303861989</v>
      </c>
      <c r="S156" s="27">
        <f t="shared" si="64"/>
        <v>620322.18266976485</v>
      </c>
      <c r="T156" s="27">
        <f t="shared" si="65"/>
        <v>822540.12008271832</v>
      </c>
      <c r="U156" s="27">
        <f t="shared" si="60"/>
        <v>2599609.2032069638</v>
      </c>
      <c r="V156" s="119"/>
      <c r="W156" s="119"/>
      <c r="X156" s="119"/>
      <c r="Y156" s="29">
        <f t="shared" si="53"/>
        <v>100</v>
      </c>
      <c r="Z156" s="30">
        <f t="shared" si="54"/>
        <v>104</v>
      </c>
      <c r="AA156" s="2"/>
      <c r="AD156" s="32">
        <f t="shared" si="61"/>
        <v>0</v>
      </c>
      <c r="AE156" s="91"/>
      <c r="AF156" s="92"/>
    </row>
    <row r="157" spans="1:32" s="40" customFormat="1" ht="51" customHeight="1">
      <c r="A157" s="33">
        <v>2922008803</v>
      </c>
      <c r="B157" s="34" t="s">
        <v>215</v>
      </c>
      <c r="C157" s="35" t="s">
        <v>203</v>
      </c>
      <c r="D157" s="33" t="s">
        <v>216</v>
      </c>
      <c r="E157" s="33"/>
      <c r="F157" s="25" t="s">
        <v>428</v>
      </c>
      <c r="G157" s="36"/>
      <c r="H157" s="26">
        <f>'2023'!H159</f>
        <v>14428.892</v>
      </c>
      <c r="I157" s="26">
        <f>'2023'!I159</f>
        <v>13844.735000000001</v>
      </c>
      <c r="J157" s="26">
        <f>'2023'!J159</f>
        <v>14243.411</v>
      </c>
      <c r="K157" s="26">
        <f>'2023'!K159</f>
        <v>13674.692000000001</v>
      </c>
      <c r="L157" s="26">
        <f t="shared" si="59"/>
        <v>56191.73</v>
      </c>
      <c r="M157" s="38">
        <f>'2023'!N159</f>
        <v>87.446668285027698</v>
      </c>
      <c r="N157" s="27">
        <v>87.446668285027698</v>
      </c>
      <c r="O157" s="38">
        <f>'2023'!P159</f>
        <v>37.44</v>
      </c>
      <c r="P157" s="27">
        <v>38.937599999999996</v>
      </c>
      <c r="Q157" s="27">
        <f t="shared" si="62"/>
        <v>721540.81596448994</v>
      </c>
      <c r="R157" s="27">
        <f t="shared" si="63"/>
        <v>692329.07063911296</v>
      </c>
      <c r="S157" s="27">
        <f t="shared" si="64"/>
        <v>690934.59681071469</v>
      </c>
      <c r="T157" s="27">
        <f t="shared" si="65"/>
        <v>663346.56800472212</v>
      </c>
      <c r="U157" s="27">
        <f t="shared" si="60"/>
        <v>2768151.0514190397</v>
      </c>
      <c r="V157" s="119"/>
      <c r="W157" s="119"/>
      <c r="X157" s="119"/>
      <c r="Y157" s="29">
        <f t="shared" si="53"/>
        <v>100</v>
      </c>
      <c r="Z157" s="30">
        <f t="shared" si="54"/>
        <v>104</v>
      </c>
      <c r="AA157" s="2"/>
      <c r="AD157" s="32">
        <f t="shared" si="61"/>
        <v>0</v>
      </c>
      <c r="AE157" s="91"/>
      <c r="AF157" s="92"/>
    </row>
    <row r="158" spans="1:32" s="40" customFormat="1" ht="51" customHeight="1">
      <c r="A158" s="33">
        <v>2922007704</v>
      </c>
      <c r="B158" s="34" t="s">
        <v>207</v>
      </c>
      <c r="C158" s="35" t="s">
        <v>203</v>
      </c>
      <c r="D158" s="33" t="s">
        <v>208</v>
      </c>
      <c r="E158" s="33"/>
      <c r="F158" s="25" t="s">
        <v>428</v>
      </c>
      <c r="G158" s="36"/>
      <c r="H158" s="26">
        <f>'2023'!H160</f>
        <v>4479.0739999999996</v>
      </c>
      <c r="I158" s="26">
        <f>'2023'!I160</f>
        <v>5099.4279999999999</v>
      </c>
      <c r="J158" s="26">
        <f>'2023'!J160</f>
        <v>5281.665</v>
      </c>
      <c r="K158" s="26">
        <f>'2023'!K160</f>
        <v>4613.0309999999999</v>
      </c>
      <c r="L158" s="26">
        <f t="shared" si="59"/>
        <v>19473.198</v>
      </c>
      <c r="M158" s="38">
        <f>'2023'!N160</f>
        <v>94.72</v>
      </c>
      <c r="N158" s="27">
        <v>94.72</v>
      </c>
      <c r="O158" s="38">
        <f>'2023'!P160</f>
        <v>36.4</v>
      </c>
      <c r="P158" s="27">
        <v>37.856000000000002</v>
      </c>
      <c r="Q158" s="27">
        <f t="shared" si="62"/>
        <v>261219.59567999997</v>
      </c>
      <c r="R158" s="27">
        <f t="shared" si="63"/>
        <v>297398.64095999999</v>
      </c>
      <c r="S158" s="27">
        <f t="shared" si="64"/>
        <v>300336.59855999995</v>
      </c>
      <c r="T158" s="27">
        <f t="shared" si="65"/>
        <v>262315.394784</v>
      </c>
      <c r="U158" s="27">
        <f t="shared" si="60"/>
        <v>1121270.2299839999</v>
      </c>
      <c r="V158" s="119"/>
      <c r="W158" s="119"/>
      <c r="X158" s="119"/>
      <c r="Y158" s="29">
        <f t="shared" si="53"/>
        <v>100</v>
      </c>
      <c r="Z158" s="30">
        <f t="shared" si="54"/>
        <v>104</v>
      </c>
      <c r="AA158" s="2"/>
      <c r="AD158" s="32">
        <f>104-Z158</f>
        <v>0</v>
      </c>
      <c r="AE158" s="91"/>
      <c r="AF158" s="92"/>
    </row>
    <row r="159" spans="1:32" s="40" customFormat="1" ht="51" customHeight="1">
      <c r="A159" s="33" t="s">
        <v>209</v>
      </c>
      <c r="B159" s="34" t="s">
        <v>210</v>
      </c>
      <c r="C159" s="35" t="s">
        <v>203</v>
      </c>
      <c r="D159" s="33" t="s">
        <v>211</v>
      </c>
      <c r="E159" s="33"/>
      <c r="F159" s="25" t="s">
        <v>428</v>
      </c>
      <c r="G159" s="36" t="s">
        <v>404</v>
      </c>
      <c r="H159" s="26">
        <f>'2023'!H161</f>
        <v>2526.8650000000002</v>
      </c>
      <c r="I159" s="26">
        <f>'2023'!I161</f>
        <v>2378.44</v>
      </c>
      <c r="J159" s="26">
        <f>'2023'!J161</f>
        <v>2594.94</v>
      </c>
      <c r="K159" s="26">
        <f>'2023'!K161</f>
        <v>2317.9699999999998</v>
      </c>
      <c r="L159" s="26">
        <f t="shared" si="59"/>
        <v>9818.2150000000001</v>
      </c>
      <c r="M159" s="38">
        <f>'2023'!N161</f>
        <v>73.042000000000002</v>
      </c>
      <c r="N159" s="27">
        <v>73.042000000000002</v>
      </c>
      <c r="O159" s="38">
        <f>'2023'!P161</f>
        <v>34.267688</v>
      </c>
      <c r="P159" s="27">
        <v>35.638395520000003</v>
      </c>
      <c r="Q159" s="27">
        <f t="shared" si="62"/>
        <v>97977.451891880017</v>
      </c>
      <c r="R159" s="27">
        <f t="shared" si="63"/>
        <v>92222.374633280007</v>
      </c>
      <c r="S159" s="27">
        <f t="shared" si="64"/>
        <v>97060.109409331199</v>
      </c>
      <c r="T159" s="27">
        <f t="shared" si="65"/>
        <v>86700.433076505593</v>
      </c>
      <c r="U159" s="27">
        <f t="shared" si="60"/>
        <v>373960.36901099683</v>
      </c>
      <c r="V159" s="119"/>
      <c r="W159" s="119"/>
      <c r="X159" s="119"/>
      <c r="Y159" s="29">
        <f t="shared" si="53"/>
        <v>100</v>
      </c>
      <c r="Z159" s="30">
        <f t="shared" si="54"/>
        <v>104</v>
      </c>
      <c r="AA159" s="2"/>
      <c r="AD159" s="32">
        <f t="shared" si="61"/>
        <v>0</v>
      </c>
      <c r="AE159" s="91"/>
      <c r="AF159" s="92"/>
    </row>
    <row r="160" spans="1:32" s="40" customFormat="1" ht="51" customHeight="1">
      <c r="A160" s="33" t="s">
        <v>209</v>
      </c>
      <c r="B160" s="34" t="s">
        <v>210</v>
      </c>
      <c r="C160" s="35" t="s">
        <v>203</v>
      </c>
      <c r="D160" s="33" t="s">
        <v>212</v>
      </c>
      <c r="E160" s="33"/>
      <c r="F160" s="25" t="s">
        <v>428</v>
      </c>
      <c r="G160" s="36" t="s">
        <v>405</v>
      </c>
      <c r="H160" s="26">
        <f>'2023'!H162</f>
        <v>696</v>
      </c>
      <c r="I160" s="26">
        <f>'2023'!I162</f>
        <v>696</v>
      </c>
      <c r="J160" s="26">
        <f>'2023'!J162</f>
        <v>485.83000000000004</v>
      </c>
      <c r="K160" s="26">
        <f>'2023'!K162</f>
        <v>492.53</v>
      </c>
      <c r="L160" s="26">
        <f t="shared" si="59"/>
        <v>2370.3599999999997</v>
      </c>
      <c r="M160" s="38">
        <f>'2023'!N162</f>
        <v>90.565000000000026</v>
      </c>
      <c r="N160" s="27">
        <v>90.565000000000026</v>
      </c>
      <c r="O160" s="38">
        <f>'2023'!P162</f>
        <v>68.599648000000002</v>
      </c>
      <c r="P160" s="27">
        <v>71.343633920000002</v>
      </c>
      <c r="Q160" s="27">
        <f t="shared" si="62"/>
        <v>15287.884992000018</v>
      </c>
      <c r="R160" s="27">
        <f t="shared" si="63"/>
        <v>15287.884992000018</v>
      </c>
      <c r="S160" s="27">
        <f t="shared" si="64"/>
        <v>9338.3162826464122</v>
      </c>
      <c r="T160" s="27">
        <f t="shared" si="65"/>
        <v>9467.0994353824117</v>
      </c>
      <c r="U160" s="27">
        <f t="shared" si="60"/>
        <v>49381.185702028859</v>
      </c>
      <c r="V160" s="119"/>
      <c r="W160" s="119"/>
      <c r="X160" s="119"/>
      <c r="Y160" s="29">
        <f t="shared" ref="Y160:Y183" si="66">N160/M160*100</f>
        <v>100</v>
      </c>
      <c r="Z160" s="30">
        <f t="shared" ref="Z160:Z183" si="67">P160/O160*100</f>
        <v>104</v>
      </c>
      <c r="AA160" s="2"/>
      <c r="AD160" s="32">
        <f t="shared" si="61"/>
        <v>0</v>
      </c>
      <c r="AE160" s="91"/>
      <c r="AF160" s="92"/>
    </row>
    <row r="161" spans="1:32" s="40" customFormat="1" ht="51" customHeight="1">
      <c r="A161" s="33" t="s">
        <v>209</v>
      </c>
      <c r="B161" s="34" t="s">
        <v>210</v>
      </c>
      <c r="C161" s="35" t="s">
        <v>203</v>
      </c>
      <c r="D161" s="33" t="s">
        <v>213</v>
      </c>
      <c r="E161" s="33"/>
      <c r="F161" s="25" t="s">
        <v>428</v>
      </c>
      <c r="G161" s="36" t="s">
        <v>406</v>
      </c>
      <c r="H161" s="26">
        <f>'2023'!H163</f>
        <v>539.62400000000002</v>
      </c>
      <c r="I161" s="26">
        <f>'2023'!I163</f>
        <v>783.28</v>
      </c>
      <c r="J161" s="26">
        <f>'2023'!J163</f>
        <v>780.14999999999986</v>
      </c>
      <c r="K161" s="26">
        <f>'2023'!K163</f>
        <v>754.22</v>
      </c>
      <c r="L161" s="26">
        <f t="shared" si="59"/>
        <v>2857.2740000000003</v>
      </c>
      <c r="M161" s="38">
        <f>'2023'!N163</f>
        <v>87.874600000000015</v>
      </c>
      <c r="N161" s="27">
        <v>87.874600000000015</v>
      </c>
      <c r="O161" s="38">
        <f>'2023'!P163</f>
        <v>34.267688</v>
      </c>
      <c r="P161" s="27">
        <v>35.638395520000003</v>
      </c>
      <c r="Q161" s="27">
        <f t="shared" si="62"/>
        <v>28927.576281088008</v>
      </c>
      <c r="R161" s="27">
        <f t="shared" si="63"/>
        <v>41989.222031360012</v>
      </c>
      <c r="S161" s="27">
        <f t="shared" si="64"/>
        <v>40752.074925072004</v>
      </c>
      <c r="T161" s="27">
        <f t="shared" si="65"/>
        <v>39397.59014290561</v>
      </c>
      <c r="U161" s="27">
        <f t="shared" si="60"/>
        <v>151066.46338042564</v>
      </c>
      <c r="V161" s="119"/>
      <c r="W161" s="119"/>
      <c r="X161" s="119"/>
      <c r="Y161" s="29">
        <f t="shared" si="66"/>
        <v>100</v>
      </c>
      <c r="Z161" s="30">
        <f t="shared" si="67"/>
        <v>104</v>
      </c>
      <c r="AA161" s="2"/>
      <c r="AD161" s="32">
        <f t="shared" si="61"/>
        <v>0</v>
      </c>
      <c r="AE161" s="91"/>
      <c r="AF161" s="92"/>
    </row>
    <row r="162" spans="1:32" s="40" customFormat="1" ht="51.75" customHeight="1">
      <c r="A162" s="33" t="s">
        <v>217</v>
      </c>
      <c r="B162" s="34" t="s">
        <v>218</v>
      </c>
      <c r="C162" s="35" t="s">
        <v>203</v>
      </c>
      <c r="D162" s="33" t="s">
        <v>219</v>
      </c>
      <c r="E162" s="33"/>
      <c r="F162" s="25" t="s">
        <v>428</v>
      </c>
      <c r="G162" s="36" t="s">
        <v>400</v>
      </c>
      <c r="H162" s="26">
        <f>'2023'!H164</f>
        <v>2495.652</v>
      </c>
      <c r="I162" s="26">
        <f>'2023'!I164</f>
        <v>2533.0590000000002</v>
      </c>
      <c r="J162" s="26">
        <f>'2023'!J164</f>
        <v>2671.1639999999998</v>
      </c>
      <c r="K162" s="26">
        <f>'2023'!K164</f>
        <v>2663.21</v>
      </c>
      <c r="L162" s="26">
        <f t="shared" si="59"/>
        <v>10363.084999999999</v>
      </c>
      <c r="M162" s="38">
        <f>'2023'!N164</f>
        <v>96.075600000000023</v>
      </c>
      <c r="N162" s="27">
        <v>96.075600000000023</v>
      </c>
      <c r="O162" s="38">
        <f>'2023'!P164</f>
        <v>34.267688</v>
      </c>
      <c r="P162" s="27">
        <v>35.638395520000003</v>
      </c>
      <c r="Q162" s="27">
        <f t="shared" si="62"/>
        <v>154251.03919862406</v>
      </c>
      <c r="R162" s="27">
        <f t="shared" si="63"/>
        <v>156563.08776280808</v>
      </c>
      <c r="S162" s="27">
        <f t="shared" si="64"/>
        <v>161437.68486761476</v>
      </c>
      <c r="T162" s="27">
        <f t="shared" si="65"/>
        <v>160956.96734318085</v>
      </c>
      <c r="U162" s="27">
        <f t="shared" si="60"/>
        <v>633208.77917222772</v>
      </c>
      <c r="V162" s="119"/>
      <c r="W162" s="119"/>
      <c r="X162" s="119"/>
      <c r="Y162" s="29">
        <f t="shared" si="66"/>
        <v>100</v>
      </c>
      <c r="Z162" s="30">
        <f t="shared" si="67"/>
        <v>104</v>
      </c>
      <c r="AA162" s="2"/>
      <c r="AD162" s="32">
        <f t="shared" si="61"/>
        <v>0</v>
      </c>
      <c r="AE162" s="91"/>
      <c r="AF162" s="92"/>
    </row>
    <row r="163" spans="1:32" s="40" customFormat="1" ht="51.75" customHeight="1">
      <c r="A163" s="33" t="s">
        <v>217</v>
      </c>
      <c r="B163" s="34" t="s">
        <v>218</v>
      </c>
      <c r="C163" s="35" t="s">
        <v>203</v>
      </c>
      <c r="D163" s="33" t="s">
        <v>374</v>
      </c>
      <c r="E163" s="33"/>
      <c r="F163" s="25" t="s">
        <v>428</v>
      </c>
      <c r="G163" s="36" t="s">
        <v>401</v>
      </c>
      <c r="H163" s="26">
        <f>'2023'!H165</f>
        <v>1042.184</v>
      </c>
      <c r="I163" s="26">
        <f>'2023'!I165</f>
        <v>1128.701</v>
      </c>
      <c r="J163" s="26">
        <f>'2023'!J165</f>
        <v>1166.79</v>
      </c>
      <c r="K163" s="26">
        <f>'2023'!K165</f>
        <v>1296.6300000000001</v>
      </c>
      <c r="L163" s="26">
        <f t="shared" si="59"/>
        <v>4634.3050000000003</v>
      </c>
      <c r="M163" s="38">
        <f>'2023'!N165</f>
        <v>94.67140000000002</v>
      </c>
      <c r="N163" s="27">
        <v>94.67140000000002</v>
      </c>
      <c r="O163" s="38">
        <f>'2023'!P165</f>
        <v>34.267688</v>
      </c>
      <c r="P163" s="27">
        <v>35.638395520000003</v>
      </c>
      <c r="Q163" s="27">
        <f t="shared" si="62"/>
        <v>62951.782187008022</v>
      </c>
      <c r="R163" s="27">
        <f t="shared" si="63"/>
        <v>68177.73013811202</v>
      </c>
      <c r="S163" s="27">
        <f t="shared" si="64"/>
        <v>68879.119297219222</v>
      </c>
      <c r="T163" s="27">
        <f t="shared" si="65"/>
        <v>76543.964598902428</v>
      </c>
      <c r="U163" s="27">
        <f t="shared" si="60"/>
        <v>276552.59622124169</v>
      </c>
      <c r="V163" s="119"/>
      <c r="W163" s="119"/>
      <c r="X163" s="119"/>
      <c r="Y163" s="29">
        <f t="shared" si="66"/>
        <v>100</v>
      </c>
      <c r="Z163" s="30">
        <f t="shared" si="67"/>
        <v>104</v>
      </c>
      <c r="AA163" s="2"/>
      <c r="AD163" s="32">
        <f t="shared" si="61"/>
        <v>0</v>
      </c>
      <c r="AE163" s="91"/>
      <c r="AF163" s="92"/>
    </row>
    <row r="164" spans="1:32" s="40" customFormat="1" ht="51" customHeight="1">
      <c r="A164" s="33" t="s">
        <v>217</v>
      </c>
      <c r="B164" s="34" t="s">
        <v>218</v>
      </c>
      <c r="C164" s="35" t="s">
        <v>203</v>
      </c>
      <c r="D164" s="33" t="s">
        <v>220</v>
      </c>
      <c r="E164" s="33"/>
      <c r="F164" s="25" t="s">
        <v>428</v>
      </c>
      <c r="G164" s="36" t="s">
        <v>402</v>
      </c>
      <c r="H164" s="26">
        <f>'2023'!H166</f>
        <v>516.91300000000001</v>
      </c>
      <c r="I164" s="26">
        <f>'2023'!I166</f>
        <v>398.95000000000005</v>
      </c>
      <c r="J164" s="26">
        <f>'2023'!J166</f>
        <v>543.67999999999995</v>
      </c>
      <c r="K164" s="26">
        <f>'2023'!K166</f>
        <v>636.50599999999997</v>
      </c>
      <c r="L164" s="26">
        <f t="shared" si="59"/>
        <v>2096.049</v>
      </c>
      <c r="M164" s="38">
        <f>'2023'!N166</f>
        <v>88.346600000000024</v>
      </c>
      <c r="N164" s="27">
        <v>88.346600000000024</v>
      </c>
      <c r="O164" s="38">
        <f>'2023'!P166</f>
        <v>34.267688</v>
      </c>
      <c r="P164" s="27">
        <v>35.638395520000003</v>
      </c>
      <c r="Q164" s="27">
        <f t="shared" si="62"/>
        <v>27954.092638656013</v>
      </c>
      <c r="R164" s="27">
        <f t="shared" si="63"/>
        <v>21574.781942400012</v>
      </c>
      <c r="S164" s="27">
        <f t="shared" si="64"/>
        <v>28656.396611686407</v>
      </c>
      <c r="T164" s="27">
        <f t="shared" si="65"/>
        <v>33549.088400746892</v>
      </c>
      <c r="U164" s="27">
        <f t="shared" si="60"/>
        <v>111734.35959348932</v>
      </c>
      <c r="V164" s="119"/>
      <c r="W164" s="119"/>
      <c r="X164" s="119"/>
      <c r="Y164" s="29">
        <f t="shared" si="66"/>
        <v>100</v>
      </c>
      <c r="Z164" s="30">
        <f t="shared" si="67"/>
        <v>104</v>
      </c>
      <c r="AA164" s="2"/>
      <c r="AD164" s="32">
        <f t="shared" si="61"/>
        <v>0</v>
      </c>
      <c r="AE164" s="91"/>
      <c r="AF164" s="92"/>
    </row>
    <row r="165" spans="1:32" s="40" customFormat="1" ht="15" customHeight="1">
      <c r="A165" s="33"/>
      <c r="B165" s="34"/>
      <c r="C165" s="35"/>
      <c r="D165" s="33"/>
      <c r="E165" s="33"/>
      <c r="F165" s="36"/>
      <c r="G165" s="36"/>
      <c r="H165" s="26"/>
      <c r="I165" s="26"/>
      <c r="J165" s="26"/>
      <c r="K165" s="26"/>
      <c r="L165" s="37"/>
      <c r="M165" s="41"/>
      <c r="N165" s="41"/>
      <c r="O165" s="41"/>
      <c r="P165" s="41"/>
      <c r="Q165" s="27"/>
      <c r="R165" s="27"/>
      <c r="S165" s="27"/>
      <c r="T165" s="27"/>
      <c r="U165" s="27"/>
      <c r="V165" s="119"/>
      <c r="W165" s="119"/>
      <c r="X165" s="119"/>
      <c r="Y165" s="29" t="e">
        <f t="shared" si="66"/>
        <v>#DIV/0!</v>
      </c>
      <c r="Z165" s="30" t="e">
        <f t="shared" si="67"/>
        <v>#DIV/0!</v>
      </c>
      <c r="AA165" s="2"/>
      <c r="AD165" s="32" t="e">
        <f t="shared" si="61"/>
        <v>#DIV/0!</v>
      </c>
      <c r="AE165" s="91"/>
      <c r="AF165" s="92"/>
    </row>
    <row r="166" spans="1:32" s="40" customFormat="1" ht="51" customHeight="1">
      <c r="A166" s="33">
        <v>2923007640</v>
      </c>
      <c r="B166" s="34" t="s">
        <v>222</v>
      </c>
      <c r="C166" s="35" t="s">
        <v>223</v>
      </c>
      <c r="D166" s="33" t="s">
        <v>228</v>
      </c>
      <c r="E166" s="33"/>
      <c r="F166" s="25" t="s">
        <v>428</v>
      </c>
      <c r="G166" s="36"/>
      <c r="H166" s="26">
        <f>'2023'!H168</f>
        <v>18024.654000000002</v>
      </c>
      <c r="I166" s="26">
        <f>'2023'!I168</f>
        <v>17348.275000000001</v>
      </c>
      <c r="J166" s="26">
        <f>'2023'!J168</f>
        <v>18087.983</v>
      </c>
      <c r="K166" s="26">
        <f>'2023'!K168</f>
        <v>10128.808999999999</v>
      </c>
      <c r="L166" s="26">
        <f t="shared" si="59"/>
        <v>63589.721000000005</v>
      </c>
      <c r="M166" s="38">
        <f>'2023'!N168</f>
        <v>76.94</v>
      </c>
      <c r="N166" s="27">
        <f t="shared" ref="N166:N174" si="68">M166</f>
        <v>76.94</v>
      </c>
      <c r="O166" s="38">
        <f>'2023'!P168</f>
        <v>52</v>
      </c>
      <c r="P166" s="27">
        <f t="shared" ref="P166:P174" si="69">O166*1.04</f>
        <v>54.08</v>
      </c>
      <c r="Q166" s="27">
        <f t="shared" ref="Q166:Q174" si="70">(M166-O166)*H166</f>
        <v>449534.87076000002</v>
      </c>
      <c r="R166" s="27">
        <f t="shared" ref="R166:R174" si="71">(M166-O166)*I166</f>
        <v>432665.97849999997</v>
      </c>
      <c r="S166" s="27">
        <f t="shared" ref="S166:S174" si="72">(N166-P166)*J166</f>
        <v>413491.29138000001</v>
      </c>
      <c r="T166" s="27">
        <f t="shared" ref="T166:T174" si="73">(N166-P166)*K166</f>
        <v>231544.57373999996</v>
      </c>
      <c r="U166" s="27">
        <f t="shared" si="60"/>
        <v>1527236.71438</v>
      </c>
      <c r="V166" s="119"/>
      <c r="W166" s="119"/>
      <c r="X166" s="119"/>
      <c r="Y166" s="29">
        <f t="shared" si="66"/>
        <v>100</v>
      </c>
      <c r="Z166" s="30">
        <f t="shared" si="67"/>
        <v>104</v>
      </c>
      <c r="AA166" s="2"/>
      <c r="AD166" s="32">
        <f t="shared" si="61"/>
        <v>0</v>
      </c>
      <c r="AE166" s="91"/>
      <c r="AF166" s="92"/>
    </row>
    <row r="167" spans="1:32" s="40" customFormat="1" ht="51" customHeight="1">
      <c r="A167" s="33">
        <v>2923007640</v>
      </c>
      <c r="B167" s="34" t="s">
        <v>222</v>
      </c>
      <c r="C167" s="35" t="s">
        <v>223</v>
      </c>
      <c r="D167" s="33" t="s">
        <v>226</v>
      </c>
      <c r="E167" s="33"/>
      <c r="F167" s="25" t="s">
        <v>428</v>
      </c>
      <c r="G167" s="36"/>
      <c r="H167" s="26">
        <f>'2023'!H169</f>
        <v>3352.4029999999993</v>
      </c>
      <c r="I167" s="26">
        <f>'2023'!I169</f>
        <v>3750.5430000000001</v>
      </c>
      <c r="J167" s="26">
        <f>'2023'!J169</f>
        <v>3960.8379999999997</v>
      </c>
      <c r="K167" s="26">
        <f>'2023'!K169</f>
        <v>3373.77</v>
      </c>
      <c r="L167" s="26">
        <f t="shared" si="59"/>
        <v>14437.554</v>
      </c>
      <c r="M167" s="38">
        <f>'2023'!N169</f>
        <v>104.05</v>
      </c>
      <c r="N167" s="27">
        <f t="shared" si="68"/>
        <v>104.05</v>
      </c>
      <c r="O167" s="38">
        <f>'2023'!P169</f>
        <v>79.040000000000006</v>
      </c>
      <c r="P167" s="27">
        <f t="shared" si="69"/>
        <v>82.201600000000013</v>
      </c>
      <c r="Q167" s="27">
        <f t="shared" si="70"/>
        <v>83843.599029999954</v>
      </c>
      <c r="R167" s="27">
        <f t="shared" si="71"/>
        <v>93801.080429999973</v>
      </c>
      <c r="S167" s="27">
        <f t="shared" si="72"/>
        <v>86537.972959199935</v>
      </c>
      <c r="T167" s="27">
        <f t="shared" si="73"/>
        <v>73711.47646799995</v>
      </c>
      <c r="U167" s="27">
        <f t="shared" si="60"/>
        <v>337894.1288871998</v>
      </c>
      <c r="V167" s="119"/>
      <c r="W167" s="119"/>
      <c r="X167" s="119"/>
      <c r="Y167" s="29">
        <f t="shared" si="66"/>
        <v>100</v>
      </c>
      <c r="Z167" s="30">
        <f t="shared" si="67"/>
        <v>104</v>
      </c>
      <c r="AA167" s="2"/>
      <c r="AD167" s="32">
        <f t="shared" si="61"/>
        <v>0</v>
      </c>
      <c r="AE167" s="91"/>
      <c r="AF167" s="92"/>
    </row>
    <row r="168" spans="1:32" s="40" customFormat="1" ht="51" customHeight="1">
      <c r="A168" s="33">
        <v>2923007640</v>
      </c>
      <c r="B168" s="34" t="s">
        <v>222</v>
      </c>
      <c r="C168" s="35" t="s">
        <v>223</v>
      </c>
      <c r="D168" s="33" t="s">
        <v>224</v>
      </c>
      <c r="E168" s="33"/>
      <c r="F168" s="25" t="s">
        <v>428</v>
      </c>
      <c r="G168" s="36"/>
      <c r="H168" s="26">
        <f>'2023'!H170</f>
        <v>2729.7669999999998</v>
      </c>
      <c r="I168" s="26">
        <f>'2023'!I170</f>
        <v>2973.6289999999999</v>
      </c>
      <c r="J168" s="26">
        <f>'2023'!J170</f>
        <v>3475.5860000000002</v>
      </c>
      <c r="K168" s="26">
        <f>'2023'!K170</f>
        <v>3124.1869999999999</v>
      </c>
      <c r="L168" s="26">
        <f t="shared" si="59"/>
        <v>12303.169</v>
      </c>
      <c r="M168" s="38">
        <f>'2023'!N170</f>
        <v>200.88</v>
      </c>
      <c r="N168" s="27">
        <f t="shared" si="68"/>
        <v>200.88</v>
      </c>
      <c r="O168" s="38">
        <f>'2023'!P170</f>
        <v>104</v>
      </c>
      <c r="P168" s="27">
        <f t="shared" si="69"/>
        <v>108.16</v>
      </c>
      <c r="Q168" s="27">
        <f t="shared" si="70"/>
        <v>264459.82695999998</v>
      </c>
      <c r="R168" s="27">
        <f t="shared" si="71"/>
        <v>288085.17751999997</v>
      </c>
      <c r="S168" s="27">
        <f t="shared" si="72"/>
        <v>322256.33392</v>
      </c>
      <c r="T168" s="27">
        <f t="shared" si="73"/>
        <v>289674.61864</v>
      </c>
      <c r="U168" s="27">
        <f t="shared" si="60"/>
        <v>1164475.9570399998</v>
      </c>
      <c r="V168" s="119"/>
      <c r="W168" s="119"/>
      <c r="X168" s="119"/>
      <c r="Y168" s="29">
        <f t="shared" si="66"/>
        <v>100</v>
      </c>
      <c r="Z168" s="30">
        <f t="shared" si="67"/>
        <v>104</v>
      </c>
      <c r="AA168" s="2"/>
      <c r="AD168" s="32">
        <f t="shared" si="61"/>
        <v>0</v>
      </c>
      <c r="AE168" s="91"/>
      <c r="AF168" s="92"/>
    </row>
    <row r="169" spans="1:32" s="40" customFormat="1" ht="51" customHeight="1">
      <c r="A169" s="33">
        <v>2923006012</v>
      </c>
      <c r="B169" s="34" t="s">
        <v>234</v>
      </c>
      <c r="C169" s="35" t="s">
        <v>223</v>
      </c>
      <c r="D169" s="33" t="s">
        <v>235</v>
      </c>
      <c r="E169" s="33"/>
      <c r="F169" s="25" t="s">
        <v>428</v>
      </c>
      <c r="G169" s="36"/>
      <c r="H169" s="26">
        <f>'2023'!H171</f>
        <v>9953.1319999999996</v>
      </c>
      <c r="I169" s="26">
        <f>'2023'!I171</f>
        <v>9947.4279999999999</v>
      </c>
      <c r="J169" s="26">
        <f>'2023'!J171</f>
        <v>9816.8819999999996</v>
      </c>
      <c r="K169" s="26">
        <f>'2023'!K171</f>
        <v>9811.9750000000004</v>
      </c>
      <c r="L169" s="26">
        <f t="shared" si="59"/>
        <v>39529.416999999994</v>
      </c>
      <c r="M169" s="38">
        <f>'2023'!N171</f>
        <v>114.79</v>
      </c>
      <c r="N169" s="27">
        <f t="shared" si="68"/>
        <v>114.79</v>
      </c>
      <c r="O169" s="38">
        <f>'2023'!P171</f>
        <v>80.08</v>
      </c>
      <c r="P169" s="27">
        <f t="shared" si="69"/>
        <v>83.283200000000008</v>
      </c>
      <c r="Q169" s="27">
        <f t="shared" si="70"/>
        <v>345473.21172000008</v>
      </c>
      <c r="R169" s="27">
        <f t="shared" si="71"/>
        <v>345275.2258800001</v>
      </c>
      <c r="S169" s="27">
        <f t="shared" si="72"/>
        <v>309298.53779759997</v>
      </c>
      <c r="T169" s="27">
        <f t="shared" si="73"/>
        <v>309143.93393</v>
      </c>
      <c r="U169" s="27">
        <f t="shared" si="60"/>
        <v>1309190.9093276002</v>
      </c>
      <c r="V169" s="119"/>
      <c r="W169" s="119"/>
      <c r="X169" s="119"/>
      <c r="Y169" s="29">
        <f t="shared" si="66"/>
        <v>100</v>
      </c>
      <c r="Z169" s="30">
        <f t="shared" si="67"/>
        <v>104</v>
      </c>
      <c r="AA169" s="2"/>
      <c r="AD169" s="32">
        <f t="shared" si="61"/>
        <v>0</v>
      </c>
      <c r="AE169" s="91"/>
      <c r="AF169" s="92"/>
    </row>
    <row r="170" spans="1:32" s="40" customFormat="1" ht="51" customHeight="1">
      <c r="A170" s="33">
        <v>2923007312</v>
      </c>
      <c r="B170" s="34" t="s">
        <v>230</v>
      </c>
      <c r="C170" s="35" t="s">
        <v>223</v>
      </c>
      <c r="D170" s="33" t="s">
        <v>231</v>
      </c>
      <c r="E170" s="33"/>
      <c r="F170" s="25" t="s">
        <v>428</v>
      </c>
      <c r="G170" s="36"/>
      <c r="H170" s="26">
        <f>'2023'!H172</f>
        <v>23136.68</v>
      </c>
      <c r="I170" s="26">
        <f>'2023'!I172</f>
        <v>24517.660000000003</v>
      </c>
      <c r="J170" s="26">
        <f>'2023'!J172</f>
        <v>23654.33</v>
      </c>
      <c r="K170" s="26">
        <f>'2023'!K172</f>
        <v>22550.48</v>
      </c>
      <c r="L170" s="26">
        <f t="shared" si="59"/>
        <v>93859.150000000009</v>
      </c>
      <c r="M170" s="38">
        <f>'2023'!N172</f>
        <v>151.71</v>
      </c>
      <c r="N170" s="27">
        <f t="shared" si="68"/>
        <v>151.71</v>
      </c>
      <c r="O170" s="38">
        <f>'2023'!P172</f>
        <v>80.08</v>
      </c>
      <c r="P170" s="27">
        <f t="shared" si="69"/>
        <v>83.283200000000008</v>
      </c>
      <c r="Q170" s="27">
        <f t="shared" si="70"/>
        <v>1657280.3884000003</v>
      </c>
      <c r="R170" s="27">
        <f t="shared" si="71"/>
        <v>1756199.9858000004</v>
      </c>
      <c r="S170" s="27">
        <f t="shared" si="72"/>
        <v>1618590.1080440001</v>
      </c>
      <c r="T170" s="27">
        <f t="shared" si="73"/>
        <v>1543057.184864</v>
      </c>
      <c r="U170" s="27">
        <f t="shared" si="60"/>
        <v>6575127.6671080012</v>
      </c>
      <c r="V170" s="119"/>
      <c r="W170" s="119"/>
      <c r="X170" s="119"/>
      <c r="Y170" s="29">
        <f t="shared" si="66"/>
        <v>100</v>
      </c>
      <c r="Z170" s="30">
        <f t="shared" si="67"/>
        <v>104</v>
      </c>
      <c r="AA170" s="2"/>
      <c r="AD170" s="32">
        <f t="shared" si="61"/>
        <v>0</v>
      </c>
      <c r="AE170" s="91"/>
      <c r="AF170" s="92"/>
    </row>
    <row r="171" spans="1:32" s="40" customFormat="1" ht="51" customHeight="1">
      <c r="A171" s="33">
        <v>2923007312</v>
      </c>
      <c r="B171" s="34" t="s">
        <v>230</v>
      </c>
      <c r="C171" s="35" t="s">
        <v>223</v>
      </c>
      <c r="D171" s="33" t="s">
        <v>232</v>
      </c>
      <c r="E171" s="33"/>
      <c r="F171" s="25" t="s">
        <v>428</v>
      </c>
      <c r="G171" s="36"/>
      <c r="H171" s="26">
        <f>'2023'!H173</f>
        <v>10442.380000000001</v>
      </c>
      <c r="I171" s="26">
        <f>'2023'!I173</f>
        <v>10321.27</v>
      </c>
      <c r="J171" s="26">
        <f>'2023'!J173</f>
        <v>10521.73</v>
      </c>
      <c r="K171" s="26">
        <f>'2023'!K173</f>
        <v>10047</v>
      </c>
      <c r="L171" s="26">
        <f t="shared" si="59"/>
        <v>41332.380000000005</v>
      </c>
      <c r="M171" s="38">
        <f>'2023'!N173</f>
        <v>151.71</v>
      </c>
      <c r="N171" s="27">
        <f t="shared" si="68"/>
        <v>151.71</v>
      </c>
      <c r="O171" s="38">
        <f>'2023'!P173</f>
        <v>80.08</v>
      </c>
      <c r="P171" s="27">
        <f t="shared" si="69"/>
        <v>83.283200000000008</v>
      </c>
      <c r="Q171" s="27">
        <f t="shared" si="70"/>
        <v>747987.67940000014</v>
      </c>
      <c r="R171" s="27">
        <f t="shared" si="71"/>
        <v>739312.57010000013</v>
      </c>
      <c r="S171" s="27">
        <f t="shared" si="72"/>
        <v>719968.31436399999</v>
      </c>
      <c r="T171" s="27">
        <f t="shared" si="73"/>
        <v>687484.05960000004</v>
      </c>
      <c r="U171" s="27">
        <f t="shared" si="60"/>
        <v>2894752.6234640004</v>
      </c>
      <c r="V171" s="119"/>
      <c r="W171" s="119"/>
      <c r="X171" s="119"/>
      <c r="Y171" s="29">
        <f t="shared" si="66"/>
        <v>100</v>
      </c>
      <c r="Z171" s="30">
        <f t="shared" si="67"/>
        <v>104</v>
      </c>
      <c r="AA171" s="2"/>
      <c r="AD171" s="32">
        <f t="shared" si="61"/>
        <v>0</v>
      </c>
      <c r="AE171" s="91"/>
      <c r="AF171" s="92"/>
    </row>
    <row r="172" spans="1:32" s="40" customFormat="1" ht="51" customHeight="1">
      <c r="A172" s="33">
        <v>2923006943</v>
      </c>
      <c r="B172" s="34" t="s">
        <v>237</v>
      </c>
      <c r="C172" s="35" t="s">
        <v>223</v>
      </c>
      <c r="D172" s="33" t="s">
        <v>44</v>
      </c>
      <c r="E172" s="33"/>
      <c r="F172" s="25" t="s">
        <v>428</v>
      </c>
      <c r="G172" s="36"/>
      <c r="H172" s="26">
        <f>'2023'!H174</f>
        <v>2541.5360000000001</v>
      </c>
      <c r="I172" s="26">
        <f>'2023'!I174</f>
        <v>2399.6750000000002</v>
      </c>
      <c r="J172" s="26">
        <f>'2023'!J174</f>
        <v>2520.5259999999998</v>
      </c>
      <c r="K172" s="26">
        <f>'2023'!K174</f>
        <v>2520.5259999999998</v>
      </c>
      <c r="L172" s="26">
        <f t="shared" si="59"/>
        <v>9982.262999999999</v>
      </c>
      <c r="M172" s="38">
        <f>'2023'!N174</f>
        <v>252.82</v>
      </c>
      <c r="N172" s="27">
        <f t="shared" si="68"/>
        <v>252.82</v>
      </c>
      <c r="O172" s="38">
        <f>'2023'!P174</f>
        <v>124.80000000000001</v>
      </c>
      <c r="P172" s="27">
        <f t="shared" si="69"/>
        <v>129.79200000000003</v>
      </c>
      <c r="Q172" s="27">
        <f t="shared" si="70"/>
        <v>325367.43871999998</v>
      </c>
      <c r="R172" s="27">
        <f t="shared" si="71"/>
        <v>307206.39350000001</v>
      </c>
      <c r="S172" s="27">
        <f t="shared" si="72"/>
        <v>310095.27272799989</v>
      </c>
      <c r="T172" s="27">
        <f t="shared" si="73"/>
        <v>310095.27272799989</v>
      </c>
      <c r="U172" s="27">
        <f t="shared" si="60"/>
        <v>1252764.3776759997</v>
      </c>
      <c r="V172" s="119"/>
      <c r="W172" s="119"/>
      <c r="X172" s="119"/>
      <c r="Y172" s="29">
        <f t="shared" si="66"/>
        <v>100</v>
      </c>
      <c r="Z172" s="30">
        <f t="shared" si="67"/>
        <v>104</v>
      </c>
      <c r="AA172" s="2"/>
      <c r="AD172" s="32">
        <f t="shared" si="61"/>
        <v>0</v>
      </c>
      <c r="AE172" s="91"/>
      <c r="AF172" s="92"/>
    </row>
    <row r="173" spans="1:32" s="40" customFormat="1" ht="51" customHeight="1">
      <c r="A173" s="33" t="s">
        <v>238</v>
      </c>
      <c r="B173" s="34" t="s">
        <v>239</v>
      </c>
      <c r="C173" s="35" t="s">
        <v>223</v>
      </c>
      <c r="D173" s="33" t="s">
        <v>240</v>
      </c>
      <c r="E173" s="33"/>
      <c r="F173" s="25" t="s">
        <v>428</v>
      </c>
      <c r="G173" s="36" t="s">
        <v>375</v>
      </c>
      <c r="H173" s="26">
        <f>'2023'!H175</f>
        <v>3094.4479999999999</v>
      </c>
      <c r="I173" s="26">
        <f>'2023'!I175</f>
        <v>3158.902</v>
      </c>
      <c r="J173" s="26">
        <f>'2023'!J175</f>
        <v>3606.0220000000004</v>
      </c>
      <c r="K173" s="26">
        <f>'2023'!K175</f>
        <v>3433.1729999999998</v>
      </c>
      <c r="L173" s="26">
        <f t="shared" si="59"/>
        <v>13292.545000000002</v>
      </c>
      <c r="M173" s="38">
        <f>'2023'!N175</f>
        <v>137.29</v>
      </c>
      <c r="N173" s="27">
        <f t="shared" si="68"/>
        <v>137.29</v>
      </c>
      <c r="O173" s="38">
        <f>'2023'!P175</f>
        <v>95.68</v>
      </c>
      <c r="P173" s="27">
        <f t="shared" si="69"/>
        <v>99.507200000000012</v>
      </c>
      <c r="Q173" s="27">
        <f t="shared" si="70"/>
        <v>128759.98127999995</v>
      </c>
      <c r="R173" s="27">
        <f t="shared" si="71"/>
        <v>131441.91221999997</v>
      </c>
      <c r="S173" s="27">
        <f t="shared" si="72"/>
        <v>136245.60802159994</v>
      </c>
      <c r="T173" s="27">
        <f t="shared" si="73"/>
        <v>129714.88882439992</v>
      </c>
      <c r="U173" s="27">
        <f t="shared" si="60"/>
        <v>526162.39034599974</v>
      </c>
      <c r="V173" s="119"/>
      <c r="W173" s="119"/>
      <c r="X173" s="119"/>
      <c r="Y173" s="29">
        <f t="shared" si="66"/>
        <v>100</v>
      </c>
      <c r="Z173" s="30">
        <f t="shared" si="67"/>
        <v>104</v>
      </c>
      <c r="AA173" s="2"/>
      <c r="AD173" s="32">
        <f t="shared" si="61"/>
        <v>0</v>
      </c>
      <c r="AE173" s="91"/>
      <c r="AF173" s="92"/>
    </row>
    <row r="174" spans="1:32" s="40" customFormat="1" ht="51" customHeight="1">
      <c r="A174" s="33">
        <v>2923005900</v>
      </c>
      <c r="B174" s="34" t="s">
        <v>241</v>
      </c>
      <c r="C174" s="35" t="s">
        <v>223</v>
      </c>
      <c r="D174" s="33" t="s">
        <v>242</v>
      </c>
      <c r="E174" s="33"/>
      <c r="F174" s="25" t="s">
        <v>428</v>
      </c>
      <c r="G174" s="36"/>
      <c r="H174" s="26">
        <f>'2023'!H176</f>
        <v>9199.3000000000011</v>
      </c>
      <c r="I174" s="26">
        <f>'2023'!I176</f>
        <v>10958.849999999999</v>
      </c>
      <c r="J174" s="26">
        <f>'2023'!J176</f>
        <v>9177.7000000000007</v>
      </c>
      <c r="K174" s="26">
        <f>'2023'!K176</f>
        <v>7908</v>
      </c>
      <c r="L174" s="26">
        <f t="shared" si="59"/>
        <v>37243.850000000006</v>
      </c>
      <c r="M174" s="38">
        <f>'2023'!N176</f>
        <v>83.01</v>
      </c>
      <c r="N174" s="27">
        <f t="shared" si="68"/>
        <v>83.01</v>
      </c>
      <c r="O174" s="38">
        <f>'2023'!P176</f>
        <v>66.2376</v>
      </c>
      <c r="P174" s="27">
        <f t="shared" si="69"/>
        <v>68.887104000000008</v>
      </c>
      <c r="Q174" s="27">
        <f t="shared" si="70"/>
        <v>154294.33932000006</v>
      </c>
      <c r="R174" s="27">
        <f t="shared" si="71"/>
        <v>183806.21574000001</v>
      </c>
      <c r="S174" s="27">
        <f t="shared" si="72"/>
        <v>129615.70261919999</v>
      </c>
      <c r="T174" s="27">
        <f t="shared" si="73"/>
        <v>111683.86156799998</v>
      </c>
      <c r="U174" s="27">
        <f t="shared" si="60"/>
        <v>579400.11924719997</v>
      </c>
      <c r="V174" s="119"/>
      <c r="W174" s="119"/>
      <c r="X174" s="119"/>
      <c r="Y174" s="29">
        <f t="shared" si="66"/>
        <v>100</v>
      </c>
      <c r="Z174" s="30">
        <f t="shared" si="67"/>
        <v>104</v>
      </c>
      <c r="AA174" s="2"/>
      <c r="AD174" s="32">
        <f t="shared" si="61"/>
        <v>0</v>
      </c>
      <c r="AE174" s="91"/>
      <c r="AF174" s="92"/>
    </row>
    <row r="175" spans="1:32" s="40" customFormat="1" ht="15" customHeight="1">
      <c r="A175" s="33"/>
      <c r="B175" s="34"/>
      <c r="C175" s="35"/>
      <c r="D175" s="33"/>
      <c r="E175" s="33"/>
      <c r="F175" s="36"/>
      <c r="G175" s="36"/>
      <c r="H175" s="26"/>
      <c r="I175" s="26"/>
      <c r="J175" s="26"/>
      <c r="K175" s="26"/>
      <c r="L175" s="37"/>
      <c r="M175" s="41"/>
      <c r="N175" s="41"/>
      <c r="O175" s="41"/>
      <c r="P175" s="41"/>
      <c r="Q175" s="27"/>
      <c r="R175" s="27"/>
      <c r="S175" s="27"/>
      <c r="T175" s="27"/>
      <c r="U175" s="27"/>
      <c r="V175" s="119"/>
      <c r="W175" s="119"/>
      <c r="X175" s="119"/>
      <c r="Y175" s="29" t="e">
        <f t="shared" si="66"/>
        <v>#DIV/0!</v>
      </c>
      <c r="Z175" s="30" t="e">
        <f t="shared" si="67"/>
        <v>#DIV/0!</v>
      </c>
      <c r="AA175" s="2"/>
      <c r="AD175" s="32" t="e">
        <f t="shared" si="61"/>
        <v>#DIV/0!</v>
      </c>
      <c r="AE175" s="91"/>
      <c r="AF175" s="92"/>
    </row>
    <row r="176" spans="1:32" s="40" customFormat="1" ht="52.5" customHeight="1">
      <c r="A176" s="33" t="s">
        <v>243</v>
      </c>
      <c r="B176" s="34" t="s">
        <v>244</v>
      </c>
      <c r="C176" s="35" t="s">
        <v>245</v>
      </c>
      <c r="D176" s="33" t="s">
        <v>246</v>
      </c>
      <c r="E176" s="33"/>
      <c r="F176" s="25" t="s">
        <v>428</v>
      </c>
      <c r="G176" s="36"/>
      <c r="H176" s="26">
        <f>'2023'!H178</f>
        <v>3777.61</v>
      </c>
      <c r="I176" s="26">
        <f>'2023'!I178</f>
        <v>3713.67</v>
      </c>
      <c r="J176" s="26">
        <f>'2023'!J178</f>
        <v>3714.5560000000005</v>
      </c>
      <c r="K176" s="26">
        <f>'2023'!K178</f>
        <v>3603.4500000000003</v>
      </c>
      <c r="L176" s="26">
        <f t="shared" si="59"/>
        <v>14809.286000000002</v>
      </c>
      <c r="M176" s="38">
        <f>'2023'!N178</f>
        <v>91.84</v>
      </c>
      <c r="N176" s="27">
        <f>M176</f>
        <v>91.84</v>
      </c>
      <c r="O176" s="38">
        <f>'2023'!P178</f>
        <v>40.4</v>
      </c>
      <c r="P176" s="27">
        <f>O176*1.04</f>
        <v>42.015999999999998</v>
      </c>
      <c r="Q176" s="27">
        <f>(M176-O176)*H176</f>
        <v>194320.25840000002</v>
      </c>
      <c r="R176" s="27">
        <f>(M176-O176)*I176</f>
        <v>191031.18480000002</v>
      </c>
      <c r="S176" s="27">
        <f>(N176-P176)*J176</f>
        <v>185074.03814400005</v>
      </c>
      <c r="T176" s="27">
        <f>(N176-P176)*K176</f>
        <v>179538.29280000002</v>
      </c>
      <c r="U176" s="27">
        <f t="shared" si="60"/>
        <v>749963.77414400014</v>
      </c>
      <c r="V176" s="119"/>
      <c r="W176" s="119"/>
      <c r="X176" s="119"/>
      <c r="Y176" s="29">
        <f t="shared" si="66"/>
        <v>100</v>
      </c>
      <c r="Z176" s="30">
        <f t="shared" si="67"/>
        <v>104</v>
      </c>
      <c r="AA176" s="2"/>
      <c r="AD176" s="32">
        <f t="shared" si="61"/>
        <v>0</v>
      </c>
      <c r="AE176" s="91"/>
      <c r="AF176" s="92"/>
    </row>
    <row r="177" spans="1:32" s="40" customFormat="1" ht="15" customHeight="1">
      <c r="A177" s="33"/>
      <c r="B177" s="34"/>
      <c r="C177" s="35"/>
      <c r="D177" s="33"/>
      <c r="E177" s="33"/>
      <c r="F177" s="36"/>
      <c r="G177" s="36"/>
      <c r="H177" s="26"/>
      <c r="I177" s="26"/>
      <c r="J177" s="26"/>
      <c r="K177" s="26"/>
      <c r="L177" s="37"/>
      <c r="M177" s="41"/>
      <c r="N177" s="41"/>
      <c r="O177" s="41"/>
      <c r="P177" s="41"/>
      <c r="Q177" s="27"/>
      <c r="R177" s="27"/>
      <c r="S177" s="27"/>
      <c r="T177" s="27"/>
      <c r="U177" s="27"/>
      <c r="V177" s="119"/>
      <c r="W177" s="119"/>
      <c r="X177" s="119"/>
      <c r="Y177" s="29" t="e">
        <f t="shared" si="66"/>
        <v>#DIV/0!</v>
      </c>
      <c r="Z177" s="30" t="e">
        <f t="shared" si="67"/>
        <v>#DIV/0!</v>
      </c>
      <c r="AA177" s="2"/>
      <c r="AD177" s="32" t="e">
        <f t="shared" si="61"/>
        <v>#DIV/0!</v>
      </c>
      <c r="AE177" s="91"/>
      <c r="AF177" s="92"/>
    </row>
    <row r="178" spans="1:32" s="31" customFormat="1" ht="56.25" customHeight="1">
      <c r="A178" s="33" t="s">
        <v>247</v>
      </c>
      <c r="B178" s="34" t="s">
        <v>248</v>
      </c>
      <c r="C178" s="35" t="s">
        <v>19</v>
      </c>
      <c r="D178" s="33" t="s">
        <v>20</v>
      </c>
      <c r="E178" s="33"/>
      <c r="F178" s="36" t="s">
        <v>429</v>
      </c>
      <c r="G178" s="36"/>
      <c r="H178" s="26">
        <f>'2023'!H180</f>
        <v>1376.885</v>
      </c>
      <c r="I178" s="26">
        <f>'2023'!I180</f>
        <v>1226.385</v>
      </c>
      <c r="J178" s="26">
        <f>'2023'!J180</f>
        <v>864.10400000000004</v>
      </c>
      <c r="K178" s="26">
        <f>'2023'!K180</f>
        <v>1017.549</v>
      </c>
      <c r="L178" s="26">
        <f t="shared" si="59"/>
        <v>4484.9229999999998</v>
      </c>
      <c r="M178" s="38">
        <f>M8</f>
        <v>95.63</v>
      </c>
      <c r="N178" s="38">
        <f>N8</f>
        <v>95.63</v>
      </c>
      <c r="O178" s="38">
        <f>O8</f>
        <v>34.721107199999999</v>
      </c>
      <c r="P178" s="38">
        <f>P8</f>
        <v>36.109951488</v>
      </c>
      <c r="Q178" s="27">
        <f>(M178-O178)*H178</f>
        <v>83864.540862927999</v>
      </c>
      <c r="R178" s="27">
        <f>(M178-O178)*I178</f>
        <v>74697.752496528003</v>
      </c>
      <c r="S178" s="27">
        <f>(N178-P178)*J178</f>
        <v>51431.511999413247</v>
      </c>
      <c r="T178" s="27">
        <f>(N178-P178)*K178</f>
        <v>60564.565843337085</v>
      </c>
      <c r="U178" s="27">
        <f t="shared" si="60"/>
        <v>270558.37120220636</v>
      </c>
      <c r="V178" s="38"/>
      <c r="W178" s="38"/>
      <c r="X178" s="38"/>
      <c r="Y178" s="29">
        <f t="shared" si="66"/>
        <v>100</v>
      </c>
      <c r="Z178" s="30">
        <f t="shared" si="67"/>
        <v>104</v>
      </c>
      <c r="AA178" s="54"/>
      <c r="AD178" s="32">
        <f t="shared" si="61"/>
        <v>0</v>
      </c>
      <c r="AE178" s="91"/>
      <c r="AF178" s="92"/>
    </row>
    <row r="179" spans="1:32" s="31" customFormat="1" ht="56.25" customHeight="1">
      <c r="A179" s="33">
        <v>3525369837</v>
      </c>
      <c r="B179" s="34" t="s">
        <v>250</v>
      </c>
      <c r="C179" s="35" t="s">
        <v>19</v>
      </c>
      <c r="D179" s="33" t="s">
        <v>20</v>
      </c>
      <c r="E179" s="33"/>
      <c r="F179" s="36" t="s">
        <v>429</v>
      </c>
      <c r="G179" s="36" t="s">
        <v>412</v>
      </c>
      <c r="H179" s="26">
        <f>'2023'!H181</f>
        <v>1950</v>
      </c>
      <c r="I179" s="26">
        <f>'2023'!I181</f>
        <v>1950</v>
      </c>
      <c r="J179" s="26">
        <f>'2023'!J181</f>
        <v>1950</v>
      </c>
      <c r="K179" s="26">
        <f>'2023'!K181</f>
        <v>1950</v>
      </c>
      <c r="L179" s="26">
        <f t="shared" si="59"/>
        <v>7800</v>
      </c>
      <c r="M179" s="38">
        <f>M178</f>
        <v>95.63</v>
      </c>
      <c r="N179" s="38">
        <f>N178</f>
        <v>95.63</v>
      </c>
      <c r="O179" s="38">
        <f>O178</f>
        <v>34.721107199999999</v>
      </c>
      <c r="P179" s="38">
        <f>P178</f>
        <v>36.109951488</v>
      </c>
      <c r="Q179" s="27">
        <f>(M179-O179)*H179</f>
        <v>118772.34095999999</v>
      </c>
      <c r="R179" s="27">
        <f>(M179-O179)*I179</f>
        <v>118772.34095999999</v>
      </c>
      <c r="S179" s="27">
        <f>(N179-P179)*J179</f>
        <v>116064.09459839998</v>
      </c>
      <c r="T179" s="27">
        <f>(N179-P179)*K179</f>
        <v>116064.09459839998</v>
      </c>
      <c r="U179" s="27">
        <f t="shared" si="60"/>
        <v>469672.87111679994</v>
      </c>
      <c r="V179" s="38"/>
      <c r="W179" s="38"/>
      <c r="X179" s="38"/>
      <c r="Y179" s="29">
        <f t="shared" si="66"/>
        <v>100</v>
      </c>
      <c r="Z179" s="30">
        <f t="shared" si="67"/>
        <v>104</v>
      </c>
      <c r="AA179" s="54"/>
      <c r="AD179" s="32">
        <f t="shared" si="61"/>
        <v>0</v>
      </c>
      <c r="AE179" s="91"/>
      <c r="AF179" s="92"/>
    </row>
    <row r="180" spans="1:32" s="40" customFormat="1" ht="15" customHeight="1">
      <c r="A180" s="33"/>
      <c r="B180" s="34"/>
      <c r="C180" s="35"/>
      <c r="D180" s="33"/>
      <c r="E180" s="33"/>
      <c r="F180" s="36"/>
      <c r="G180" s="36"/>
      <c r="H180" s="26"/>
      <c r="I180" s="26"/>
      <c r="J180" s="26"/>
      <c r="K180" s="26"/>
      <c r="L180" s="37"/>
      <c r="M180" s="41"/>
      <c r="N180" s="41"/>
      <c r="O180" s="41"/>
      <c r="P180" s="41"/>
      <c r="Q180" s="27"/>
      <c r="R180" s="27"/>
      <c r="S180" s="27"/>
      <c r="T180" s="27"/>
      <c r="U180" s="27"/>
      <c r="V180" s="119"/>
      <c r="W180" s="119"/>
      <c r="X180" s="119"/>
      <c r="Y180" s="29" t="e">
        <f t="shared" si="66"/>
        <v>#DIV/0!</v>
      </c>
      <c r="Z180" s="30" t="e">
        <f t="shared" si="67"/>
        <v>#DIV/0!</v>
      </c>
      <c r="AA180" s="2"/>
      <c r="AD180" s="32" t="e">
        <f t="shared" si="61"/>
        <v>#DIV/0!</v>
      </c>
      <c r="AE180" s="91"/>
      <c r="AF180" s="92"/>
    </row>
    <row r="181" spans="1:32" s="40" customFormat="1" ht="56.25" customHeight="1">
      <c r="A181" s="33">
        <v>2924005075</v>
      </c>
      <c r="B181" s="34" t="s">
        <v>262</v>
      </c>
      <c r="C181" s="35" t="s">
        <v>303</v>
      </c>
      <c r="D181" s="33" t="s">
        <v>377</v>
      </c>
      <c r="E181" s="33"/>
      <c r="F181" s="36" t="s">
        <v>429</v>
      </c>
      <c r="G181" s="36" t="s">
        <v>410</v>
      </c>
      <c r="H181" s="26">
        <f>'2023'!H183</f>
        <v>5594</v>
      </c>
      <c r="I181" s="26">
        <f>'2023'!I183</f>
        <v>5594</v>
      </c>
      <c r="J181" s="26">
        <f>'2023'!J183</f>
        <v>5594</v>
      </c>
      <c r="K181" s="26">
        <f>'2023'!K183</f>
        <v>5594</v>
      </c>
      <c r="L181" s="26">
        <f t="shared" si="59"/>
        <v>22376</v>
      </c>
      <c r="M181" s="38">
        <f>'2023'!N183</f>
        <v>146.19</v>
      </c>
      <c r="N181" s="27">
        <v>159.63947999999999</v>
      </c>
      <c r="O181" s="38">
        <f>'2023'!P183</f>
        <v>39.07</v>
      </c>
      <c r="P181" s="27">
        <f>O181*1.04</f>
        <v>40.632800000000003</v>
      </c>
      <c r="Q181" s="27">
        <f>(M181-O181)*H181</f>
        <v>599229.28</v>
      </c>
      <c r="R181" s="27">
        <f>(M181-O181)*I181</f>
        <v>599229.28</v>
      </c>
      <c r="S181" s="27">
        <f>(N181-P181)*J181</f>
        <v>665723.36791999999</v>
      </c>
      <c r="T181" s="27">
        <f>(N181-P181)*K181</f>
        <v>665723.36791999999</v>
      </c>
      <c r="U181" s="27">
        <f t="shared" si="60"/>
        <v>2529905.2958400003</v>
      </c>
      <c r="V181" s="27"/>
      <c r="W181" s="119"/>
      <c r="X181" s="119"/>
      <c r="Y181" s="29">
        <f t="shared" si="66"/>
        <v>109.19999999999999</v>
      </c>
      <c r="Z181" s="30">
        <f t="shared" si="67"/>
        <v>104</v>
      </c>
      <c r="AA181" s="2"/>
      <c r="AD181" s="32">
        <f t="shared" si="61"/>
        <v>0</v>
      </c>
      <c r="AE181" s="91"/>
      <c r="AF181" s="92"/>
    </row>
    <row r="182" spans="1:32" s="40" customFormat="1" ht="15" customHeight="1">
      <c r="A182" s="33"/>
      <c r="B182" s="34"/>
      <c r="C182" s="35"/>
      <c r="D182" s="33"/>
      <c r="E182" s="33"/>
      <c r="F182" s="36"/>
      <c r="G182" s="36"/>
      <c r="H182" s="26"/>
      <c r="I182" s="26"/>
      <c r="J182" s="26"/>
      <c r="K182" s="26"/>
      <c r="L182" s="37"/>
      <c r="M182" s="41"/>
      <c r="N182" s="41"/>
      <c r="O182" s="41"/>
      <c r="P182" s="41"/>
      <c r="Q182" s="27"/>
      <c r="R182" s="27"/>
      <c r="S182" s="27"/>
      <c r="T182" s="27"/>
      <c r="U182" s="27"/>
      <c r="V182" s="119"/>
      <c r="W182" s="119"/>
      <c r="X182" s="119"/>
      <c r="Y182" s="29" t="e">
        <f t="shared" si="66"/>
        <v>#DIV/0!</v>
      </c>
      <c r="Z182" s="30" t="e">
        <f t="shared" si="67"/>
        <v>#DIV/0!</v>
      </c>
      <c r="AA182" s="2"/>
      <c r="AD182" s="32" t="e">
        <f t="shared" si="61"/>
        <v>#DIV/0!</v>
      </c>
      <c r="AE182" s="91"/>
      <c r="AF182" s="92"/>
    </row>
    <row r="183" spans="1:32" s="40" customFormat="1" ht="91.5" customHeight="1">
      <c r="A183" s="33" t="s">
        <v>99</v>
      </c>
      <c r="B183" s="34" t="s">
        <v>100</v>
      </c>
      <c r="C183" s="35" t="s">
        <v>62</v>
      </c>
      <c r="D183" s="33" t="s">
        <v>290</v>
      </c>
      <c r="E183" s="33"/>
      <c r="F183" s="36" t="s">
        <v>429</v>
      </c>
      <c r="G183" s="36"/>
      <c r="H183" s="26">
        <f>'2023'!H185</f>
        <v>19213.143</v>
      </c>
      <c r="I183" s="26">
        <f>'2023'!I185</f>
        <v>16702.169999999998</v>
      </c>
      <c r="J183" s="26">
        <f>'2023'!J185</f>
        <v>15035.05</v>
      </c>
      <c r="K183" s="26">
        <f>'2023'!K185</f>
        <v>18069.759999999998</v>
      </c>
      <c r="L183" s="26">
        <f t="shared" si="59"/>
        <v>69020.122999999992</v>
      </c>
      <c r="M183" s="38">
        <f>'2023'!N185</f>
        <v>361.20540966334778</v>
      </c>
      <c r="N183" s="38">
        <v>361.20540966334778</v>
      </c>
      <c r="O183" s="38">
        <f>'2023'!P185</f>
        <v>37.527838400000007</v>
      </c>
      <c r="P183" s="27">
        <f>O183*1.04</f>
        <v>39.028951936000006</v>
      </c>
      <c r="Q183" s="27">
        <f>(M183-O183)*H183</f>
        <v>6218863.4625753919</v>
      </c>
      <c r="R183" s="27">
        <f>(M183-O183)*I183</f>
        <v>5406117.8204275491</v>
      </c>
      <c r="S183" s="27">
        <f>(N183-P183)*J183</f>
        <v>4843939.1507535605</v>
      </c>
      <c r="T183" s="27">
        <f>(N183-P183)*K183</f>
        <v>5821651.2687833197</v>
      </c>
      <c r="U183" s="27">
        <f t="shared" si="60"/>
        <v>22290571.70253982</v>
      </c>
      <c r="V183" s="119"/>
      <c r="W183" s="119"/>
      <c r="X183" s="119"/>
      <c r="Y183" s="29">
        <f t="shared" si="66"/>
        <v>100</v>
      </c>
      <c r="Z183" s="30">
        <f t="shared" si="67"/>
        <v>104</v>
      </c>
      <c r="AA183" s="2"/>
      <c r="AD183" s="32">
        <f t="shared" si="61"/>
        <v>0</v>
      </c>
      <c r="AE183" s="91"/>
      <c r="AF183" s="92"/>
    </row>
    <row r="184" spans="1:32" s="40" customFormat="1" ht="100.5" customHeight="1">
      <c r="A184" s="33" t="s">
        <v>99</v>
      </c>
      <c r="B184" s="34" t="s">
        <v>100</v>
      </c>
      <c r="C184" s="35" t="s">
        <v>62</v>
      </c>
      <c r="D184" s="33" t="s">
        <v>291</v>
      </c>
      <c r="E184" s="33"/>
      <c r="F184" s="36" t="s">
        <v>429</v>
      </c>
      <c r="G184" s="36"/>
      <c r="H184" s="26">
        <f>'2023'!H186</f>
        <v>59723.473999999995</v>
      </c>
      <c r="I184" s="26">
        <f>'2023'!I186</f>
        <v>53846.1</v>
      </c>
      <c r="J184" s="26">
        <f>'2023'!J186</f>
        <v>48471.49</v>
      </c>
      <c r="K184" s="26">
        <f>'2023'!K186</f>
        <v>58255.07</v>
      </c>
      <c r="L184" s="26">
        <f t="shared" si="59"/>
        <v>220296.13399999999</v>
      </c>
      <c r="M184" s="38">
        <f>'2023'!N186</f>
        <v>69.955476430864053</v>
      </c>
      <c r="N184" s="38">
        <v>84.579452199363999</v>
      </c>
      <c r="O184" s="38">
        <f>'2023'!P186</f>
        <v>37.527838400000007</v>
      </c>
      <c r="P184" s="27">
        <f>O184*1.04</f>
        <v>39.028951936000006</v>
      </c>
      <c r="Q184" s="27">
        <f>(M184-O184)*H184</f>
        <v>1936691.1968177198</v>
      </c>
      <c r="R184" s="27">
        <f>(M184-O184)*I184</f>
        <v>1746101.8401737085</v>
      </c>
      <c r="S184" s="27">
        <f>(N184-P184)*J184</f>
        <v>2207900.6180106453</v>
      </c>
      <c r="T184" s="27">
        <f>(N184-P184)*K184</f>
        <v>2653547.5813772879</v>
      </c>
      <c r="U184" s="27">
        <f t="shared" si="60"/>
        <v>8544241.2363793626</v>
      </c>
      <c r="V184" s="119"/>
      <c r="W184" s="119"/>
      <c r="X184" s="119"/>
      <c r="Y184" s="29"/>
      <c r="Z184" s="30"/>
      <c r="AA184" s="2"/>
      <c r="AD184" s="32"/>
      <c r="AE184" s="91"/>
      <c r="AF184" s="92"/>
    </row>
    <row r="185" spans="1:32" s="40" customFormat="1" ht="15" customHeight="1">
      <c r="A185" s="33"/>
      <c r="B185" s="34"/>
      <c r="C185" s="35"/>
      <c r="D185" s="33"/>
      <c r="E185" s="33"/>
      <c r="F185" s="36"/>
      <c r="G185" s="36"/>
      <c r="H185" s="26"/>
      <c r="I185" s="26"/>
      <c r="J185" s="26"/>
      <c r="K185" s="26"/>
      <c r="L185" s="37"/>
      <c r="M185" s="41"/>
      <c r="N185" s="41"/>
      <c r="O185" s="41"/>
      <c r="P185" s="41"/>
      <c r="Q185" s="27"/>
      <c r="R185" s="27"/>
      <c r="S185" s="27"/>
      <c r="T185" s="27"/>
      <c r="U185" s="27"/>
      <c r="V185" s="119"/>
      <c r="W185" s="119"/>
      <c r="X185" s="119"/>
      <c r="Y185" s="29" t="e">
        <f>N185/M185*100</f>
        <v>#DIV/0!</v>
      </c>
      <c r="Z185" s="30" t="e">
        <f>P185/O185*100</f>
        <v>#DIV/0!</v>
      </c>
      <c r="AA185" s="2"/>
      <c r="AD185" s="32" t="e">
        <f t="shared" si="61"/>
        <v>#DIV/0!</v>
      </c>
      <c r="AE185" s="91"/>
      <c r="AF185" s="92"/>
    </row>
    <row r="186" spans="1:32" s="40" customFormat="1" ht="56.25" customHeight="1">
      <c r="A186" s="33" t="s">
        <v>60</v>
      </c>
      <c r="B186" s="34" t="s">
        <v>74</v>
      </c>
      <c r="C186" s="35" t="s">
        <v>75</v>
      </c>
      <c r="D186" s="33" t="s">
        <v>63</v>
      </c>
      <c r="E186" s="33"/>
      <c r="F186" s="36" t="s">
        <v>429</v>
      </c>
      <c r="G186" s="36"/>
      <c r="H186" s="26">
        <f>'2023'!H188</f>
        <v>5540.5379999999996</v>
      </c>
      <c r="I186" s="26">
        <f>'2023'!I188</f>
        <v>5201.7179999999998</v>
      </c>
      <c r="J186" s="26">
        <f>'2023'!J188</f>
        <v>4082.7219999999998</v>
      </c>
      <c r="K186" s="26">
        <f>'2023'!K188</f>
        <v>5101.8580000000002</v>
      </c>
      <c r="L186" s="26">
        <f t="shared" si="59"/>
        <v>19926.835999999999</v>
      </c>
      <c r="M186" s="45">
        <f>'2023'!N188</f>
        <v>58.84</v>
      </c>
      <c r="N186" s="45">
        <v>58.84</v>
      </c>
      <c r="O186" s="45">
        <f>'2023'!P188</f>
        <v>36.14</v>
      </c>
      <c r="P186" s="45">
        <v>37.585599999999999</v>
      </c>
      <c r="Q186" s="27">
        <f>(M186-O186)*H186</f>
        <v>125770.2126</v>
      </c>
      <c r="R186" s="27">
        <f t="shared" ref="R186:S188" si="74">(M186-O186)*I186</f>
        <v>118078.99860000001</v>
      </c>
      <c r="S186" s="27">
        <f t="shared" si="74"/>
        <v>86775.806476800004</v>
      </c>
      <c r="T186" s="27">
        <f>(N186-P186)*K186</f>
        <v>108436.93067520003</v>
      </c>
      <c r="U186" s="27">
        <f t="shared" si="60"/>
        <v>439061.94835200004</v>
      </c>
      <c r="V186" s="119"/>
      <c r="W186" s="119"/>
      <c r="X186" s="119"/>
      <c r="Y186" s="29">
        <f>N186/M186*100</f>
        <v>100</v>
      </c>
      <c r="Z186" s="30">
        <f>P186/O186*100</f>
        <v>104</v>
      </c>
      <c r="AA186" s="2"/>
      <c r="AD186" s="32">
        <f t="shared" si="61"/>
        <v>0</v>
      </c>
      <c r="AE186" s="91"/>
      <c r="AF186" s="92"/>
    </row>
    <row r="187" spans="1:32" s="40" customFormat="1" ht="56.25" customHeight="1">
      <c r="A187" s="33" t="s">
        <v>251</v>
      </c>
      <c r="B187" s="34" t="s">
        <v>252</v>
      </c>
      <c r="C187" s="35" t="s">
        <v>75</v>
      </c>
      <c r="D187" s="33" t="s">
        <v>253</v>
      </c>
      <c r="E187" s="33"/>
      <c r="F187" s="36" t="s">
        <v>429</v>
      </c>
      <c r="G187" s="36"/>
      <c r="H187" s="26">
        <f>'2023'!H189</f>
        <v>55614.073999999993</v>
      </c>
      <c r="I187" s="26">
        <f>'2023'!I189</f>
        <v>54048.392999999996</v>
      </c>
      <c r="J187" s="26">
        <f>'2023'!J189</f>
        <v>41338.046999999999</v>
      </c>
      <c r="K187" s="26">
        <f>'2023'!K189</f>
        <v>53245.422000000006</v>
      </c>
      <c r="L187" s="26">
        <f t="shared" si="59"/>
        <v>204245.93599999999</v>
      </c>
      <c r="M187" s="38">
        <v>58.84</v>
      </c>
      <c r="N187" s="38">
        <v>58.84</v>
      </c>
      <c r="O187" s="38">
        <v>36.14</v>
      </c>
      <c r="P187" s="38">
        <v>37.585599999999999</v>
      </c>
      <c r="Q187" s="27">
        <f>(M187-O187)*H187</f>
        <v>1262439.4798000001</v>
      </c>
      <c r="R187" s="27">
        <f t="shared" si="74"/>
        <v>1226898.5211</v>
      </c>
      <c r="S187" s="27">
        <f t="shared" si="74"/>
        <v>878615.38615680009</v>
      </c>
      <c r="T187" s="27">
        <f>(N187-P187)*K187</f>
        <v>1131699.4973568004</v>
      </c>
      <c r="U187" s="27">
        <f t="shared" si="60"/>
        <v>4499652.8844136009</v>
      </c>
      <c r="V187" s="119"/>
      <c r="W187" s="119"/>
      <c r="X187" s="119"/>
      <c r="Y187" s="29">
        <f>N187/M187*100</f>
        <v>100</v>
      </c>
      <c r="Z187" s="30">
        <f>P187/O187*100</f>
        <v>104</v>
      </c>
      <c r="AA187" s="2"/>
      <c r="AD187" s="32">
        <f t="shared" si="61"/>
        <v>0</v>
      </c>
      <c r="AE187" s="91"/>
      <c r="AF187" s="92"/>
    </row>
    <row r="188" spans="1:32" s="40" customFormat="1" ht="56.25" customHeight="1">
      <c r="A188" s="33" t="s">
        <v>251</v>
      </c>
      <c r="B188" s="34" t="s">
        <v>252</v>
      </c>
      <c r="C188" s="35" t="s">
        <v>75</v>
      </c>
      <c r="D188" s="33" t="s">
        <v>254</v>
      </c>
      <c r="E188" s="33"/>
      <c r="F188" s="36" t="s">
        <v>429</v>
      </c>
      <c r="G188" s="36"/>
      <c r="H188" s="26">
        <f>'2023'!H190</f>
        <v>27996.404000000002</v>
      </c>
      <c r="I188" s="26">
        <f>'2023'!I190</f>
        <v>27428.894999999997</v>
      </c>
      <c r="J188" s="26">
        <f>'2023'!J190</f>
        <v>20895.951999999997</v>
      </c>
      <c r="K188" s="26">
        <f>'2023'!K190</f>
        <v>26251.089999999997</v>
      </c>
      <c r="L188" s="26">
        <f t="shared" si="59"/>
        <v>102572.34099999999</v>
      </c>
      <c r="M188" s="38">
        <v>62.85441500000001</v>
      </c>
      <c r="N188" s="38">
        <v>62.85441500000001</v>
      </c>
      <c r="O188" s="38">
        <v>36.14</v>
      </c>
      <c r="P188" s="38">
        <v>37.585599999999999</v>
      </c>
      <c r="Q188" s="27">
        <f>(M188-O188)*H188</f>
        <v>747907.55496366031</v>
      </c>
      <c r="R188" s="27">
        <f t="shared" si="74"/>
        <v>732746.88402142515</v>
      </c>
      <c r="S188" s="27">
        <f t="shared" si="74"/>
        <v>528015.94533688016</v>
      </c>
      <c r="T188" s="27">
        <f>(N188-P188)*K188</f>
        <v>663333.93675835023</v>
      </c>
      <c r="U188" s="27">
        <f t="shared" si="60"/>
        <v>2672004.3210803159</v>
      </c>
      <c r="V188" s="119"/>
      <c r="W188" s="119"/>
      <c r="X188" s="119"/>
      <c r="Y188" s="29">
        <f>N188/M188*100</f>
        <v>100</v>
      </c>
      <c r="Z188" s="30">
        <f>P188/O188*100</f>
        <v>104</v>
      </c>
      <c r="AA188" s="2"/>
      <c r="AD188" s="32">
        <f t="shared" si="61"/>
        <v>0</v>
      </c>
      <c r="AE188" s="91"/>
      <c r="AF188" s="92"/>
    </row>
    <row r="189" spans="1:32" s="40" customFormat="1" ht="15" customHeight="1">
      <c r="A189" s="33"/>
      <c r="B189" s="34"/>
      <c r="C189" s="35"/>
      <c r="D189" s="33"/>
      <c r="E189" s="33"/>
      <c r="F189" s="36"/>
      <c r="G189" s="36"/>
      <c r="H189" s="26"/>
      <c r="I189" s="26"/>
      <c r="J189" s="26"/>
      <c r="K189" s="26"/>
      <c r="L189" s="37"/>
      <c r="M189" s="41"/>
      <c r="N189" s="41"/>
      <c r="O189" s="41"/>
      <c r="P189" s="41"/>
      <c r="Q189" s="27"/>
      <c r="R189" s="27"/>
      <c r="S189" s="27"/>
      <c r="T189" s="27"/>
      <c r="U189" s="27"/>
      <c r="V189" s="119"/>
      <c r="W189" s="119"/>
      <c r="X189" s="119"/>
      <c r="Y189" s="29" t="e">
        <f>N189/M189*100</f>
        <v>#DIV/0!</v>
      </c>
      <c r="Z189" s="30" t="e">
        <f>P189/O189*100</f>
        <v>#DIV/0!</v>
      </c>
      <c r="AA189" s="2"/>
      <c r="AD189" s="32" t="e">
        <f t="shared" si="61"/>
        <v>#DIV/0!</v>
      </c>
      <c r="AE189" s="91"/>
      <c r="AF189" s="92"/>
    </row>
    <row r="190" spans="1:32" s="40" customFormat="1" ht="56.25" customHeight="1">
      <c r="A190" s="33">
        <v>2912007007</v>
      </c>
      <c r="B190" s="34" t="s">
        <v>292</v>
      </c>
      <c r="C190" s="35" t="s">
        <v>86</v>
      </c>
      <c r="D190" s="33" t="s">
        <v>87</v>
      </c>
      <c r="E190" s="33"/>
      <c r="F190" s="36" t="s">
        <v>429</v>
      </c>
      <c r="G190" s="36" t="s">
        <v>409</v>
      </c>
      <c r="H190" s="26">
        <f>'2023'!H192</f>
        <v>2170.328</v>
      </c>
      <c r="I190" s="26">
        <f>'2023'!I192</f>
        <v>1527.2370000000001</v>
      </c>
      <c r="J190" s="26">
        <f>'2023'!J192</f>
        <v>772.62599999999998</v>
      </c>
      <c r="K190" s="26">
        <f>'2023'!K192</f>
        <v>1789.202</v>
      </c>
      <c r="L190" s="26">
        <f t="shared" si="59"/>
        <v>6259.393</v>
      </c>
      <c r="M190" s="38">
        <f>'2023'!N192</f>
        <v>61.899898181465936</v>
      </c>
      <c r="N190" s="27">
        <v>61.899898181465936</v>
      </c>
      <c r="O190" s="38">
        <f>'2023'!P192</f>
        <v>44.907200000000003</v>
      </c>
      <c r="P190" s="27">
        <f>O190*1.04</f>
        <v>46.703488000000007</v>
      </c>
      <c r="Q190" s="27">
        <f>(M190-O190)*H190</f>
        <v>36879.728658784596</v>
      </c>
      <c r="R190" s="27">
        <f>(M190-O190)*I190</f>
        <v>25951.877392567487</v>
      </c>
      <c r="S190" s="27">
        <f>(N190-P190)*J190</f>
        <v>11741.141612865295</v>
      </c>
      <c r="T190" s="27">
        <f>(N190-P190)*K190</f>
        <v>27189.447489499202</v>
      </c>
      <c r="U190" s="27">
        <f t="shared" si="60"/>
        <v>101762.19515371657</v>
      </c>
      <c r="V190" s="119"/>
      <c r="W190" s="119"/>
      <c r="X190" s="119"/>
      <c r="Y190" s="29"/>
      <c r="Z190" s="30"/>
      <c r="AA190" s="2"/>
      <c r="AD190" s="32"/>
      <c r="AE190" s="91"/>
      <c r="AF190" s="92"/>
    </row>
    <row r="191" spans="1:32" s="40" customFormat="1" ht="56.25" customHeight="1">
      <c r="A191" s="33" t="s">
        <v>60</v>
      </c>
      <c r="B191" s="34" t="s">
        <v>61</v>
      </c>
      <c r="C191" s="35" t="s">
        <v>86</v>
      </c>
      <c r="D191" s="33" t="s">
        <v>87</v>
      </c>
      <c r="E191" s="33"/>
      <c r="F191" s="36" t="s">
        <v>429</v>
      </c>
      <c r="G191" s="36"/>
      <c r="H191" s="26">
        <f>'2023'!H193</f>
        <v>161.33699999999999</v>
      </c>
      <c r="I191" s="26">
        <f>'2023'!I193</f>
        <v>135.376</v>
      </c>
      <c r="J191" s="26">
        <f>'2023'!J193</f>
        <v>116.188</v>
      </c>
      <c r="K191" s="26">
        <f>'2023'!K193</f>
        <v>123.98</v>
      </c>
      <c r="L191" s="26">
        <f t="shared" si="59"/>
        <v>536.88099999999997</v>
      </c>
      <c r="M191" s="38">
        <f>'2023'!N193</f>
        <v>54.992384506</v>
      </c>
      <c r="N191" s="27">
        <v>54.992384506</v>
      </c>
      <c r="O191" s="38">
        <f>'2023'!P193</f>
        <v>43.888000000000005</v>
      </c>
      <c r="P191" s="27">
        <f>O191*1.04</f>
        <v>45.643520000000009</v>
      </c>
      <c r="Q191" s="27">
        <f>(M191-O191)*H191</f>
        <v>1791.548083044521</v>
      </c>
      <c r="R191" s="27">
        <f>(M191-O191)*I191</f>
        <v>1503.2671568842554</v>
      </c>
      <c r="S191" s="27">
        <f>(N191-P191)*J191</f>
        <v>1086.2258692231269</v>
      </c>
      <c r="T191" s="27">
        <f>(N191-P191)*K191</f>
        <v>1159.0722214538789</v>
      </c>
      <c r="U191" s="27">
        <f t="shared" si="60"/>
        <v>5540.1133306057827</v>
      </c>
      <c r="V191" s="119"/>
      <c r="W191" s="119"/>
      <c r="X191" s="119"/>
      <c r="Y191" s="29">
        <f t="shared" ref="Y191:Y212" si="75">N191/M191*100</f>
        <v>100</v>
      </c>
      <c r="Z191" s="30">
        <f t="shared" ref="Z191:Z212" si="76">P191/O191*100</f>
        <v>104</v>
      </c>
      <c r="AA191" s="2"/>
      <c r="AD191" s="32">
        <f t="shared" si="61"/>
        <v>0</v>
      </c>
      <c r="AE191" s="91"/>
      <c r="AF191" s="92"/>
    </row>
    <row r="192" spans="1:32" s="40" customFormat="1" ht="15" customHeight="1">
      <c r="A192" s="33"/>
      <c r="B192" s="34"/>
      <c r="C192" s="35"/>
      <c r="D192" s="33"/>
      <c r="E192" s="33"/>
      <c r="F192" s="36"/>
      <c r="G192" s="36"/>
      <c r="H192" s="26"/>
      <c r="I192" s="26"/>
      <c r="J192" s="26"/>
      <c r="K192" s="26"/>
      <c r="L192" s="37"/>
      <c r="M192" s="41"/>
      <c r="N192" s="41"/>
      <c r="O192" s="41"/>
      <c r="P192" s="41"/>
      <c r="Q192" s="27"/>
      <c r="R192" s="27"/>
      <c r="S192" s="27"/>
      <c r="T192" s="27"/>
      <c r="U192" s="27"/>
      <c r="V192" s="119"/>
      <c r="W192" s="119"/>
      <c r="X192" s="119"/>
      <c r="Y192" s="29" t="e">
        <f t="shared" si="75"/>
        <v>#DIV/0!</v>
      </c>
      <c r="Z192" s="30" t="e">
        <f t="shared" si="76"/>
        <v>#DIV/0!</v>
      </c>
      <c r="AA192" s="2"/>
      <c r="AD192" s="32" t="e">
        <f t="shared" si="61"/>
        <v>#DIV/0!</v>
      </c>
      <c r="AE192" s="91"/>
      <c r="AF192" s="92"/>
    </row>
    <row r="193" spans="1:32" s="40" customFormat="1" ht="56.25" customHeight="1">
      <c r="A193" s="33">
        <v>2901294110</v>
      </c>
      <c r="B193" s="34" t="s">
        <v>294</v>
      </c>
      <c r="C193" s="35" t="s">
        <v>97</v>
      </c>
      <c r="D193" s="33" t="s">
        <v>104</v>
      </c>
      <c r="E193" s="33"/>
      <c r="F193" s="36" t="s">
        <v>429</v>
      </c>
      <c r="G193" s="36" t="s">
        <v>101</v>
      </c>
      <c r="H193" s="26">
        <f>'2023'!H195</f>
        <v>860.44399999999996</v>
      </c>
      <c r="I193" s="26">
        <f>'2023'!I195</f>
        <v>1207.7660000000001</v>
      </c>
      <c r="J193" s="26">
        <f>'2023'!J195</f>
        <v>849.58400000000006</v>
      </c>
      <c r="K193" s="26">
        <f>'2023'!K195</f>
        <v>874.54600000000005</v>
      </c>
      <c r="L193" s="26">
        <f t="shared" si="59"/>
        <v>3792.34</v>
      </c>
      <c r="M193" s="38">
        <v>160.49</v>
      </c>
      <c r="N193" s="27">
        <v>175.25508000000002</v>
      </c>
      <c r="O193" s="38">
        <v>89.263199999999998</v>
      </c>
      <c r="P193" s="27">
        <v>92.833728000000008</v>
      </c>
      <c r="Q193" s="27">
        <f>(M193-O193)*H193</f>
        <v>61286.672699200004</v>
      </c>
      <c r="R193" s="27">
        <f t="shared" ref="R193:S195" si="77">(M193-O193)*I193</f>
        <v>86025.307328800016</v>
      </c>
      <c r="S193" s="27">
        <f t="shared" si="77"/>
        <v>70023.861917568021</v>
      </c>
      <c r="T193" s="27">
        <f>(N193-P193)*K193</f>
        <v>72081.26370619201</v>
      </c>
      <c r="U193" s="27">
        <f t="shared" si="60"/>
        <v>289417.10565176007</v>
      </c>
      <c r="V193" s="119"/>
      <c r="W193" s="119"/>
      <c r="X193" s="119"/>
      <c r="Y193" s="29">
        <f t="shared" si="75"/>
        <v>109.2</v>
      </c>
      <c r="Z193" s="30">
        <f t="shared" si="76"/>
        <v>104</v>
      </c>
      <c r="AA193" s="2"/>
      <c r="AD193" s="32">
        <f t="shared" si="61"/>
        <v>0</v>
      </c>
      <c r="AE193" s="91"/>
      <c r="AF193" s="92"/>
    </row>
    <row r="194" spans="1:32" s="40" customFormat="1" ht="56.25" customHeight="1">
      <c r="A194" s="33">
        <v>2901294110</v>
      </c>
      <c r="B194" s="34" t="s">
        <v>294</v>
      </c>
      <c r="C194" s="35" t="s">
        <v>97</v>
      </c>
      <c r="D194" s="33" t="s">
        <v>255</v>
      </c>
      <c r="E194" s="33"/>
      <c r="F194" s="36" t="s">
        <v>429</v>
      </c>
      <c r="G194" s="36" t="s">
        <v>293</v>
      </c>
      <c r="H194" s="26">
        <f>'2023'!H196</f>
        <v>1337.848</v>
      </c>
      <c r="I194" s="26">
        <f>'2023'!I196</f>
        <v>1100.518</v>
      </c>
      <c r="J194" s="26">
        <f>'2023'!J196</f>
        <v>1016.353</v>
      </c>
      <c r="K194" s="26">
        <f>'2023'!K196</f>
        <v>1056.6399999999999</v>
      </c>
      <c r="L194" s="26">
        <f t="shared" si="59"/>
        <v>4511.3590000000004</v>
      </c>
      <c r="M194" s="38">
        <v>210.29</v>
      </c>
      <c r="N194" s="27">
        <v>210.29</v>
      </c>
      <c r="O194" s="38">
        <v>80.74560000000001</v>
      </c>
      <c r="P194" s="27">
        <v>83.975424000000018</v>
      </c>
      <c r="Q194" s="27">
        <f>(M194-O194)*H194</f>
        <v>173310.71645119999</v>
      </c>
      <c r="R194" s="27">
        <f t="shared" si="77"/>
        <v>142565.94399920001</v>
      </c>
      <c r="S194" s="27">
        <f t="shared" si="77"/>
        <v>128380.19826132797</v>
      </c>
      <c r="T194" s="27">
        <f>(N194-P194)*K194</f>
        <v>133469.03358463995</v>
      </c>
      <c r="U194" s="27">
        <f t="shared" si="60"/>
        <v>577725.89229636791</v>
      </c>
      <c r="V194" s="119"/>
      <c r="W194" s="119"/>
      <c r="X194" s="119"/>
      <c r="Y194" s="29">
        <f t="shared" si="75"/>
        <v>100</v>
      </c>
      <c r="Z194" s="30">
        <f t="shared" si="76"/>
        <v>104</v>
      </c>
      <c r="AA194" s="116"/>
      <c r="AD194" s="32">
        <f t="shared" si="61"/>
        <v>0</v>
      </c>
      <c r="AE194" s="91"/>
      <c r="AF194" s="92"/>
    </row>
    <row r="195" spans="1:32" s="40" customFormat="1" ht="56.25" customHeight="1">
      <c r="A195" s="33">
        <v>2901294110</v>
      </c>
      <c r="B195" s="34" t="s">
        <v>294</v>
      </c>
      <c r="C195" s="35" t="s">
        <v>97</v>
      </c>
      <c r="D195" s="33" t="s">
        <v>295</v>
      </c>
      <c r="E195" s="33"/>
      <c r="F195" s="36" t="s">
        <v>429</v>
      </c>
      <c r="G195" s="36" t="s">
        <v>293</v>
      </c>
      <c r="H195" s="26">
        <f>'2023'!H197</f>
        <v>4589.1759999999995</v>
      </c>
      <c r="I195" s="26">
        <f>'2023'!I197</f>
        <v>4859.7780000000002</v>
      </c>
      <c r="J195" s="26">
        <f>'2023'!J197</f>
        <v>3754.3440000000001</v>
      </c>
      <c r="K195" s="26">
        <f>'2023'!K197</f>
        <v>3871.1950000000002</v>
      </c>
      <c r="L195" s="26">
        <f t="shared" si="59"/>
        <v>17074.492999999999</v>
      </c>
      <c r="M195" s="38">
        <v>210.29</v>
      </c>
      <c r="N195" s="27">
        <v>210.29</v>
      </c>
      <c r="O195" s="38">
        <v>68.026399999999995</v>
      </c>
      <c r="P195" s="27">
        <v>70.747456</v>
      </c>
      <c r="Q195" s="27">
        <f>(M195-O195)*H195</f>
        <v>652872.69879359996</v>
      </c>
      <c r="R195" s="27">
        <f t="shared" si="77"/>
        <v>691369.51348079997</v>
      </c>
      <c r="S195" s="27">
        <f t="shared" si="77"/>
        <v>523890.71281113598</v>
      </c>
      <c r="T195" s="27">
        <f>(N195-P195)*K195</f>
        <v>540196.39862007997</v>
      </c>
      <c r="U195" s="27">
        <f t="shared" si="60"/>
        <v>2408329.3237056159</v>
      </c>
      <c r="V195" s="119"/>
      <c r="W195" s="119"/>
      <c r="X195" s="119"/>
      <c r="Y195" s="29">
        <f t="shared" si="75"/>
        <v>100</v>
      </c>
      <c r="Z195" s="30">
        <f t="shared" si="76"/>
        <v>104</v>
      </c>
      <c r="AA195" s="116"/>
      <c r="AD195" s="32">
        <f t="shared" si="61"/>
        <v>0</v>
      </c>
      <c r="AE195" s="91"/>
      <c r="AF195" s="92"/>
    </row>
    <row r="196" spans="1:32" s="96" customFormat="1" ht="15" customHeight="1">
      <c r="A196" s="33"/>
      <c r="B196" s="34"/>
      <c r="C196" s="35"/>
      <c r="D196" s="33"/>
      <c r="E196" s="33"/>
      <c r="F196" s="36"/>
      <c r="G196" s="36"/>
      <c r="H196" s="26"/>
      <c r="I196" s="26"/>
      <c r="J196" s="26"/>
      <c r="K196" s="26"/>
      <c r="L196" s="37"/>
      <c r="M196" s="41"/>
      <c r="N196" s="41"/>
      <c r="O196" s="41"/>
      <c r="P196" s="41"/>
      <c r="Q196" s="27"/>
      <c r="R196" s="27"/>
      <c r="S196" s="27"/>
      <c r="T196" s="27"/>
      <c r="U196" s="27"/>
      <c r="V196" s="129"/>
      <c r="W196" s="129"/>
      <c r="X196" s="129"/>
      <c r="Y196" s="29" t="e">
        <f t="shared" si="75"/>
        <v>#DIV/0!</v>
      </c>
      <c r="Z196" s="30" t="e">
        <f t="shared" si="76"/>
        <v>#DIV/0!</v>
      </c>
      <c r="AA196" s="116"/>
      <c r="AD196" s="32" t="e">
        <f t="shared" si="61"/>
        <v>#DIV/0!</v>
      </c>
      <c r="AE196" s="91"/>
      <c r="AF196" s="92"/>
    </row>
    <row r="197" spans="1:32" s="40" customFormat="1" ht="56.25" customHeight="1">
      <c r="A197" s="33" t="s">
        <v>116</v>
      </c>
      <c r="B197" s="34" t="s">
        <v>117</v>
      </c>
      <c r="C197" s="35" t="s">
        <v>113</v>
      </c>
      <c r="D197" s="33" t="s">
        <v>118</v>
      </c>
      <c r="E197" s="33"/>
      <c r="F197" s="36" t="s">
        <v>429</v>
      </c>
      <c r="G197" s="36"/>
      <c r="H197" s="26">
        <f>'2023'!H199</f>
        <v>2537.6400000000003</v>
      </c>
      <c r="I197" s="26">
        <f>'2023'!I199</f>
        <v>2517.4139999999998</v>
      </c>
      <c r="J197" s="26">
        <f>'2023'!J199</f>
        <v>2610.3009999999999</v>
      </c>
      <c r="K197" s="26">
        <f>'2023'!K199</f>
        <v>2462.4870000000001</v>
      </c>
      <c r="L197" s="26">
        <f t="shared" si="59"/>
        <v>10127.842000000001</v>
      </c>
      <c r="M197" s="38">
        <f>M84</f>
        <v>71.23</v>
      </c>
      <c r="N197" s="38">
        <f>N84</f>
        <v>71.23</v>
      </c>
      <c r="O197" s="38">
        <f>O84</f>
        <v>23.92</v>
      </c>
      <c r="P197" s="27">
        <f>O197*1.04</f>
        <v>24.876800000000003</v>
      </c>
      <c r="Q197" s="27">
        <f>(M197-O197)*H197</f>
        <v>120055.74840000003</v>
      </c>
      <c r="R197" s="27">
        <f>(M197-O197)*I197</f>
        <v>119098.85634</v>
      </c>
      <c r="S197" s="27">
        <f>(N197-P197)*J197</f>
        <v>120995.8043132</v>
      </c>
      <c r="T197" s="27">
        <f>(N197-P197)*K197</f>
        <v>114144.15240840001</v>
      </c>
      <c r="U197" s="27">
        <f t="shared" si="60"/>
        <v>474294.56146160007</v>
      </c>
      <c r="V197" s="119"/>
      <c r="W197" s="119"/>
      <c r="X197" s="119"/>
      <c r="Y197" s="29">
        <f t="shared" si="75"/>
        <v>100</v>
      </c>
      <c r="Z197" s="30">
        <f t="shared" si="76"/>
        <v>104</v>
      </c>
      <c r="AA197" s="2"/>
      <c r="AD197" s="32">
        <f t="shared" si="61"/>
        <v>0</v>
      </c>
      <c r="AE197" s="91"/>
      <c r="AF197" s="92"/>
    </row>
    <row r="198" spans="1:32" s="40" customFormat="1" ht="15" customHeight="1">
      <c r="A198" s="33"/>
      <c r="B198" s="34"/>
      <c r="C198" s="35"/>
      <c r="D198" s="33"/>
      <c r="E198" s="33"/>
      <c r="F198" s="36"/>
      <c r="G198" s="36"/>
      <c r="H198" s="26"/>
      <c r="I198" s="26"/>
      <c r="J198" s="26"/>
      <c r="K198" s="26"/>
      <c r="L198" s="37"/>
      <c r="M198" s="41"/>
      <c r="N198" s="41"/>
      <c r="O198" s="41"/>
      <c r="P198" s="41"/>
      <c r="Q198" s="27"/>
      <c r="R198" s="27"/>
      <c r="S198" s="27"/>
      <c r="T198" s="27"/>
      <c r="U198" s="27"/>
      <c r="V198" s="119"/>
      <c r="W198" s="119"/>
      <c r="X198" s="119"/>
      <c r="Y198" s="29" t="e">
        <f t="shared" si="75"/>
        <v>#DIV/0!</v>
      </c>
      <c r="Z198" s="30" t="e">
        <f t="shared" si="76"/>
        <v>#DIV/0!</v>
      </c>
      <c r="AA198" s="2"/>
      <c r="AD198" s="32" t="e">
        <f t="shared" si="61"/>
        <v>#DIV/0!</v>
      </c>
      <c r="AE198" s="91"/>
      <c r="AF198" s="92"/>
    </row>
    <row r="199" spans="1:32" s="40" customFormat="1" ht="56.25" customHeight="1">
      <c r="A199" s="33" t="s">
        <v>256</v>
      </c>
      <c r="B199" s="34" t="s">
        <v>257</v>
      </c>
      <c r="C199" s="35" t="s">
        <v>129</v>
      </c>
      <c r="D199" s="33" t="s">
        <v>130</v>
      </c>
      <c r="E199" s="33"/>
      <c r="F199" s="36" t="s">
        <v>429</v>
      </c>
      <c r="G199" s="36" t="s">
        <v>101</v>
      </c>
      <c r="H199" s="26">
        <f>'2023'!H201</f>
        <v>25439.89</v>
      </c>
      <c r="I199" s="26">
        <f>'2023'!I201</f>
        <v>18022.539999999997</v>
      </c>
      <c r="J199" s="26">
        <f>'2023'!J201</f>
        <v>5647.29</v>
      </c>
      <c r="K199" s="26">
        <f>'2023'!K201</f>
        <v>19628.623</v>
      </c>
      <c r="L199" s="26">
        <f t="shared" si="59"/>
        <v>68738.342999999993</v>
      </c>
      <c r="M199" s="38">
        <f>'2023'!N201</f>
        <v>98.436191000000008</v>
      </c>
      <c r="N199" s="27">
        <f>M199</f>
        <v>98.436191000000008</v>
      </c>
      <c r="O199" s="38">
        <f>'2023'!P201</f>
        <v>49.608000000000004</v>
      </c>
      <c r="P199" s="27">
        <f>O199*1.04</f>
        <v>51.592320000000008</v>
      </c>
      <c r="Q199" s="27">
        <f>(M199-O199)*H199</f>
        <v>1242183.8079389902</v>
      </c>
      <c r="R199" s="27">
        <f t="shared" ref="R199:S201" si="78">(M199-O199)*I199</f>
        <v>880008.02542513993</v>
      </c>
      <c r="S199" s="27">
        <f t="shared" si="78"/>
        <v>264540.92425958999</v>
      </c>
      <c r="T199" s="27">
        <f>(N199-P199)*K199</f>
        <v>919480.68371963303</v>
      </c>
      <c r="U199" s="27">
        <f t="shared" si="60"/>
        <v>3306213.4413433531</v>
      </c>
      <c r="V199" s="119"/>
      <c r="W199" s="119"/>
      <c r="X199" s="119"/>
      <c r="Y199" s="29">
        <f t="shared" si="75"/>
        <v>100</v>
      </c>
      <c r="Z199" s="30">
        <f t="shared" si="76"/>
        <v>104</v>
      </c>
      <c r="AA199" s="2"/>
      <c r="AD199" s="32">
        <f t="shared" si="61"/>
        <v>0</v>
      </c>
      <c r="AE199" s="91"/>
      <c r="AF199" s="92"/>
    </row>
    <row r="200" spans="1:32" s="40" customFormat="1" ht="56.25" customHeight="1">
      <c r="A200" s="33" t="s">
        <v>60</v>
      </c>
      <c r="B200" s="34" t="s">
        <v>61</v>
      </c>
      <c r="C200" s="35" t="s">
        <v>129</v>
      </c>
      <c r="D200" s="33" t="s">
        <v>258</v>
      </c>
      <c r="E200" s="33"/>
      <c r="F200" s="36" t="s">
        <v>429</v>
      </c>
      <c r="G200" s="36"/>
      <c r="H200" s="26">
        <f>'2023'!H202</f>
        <v>622.02099999999996</v>
      </c>
      <c r="I200" s="26">
        <f>'2023'!I202</f>
        <v>483.65099999999995</v>
      </c>
      <c r="J200" s="26">
        <f>'2023'!J202</f>
        <v>545.42200000000003</v>
      </c>
      <c r="K200" s="26">
        <f>'2023'!K202</f>
        <v>1007.8899999999999</v>
      </c>
      <c r="L200" s="26">
        <f t="shared" si="59"/>
        <v>2658.9839999999999</v>
      </c>
      <c r="M200" s="38">
        <f>'2023'!N202</f>
        <v>54.992384506</v>
      </c>
      <c r="N200" s="27">
        <v>54.992384506</v>
      </c>
      <c r="O200" s="38">
        <f>'2023'!P202</f>
        <v>45.24</v>
      </c>
      <c r="P200" s="27">
        <v>47.049600000000005</v>
      </c>
      <c r="Q200" s="27">
        <f>(M200-O200)*H200</f>
        <v>6066.1879628066245</v>
      </c>
      <c r="R200" s="27">
        <f t="shared" si="78"/>
        <v>4716.7505187114048</v>
      </c>
      <c r="S200" s="27">
        <f t="shared" si="78"/>
        <v>4332.1694108315296</v>
      </c>
      <c r="T200" s="27">
        <f>(N200-P200)*K200</f>
        <v>8005.4530757523344</v>
      </c>
      <c r="U200" s="27">
        <f t="shared" si="60"/>
        <v>23120.560968101894</v>
      </c>
      <c r="V200" s="119"/>
      <c r="W200" s="119"/>
      <c r="X200" s="119"/>
      <c r="Y200" s="29">
        <f t="shared" si="75"/>
        <v>100</v>
      </c>
      <c r="Z200" s="30">
        <f t="shared" si="76"/>
        <v>104</v>
      </c>
      <c r="AA200" s="2"/>
      <c r="AD200" s="32">
        <f t="shared" si="61"/>
        <v>0</v>
      </c>
      <c r="AE200" s="91"/>
      <c r="AF200" s="92"/>
    </row>
    <row r="201" spans="1:32" s="40" customFormat="1" ht="56.25" customHeight="1">
      <c r="A201" s="33" t="s">
        <v>60</v>
      </c>
      <c r="B201" s="34" t="s">
        <v>61</v>
      </c>
      <c r="C201" s="35" t="s">
        <v>129</v>
      </c>
      <c r="D201" s="33" t="s">
        <v>259</v>
      </c>
      <c r="E201" s="33"/>
      <c r="F201" s="36" t="s">
        <v>429</v>
      </c>
      <c r="G201" s="36"/>
      <c r="H201" s="26">
        <f>'2023'!H203</f>
        <v>1542.2309999999998</v>
      </c>
      <c r="I201" s="26">
        <f>'2023'!I203</f>
        <v>1112.7450000000001</v>
      </c>
      <c r="J201" s="26">
        <f>'2023'!J203</f>
        <v>1228.5740000000001</v>
      </c>
      <c r="K201" s="26">
        <f>'2023'!K203</f>
        <v>1748.5060000000001</v>
      </c>
      <c r="L201" s="26">
        <f t="shared" si="59"/>
        <v>5632.0559999999996</v>
      </c>
      <c r="M201" s="38">
        <f>'2023'!N203</f>
        <v>98.436191000000008</v>
      </c>
      <c r="N201" s="27">
        <f>M201</f>
        <v>98.436191000000008</v>
      </c>
      <c r="O201" s="38">
        <f>'2023'!P203</f>
        <v>45.24</v>
      </c>
      <c r="P201" s="27">
        <f>O201*1.04</f>
        <v>47.049600000000005</v>
      </c>
      <c r="Q201" s="27">
        <f>(M201-O201)*H201</f>
        <v>82040.814842120992</v>
      </c>
      <c r="R201" s="27">
        <f t="shared" si="78"/>
        <v>59193.795554295015</v>
      </c>
      <c r="S201" s="27">
        <f t="shared" si="78"/>
        <v>63132.229651234004</v>
      </c>
      <c r="T201" s="27">
        <f>(N201-P201)*K201</f>
        <v>89849.762683046007</v>
      </c>
      <c r="U201" s="27">
        <f t="shared" si="60"/>
        <v>294216.60273069603</v>
      </c>
      <c r="V201" s="119"/>
      <c r="W201" s="119"/>
      <c r="X201" s="119"/>
      <c r="Y201" s="29">
        <f t="shared" si="75"/>
        <v>100</v>
      </c>
      <c r="Z201" s="30">
        <f t="shared" si="76"/>
        <v>104</v>
      </c>
      <c r="AA201" s="2"/>
      <c r="AD201" s="32">
        <f t="shared" si="61"/>
        <v>0</v>
      </c>
      <c r="AE201" s="91"/>
      <c r="AF201" s="92"/>
    </row>
    <row r="202" spans="1:32" s="40" customFormat="1" ht="15" customHeight="1">
      <c r="A202" s="33"/>
      <c r="B202" s="34"/>
      <c r="C202" s="35"/>
      <c r="D202" s="33"/>
      <c r="E202" s="33"/>
      <c r="F202" s="36"/>
      <c r="G202" s="36"/>
      <c r="H202" s="26"/>
      <c r="I202" s="26"/>
      <c r="J202" s="26"/>
      <c r="K202" s="26"/>
      <c r="L202" s="37"/>
      <c r="M202" s="41"/>
      <c r="N202" s="41"/>
      <c r="O202" s="41"/>
      <c r="P202" s="41"/>
      <c r="Q202" s="27"/>
      <c r="R202" s="27"/>
      <c r="S202" s="27"/>
      <c r="T202" s="27"/>
      <c r="U202" s="27"/>
      <c r="V202" s="119"/>
      <c r="W202" s="119"/>
      <c r="X202" s="119"/>
      <c r="Y202" s="29" t="e">
        <f t="shared" si="75"/>
        <v>#DIV/0!</v>
      </c>
      <c r="Z202" s="30" t="e">
        <f t="shared" si="76"/>
        <v>#DIV/0!</v>
      </c>
      <c r="AA202" s="2"/>
      <c r="AD202" s="32" t="e">
        <f t="shared" si="61"/>
        <v>#DIV/0!</v>
      </c>
      <c r="AE202" s="91"/>
      <c r="AF202" s="92"/>
    </row>
    <row r="203" spans="1:32" s="40" customFormat="1" ht="56.25" customHeight="1">
      <c r="A203" s="33" t="s">
        <v>260</v>
      </c>
      <c r="B203" s="34" t="s">
        <v>261</v>
      </c>
      <c r="C203" s="35" t="s">
        <v>134</v>
      </c>
      <c r="D203" s="33" t="s">
        <v>135</v>
      </c>
      <c r="E203" s="33"/>
      <c r="F203" s="36" t="s">
        <v>429</v>
      </c>
      <c r="G203" s="36"/>
      <c r="H203" s="26">
        <f>'2023'!H205</f>
        <v>3299.7670000000003</v>
      </c>
      <c r="I203" s="26">
        <f>'2023'!I205</f>
        <v>3256.8440000000001</v>
      </c>
      <c r="J203" s="26">
        <f>'2023'!J205</f>
        <v>2501.3560000000002</v>
      </c>
      <c r="K203" s="26">
        <f>'2023'!K205</f>
        <v>3050.0450000000001</v>
      </c>
      <c r="L203" s="26">
        <f t="shared" ref="L203:L263" si="79">H203+I203+J203+K203</f>
        <v>12108.012000000001</v>
      </c>
      <c r="M203" s="38">
        <f>'2023'!N205</f>
        <v>54.99</v>
      </c>
      <c r="N203" s="27">
        <f>M203*1.09</f>
        <v>59.939100000000003</v>
      </c>
      <c r="O203" s="38">
        <f>'2023'!P205</f>
        <v>45.24</v>
      </c>
      <c r="P203" s="27">
        <f>O203*1.04</f>
        <v>47.049600000000005</v>
      </c>
      <c r="Q203" s="27">
        <f>(M203-O203)*H203</f>
        <v>32172.728250000004</v>
      </c>
      <c r="R203" s="27">
        <f>(M203-O203)*I203</f>
        <v>31754.228999999999</v>
      </c>
      <c r="S203" s="27">
        <f>(N203-P203)*J203</f>
        <v>32241.228161999999</v>
      </c>
      <c r="T203" s="27">
        <f>(N203-P203)*K203</f>
        <v>39313.555027499999</v>
      </c>
      <c r="U203" s="27">
        <f t="shared" ref="U203:U266" si="80">Q203+R203+S203+T203</f>
        <v>135481.74043950002</v>
      </c>
      <c r="V203" s="119"/>
      <c r="W203" s="119"/>
      <c r="X203" s="119"/>
      <c r="Y203" s="29">
        <f t="shared" si="75"/>
        <v>109.00000000000001</v>
      </c>
      <c r="Z203" s="30">
        <f t="shared" si="76"/>
        <v>104</v>
      </c>
      <c r="AA203" s="2"/>
      <c r="AD203" s="32">
        <f t="shared" si="61"/>
        <v>0</v>
      </c>
      <c r="AE203" s="91"/>
      <c r="AF203" s="92"/>
    </row>
    <row r="204" spans="1:32" s="40" customFormat="1" ht="56.25" customHeight="1">
      <c r="A204" s="33" t="s">
        <v>60</v>
      </c>
      <c r="B204" s="34" t="s">
        <v>61</v>
      </c>
      <c r="C204" s="35" t="s">
        <v>134</v>
      </c>
      <c r="D204" s="33" t="s">
        <v>135</v>
      </c>
      <c r="E204" s="33"/>
      <c r="F204" s="36" t="s">
        <v>429</v>
      </c>
      <c r="G204" s="36"/>
      <c r="H204" s="26">
        <f>'2023'!H206</f>
        <v>25</v>
      </c>
      <c r="I204" s="26">
        <f>'2023'!I206</f>
        <v>23</v>
      </c>
      <c r="J204" s="26">
        <f>'2023'!J206</f>
        <v>3</v>
      </c>
      <c r="K204" s="26">
        <f>'2023'!K206</f>
        <v>2</v>
      </c>
      <c r="L204" s="26">
        <f t="shared" si="79"/>
        <v>53</v>
      </c>
      <c r="M204" s="38">
        <f>'2023'!N206</f>
        <v>54.992384506</v>
      </c>
      <c r="N204" s="27">
        <v>54.992384506</v>
      </c>
      <c r="O204" s="38">
        <f>'2023'!P206</f>
        <v>45.24</v>
      </c>
      <c r="P204" s="27">
        <f>O204*1.04</f>
        <v>47.049600000000005</v>
      </c>
      <c r="Q204" s="27">
        <f>(M204-O204)*H204</f>
        <v>243.80961264999996</v>
      </c>
      <c r="R204" s="27">
        <f>(M204-O204)*I204</f>
        <v>224.30484363799997</v>
      </c>
      <c r="S204" s="27">
        <f>(N204-P204)*J204</f>
        <v>23.828353517999986</v>
      </c>
      <c r="T204" s="27">
        <f>(N204-P204)*K204</f>
        <v>15.885569011999991</v>
      </c>
      <c r="U204" s="27">
        <f t="shared" si="80"/>
        <v>507.82837881799992</v>
      </c>
      <c r="V204" s="119"/>
      <c r="W204" s="119"/>
      <c r="X204" s="119"/>
      <c r="Y204" s="29">
        <f t="shared" si="75"/>
        <v>100</v>
      </c>
      <c r="Z204" s="30">
        <f t="shared" si="76"/>
        <v>104</v>
      </c>
      <c r="AA204" s="2"/>
      <c r="AD204" s="32">
        <f t="shared" si="61"/>
        <v>0</v>
      </c>
      <c r="AE204" s="91"/>
      <c r="AF204" s="92"/>
    </row>
    <row r="205" spans="1:32" s="40" customFormat="1" ht="15" customHeight="1">
      <c r="A205" s="33"/>
      <c r="B205" s="34"/>
      <c r="C205" s="35"/>
      <c r="D205" s="33"/>
      <c r="E205" s="33"/>
      <c r="F205" s="36"/>
      <c r="G205" s="36"/>
      <c r="H205" s="26"/>
      <c r="I205" s="26"/>
      <c r="J205" s="26"/>
      <c r="K205" s="26"/>
      <c r="L205" s="37"/>
      <c r="M205" s="41"/>
      <c r="N205" s="41"/>
      <c r="O205" s="41"/>
      <c r="P205" s="41"/>
      <c r="Q205" s="27"/>
      <c r="R205" s="27"/>
      <c r="S205" s="27"/>
      <c r="T205" s="27"/>
      <c r="U205" s="27"/>
      <c r="V205" s="119"/>
      <c r="W205" s="119"/>
      <c r="X205" s="119"/>
      <c r="Y205" s="29" t="e">
        <f t="shared" si="75"/>
        <v>#DIV/0!</v>
      </c>
      <c r="Z205" s="30" t="e">
        <f t="shared" si="76"/>
        <v>#DIV/0!</v>
      </c>
      <c r="AA205" s="2"/>
      <c r="AD205" s="32" t="e">
        <f t="shared" si="61"/>
        <v>#DIV/0!</v>
      </c>
      <c r="AE205" s="91"/>
      <c r="AF205" s="92"/>
    </row>
    <row r="206" spans="1:32" s="40" customFormat="1" ht="56.25" customHeight="1">
      <c r="A206" s="33" t="s">
        <v>60</v>
      </c>
      <c r="B206" s="34" t="s">
        <v>61</v>
      </c>
      <c r="C206" s="35" t="s">
        <v>343</v>
      </c>
      <c r="D206" s="33" t="s">
        <v>159</v>
      </c>
      <c r="E206" s="33"/>
      <c r="F206" s="36" t="s">
        <v>429</v>
      </c>
      <c r="G206" s="36"/>
      <c r="H206" s="26">
        <f>'2023'!H208</f>
        <v>1480.5049999999999</v>
      </c>
      <c r="I206" s="26">
        <f>'2023'!I208</f>
        <v>1475.07</v>
      </c>
      <c r="J206" s="26">
        <f>'2023'!J208</f>
        <v>1236.6559999999999</v>
      </c>
      <c r="K206" s="26">
        <f>'2023'!K208</f>
        <v>1922.84</v>
      </c>
      <c r="L206" s="26">
        <f t="shared" si="79"/>
        <v>6115.0709999999999</v>
      </c>
      <c r="M206" s="38">
        <f>'2023'!N208</f>
        <v>54.992384506</v>
      </c>
      <c r="N206" s="27">
        <v>54.992384506</v>
      </c>
      <c r="O206" s="38">
        <f>'2023'!P208</f>
        <v>32.968000000000004</v>
      </c>
      <c r="P206" s="27">
        <f>O206*1.04</f>
        <v>34.286720000000003</v>
      </c>
      <c r="Q206" s="27">
        <f>(M206-O206)*H206</f>
        <v>32607.211383055524</v>
      </c>
      <c r="R206" s="27">
        <f t="shared" ref="R206:S208" si="81">(M206-O206)*I206</f>
        <v>32487.508853265415</v>
      </c>
      <c r="S206" s="27">
        <f t="shared" si="81"/>
        <v>25605.784245331932</v>
      </c>
      <c r="T206" s="27">
        <f>(N206-P206)*K206</f>
        <v>39813.679938717032</v>
      </c>
      <c r="U206" s="27">
        <f t="shared" si="80"/>
        <v>130514.1844203699</v>
      </c>
      <c r="V206" s="119"/>
      <c r="W206" s="119"/>
      <c r="X206" s="119"/>
      <c r="Y206" s="29">
        <f t="shared" si="75"/>
        <v>100</v>
      </c>
      <c r="Z206" s="30">
        <f t="shared" si="76"/>
        <v>104</v>
      </c>
      <c r="AA206" s="2"/>
      <c r="AD206" s="32">
        <f t="shared" si="61"/>
        <v>0</v>
      </c>
      <c r="AE206" s="91"/>
      <c r="AF206" s="92"/>
    </row>
    <row r="207" spans="1:32" s="40" customFormat="1" ht="56.25" customHeight="1">
      <c r="A207" s="33">
        <v>2924005075</v>
      </c>
      <c r="B207" s="34" t="s">
        <v>262</v>
      </c>
      <c r="C207" s="35" t="s">
        <v>170</v>
      </c>
      <c r="D207" s="33" t="s">
        <v>263</v>
      </c>
      <c r="E207" s="33"/>
      <c r="F207" s="36" t="s">
        <v>429</v>
      </c>
      <c r="G207" s="36" t="s">
        <v>410</v>
      </c>
      <c r="H207" s="26">
        <f>'2023'!H209</f>
        <v>7155.25</v>
      </c>
      <c r="I207" s="26">
        <f>'2023'!I209</f>
        <v>7155.25</v>
      </c>
      <c r="J207" s="26">
        <f>'2023'!J209</f>
        <v>7155.25</v>
      </c>
      <c r="K207" s="26">
        <f>'2023'!K209</f>
        <v>7155.25</v>
      </c>
      <c r="L207" s="26">
        <f t="shared" si="79"/>
        <v>28621</v>
      </c>
      <c r="M207" s="38">
        <f>M130</f>
        <v>161.51</v>
      </c>
      <c r="N207" s="38">
        <f>N130</f>
        <v>161.51</v>
      </c>
      <c r="O207" s="38">
        <f t="shared" ref="O207:P207" si="82">O130</f>
        <v>26.16</v>
      </c>
      <c r="P207" s="38">
        <f t="shared" si="82"/>
        <v>27.2</v>
      </c>
      <c r="Q207" s="27">
        <f>(M207-O207)*H207</f>
        <v>968463.08749999991</v>
      </c>
      <c r="R207" s="27">
        <f t="shared" si="81"/>
        <v>968463.08749999991</v>
      </c>
      <c r="S207" s="27">
        <f t="shared" si="81"/>
        <v>961021.62750000006</v>
      </c>
      <c r="T207" s="27">
        <f>(N207-P207)*K207</f>
        <v>961021.62750000006</v>
      </c>
      <c r="U207" s="27">
        <f t="shared" si="80"/>
        <v>3858969.4299999997</v>
      </c>
      <c r="V207" s="27"/>
      <c r="W207" s="119"/>
      <c r="X207" s="119"/>
      <c r="Y207" s="29">
        <f t="shared" si="75"/>
        <v>100</v>
      </c>
      <c r="Z207" s="30">
        <f t="shared" si="76"/>
        <v>103.97553516819571</v>
      </c>
      <c r="AA207" s="2"/>
      <c r="AD207" s="32">
        <f t="shared" si="61"/>
        <v>2.4464831804294818E-2</v>
      </c>
      <c r="AE207" s="91"/>
      <c r="AF207" s="92"/>
    </row>
    <row r="208" spans="1:32" s="40" customFormat="1" ht="51.75" customHeight="1">
      <c r="A208" s="33" t="s">
        <v>58</v>
      </c>
      <c r="B208" s="34" t="s">
        <v>59</v>
      </c>
      <c r="C208" s="35" t="s">
        <v>203</v>
      </c>
      <c r="D208" s="33" t="s">
        <v>205</v>
      </c>
      <c r="E208" s="33"/>
      <c r="F208" s="36" t="s">
        <v>429</v>
      </c>
      <c r="G208" s="36"/>
      <c r="H208" s="26">
        <f>'2023'!H210</f>
        <v>21852.31</v>
      </c>
      <c r="I208" s="26">
        <f>'2023'!I210</f>
        <v>20238.400000000001</v>
      </c>
      <c r="J208" s="26">
        <f>'2023'!J210</f>
        <v>15062.009999999998</v>
      </c>
      <c r="K208" s="26">
        <f>'2023'!K210</f>
        <v>18169.57</v>
      </c>
      <c r="L208" s="26">
        <f t="shared" si="79"/>
        <v>75322.290000000008</v>
      </c>
      <c r="M208" s="38">
        <f>'2023'!N210</f>
        <v>104.17744077735614</v>
      </c>
      <c r="N208" s="27">
        <v>104.17744077735614</v>
      </c>
      <c r="O208" s="38">
        <f>'2023'!P210</f>
        <v>39.738400000000006</v>
      </c>
      <c r="P208" s="27">
        <f>O208*1.04</f>
        <v>41.327936000000008</v>
      </c>
      <c r="Q208" s="27">
        <f>(M208-O208)*H208</f>
        <v>1408141.8951694272</v>
      </c>
      <c r="R208" s="27">
        <f t="shared" si="81"/>
        <v>1304143.0828684443</v>
      </c>
      <c r="S208" s="27">
        <f t="shared" si="81"/>
        <v>946639.86945158569</v>
      </c>
      <c r="T208" s="27">
        <f>(N208-P208)*K208</f>
        <v>1141948.4765175066</v>
      </c>
      <c r="U208" s="27">
        <f t="shared" si="80"/>
        <v>4800873.3240069635</v>
      </c>
      <c r="V208" s="119"/>
      <c r="W208" s="119"/>
      <c r="X208" s="119"/>
      <c r="Y208" s="29">
        <f t="shared" si="75"/>
        <v>100</v>
      </c>
      <c r="Z208" s="30">
        <f t="shared" si="76"/>
        <v>104</v>
      </c>
      <c r="AA208" s="2"/>
      <c r="AD208" s="32">
        <f t="shared" si="61"/>
        <v>0</v>
      </c>
      <c r="AE208" s="91"/>
      <c r="AF208" s="92"/>
    </row>
    <row r="209" spans="1:32" s="40" customFormat="1" ht="15" customHeight="1">
      <c r="A209" s="33"/>
      <c r="B209" s="34"/>
      <c r="C209" s="34"/>
      <c r="D209" s="33"/>
      <c r="E209" s="33"/>
      <c r="F209" s="36"/>
      <c r="G209" s="36"/>
      <c r="H209" s="26"/>
      <c r="I209" s="26"/>
      <c r="J209" s="26"/>
      <c r="K209" s="26"/>
      <c r="L209" s="37"/>
      <c r="M209" s="41"/>
      <c r="N209" s="41"/>
      <c r="O209" s="41"/>
      <c r="P209" s="41"/>
      <c r="Q209" s="27"/>
      <c r="R209" s="27"/>
      <c r="S209" s="27"/>
      <c r="T209" s="27"/>
      <c r="U209" s="27"/>
      <c r="V209" s="119"/>
      <c r="W209" s="119"/>
      <c r="X209" s="119"/>
      <c r="Y209" s="29" t="e">
        <f t="shared" si="75"/>
        <v>#DIV/0!</v>
      </c>
      <c r="Z209" s="30" t="e">
        <f t="shared" si="76"/>
        <v>#DIV/0!</v>
      </c>
      <c r="AA209" s="2"/>
      <c r="AD209" s="32" t="e">
        <f t="shared" si="61"/>
        <v>#DIV/0!</v>
      </c>
      <c r="AE209" s="91"/>
      <c r="AF209" s="92"/>
    </row>
    <row r="210" spans="1:32" s="40" customFormat="1" ht="65.25" customHeight="1">
      <c r="A210" s="33" t="s">
        <v>64</v>
      </c>
      <c r="B210" s="34" t="s">
        <v>65</v>
      </c>
      <c r="C210" s="34" t="s">
        <v>66</v>
      </c>
      <c r="D210" s="33"/>
      <c r="E210" s="33"/>
      <c r="F210" s="36" t="s">
        <v>430</v>
      </c>
      <c r="G210" s="36"/>
      <c r="H210" s="26">
        <f>'2023'!H212</f>
        <v>167395.36599999998</v>
      </c>
      <c r="I210" s="26">
        <f>'2023'!I212</f>
        <v>163689.25200000001</v>
      </c>
      <c r="J210" s="26">
        <f>'2023'!J212</f>
        <v>164278.26199999999</v>
      </c>
      <c r="K210" s="26">
        <f>'2023'!K212</f>
        <v>160965.57800000001</v>
      </c>
      <c r="L210" s="26">
        <f t="shared" si="79"/>
        <v>656328.45799999998</v>
      </c>
      <c r="M210" s="38">
        <v>342.01181271867279</v>
      </c>
      <c r="N210" s="27">
        <v>342.01181271867279</v>
      </c>
      <c r="O210" s="38">
        <f>'2023'!P212</f>
        <v>34.0492256</v>
      </c>
      <c r="P210" s="27">
        <f>O210*1.04</f>
        <v>35.411194624000004</v>
      </c>
      <c r="Q210" s="27">
        <f>(M210-O210)*H210</f>
        <v>51551509.985037111</v>
      </c>
      <c r="R210" s="27">
        <f>(M210-O210)*I210</f>
        <v>50410165.529440388</v>
      </c>
      <c r="S210" s="27">
        <f>(N210-P210)*J210</f>
        <v>50367816.668718591</v>
      </c>
      <c r="T210" s="27">
        <f>(N210-P210)*K210</f>
        <v>49352145.706766263</v>
      </c>
      <c r="U210" s="27">
        <f t="shared" si="80"/>
        <v>201681637.88996232</v>
      </c>
      <c r="V210" s="119"/>
      <c r="W210" s="119"/>
      <c r="X210" s="119"/>
      <c r="Y210" s="29">
        <f t="shared" si="75"/>
        <v>100</v>
      </c>
      <c r="Z210" s="30">
        <f t="shared" si="76"/>
        <v>104</v>
      </c>
      <c r="AA210" s="2"/>
      <c r="AD210" s="32">
        <f t="shared" si="61"/>
        <v>0</v>
      </c>
      <c r="AE210" s="91"/>
      <c r="AF210" s="92"/>
    </row>
    <row r="211" spans="1:32" s="40" customFormat="1" ht="65.25" customHeight="1">
      <c r="A211" s="33" t="s">
        <v>67</v>
      </c>
      <c r="B211" s="34" t="s">
        <v>68</v>
      </c>
      <c r="C211" s="34" t="s">
        <v>66</v>
      </c>
      <c r="D211" s="33"/>
      <c r="E211" s="33"/>
      <c r="F211" s="36" t="s">
        <v>430</v>
      </c>
      <c r="G211" s="36"/>
      <c r="H211" s="26">
        <f>'2023'!H213</f>
        <v>3545099.22</v>
      </c>
      <c r="I211" s="26">
        <f>'2023'!I213</f>
        <v>3522720.2299999995</v>
      </c>
      <c r="J211" s="26">
        <f>'2023'!J213</f>
        <v>3303027.48</v>
      </c>
      <c r="K211" s="26">
        <f>'2023'!K213</f>
        <v>3610085.89</v>
      </c>
      <c r="L211" s="26">
        <f t="shared" si="79"/>
        <v>13980932.82</v>
      </c>
      <c r="M211" s="38">
        <v>73.260000000000005</v>
      </c>
      <c r="N211" s="27">
        <v>79.739999999999995</v>
      </c>
      <c r="O211" s="38">
        <f>'2023'!P213</f>
        <v>34.049600000000005</v>
      </c>
      <c r="P211" s="27">
        <f>O211*1.04</f>
        <v>35.411584000000005</v>
      </c>
      <c r="Q211" s="27">
        <f>(M211-O211)*H211</f>
        <v>139004758.455888</v>
      </c>
      <c r="R211" s="27">
        <f>(M211-O211)*I211</f>
        <v>138127269.30639198</v>
      </c>
      <c r="S211" s="27">
        <f>(N211-P211)*J211</f>
        <v>146417976.19287166</v>
      </c>
      <c r="T211" s="27">
        <f>(N211-P211)*K211</f>
        <v>160029389.1276502</v>
      </c>
      <c r="U211" s="27">
        <f t="shared" si="80"/>
        <v>583579393.08280182</v>
      </c>
      <c r="V211" s="119"/>
      <c r="W211" s="119"/>
      <c r="X211" s="119"/>
      <c r="Y211" s="29">
        <f t="shared" si="75"/>
        <v>108.84520884520883</v>
      </c>
      <c r="Z211" s="30">
        <f t="shared" si="76"/>
        <v>104</v>
      </c>
      <c r="AA211" s="2"/>
      <c r="AD211" s="32">
        <f t="shared" si="61"/>
        <v>0</v>
      </c>
      <c r="AE211" s="91"/>
      <c r="AF211" s="92"/>
    </row>
    <row r="212" spans="1:32" s="40" customFormat="1" ht="15" customHeight="1">
      <c r="A212" s="33"/>
      <c r="B212" s="34"/>
      <c r="C212" s="34"/>
      <c r="D212" s="33"/>
      <c r="E212" s="33"/>
      <c r="F212" s="36"/>
      <c r="G212" s="36"/>
      <c r="H212" s="26"/>
      <c r="I212" s="26"/>
      <c r="J212" s="26"/>
      <c r="K212" s="26"/>
      <c r="L212" s="37"/>
      <c r="M212" s="41"/>
      <c r="N212" s="41"/>
      <c r="O212" s="41"/>
      <c r="P212" s="41"/>
      <c r="Q212" s="27"/>
      <c r="R212" s="27"/>
      <c r="S212" s="27"/>
      <c r="T212" s="27"/>
      <c r="U212" s="27"/>
      <c r="V212" s="119"/>
      <c r="W212" s="119"/>
      <c r="X212" s="119"/>
      <c r="Y212" s="29" t="e">
        <f t="shared" si="75"/>
        <v>#DIV/0!</v>
      </c>
      <c r="Z212" s="30" t="e">
        <f t="shared" si="76"/>
        <v>#DIV/0!</v>
      </c>
      <c r="AA212" s="2"/>
      <c r="AD212" s="32" t="e">
        <f t="shared" si="61"/>
        <v>#DIV/0!</v>
      </c>
      <c r="AE212" s="91"/>
      <c r="AF212" s="92"/>
    </row>
    <row r="213" spans="1:32" s="31" customFormat="1" ht="51" customHeight="1">
      <c r="A213" s="33" t="s">
        <v>17</v>
      </c>
      <c r="B213" s="34" t="s">
        <v>18</v>
      </c>
      <c r="C213" s="35" t="s">
        <v>19</v>
      </c>
      <c r="D213" s="33" t="s">
        <v>20</v>
      </c>
      <c r="E213" s="33"/>
      <c r="F213" s="36" t="s">
        <v>430</v>
      </c>
      <c r="G213" s="36"/>
      <c r="H213" s="26">
        <f>'2023'!H215</f>
        <v>24937.691999999999</v>
      </c>
      <c r="I213" s="26">
        <f>'2023'!I215</f>
        <v>22286.188999999998</v>
      </c>
      <c r="J213" s="26">
        <f>'2023'!J215</f>
        <v>22618.842000000001</v>
      </c>
      <c r="K213" s="26">
        <f>'2023'!K215</f>
        <v>23671.221000000001</v>
      </c>
      <c r="L213" s="26">
        <f t="shared" si="79"/>
        <v>93513.944000000003</v>
      </c>
      <c r="M213" s="38">
        <f>'2023'!N215</f>
        <v>69.260000000000005</v>
      </c>
      <c r="N213" s="27">
        <v>69.260000000000005</v>
      </c>
      <c r="O213" s="38">
        <v>41.6</v>
      </c>
      <c r="P213" s="27">
        <f t="shared" ref="P213:P223" si="83">O213*1.04</f>
        <v>43.264000000000003</v>
      </c>
      <c r="Q213" s="27">
        <f t="shared" ref="Q213:Q223" si="84">(M213-O213)*H213</f>
        <v>689776.56072000007</v>
      </c>
      <c r="R213" s="27">
        <f t="shared" ref="R213:R223" si="85">(M213-O213)*I213</f>
        <v>616435.98774000001</v>
      </c>
      <c r="S213" s="27">
        <f t="shared" ref="S213:S223" si="86">(N213-P213)*J213</f>
        <v>587999.41663200001</v>
      </c>
      <c r="T213" s="27">
        <f t="shared" ref="T213:T223" si="87">(N213-P213)*K213</f>
        <v>615357.06111600006</v>
      </c>
      <c r="U213" s="27">
        <f t="shared" si="80"/>
        <v>2509569.0262080003</v>
      </c>
      <c r="V213" s="38"/>
      <c r="W213" s="38"/>
      <c r="X213" s="38"/>
      <c r="Y213" s="29"/>
      <c r="Z213" s="30"/>
      <c r="AA213" s="54"/>
      <c r="AD213" s="32"/>
      <c r="AE213" s="91"/>
      <c r="AF213" s="92"/>
    </row>
    <row r="214" spans="1:32" s="40" customFormat="1" ht="51" customHeight="1">
      <c r="A214" s="33" t="s">
        <v>24</v>
      </c>
      <c r="B214" s="34" t="s">
        <v>25</v>
      </c>
      <c r="C214" s="35" t="s">
        <v>19</v>
      </c>
      <c r="D214" s="33" t="s">
        <v>26</v>
      </c>
      <c r="E214" s="33"/>
      <c r="F214" s="36" t="s">
        <v>430</v>
      </c>
      <c r="G214" s="36"/>
      <c r="H214" s="26">
        <f>'2023'!H216</f>
        <v>150289.481</v>
      </c>
      <c r="I214" s="26">
        <f>'2023'!I216</f>
        <v>151856.83900000001</v>
      </c>
      <c r="J214" s="26">
        <f>'2023'!J216</f>
        <v>145797.49100000001</v>
      </c>
      <c r="K214" s="26">
        <f>'2023'!K216</f>
        <v>158009.63800000001</v>
      </c>
      <c r="L214" s="26">
        <f t="shared" si="79"/>
        <v>605953.44900000002</v>
      </c>
      <c r="M214" s="38">
        <f>'2023'!N216</f>
        <v>34.314399999999999</v>
      </c>
      <c r="N214" s="27">
        <v>34.314399999999999</v>
      </c>
      <c r="O214" s="38">
        <v>29.650400000000001</v>
      </c>
      <c r="P214" s="27">
        <f t="shared" si="83"/>
        <v>30.836416000000003</v>
      </c>
      <c r="Q214" s="27">
        <f t="shared" si="84"/>
        <v>700950.13938399963</v>
      </c>
      <c r="R214" s="27">
        <f t="shared" si="85"/>
        <v>708260.2970959997</v>
      </c>
      <c r="S214" s="27">
        <f t="shared" si="86"/>
        <v>507081.34093814343</v>
      </c>
      <c r="T214" s="27">
        <f t="shared" si="87"/>
        <v>549554.99280979135</v>
      </c>
      <c r="U214" s="27">
        <f t="shared" si="80"/>
        <v>2465846.7702279342</v>
      </c>
      <c r="V214" s="119"/>
      <c r="W214" s="119"/>
      <c r="X214" s="119"/>
      <c r="Y214" s="29">
        <f t="shared" ref="Y214:Y240" si="88">N214/M214*100</f>
        <v>100</v>
      </c>
      <c r="Z214" s="30">
        <f t="shared" ref="Z214:Z240" si="89">P214/O214*100</f>
        <v>104</v>
      </c>
      <c r="AA214" s="2"/>
      <c r="AD214" s="32">
        <f t="shared" ref="AD214:AD281" si="90">104-Z214</f>
        <v>0</v>
      </c>
      <c r="AE214" s="91"/>
      <c r="AF214" s="92"/>
    </row>
    <row r="215" spans="1:32" s="40" customFormat="1" ht="51" customHeight="1">
      <c r="A215" s="33" t="s">
        <v>24</v>
      </c>
      <c r="B215" s="34" t="s">
        <v>25</v>
      </c>
      <c r="C215" s="35" t="s">
        <v>19</v>
      </c>
      <c r="D215" s="33" t="s">
        <v>27</v>
      </c>
      <c r="E215" s="33"/>
      <c r="F215" s="36" t="s">
        <v>430</v>
      </c>
      <c r="G215" s="36"/>
      <c r="H215" s="26">
        <f>'2023'!H217</f>
        <v>298.73700000000002</v>
      </c>
      <c r="I215" s="26">
        <f>'2023'!I217</f>
        <v>293.81</v>
      </c>
      <c r="J215" s="26">
        <f>'2023'!J217</f>
        <v>246.79499999999999</v>
      </c>
      <c r="K215" s="26">
        <f>'2023'!K217</f>
        <v>345.76499999999999</v>
      </c>
      <c r="L215" s="26">
        <f t="shared" si="79"/>
        <v>1185.107</v>
      </c>
      <c r="M215" s="38">
        <f>'2023'!N217</f>
        <v>41.016799999999996</v>
      </c>
      <c r="N215" s="27">
        <v>41.016799999999996</v>
      </c>
      <c r="O215" s="38">
        <v>29.650400000000001</v>
      </c>
      <c r="P215" s="27">
        <f t="shared" si="83"/>
        <v>30.836416000000003</v>
      </c>
      <c r="Q215" s="27">
        <f t="shared" si="84"/>
        <v>3395.564236799999</v>
      </c>
      <c r="R215" s="27">
        <f t="shared" si="85"/>
        <v>3339.5619839999986</v>
      </c>
      <c r="S215" s="27">
        <f t="shared" si="86"/>
        <v>2512.467869279998</v>
      </c>
      <c r="T215" s="27">
        <f t="shared" si="87"/>
        <v>3520.0204737599975</v>
      </c>
      <c r="U215" s="27">
        <f t="shared" si="80"/>
        <v>12767.614563839992</v>
      </c>
      <c r="V215" s="119"/>
      <c r="W215" s="119"/>
      <c r="X215" s="119"/>
      <c r="Y215" s="29">
        <f t="shared" si="88"/>
        <v>100</v>
      </c>
      <c r="Z215" s="30">
        <f t="shared" si="89"/>
        <v>104</v>
      </c>
      <c r="AA215" s="2"/>
      <c r="AD215" s="32">
        <f t="shared" si="90"/>
        <v>0</v>
      </c>
      <c r="AE215" s="91"/>
      <c r="AF215" s="92"/>
    </row>
    <row r="216" spans="1:32" s="40" customFormat="1" ht="51" customHeight="1">
      <c r="A216" s="33" t="s">
        <v>24</v>
      </c>
      <c r="B216" s="34" t="s">
        <v>25</v>
      </c>
      <c r="C216" s="35" t="s">
        <v>19</v>
      </c>
      <c r="D216" s="33" t="s">
        <v>29</v>
      </c>
      <c r="E216" s="33"/>
      <c r="F216" s="36" t="s">
        <v>430</v>
      </c>
      <c r="G216" s="36"/>
      <c r="H216" s="26">
        <f>'2023'!H218</f>
        <v>2327.87</v>
      </c>
      <c r="I216" s="26">
        <f>'2023'!I218</f>
        <v>2050.34</v>
      </c>
      <c r="J216" s="26">
        <f>'2023'!J218</f>
        <v>2837.7</v>
      </c>
      <c r="K216" s="26">
        <f>'2023'!K218</f>
        <v>3009.6</v>
      </c>
      <c r="L216" s="26">
        <f t="shared" si="79"/>
        <v>10225.51</v>
      </c>
      <c r="M216" s="38">
        <f>'2023'!N218</f>
        <v>39.966600000000007</v>
      </c>
      <c r="N216" s="27">
        <v>39.966600000000007</v>
      </c>
      <c r="O216" s="38">
        <v>28.124095999999998</v>
      </c>
      <c r="P216" s="27">
        <f t="shared" si="83"/>
        <v>29.249059839999997</v>
      </c>
      <c r="Q216" s="27">
        <f t="shared" si="84"/>
        <v>27567.809786480018</v>
      </c>
      <c r="R216" s="27">
        <f t="shared" si="85"/>
        <v>24281.15965136002</v>
      </c>
      <c r="S216" s="27">
        <f t="shared" si="86"/>
        <v>30413.163712032023</v>
      </c>
      <c r="T216" s="27">
        <f t="shared" si="87"/>
        <v>32255.508865536027</v>
      </c>
      <c r="U216" s="27">
        <f t="shared" si="80"/>
        <v>114517.6420154081</v>
      </c>
      <c r="V216" s="119"/>
      <c r="W216" s="119"/>
      <c r="X216" s="119"/>
      <c r="Y216" s="29">
        <f t="shared" si="88"/>
        <v>100</v>
      </c>
      <c r="Z216" s="30">
        <f t="shared" si="89"/>
        <v>104</v>
      </c>
      <c r="AA216" s="2"/>
      <c r="AD216" s="32">
        <f t="shared" si="90"/>
        <v>0</v>
      </c>
      <c r="AE216" s="91"/>
      <c r="AF216" s="92"/>
    </row>
    <row r="217" spans="1:32" s="40" customFormat="1" ht="51" customHeight="1">
      <c r="A217" s="33" t="s">
        <v>24</v>
      </c>
      <c r="B217" s="34" t="s">
        <v>25</v>
      </c>
      <c r="C217" s="35" t="s">
        <v>19</v>
      </c>
      <c r="D217" s="33" t="s">
        <v>30</v>
      </c>
      <c r="E217" s="33"/>
      <c r="F217" s="36" t="s">
        <v>430</v>
      </c>
      <c r="G217" s="36"/>
      <c r="H217" s="26">
        <f>'2023'!H219</f>
        <v>1005.23</v>
      </c>
      <c r="I217" s="26">
        <f>'2023'!I219</f>
        <v>1301.1000000000001</v>
      </c>
      <c r="J217" s="26">
        <f>'2023'!J219</f>
        <v>1134.83</v>
      </c>
      <c r="K217" s="26">
        <f>'2023'!K219</f>
        <v>1053.03</v>
      </c>
      <c r="L217" s="26">
        <f t="shared" si="79"/>
        <v>4494.1899999999996</v>
      </c>
      <c r="M217" s="38">
        <f>'2023'!N219</f>
        <v>30.5974</v>
      </c>
      <c r="N217" s="27">
        <v>30.5974</v>
      </c>
      <c r="O217" s="38">
        <v>26.967200000000002</v>
      </c>
      <c r="P217" s="27">
        <f t="shared" si="83"/>
        <v>28.045888000000001</v>
      </c>
      <c r="Q217" s="27">
        <f t="shared" si="84"/>
        <v>3649.1859459999987</v>
      </c>
      <c r="R217" s="27">
        <f t="shared" si="85"/>
        <v>4723.2532199999987</v>
      </c>
      <c r="S217" s="27">
        <f t="shared" si="86"/>
        <v>2895.5323629599984</v>
      </c>
      <c r="T217" s="27">
        <f t="shared" si="87"/>
        <v>2686.8186813599987</v>
      </c>
      <c r="U217" s="27">
        <f t="shared" si="80"/>
        <v>13954.790210319994</v>
      </c>
      <c r="V217" s="119"/>
      <c r="W217" s="119"/>
      <c r="X217" s="119"/>
      <c r="Y217" s="29">
        <f t="shared" si="88"/>
        <v>100</v>
      </c>
      <c r="Z217" s="30">
        <f t="shared" si="89"/>
        <v>104</v>
      </c>
      <c r="AA217" s="2"/>
      <c r="AD217" s="32">
        <f t="shared" si="90"/>
        <v>0</v>
      </c>
      <c r="AE217" s="91"/>
      <c r="AF217" s="92"/>
    </row>
    <row r="218" spans="1:32" s="40" customFormat="1" ht="51" customHeight="1">
      <c r="A218" s="33" t="s">
        <v>24</v>
      </c>
      <c r="B218" s="34" t="s">
        <v>25</v>
      </c>
      <c r="C218" s="35" t="s">
        <v>19</v>
      </c>
      <c r="D218" s="33" t="s">
        <v>32</v>
      </c>
      <c r="E218" s="33"/>
      <c r="F218" s="36" t="s">
        <v>430</v>
      </c>
      <c r="G218" s="36"/>
      <c r="H218" s="26">
        <f>'2023'!H220</f>
        <v>2985.98</v>
      </c>
      <c r="I218" s="26">
        <f>'2023'!I220</f>
        <v>2784.09</v>
      </c>
      <c r="J218" s="26">
        <f>'2023'!J220</f>
        <v>3319.01</v>
      </c>
      <c r="K218" s="26">
        <f>'2023'!K220</f>
        <v>2857.1000000000004</v>
      </c>
      <c r="L218" s="26">
        <f t="shared" si="79"/>
        <v>11946.18</v>
      </c>
      <c r="M218" s="38">
        <f>'2023'!N220</f>
        <v>45.795800000000014</v>
      </c>
      <c r="N218" s="27">
        <v>45.795800000000014</v>
      </c>
      <c r="O218" s="38">
        <v>24.117600000000003</v>
      </c>
      <c r="P218" s="27">
        <f t="shared" si="83"/>
        <v>25.082304000000004</v>
      </c>
      <c r="Q218" s="27">
        <f t="shared" si="84"/>
        <v>64730.671636000036</v>
      </c>
      <c r="R218" s="27">
        <f t="shared" si="85"/>
        <v>60354.059838000037</v>
      </c>
      <c r="S218" s="27">
        <f t="shared" si="86"/>
        <v>68748.300358960041</v>
      </c>
      <c r="T218" s="27">
        <f t="shared" si="87"/>
        <v>59180.529421600033</v>
      </c>
      <c r="U218" s="27">
        <f t="shared" si="80"/>
        <v>253013.56125456013</v>
      </c>
      <c r="V218" s="119"/>
      <c r="W218" s="119"/>
      <c r="X218" s="119"/>
      <c r="Y218" s="29">
        <f t="shared" si="88"/>
        <v>100</v>
      </c>
      <c r="Z218" s="30">
        <f t="shared" si="89"/>
        <v>104</v>
      </c>
      <c r="AA218" s="2"/>
      <c r="AD218" s="32">
        <f t="shared" si="90"/>
        <v>0</v>
      </c>
      <c r="AE218" s="91"/>
      <c r="AF218" s="92"/>
    </row>
    <row r="219" spans="1:32" s="40" customFormat="1" ht="51" customHeight="1">
      <c r="A219" s="33" t="s">
        <v>24</v>
      </c>
      <c r="B219" s="34" t="s">
        <v>25</v>
      </c>
      <c r="C219" s="35" t="s">
        <v>19</v>
      </c>
      <c r="D219" s="33" t="s">
        <v>33</v>
      </c>
      <c r="E219" s="33"/>
      <c r="F219" s="36" t="s">
        <v>430</v>
      </c>
      <c r="G219" s="36"/>
      <c r="H219" s="26">
        <f>'2023'!H221</f>
        <v>2998.09</v>
      </c>
      <c r="I219" s="26">
        <f>'2023'!I221</f>
        <v>2799.13</v>
      </c>
      <c r="J219" s="26">
        <f>'2023'!J221</f>
        <v>4506.49</v>
      </c>
      <c r="K219" s="26">
        <f>'2023'!K221</f>
        <v>4411.7700000000004</v>
      </c>
      <c r="L219" s="26">
        <f t="shared" si="79"/>
        <v>14715.48</v>
      </c>
      <c r="M219" s="38">
        <f>'2023'!N221</f>
        <v>54.079400000000007</v>
      </c>
      <c r="N219" s="27">
        <v>54.079400000000007</v>
      </c>
      <c r="O219" s="38">
        <v>37.108938880000011</v>
      </c>
      <c r="P219" s="27">
        <f t="shared" si="83"/>
        <v>38.59329643520001</v>
      </c>
      <c r="Q219" s="27">
        <f t="shared" si="84"/>
        <v>50878.969779260791</v>
      </c>
      <c r="R219" s="27">
        <f t="shared" si="85"/>
        <v>47502.526834825592</v>
      </c>
      <c r="S219" s="27">
        <f t="shared" si="86"/>
        <v>69787.970853735533</v>
      </c>
      <c r="T219" s="27">
        <f t="shared" si="87"/>
        <v>68321.127124077684</v>
      </c>
      <c r="U219" s="27">
        <f t="shared" si="80"/>
        <v>236490.5945918996</v>
      </c>
      <c r="V219" s="119"/>
      <c r="W219" s="119"/>
      <c r="X219" s="119"/>
      <c r="Y219" s="29">
        <f t="shared" si="88"/>
        <v>100</v>
      </c>
      <c r="Z219" s="30">
        <f t="shared" si="89"/>
        <v>104</v>
      </c>
      <c r="AA219" s="2"/>
      <c r="AD219" s="32">
        <f t="shared" si="90"/>
        <v>0</v>
      </c>
      <c r="AE219" s="91"/>
      <c r="AF219" s="92"/>
    </row>
    <row r="220" spans="1:32" s="40" customFormat="1" ht="51" customHeight="1">
      <c r="A220" s="33" t="s">
        <v>24</v>
      </c>
      <c r="B220" s="34" t="s">
        <v>25</v>
      </c>
      <c r="C220" s="35" t="s">
        <v>19</v>
      </c>
      <c r="D220" s="33" t="s">
        <v>34</v>
      </c>
      <c r="E220" s="33"/>
      <c r="F220" s="36" t="s">
        <v>430</v>
      </c>
      <c r="G220" s="36"/>
      <c r="H220" s="26">
        <f>'2023'!H222</f>
        <v>1223.33</v>
      </c>
      <c r="I220" s="26">
        <f>'2023'!I222</f>
        <v>1397.67</v>
      </c>
      <c r="J220" s="26">
        <f>'2023'!J222</f>
        <v>1203.03</v>
      </c>
      <c r="K220" s="26">
        <f>'2023'!K222</f>
        <v>965.9</v>
      </c>
      <c r="L220" s="26">
        <f t="shared" si="79"/>
        <v>4789.9299999999994</v>
      </c>
      <c r="M220" s="38">
        <f>'2023'!N222</f>
        <v>56.109000000000009</v>
      </c>
      <c r="N220" s="27">
        <v>56.109000000000009</v>
      </c>
      <c r="O220" s="38">
        <v>45.760000000000005</v>
      </c>
      <c r="P220" s="27">
        <f t="shared" si="83"/>
        <v>47.59040000000001</v>
      </c>
      <c r="Q220" s="27">
        <f t="shared" si="84"/>
        <v>12660.242170000003</v>
      </c>
      <c r="R220" s="27">
        <f t="shared" si="85"/>
        <v>14464.486830000005</v>
      </c>
      <c r="S220" s="27">
        <f t="shared" si="86"/>
        <v>10248.131357999999</v>
      </c>
      <c r="T220" s="27">
        <f t="shared" si="87"/>
        <v>8228.1157399999993</v>
      </c>
      <c r="U220" s="27">
        <f t="shared" si="80"/>
        <v>45600.976098000006</v>
      </c>
      <c r="V220" s="119"/>
      <c r="W220" s="119"/>
      <c r="X220" s="119"/>
      <c r="Y220" s="29">
        <f t="shared" si="88"/>
        <v>100</v>
      </c>
      <c r="Z220" s="30">
        <f t="shared" si="89"/>
        <v>104</v>
      </c>
      <c r="AA220" s="2"/>
      <c r="AD220" s="32">
        <f t="shared" si="90"/>
        <v>0</v>
      </c>
      <c r="AE220" s="91"/>
      <c r="AF220" s="92"/>
    </row>
    <row r="221" spans="1:32" s="40" customFormat="1" ht="51" customHeight="1">
      <c r="A221" s="33" t="s">
        <v>24</v>
      </c>
      <c r="B221" s="34" t="s">
        <v>25</v>
      </c>
      <c r="C221" s="35" t="s">
        <v>19</v>
      </c>
      <c r="D221" s="33" t="s">
        <v>36</v>
      </c>
      <c r="E221" s="33"/>
      <c r="F221" s="36" t="s">
        <v>430</v>
      </c>
      <c r="G221" s="36"/>
      <c r="H221" s="26">
        <f>'2023'!H223</f>
        <v>222.73</v>
      </c>
      <c r="I221" s="26">
        <f>'2023'!I223</f>
        <v>197.07999999999998</v>
      </c>
      <c r="J221" s="26">
        <f>'2023'!J223</f>
        <v>266.67</v>
      </c>
      <c r="K221" s="26">
        <f>'2023'!K223</f>
        <v>258.89</v>
      </c>
      <c r="L221" s="26">
        <f t="shared" si="79"/>
        <v>945.37</v>
      </c>
      <c r="M221" s="38">
        <f>'2023'!N223</f>
        <v>85.797800000000009</v>
      </c>
      <c r="N221" s="27">
        <v>85.797800000000009</v>
      </c>
      <c r="O221" s="38">
        <v>25.735944000000003</v>
      </c>
      <c r="P221" s="27">
        <f t="shared" si="83"/>
        <v>26.765381760000004</v>
      </c>
      <c r="Q221" s="27">
        <f t="shared" si="84"/>
        <v>13377.57718688</v>
      </c>
      <c r="R221" s="27">
        <f t="shared" si="85"/>
        <v>11836.99058048</v>
      </c>
      <c r="S221" s="27">
        <f t="shared" si="86"/>
        <v>15742.174972060802</v>
      </c>
      <c r="T221" s="27">
        <f t="shared" si="87"/>
        <v>15282.902758153601</v>
      </c>
      <c r="U221" s="27">
        <f t="shared" si="80"/>
        <v>56239.645497574405</v>
      </c>
      <c r="V221" s="119"/>
      <c r="W221" s="119"/>
      <c r="X221" s="119"/>
      <c r="Y221" s="29">
        <f t="shared" si="88"/>
        <v>100</v>
      </c>
      <c r="Z221" s="30">
        <f t="shared" si="89"/>
        <v>104</v>
      </c>
      <c r="AA221" s="2"/>
      <c r="AD221" s="32">
        <f t="shared" si="90"/>
        <v>0</v>
      </c>
      <c r="AE221" s="91"/>
      <c r="AF221" s="92"/>
    </row>
    <row r="222" spans="1:32" s="40" customFormat="1" ht="51" customHeight="1">
      <c r="A222" s="33" t="s">
        <v>24</v>
      </c>
      <c r="B222" s="34" t="s">
        <v>25</v>
      </c>
      <c r="C222" s="35" t="s">
        <v>19</v>
      </c>
      <c r="D222" s="33" t="s">
        <v>37</v>
      </c>
      <c r="E222" s="33"/>
      <c r="F222" s="36" t="s">
        <v>430</v>
      </c>
      <c r="G222" s="36"/>
      <c r="H222" s="26">
        <f>'2023'!H224</f>
        <v>216.34</v>
      </c>
      <c r="I222" s="26">
        <f>'2023'!I224</f>
        <v>250.32</v>
      </c>
      <c r="J222" s="26">
        <f>'2023'!J224</f>
        <v>274.11</v>
      </c>
      <c r="K222" s="26">
        <f>'2023'!K224</f>
        <v>198.79000000000002</v>
      </c>
      <c r="L222" s="26">
        <f t="shared" si="79"/>
        <v>939.56</v>
      </c>
      <c r="M222" s="38">
        <f>'2023'!N224</f>
        <v>47.483200000000004</v>
      </c>
      <c r="N222" s="27">
        <v>47.483200000000004</v>
      </c>
      <c r="O222" s="38">
        <v>39.499199999999995</v>
      </c>
      <c r="P222" s="27">
        <f t="shared" si="83"/>
        <v>41.079167999999996</v>
      </c>
      <c r="Q222" s="27">
        <f t="shared" si="84"/>
        <v>1727.258560000002</v>
      </c>
      <c r="R222" s="27">
        <f t="shared" si="85"/>
        <v>1998.5548800000022</v>
      </c>
      <c r="S222" s="27">
        <f t="shared" si="86"/>
        <v>1755.4092115200024</v>
      </c>
      <c r="T222" s="27">
        <f t="shared" si="87"/>
        <v>1273.0575212800018</v>
      </c>
      <c r="U222" s="27">
        <f t="shared" si="80"/>
        <v>6754.2801728000086</v>
      </c>
      <c r="V222" s="119"/>
      <c r="W222" s="119"/>
      <c r="X222" s="119"/>
      <c r="Y222" s="29">
        <f t="shared" si="88"/>
        <v>100</v>
      </c>
      <c r="Z222" s="30">
        <f t="shared" si="89"/>
        <v>104</v>
      </c>
      <c r="AA222" s="2"/>
      <c r="AD222" s="32">
        <f t="shared" si="90"/>
        <v>0</v>
      </c>
      <c r="AE222" s="91"/>
      <c r="AF222" s="92"/>
    </row>
    <row r="223" spans="1:32" s="40" customFormat="1" ht="51" customHeight="1">
      <c r="A223" s="33" t="s">
        <v>24</v>
      </c>
      <c r="B223" s="34" t="s">
        <v>25</v>
      </c>
      <c r="C223" s="35" t="s">
        <v>19</v>
      </c>
      <c r="D223" s="33" t="s">
        <v>38</v>
      </c>
      <c r="E223" s="33"/>
      <c r="F223" s="36" t="s">
        <v>430</v>
      </c>
      <c r="G223" s="36"/>
      <c r="H223" s="26">
        <f>'2023'!H225</f>
        <v>398.49</v>
      </c>
      <c r="I223" s="26">
        <f>'2023'!I225</f>
        <v>209.06</v>
      </c>
      <c r="J223" s="26">
        <f>'2023'!J225</f>
        <v>416.41999999999996</v>
      </c>
      <c r="K223" s="26">
        <f>'2023'!K225</f>
        <v>381.41999999999996</v>
      </c>
      <c r="L223" s="26">
        <f t="shared" si="79"/>
        <v>1405.3899999999999</v>
      </c>
      <c r="M223" s="38">
        <f>'2023'!N225</f>
        <v>47.211800000000004</v>
      </c>
      <c r="N223" s="27">
        <v>47.211800000000004</v>
      </c>
      <c r="O223" s="38">
        <v>34.684000000000005</v>
      </c>
      <c r="P223" s="27">
        <f t="shared" si="83"/>
        <v>36.071360000000006</v>
      </c>
      <c r="Q223" s="27">
        <f t="shared" si="84"/>
        <v>4992.2030219999997</v>
      </c>
      <c r="R223" s="27">
        <f t="shared" si="85"/>
        <v>2619.0618679999998</v>
      </c>
      <c r="S223" s="27">
        <f t="shared" si="86"/>
        <v>4639.1020247999986</v>
      </c>
      <c r="T223" s="27">
        <f t="shared" si="87"/>
        <v>4249.1866247999988</v>
      </c>
      <c r="U223" s="27">
        <f t="shared" si="80"/>
        <v>16499.553539599998</v>
      </c>
      <c r="V223" s="119"/>
      <c r="W223" s="119"/>
      <c r="X223" s="119"/>
      <c r="Y223" s="29">
        <f t="shared" si="88"/>
        <v>100</v>
      </c>
      <c r="Z223" s="30">
        <f t="shared" si="89"/>
        <v>104</v>
      </c>
      <c r="AA223" s="2"/>
      <c r="AD223" s="32">
        <f t="shared" si="90"/>
        <v>0</v>
      </c>
      <c r="AE223" s="91"/>
      <c r="AF223" s="92"/>
    </row>
    <row r="224" spans="1:32" s="40" customFormat="1" ht="15" customHeight="1">
      <c r="A224" s="33"/>
      <c r="B224" s="34"/>
      <c r="C224" s="35"/>
      <c r="D224" s="33"/>
      <c r="E224" s="33"/>
      <c r="F224" s="36"/>
      <c r="G224" s="36"/>
      <c r="H224" s="26"/>
      <c r="I224" s="26"/>
      <c r="J224" s="26"/>
      <c r="K224" s="26"/>
      <c r="L224" s="37"/>
      <c r="M224" s="41"/>
      <c r="N224" s="41"/>
      <c r="O224" s="41"/>
      <c r="P224" s="41"/>
      <c r="Q224" s="27"/>
      <c r="R224" s="27"/>
      <c r="S224" s="27"/>
      <c r="T224" s="27"/>
      <c r="U224" s="27"/>
      <c r="V224" s="119"/>
      <c r="W224" s="119"/>
      <c r="X224" s="119"/>
      <c r="Y224" s="29" t="e">
        <f t="shared" si="88"/>
        <v>#DIV/0!</v>
      </c>
      <c r="Z224" s="30" t="e">
        <f t="shared" si="89"/>
        <v>#DIV/0!</v>
      </c>
      <c r="AA224" s="2"/>
      <c r="AD224" s="32" t="e">
        <f t="shared" si="90"/>
        <v>#DIV/0!</v>
      </c>
      <c r="AE224" s="91"/>
      <c r="AF224" s="92"/>
    </row>
    <row r="225" spans="1:32" s="40" customFormat="1" ht="51" customHeight="1">
      <c r="A225" s="33" t="s">
        <v>42</v>
      </c>
      <c r="B225" s="34" t="s">
        <v>43</v>
      </c>
      <c r="C225" s="35" t="s">
        <v>303</v>
      </c>
      <c r="D225" s="33" t="s">
        <v>44</v>
      </c>
      <c r="E225" s="33"/>
      <c r="F225" s="36" t="s">
        <v>430</v>
      </c>
      <c r="G225" s="36"/>
      <c r="H225" s="26">
        <f>'2023'!H227</f>
        <v>6978.6019999999999</v>
      </c>
      <c r="I225" s="26">
        <f>'2023'!I227</f>
        <v>6108.4089999999997</v>
      </c>
      <c r="J225" s="26">
        <f>'2023'!J227</f>
        <v>6453.2440000000006</v>
      </c>
      <c r="K225" s="26">
        <f>'2023'!K227</f>
        <v>6554.5439999999999</v>
      </c>
      <c r="L225" s="26">
        <f t="shared" si="79"/>
        <v>26094.798999999999</v>
      </c>
      <c r="M225" s="38">
        <f>'2023'!N227</f>
        <v>171.91</v>
      </c>
      <c r="N225" s="27">
        <v>187.72572</v>
      </c>
      <c r="O225" s="38">
        <f>'2023'!P227</f>
        <v>50.928800000000003</v>
      </c>
      <c r="P225" s="27">
        <v>52.965952000000001</v>
      </c>
      <c r="Q225" s="27">
        <f>(M225-O225)*H225</f>
        <v>844279.64428240003</v>
      </c>
      <c r="R225" s="27">
        <f>(M225-O225)*I225</f>
        <v>739002.65091079997</v>
      </c>
      <c r="S225" s="27">
        <f>(N225-P225)*J225</f>
        <v>869637.66428739217</v>
      </c>
      <c r="T225" s="27">
        <f>(N225-P225)*K225</f>
        <v>883288.82878579199</v>
      </c>
      <c r="U225" s="27">
        <f t="shared" si="80"/>
        <v>3336208.788266384</v>
      </c>
      <c r="V225" s="119"/>
      <c r="W225" s="119"/>
      <c r="X225" s="119"/>
      <c r="Y225" s="29">
        <f t="shared" si="88"/>
        <v>109.2</v>
      </c>
      <c r="Z225" s="30">
        <f t="shared" si="89"/>
        <v>104</v>
      </c>
      <c r="AA225" s="2"/>
      <c r="AD225" s="32">
        <f t="shared" si="90"/>
        <v>0</v>
      </c>
      <c r="AE225" s="91"/>
      <c r="AF225" s="92"/>
    </row>
    <row r="226" spans="1:32" s="40" customFormat="1" ht="15" customHeight="1">
      <c r="A226" s="33"/>
      <c r="B226" s="34"/>
      <c r="C226" s="35"/>
      <c r="D226" s="33"/>
      <c r="E226" s="33"/>
      <c r="F226" s="36"/>
      <c r="G226" s="36"/>
      <c r="H226" s="26"/>
      <c r="I226" s="26"/>
      <c r="J226" s="26"/>
      <c r="K226" s="26"/>
      <c r="L226" s="37"/>
      <c r="M226" s="41"/>
      <c r="N226" s="41"/>
      <c r="O226" s="41"/>
      <c r="P226" s="41"/>
      <c r="Q226" s="27"/>
      <c r="R226" s="27"/>
      <c r="S226" s="27"/>
      <c r="T226" s="27"/>
      <c r="U226" s="27"/>
      <c r="V226" s="119"/>
      <c r="W226" s="119"/>
      <c r="X226" s="119"/>
      <c r="Y226" s="29" t="e">
        <f t="shared" si="88"/>
        <v>#DIV/0!</v>
      </c>
      <c r="Z226" s="30" t="e">
        <f t="shared" si="89"/>
        <v>#DIV/0!</v>
      </c>
      <c r="AA226" s="2"/>
      <c r="AD226" s="32" t="e">
        <f t="shared" si="90"/>
        <v>#DIV/0!</v>
      </c>
      <c r="AE226" s="91"/>
      <c r="AF226" s="92"/>
    </row>
    <row r="227" spans="1:32" s="40" customFormat="1" ht="51" customHeight="1">
      <c r="A227" s="33" t="s">
        <v>52</v>
      </c>
      <c r="B227" s="34" t="s">
        <v>53</v>
      </c>
      <c r="C227" s="35" t="s">
        <v>306</v>
      </c>
      <c r="D227" s="33" t="s">
        <v>54</v>
      </c>
      <c r="E227" s="33"/>
      <c r="F227" s="36" t="s">
        <v>430</v>
      </c>
      <c r="G227" s="36"/>
      <c r="H227" s="26">
        <f>'2023'!H229</f>
        <v>1385.4930000000002</v>
      </c>
      <c r="I227" s="26">
        <f>'2023'!I229</f>
        <v>1448.559</v>
      </c>
      <c r="J227" s="26">
        <f>'2023'!J229</f>
        <v>1573.52</v>
      </c>
      <c r="K227" s="26">
        <f>'2023'!K229</f>
        <v>1361.48</v>
      </c>
      <c r="L227" s="26">
        <f t="shared" si="79"/>
        <v>5769.0519999999997</v>
      </c>
      <c r="M227" s="38">
        <f>'2023'!N229</f>
        <v>82.28</v>
      </c>
      <c r="N227" s="27">
        <f>M227</f>
        <v>82.28</v>
      </c>
      <c r="O227" s="38">
        <f>'2023'!P229</f>
        <v>72.069999999999993</v>
      </c>
      <c r="P227" s="38">
        <f>O227*1.04</f>
        <v>74.952799999999996</v>
      </c>
      <c r="Q227" s="27">
        <f>(M227-O227)*H227</f>
        <v>14145.883530000012</v>
      </c>
      <c r="R227" s="27">
        <f t="shared" ref="R227:S229" si="91">(M227-O227)*I227</f>
        <v>14789.78739000001</v>
      </c>
      <c r="S227" s="27">
        <f t="shared" si="91"/>
        <v>11529.495744000007</v>
      </c>
      <c r="T227" s="27">
        <f>(N227-P227)*K227</f>
        <v>9975.836256000006</v>
      </c>
      <c r="U227" s="27">
        <f t="shared" si="80"/>
        <v>50441.002920000043</v>
      </c>
      <c r="V227" s="119"/>
      <c r="W227" s="119"/>
      <c r="X227" s="119"/>
      <c r="Y227" s="29">
        <f t="shared" si="88"/>
        <v>100</v>
      </c>
      <c r="Z227" s="30">
        <f t="shared" si="89"/>
        <v>104</v>
      </c>
      <c r="AA227" s="2"/>
      <c r="AD227" s="32">
        <f t="shared" si="90"/>
        <v>0</v>
      </c>
      <c r="AE227" s="91"/>
      <c r="AF227" s="92"/>
    </row>
    <row r="228" spans="1:32" s="40" customFormat="1" ht="51" customHeight="1">
      <c r="A228" s="33">
        <v>2909003034</v>
      </c>
      <c r="B228" s="34" t="s">
        <v>50</v>
      </c>
      <c r="C228" s="35" t="s">
        <v>306</v>
      </c>
      <c r="D228" s="33" t="s">
        <v>51</v>
      </c>
      <c r="E228" s="33"/>
      <c r="F228" s="36" t="s">
        <v>430</v>
      </c>
      <c r="G228" s="36"/>
      <c r="H228" s="26">
        <f>'2023'!H230</f>
        <v>1233.25</v>
      </c>
      <c r="I228" s="26">
        <f>'2023'!I230</f>
        <v>1233.25</v>
      </c>
      <c r="J228" s="26">
        <f>'2023'!J230</f>
        <v>1233.25</v>
      </c>
      <c r="K228" s="26">
        <f>'2023'!K230</f>
        <v>1233.25</v>
      </c>
      <c r="L228" s="26">
        <f t="shared" si="79"/>
        <v>4933</v>
      </c>
      <c r="M228" s="38">
        <f>'2023'!N230</f>
        <v>62.1</v>
      </c>
      <c r="N228" s="27">
        <f>M228</f>
        <v>62.1</v>
      </c>
      <c r="O228" s="38">
        <f>'2023'!P230</f>
        <v>54.14</v>
      </c>
      <c r="P228" s="38">
        <f>O228*1.04</f>
        <v>56.305600000000005</v>
      </c>
      <c r="Q228" s="27">
        <f>(M228-O228)*H228</f>
        <v>9816.6700000000019</v>
      </c>
      <c r="R228" s="27">
        <f t="shared" si="91"/>
        <v>9816.6700000000019</v>
      </c>
      <c r="S228" s="27">
        <f t="shared" si="91"/>
        <v>7145.9437999999955</v>
      </c>
      <c r="T228" s="27">
        <f>(N228-P228)*K228</f>
        <v>7145.9437999999955</v>
      </c>
      <c r="U228" s="27">
        <f t="shared" si="80"/>
        <v>33925.227599999991</v>
      </c>
      <c r="V228" s="119"/>
      <c r="W228" s="119"/>
      <c r="X228" s="119"/>
      <c r="Y228" s="29">
        <f t="shared" si="88"/>
        <v>100</v>
      </c>
      <c r="Z228" s="30">
        <f t="shared" si="89"/>
        <v>104</v>
      </c>
      <c r="AA228" s="2"/>
      <c r="AD228" s="32">
        <f t="shared" si="90"/>
        <v>0</v>
      </c>
      <c r="AE228" s="91"/>
      <c r="AF228" s="92"/>
    </row>
    <row r="229" spans="1:32" s="40" customFormat="1" ht="51" customHeight="1">
      <c r="A229" s="33" t="s">
        <v>265</v>
      </c>
      <c r="B229" s="34" t="s">
        <v>48</v>
      </c>
      <c r="C229" s="35" t="s">
        <v>306</v>
      </c>
      <c r="D229" s="33" t="s">
        <v>266</v>
      </c>
      <c r="E229" s="33"/>
      <c r="F229" s="36" t="s">
        <v>430</v>
      </c>
      <c r="G229" s="36"/>
      <c r="H229" s="26">
        <f>'2023'!H231</f>
        <v>829.88099999999997</v>
      </c>
      <c r="I229" s="26">
        <f>'2023'!I231</f>
        <v>783.69899999999996</v>
      </c>
      <c r="J229" s="26">
        <f>'2023'!J231</f>
        <v>835.24299999999994</v>
      </c>
      <c r="K229" s="26">
        <f>'2023'!K231</f>
        <v>782.58999999999992</v>
      </c>
      <c r="L229" s="26">
        <f t="shared" si="79"/>
        <v>3231.4129999999996</v>
      </c>
      <c r="M229" s="38">
        <f>'2023'!N231</f>
        <v>106.37</v>
      </c>
      <c r="N229" s="27">
        <v>108.2798578</v>
      </c>
      <c r="O229" s="38">
        <f>'2023'!P231</f>
        <v>80.08</v>
      </c>
      <c r="P229" s="38">
        <f>O229*1.04</f>
        <v>83.283200000000008</v>
      </c>
      <c r="Q229" s="27">
        <f>(M229-O229)*H229</f>
        <v>21817.571490000006</v>
      </c>
      <c r="R229" s="27">
        <f t="shared" si="91"/>
        <v>20603.446710000004</v>
      </c>
      <c r="S229" s="27">
        <f t="shared" si="91"/>
        <v>20878.283450845393</v>
      </c>
      <c r="T229" s="27">
        <f>(N229-P229)*K229</f>
        <v>19562.134427701993</v>
      </c>
      <c r="U229" s="27">
        <f t="shared" si="80"/>
        <v>82861.436078547398</v>
      </c>
      <c r="V229" s="119"/>
      <c r="W229" s="119"/>
      <c r="X229" s="119"/>
      <c r="Y229" s="29">
        <f t="shared" si="88"/>
        <v>101.79548538121649</v>
      </c>
      <c r="Z229" s="30">
        <f t="shared" si="89"/>
        <v>104</v>
      </c>
      <c r="AA229" s="2"/>
      <c r="AD229" s="32">
        <f t="shared" si="90"/>
        <v>0</v>
      </c>
      <c r="AE229" s="91"/>
      <c r="AF229" s="92"/>
    </row>
    <row r="230" spans="1:32" s="40" customFormat="1" ht="15" customHeight="1">
      <c r="A230" s="33"/>
      <c r="B230" s="34"/>
      <c r="C230" s="35"/>
      <c r="D230" s="33"/>
      <c r="E230" s="33"/>
      <c r="F230" s="36"/>
      <c r="G230" s="36"/>
      <c r="H230" s="26"/>
      <c r="I230" s="26"/>
      <c r="J230" s="26"/>
      <c r="K230" s="26"/>
      <c r="L230" s="37"/>
      <c r="M230" s="41"/>
      <c r="N230" s="41"/>
      <c r="O230" s="41"/>
      <c r="P230" s="41"/>
      <c r="Q230" s="27"/>
      <c r="R230" s="27"/>
      <c r="S230" s="27"/>
      <c r="T230" s="27"/>
      <c r="U230" s="27"/>
      <c r="V230" s="119"/>
      <c r="W230" s="119"/>
      <c r="X230" s="119"/>
      <c r="Y230" s="29" t="e">
        <f t="shared" si="88"/>
        <v>#DIV/0!</v>
      </c>
      <c r="Z230" s="30" t="e">
        <f t="shared" si="89"/>
        <v>#DIV/0!</v>
      </c>
      <c r="AA230" s="2"/>
      <c r="AD230" s="32" t="e">
        <f t="shared" si="90"/>
        <v>#DIV/0!</v>
      </c>
      <c r="AE230" s="91"/>
      <c r="AF230" s="92"/>
    </row>
    <row r="231" spans="1:32" s="40" customFormat="1" ht="51" customHeight="1">
      <c r="A231" s="33" t="s">
        <v>58</v>
      </c>
      <c r="B231" s="34" t="s">
        <v>59</v>
      </c>
      <c r="C231" s="35" t="s">
        <v>298</v>
      </c>
      <c r="D231" s="33" t="s">
        <v>308</v>
      </c>
      <c r="E231" s="33"/>
      <c r="F231" s="36" t="s">
        <v>430</v>
      </c>
      <c r="G231" s="36"/>
      <c r="H231" s="26">
        <f>'2023'!H233</f>
        <v>6747.5</v>
      </c>
      <c r="I231" s="26">
        <f>'2023'!I233</f>
        <v>5071.8999999999996</v>
      </c>
      <c r="J231" s="26">
        <f>'2023'!J233</f>
        <v>6037.17</v>
      </c>
      <c r="K231" s="26">
        <f>'2023'!K233</f>
        <v>5310.84</v>
      </c>
      <c r="L231" s="26">
        <f t="shared" si="79"/>
        <v>23167.41</v>
      </c>
      <c r="M231" s="38">
        <f>'2023'!N233</f>
        <v>175.87</v>
      </c>
      <c r="N231" s="27">
        <f>M231</f>
        <v>175.87</v>
      </c>
      <c r="O231" s="38">
        <f>'2023'!P233</f>
        <v>35.97</v>
      </c>
      <c r="P231" s="27">
        <f>O231*1.04</f>
        <v>37.408799999999999</v>
      </c>
      <c r="Q231" s="27">
        <f>(M231-O231)*H231</f>
        <v>943975.25</v>
      </c>
      <c r="R231" s="27">
        <f>(M231-O231)*I231</f>
        <v>709558.80999999994</v>
      </c>
      <c r="S231" s="27">
        <f>(N231-P231)*J231</f>
        <v>835913.80280400009</v>
      </c>
      <c r="T231" s="27">
        <f>(N231-P231)*K231</f>
        <v>735345.27940800018</v>
      </c>
      <c r="U231" s="27">
        <f t="shared" si="80"/>
        <v>3224793.1422120007</v>
      </c>
      <c r="V231" s="119"/>
      <c r="W231" s="119"/>
      <c r="X231" s="119"/>
      <c r="Y231" s="29">
        <f t="shared" si="88"/>
        <v>100</v>
      </c>
      <c r="Z231" s="30">
        <f t="shared" si="89"/>
        <v>104</v>
      </c>
      <c r="AA231" s="2"/>
      <c r="AD231" s="32">
        <f t="shared" si="90"/>
        <v>0</v>
      </c>
      <c r="AE231" s="91"/>
      <c r="AF231" s="92"/>
    </row>
    <row r="232" spans="1:32" s="40" customFormat="1" ht="51" customHeight="1">
      <c r="A232" s="33" t="s">
        <v>267</v>
      </c>
      <c r="B232" s="34" t="s">
        <v>268</v>
      </c>
      <c r="C232" s="35" t="s">
        <v>298</v>
      </c>
      <c r="D232" s="33" t="s">
        <v>269</v>
      </c>
      <c r="E232" s="33"/>
      <c r="F232" s="36" t="s">
        <v>430</v>
      </c>
      <c r="G232" s="36"/>
      <c r="H232" s="26">
        <f>'2023'!H234</f>
        <v>1399.74</v>
      </c>
      <c r="I232" s="26">
        <f>'2023'!I234</f>
        <v>1391.02</v>
      </c>
      <c r="J232" s="26">
        <f>'2023'!J234</f>
        <v>1393.4290000000001</v>
      </c>
      <c r="K232" s="26">
        <f>'2023'!K234</f>
        <v>1341.92</v>
      </c>
      <c r="L232" s="26">
        <f t="shared" si="79"/>
        <v>5526.1090000000004</v>
      </c>
      <c r="M232" s="38">
        <f>'2023'!N234</f>
        <v>175.82</v>
      </c>
      <c r="N232" s="27">
        <f>M232</f>
        <v>175.82</v>
      </c>
      <c r="O232" s="38">
        <f>'2023'!P234</f>
        <v>43.16</v>
      </c>
      <c r="P232" s="27">
        <f>O232*1.04</f>
        <v>44.886399999999995</v>
      </c>
      <c r="Q232" s="27">
        <f>(M232-O232)*H232</f>
        <v>185689.50839999999</v>
      </c>
      <c r="R232" s="27">
        <f>(M232-O232)*I232</f>
        <v>184532.7132</v>
      </c>
      <c r="S232" s="27">
        <f>(N232-P232)*J232</f>
        <v>182446.67531440002</v>
      </c>
      <c r="T232" s="27">
        <f>(N232-P232)*K232</f>
        <v>175702.41651200003</v>
      </c>
      <c r="U232" s="27">
        <f t="shared" si="80"/>
        <v>728371.31342640007</v>
      </c>
      <c r="V232" s="119"/>
      <c r="W232" s="119"/>
      <c r="X232" s="119"/>
      <c r="Y232" s="29">
        <f t="shared" si="88"/>
        <v>100</v>
      </c>
      <c r="Z232" s="30">
        <f t="shared" si="89"/>
        <v>104</v>
      </c>
      <c r="AA232" s="2"/>
      <c r="AD232" s="32">
        <f t="shared" si="90"/>
        <v>0</v>
      </c>
      <c r="AE232" s="91"/>
      <c r="AF232" s="92"/>
    </row>
    <row r="233" spans="1:32" s="40" customFormat="1" ht="15" customHeight="1">
      <c r="A233" s="33"/>
      <c r="B233" s="34"/>
      <c r="C233" s="35"/>
      <c r="D233" s="33"/>
      <c r="E233" s="33"/>
      <c r="F233" s="36"/>
      <c r="G233" s="36"/>
      <c r="H233" s="26"/>
      <c r="I233" s="26"/>
      <c r="J233" s="26"/>
      <c r="K233" s="26"/>
      <c r="L233" s="37"/>
      <c r="M233" s="41"/>
      <c r="N233" s="41"/>
      <c r="O233" s="41"/>
      <c r="P233" s="41"/>
      <c r="Q233" s="27"/>
      <c r="R233" s="27"/>
      <c r="S233" s="27"/>
      <c r="T233" s="27"/>
      <c r="U233" s="27"/>
      <c r="V233" s="119"/>
      <c r="W233" s="119"/>
      <c r="X233" s="119"/>
      <c r="Y233" s="29" t="e">
        <f t="shared" si="88"/>
        <v>#DIV/0!</v>
      </c>
      <c r="Z233" s="30" t="e">
        <f t="shared" si="89"/>
        <v>#DIV/0!</v>
      </c>
      <c r="AA233" s="2"/>
      <c r="AD233" s="32" t="e">
        <f t="shared" si="90"/>
        <v>#DIV/0!</v>
      </c>
      <c r="AE233" s="91"/>
      <c r="AF233" s="92"/>
    </row>
    <row r="234" spans="1:32" s="40" customFormat="1" ht="51" customHeight="1">
      <c r="A234" s="33" t="s">
        <v>69</v>
      </c>
      <c r="B234" s="34" t="s">
        <v>70</v>
      </c>
      <c r="C234" s="35" t="s">
        <v>71</v>
      </c>
      <c r="D234" s="33" t="s">
        <v>63</v>
      </c>
      <c r="E234" s="33"/>
      <c r="F234" s="36" t="s">
        <v>430</v>
      </c>
      <c r="G234" s="36" t="s">
        <v>379</v>
      </c>
      <c r="H234" s="26">
        <f>'2023'!H236</f>
        <v>418635.47</v>
      </c>
      <c r="I234" s="26">
        <f>'2023'!I236</f>
        <v>408055.55</v>
      </c>
      <c r="J234" s="26">
        <f>'2023'!J236</f>
        <v>363734.73</v>
      </c>
      <c r="K234" s="26">
        <f>'2023'!K236</f>
        <v>396326.41000000003</v>
      </c>
      <c r="L234" s="26">
        <f t="shared" si="79"/>
        <v>1586752.1600000001</v>
      </c>
      <c r="M234" s="38">
        <f>'2023'!N236</f>
        <v>31.24</v>
      </c>
      <c r="N234" s="27">
        <v>31.24</v>
      </c>
      <c r="O234" s="38">
        <v>25.706026112000004</v>
      </c>
      <c r="P234" s="27">
        <f>O234*1.04</f>
        <v>26.734267156480005</v>
      </c>
      <c r="Q234" s="27">
        <f>(M234-O234)*H234</f>
        <v>2316717.7595706051</v>
      </c>
      <c r="R234" s="27">
        <f>(M234-O234)*I234</f>
        <v>2258168.7585534761</v>
      </c>
      <c r="S234" s="27">
        <f>(N234-P234)*J234</f>
        <v>1638891.519289877</v>
      </c>
      <c r="T234" s="27">
        <f>(N234-P234)*K234</f>
        <v>1785740.922291371</v>
      </c>
      <c r="U234" s="27">
        <f t="shared" si="80"/>
        <v>7999518.9597053295</v>
      </c>
      <c r="V234" s="119"/>
      <c r="W234" s="119"/>
      <c r="X234" s="119"/>
      <c r="Y234" s="29">
        <f t="shared" si="88"/>
        <v>100</v>
      </c>
      <c r="Z234" s="30">
        <f t="shared" si="89"/>
        <v>104</v>
      </c>
      <c r="AA234" s="2"/>
      <c r="AD234" s="32">
        <f t="shared" si="90"/>
        <v>0</v>
      </c>
      <c r="AE234" s="91"/>
      <c r="AF234" s="92"/>
    </row>
    <row r="235" spans="1:32" s="40" customFormat="1" ht="15" customHeight="1">
      <c r="A235" s="33"/>
      <c r="B235" s="34"/>
      <c r="C235" s="35"/>
      <c r="D235" s="33"/>
      <c r="E235" s="33"/>
      <c r="F235" s="36"/>
      <c r="G235" s="36"/>
      <c r="H235" s="26"/>
      <c r="I235" s="26"/>
      <c r="J235" s="26"/>
      <c r="K235" s="26"/>
      <c r="L235" s="37"/>
      <c r="M235" s="41"/>
      <c r="N235" s="41"/>
      <c r="O235" s="41"/>
      <c r="P235" s="41"/>
      <c r="Q235" s="27"/>
      <c r="R235" s="27"/>
      <c r="S235" s="27"/>
      <c r="T235" s="27"/>
      <c r="U235" s="27"/>
      <c r="V235" s="119"/>
      <c r="W235" s="119"/>
      <c r="X235" s="119"/>
      <c r="Y235" s="29" t="e">
        <f t="shared" si="88"/>
        <v>#DIV/0!</v>
      </c>
      <c r="Z235" s="30" t="e">
        <f t="shared" si="89"/>
        <v>#DIV/0!</v>
      </c>
      <c r="AA235" s="2"/>
      <c r="AD235" s="32" t="e">
        <f t="shared" si="90"/>
        <v>#DIV/0!</v>
      </c>
      <c r="AE235" s="91"/>
      <c r="AF235" s="92"/>
    </row>
    <row r="236" spans="1:32" s="40" customFormat="1" ht="51" customHeight="1">
      <c r="A236" s="33">
        <v>2905001195</v>
      </c>
      <c r="B236" s="34" t="s">
        <v>72</v>
      </c>
      <c r="C236" s="35" t="s">
        <v>73</v>
      </c>
      <c r="D236" s="33"/>
      <c r="E236" s="33"/>
      <c r="F236" s="36" t="s">
        <v>430</v>
      </c>
      <c r="G236" s="36"/>
      <c r="H236" s="26">
        <f>'2023'!H238</f>
        <v>457763.25</v>
      </c>
      <c r="I236" s="26">
        <f>'2023'!I238</f>
        <v>457763.25</v>
      </c>
      <c r="J236" s="26">
        <f>'2023'!J238</f>
        <v>457763.25</v>
      </c>
      <c r="K236" s="26">
        <f>'2023'!K238</f>
        <v>457763.25</v>
      </c>
      <c r="L236" s="26">
        <f t="shared" si="79"/>
        <v>1831053</v>
      </c>
      <c r="M236" s="38">
        <f>'2023'!N238</f>
        <v>46.53</v>
      </c>
      <c r="N236" s="27">
        <f>M236</f>
        <v>46.53</v>
      </c>
      <c r="O236" s="38">
        <f>'2023'!P238</f>
        <v>33.471744800000003</v>
      </c>
      <c r="P236" s="38">
        <f>O236*1.04</f>
        <v>34.810614592000007</v>
      </c>
      <c r="Q236" s="27">
        <f>(M236-O236)*H236</f>
        <v>5977589.3396813991</v>
      </c>
      <c r="R236" s="27">
        <f>(M236-O236)*I236</f>
        <v>5977589.3396813991</v>
      </c>
      <c r="S236" s="27">
        <f>(N236-P236)*J236</f>
        <v>5364703.9523686534</v>
      </c>
      <c r="T236" s="27">
        <f>(N236-P236)*K236</f>
        <v>5364703.9523686534</v>
      </c>
      <c r="U236" s="27">
        <f t="shared" si="80"/>
        <v>22684586.584100105</v>
      </c>
      <c r="V236" s="119"/>
      <c r="W236" s="119"/>
      <c r="X236" s="119"/>
      <c r="Y236" s="29">
        <f t="shared" si="88"/>
        <v>100</v>
      </c>
      <c r="Z236" s="30">
        <f t="shared" si="89"/>
        <v>104</v>
      </c>
      <c r="AA236" s="2" t="s">
        <v>49</v>
      </c>
      <c r="AD236" s="32">
        <f t="shared" si="90"/>
        <v>0</v>
      </c>
      <c r="AE236" s="91"/>
      <c r="AF236" s="92"/>
    </row>
    <row r="237" spans="1:32" s="40" customFormat="1" ht="15" customHeight="1">
      <c r="A237" s="33"/>
      <c r="B237" s="34"/>
      <c r="C237" s="35"/>
      <c r="D237" s="33"/>
      <c r="E237" s="33"/>
      <c r="F237" s="36"/>
      <c r="G237" s="36"/>
      <c r="H237" s="26"/>
      <c r="I237" s="26"/>
      <c r="J237" s="26"/>
      <c r="K237" s="26"/>
      <c r="L237" s="37"/>
      <c r="M237" s="41"/>
      <c r="N237" s="41"/>
      <c r="O237" s="41"/>
      <c r="P237" s="41"/>
      <c r="Q237" s="27"/>
      <c r="R237" s="27"/>
      <c r="S237" s="27"/>
      <c r="T237" s="27"/>
      <c r="U237" s="27"/>
      <c r="V237" s="119"/>
      <c r="W237" s="119"/>
      <c r="X237" s="119"/>
      <c r="Y237" s="29" t="e">
        <f t="shared" si="88"/>
        <v>#DIV/0!</v>
      </c>
      <c r="Z237" s="30" t="e">
        <f t="shared" si="89"/>
        <v>#DIV/0!</v>
      </c>
      <c r="AA237" s="2"/>
      <c r="AD237" s="32" t="e">
        <f t="shared" si="90"/>
        <v>#DIV/0!</v>
      </c>
      <c r="AE237" s="91"/>
      <c r="AF237" s="92"/>
    </row>
    <row r="238" spans="1:32" s="40" customFormat="1" ht="51" customHeight="1">
      <c r="A238" s="33" t="s">
        <v>60</v>
      </c>
      <c r="B238" s="34" t="s">
        <v>74</v>
      </c>
      <c r="C238" s="35" t="s">
        <v>75</v>
      </c>
      <c r="D238" s="33" t="s">
        <v>63</v>
      </c>
      <c r="E238" s="33"/>
      <c r="F238" s="36" t="s">
        <v>430</v>
      </c>
      <c r="G238" s="36"/>
      <c r="H238" s="26">
        <f>'2023'!H240</f>
        <v>111676.36799999999</v>
      </c>
      <c r="I238" s="26">
        <f>'2023'!I240</f>
        <v>104502.52499999999</v>
      </c>
      <c r="J238" s="26">
        <f>'2023'!J240</f>
        <v>96945.032999999996</v>
      </c>
      <c r="K238" s="26">
        <f>'2023'!K240</f>
        <v>102095.57399999999</v>
      </c>
      <c r="L238" s="26">
        <f t="shared" si="79"/>
        <v>415219.5</v>
      </c>
      <c r="M238" s="38">
        <f>'2023'!N240</f>
        <v>74.39</v>
      </c>
      <c r="N238" s="27">
        <v>74.39218000000001</v>
      </c>
      <c r="O238" s="38">
        <f>'2023'!P240</f>
        <v>47.24</v>
      </c>
      <c r="P238" s="27">
        <v>49.126272000000007</v>
      </c>
      <c r="Q238" s="27">
        <f>(M238-O238)*H238</f>
        <v>3032013.3911999995</v>
      </c>
      <c r="R238" s="27">
        <f>(M238-O238)*I238</f>
        <v>2837243.5537499995</v>
      </c>
      <c r="S238" s="27">
        <f>(N238-P238)*J238</f>
        <v>2449404.2848349642</v>
      </c>
      <c r="T238" s="27">
        <f>(N238-P238)*K238</f>
        <v>2579537.3798911921</v>
      </c>
      <c r="U238" s="27">
        <f t="shared" si="80"/>
        <v>10898198.609676156</v>
      </c>
      <c r="V238" s="119"/>
      <c r="W238" s="119"/>
      <c r="X238" s="119"/>
      <c r="Y238" s="29">
        <f t="shared" si="88"/>
        <v>100.0029305014115</v>
      </c>
      <c r="Z238" s="30">
        <f t="shared" si="89"/>
        <v>103.9929551227773</v>
      </c>
      <c r="AA238" s="2"/>
      <c r="AD238" s="32">
        <f t="shared" si="90"/>
        <v>7.0448772226967549E-3</v>
      </c>
      <c r="AE238" s="91"/>
      <c r="AF238" s="92"/>
    </row>
    <row r="239" spans="1:32" s="40" customFormat="1" ht="51" customHeight="1">
      <c r="A239" s="33" t="s">
        <v>76</v>
      </c>
      <c r="B239" s="34" t="s">
        <v>77</v>
      </c>
      <c r="C239" s="35" t="s">
        <v>75</v>
      </c>
      <c r="D239" s="33" t="s">
        <v>63</v>
      </c>
      <c r="E239" s="33"/>
      <c r="F239" s="36" t="s">
        <v>430</v>
      </c>
      <c r="G239" s="36"/>
      <c r="H239" s="26">
        <f>'2023'!H241</f>
        <v>607702.625</v>
      </c>
      <c r="I239" s="26">
        <f>'2023'!I241</f>
        <v>617173.80099999998</v>
      </c>
      <c r="J239" s="26">
        <f>'2023'!J241</f>
        <v>585214.68599999999</v>
      </c>
      <c r="K239" s="26">
        <f>'2023'!K241</f>
        <v>580955.16799999995</v>
      </c>
      <c r="L239" s="26">
        <f t="shared" si="79"/>
        <v>2391046.2799999998</v>
      </c>
      <c r="M239" s="38">
        <v>50.08</v>
      </c>
      <c r="N239" s="27">
        <v>50.08</v>
      </c>
      <c r="O239" s="38">
        <v>30.16</v>
      </c>
      <c r="P239" s="27">
        <v>31.37</v>
      </c>
      <c r="Q239" s="27">
        <f>(M239-O239)*H239</f>
        <v>12105436.289999999</v>
      </c>
      <c r="R239" s="27">
        <f>(M239-O239)*I239</f>
        <v>12294102.115919998</v>
      </c>
      <c r="S239" s="27">
        <f>(N239-P239)*J239</f>
        <v>10949366.775059998</v>
      </c>
      <c r="T239" s="27">
        <f>(N239-P239)*K239</f>
        <v>10869671.193279997</v>
      </c>
      <c r="U239" s="27">
        <f t="shared" si="80"/>
        <v>46218576.374259993</v>
      </c>
      <c r="V239" s="119"/>
      <c r="W239" s="119"/>
      <c r="X239" s="119"/>
      <c r="Y239" s="29">
        <f t="shared" si="88"/>
        <v>100</v>
      </c>
      <c r="Z239" s="30">
        <f t="shared" si="89"/>
        <v>104.01193633952255</v>
      </c>
      <c r="AA239" s="2"/>
      <c r="AD239" s="32">
        <f t="shared" si="90"/>
        <v>-1.1936339522549133E-2</v>
      </c>
      <c r="AE239" s="91"/>
      <c r="AF239" s="92"/>
    </row>
    <row r="240" spans="1:32" s="40" customFormat="1" ht="15" customHeight="1">
      <c r="A240" s="33"/>
      <c r="B240" s="34"/>
      <c r="C240" s="35"/>
      <c r="D240" s="33"/>
      <c r="E240" s="33"/>
      <c r="F240" s="36"/>
      <c r="G240" s="36"/>
      <c r="H240" s="26"/>
      <c r="I240" s="26"/>
      <c r="J240" s="26"/>
      <c r="K240" s="26"/>
      <c r="L240" s="37"/>
      <c r="M240" s="41"/>
      <c r="N240" s="41"/>
      <c r="O240" s="41"/>
      <c r="P240" s="41"/>
      <c r="Q240" s="27"/>
      <c r="R240" s="27"/>
      <c r="S240" s="27"/>
      <c r="T240" s="27"/>
      <c r="U240" s="27"/>
      <c r="V240" s="119"/>
      <c r="W240" s="119"/>
      <c r="X240" s="119"/>
      <c r="Y240" s="29" t="e">
        <f t="shared" si="88"/>
        <v>#DIV/0!</v>
      </c>
      <c r="Z240" s="30" t="e">
        <f t="shared" si="89"/>
        <v>#DIV/0!</v>
      </c>
      <c r="AA240" s="2"/>
      <c r="AD240" s="32" t="e">
        <f t="shared" si="90"/>
        <v>#DIV/0!</v>
      </c>
      <c r="AE240" s="91"/>
      <c r="AF240" s="92"/>
    </row>
    <row r="241" spans="1:32" s="40" customFormat="1" ht="51" customHeight="1">
      <c r="A241" s="34">
        <v>2911007420</v>
      </c>
      <c r="B241" s="34" t="s">
        <v>434</v>
      </c>
      <c r="C241" s="35" t="s">
        <v>79</v>
      </c>
      <c r="D241" s="33" t="s">
        <v>270</v>
      </c>
      <c r="E241" s="33"/>
      <c r="F241" s="36" t="s">
        <v>430</v>
      </c>
      <c r="G241" s="36" t="s">
        <v>440</v>
      </c>
      <c r="H241" s="37">
        <f>49459/4</f>
        <v>12364.75</v>
      </c>
      <c r="I241" s="37">
        <f t="shared" ref="I241:K241" si="92">49459/4</f>
        <v>12364.75</v>
      </c>
      <c r="J241" s="37">
        <f t="shared" si="92"/>
        <v>12364.75</v>
      </c>
      <c r="K241" s="37">
        <f t="shared" si="92"/>
        <v>12364.75</v>
      </c>
      <c r="L241" s="37">
        <f t="shared" ref="L241" si="93">H241+I241+J241+K241</f>
        <v>49459</v>
      </c>
      <c r="M241" s="53">
        <f>'2023'!N243</f>
        <v>159.96080000000001</v>
      </c>
      <c r="N241" s="53">
        <v>159.96080000000001</v>
      </c>
      <c r="O241" s="38">
        <f>'2023'!P243</f>
        <v>47.9544</v>
      </c>
      <c r="P241" s="38">
        <v>49.872576000000002</v>
      </c>
      <c r="Q241" s="38">
        <f>(M241-O241)*H241</f>
        <v>1384931.1344000001</v>
      </c>
      <c r="R241" s="38">
        <f>(M241-O241)*I241</f>
        <v>1384931.1344000001</v>
      </c>
      <c r="S241" s="38">
        <f>(N241-P241)*J241</f>
        <v>1361213.3677039999</v>
      </c>
      <c r="T241" s="38">
        <f>(N241-P241)*K241</f>
        <v>1361213.3677039999</v>
      </c>
      <c r="U241" s="120">
        <f t="shared" ref="U241" si="94">Q241+R241+S241+T241</f>
        <v>5492289.0042080004</v>
      </c>
      <c r="V241" s="121"/>
      <c r="W241" s="119"/>
      <c r="X241" s="119"/>
      <c r="Y241" s="29"/>
      <c r="Z241" s="30"/>
      <c r="AA241" s="2"/>
      <c r="AD241" s="32"/>
      <c r="AE241" s="91"/>
      <c r="AF241" s="92"/>
    </row>
    <row r="242" spans="1:32" s="40" customFormat="1" ht="15" customHeight="1">
      <c r="A242" s="33"/>
      <c r="B242" s="34"/>
      <c r="C242" s="35"/>
      <c r="D242" s="33"/>
      <c r="E242" s="33"/>
      <c r="F242" s="36"/>
      <c r="G242" s="36"/>
      <c r="H242" s="26"/>
      <c r="I242" s="26"/>
      <c r="J242" s="26"/>
      <c r="K242" s="26"/>
      <c r="L242" s="26"/>
      <c r="M242" s="41"/>
      <c r="N242" s="90"/>
      <c r="O242" s="41"/>
      <c r="P242" s="90"/>
      <c r="Q242" s="27"/>
      <c r="R242" s="27"/>
      <c r="S242" s="27"/>
      <c r="T242" s="27"/>
      <c r="U242" s="27"/>
      <c r="V242" s="119"/>
      <c r="W242" s="119"/>
      <c r="X242" s="119"/>
      <c r="Y242" s="29"/>
      <c r="Z242" s="30"/>
      <c r="AA242" s="2"/>
      <c r="AD242" s="32"/>
      <c r="AE242" s="91"/>
      <c r="AF242" s="92"/>
    </row>
    <row r="243" spans="1:32" s="40" customFormat="1" ht="51" customHeight="1">
      <c r="A243" s="33" t="s">
        <v>84</v>
      </c>
      <c r="B243" s="34" t="s">
        <v>85</v>
      </c>
      <c r="C243" s="35" t="s">
        <v>86</v>
      </c>
      <c r="D243" s="33" t="s">
        <v>87</v>
      </c>
      <c r="E243" s="33"/>
      <c r="F243" s="36" t="s">
        <v>430</v>
      </c>
      <c r="G243" s="36" t="s">
        <v>88</v>
      </c>
      <c r="H243" s="37">
        <v>39310.099000000002</v>
      </c>
      <c r="I243" s="37">
        <v>37392.595999999998</v>
      </c>
      <c r="J243" s="37">
        <v>31057.724000000002</v>
      </c>
      <c r="K243" s="37">
        <v>33110.241000000002</v>
      </c>
      <c r="L243" s="26">
        <f t="shared" ref="L243" si="95">H243+I243+J243+K243</f>
        <v>140870.66</v>
      </c>
      <c r="M243" s="38">
        <f>'2023'!N245</f>
        <v>99.66</v>
      </c>
      <c r="N243" s="27">
        <v>99.66</v>
      </c>
      <c r="O243" s="38">
        <f>'2023'!P245</f>
        <v>85.6974144</v>
      </c>
      <c r="P243" s="27">
        <v>89.125310976000009</v>
      </c>
      <c r="Q243" s="27">
        <f>(M243-O243)*H243</f>
        <v>548870.62223197427</v>
      </c>
      <c r="R243" s="27">
        <f t="shared" ref="R243:S245" si="96">(M243-O243)*I243</f>
        <v>522097.32245621743</v>
      </c>
      <c r="S243" s="27">
        <f t="shared" si="96"/>
        <v>327183.46413322102</v>
      </c>
      <c r="T243" s="27">
        <f>(N243-P243)*K243</f>
        <v>348806.09244469443</v>
      </c>
      <c r="U243" s="27">
        <f t="shared" ref="U243" si="97">Q243+R243+S243+T243</f>
        <v>1746957.501266107</v>
      </c>
      <c r="V243" s="119"/>
      <c r="W243" s="119"/>
      <c r="X243" s="119"/>
      <c r="Y243" s="29">
        <f>N243/M243*100</f>
        <v>100</v>
      </c>
      <c r="Z243" s="30">
        <f>P243/O243*100</f>
        <v>104</v>
      </c>
      <c r="AA243" s="2"/>
      <c r="AD243" s="32">
        <f t="shared" ref="AD243" si="98">104-Z243</f>
        <v>0</v>
      </c>
    </row>
    <row r="244" spans="1:32" s="40" customFormat="1" ht="51" customHeight="1">
      <c r="A244" s="33" t="s">
        <v>60</v>
      </c>
      <c r="B244" s="34" t="s">
        <v>61</v>
      </c>
      <c r="C244" s="35" t="s">
        <v>86</v>
      </c>
      <c r="D244" s="33" t="s">
        <v>87</v>
      </c>
      <c r="E244" s="33"/>
      <c r="F244" s="36" t="s">
        <v>430</v>
      </c>
      <c r="G244" s="36"/>
      <c r="H244" s="26">
        <f>'2023'!H246</f>
        <v>5164.8530000000001</v>
      </c>
      <c r="I244" s="26">
        <f>'2023'!I246</f>
        <v>4922.0540000000001</v>
      </c>
      <c r="J244" s="26">
        <f>'2023'!J246</f>
        <v>5169.4409999999998</v>
      </c>
      <c r="K244" s="26">
        <f>'2023'!K246</f>
        <v>4906.6229999999996</v>
      </c>
      <c r="L244" s="26">
        <f t="shared" si="79"/>
        <v>20162.970999999998</v>
      </c>
      <c r="M244" s="38">
        <f>'2023'!N246</f>
        <v>80.056045815200008</v>
      </c>
      <c r="N244" s="27">
        <v>82.728616208099197</v>
      </c>
      <c r="O244" s="38">
        <f>'2023'!P246</f>
        <v>71.410719119999996</v>
      </c>
      <c r="P244" s="27">
        <v>74.267147884799996</v>
      </c>
      <c r="Q244" s="27">
        <f>(M244-O244)*H244</f>
        <v>44651.841517683868</v>
      </c>
      <c r="R244" s="27">
        <f t="shared" si="96"/>
        <v>42552.764841415999</v>
      </c>
      <c r="S244" s="27">
        <f t="shared" si="96"/>
        <v>43741.06127066414</v>
      </c>
      <c r="T244" s="27">
        <f>(N244-P244)*K244</f>
        <v>41517.23508887129</v>
      </c>
      <c r="U244" s="27">
        <f t="shared" si="80"/>
        <v>172462.90271863531</v>
      </c>
      <c r="V244" s="119"/>
      <c r="W244" s="119"/>
      <c r="X244" s="119"/>
      <c r="Y244" s="29">
        <f>N244/M244*100</f>
        <v>103.33837421731833</v>
      </c>
      <c r="Z244" s="30">
        <f>P244/O244*100</f>
        <v>104</v>
      </c>
      <c r="AA244" s="2"/>
      <c r="AD244" s="32">
        <f t="shared" si="90"/>
        <v>0</v>
      </c>
      <c r="AE244" s="91"/>
      <c r="AF244" s="92"/>
    </row>
    <row r="245" spans="1:32" s="40" customFormat="1" ht="51" customHeight="1">
      <c r="A245" s="33" t="s">
        <v>380</v>
      </c>
      <c r="B245" s="34" t="s">
        <v>381</v>
      </c>
      <c r="C245" s="35" t="s">
        <v>86</v>
      </c>
      <c r="D245" s="33" t="s">
        <v>90</v>
      </c>
      <c r="E245" s="33"/>
      <c r="F245" s="36" t="s">
        <v>430</v>
      </c>
      <c r="G245" s="36"/>
      <c r="H245" s="26">
        <f>'2023'!H247</f>
        <v>1012</v>
      </c>
      <c r="I245" s="26">
        <f>'2023'!I247</f>
        <v>1012</v>
      </c>
      <c r="J245" s="26">
        <f>'2023'!J247</f>
        <v>1012</v>
      </c>
      <c r="K245" s="26">
        <f>'2023'!K247</f>
        <v>1012</v>
      </c>
      <c r="L245" s="26">
        <f t="shared" si="79"/>
        <v>4048</v>
      </c>
      <c r="M245" s="38">
        <f>'2023'!N247</f>
        <v>215.27</v>
      </c>
      <c r="N245" s="27">
        <v>215.27</v>
      </c>
      <c r="O245" s="38">
        <f>'2023'!P247</f>
        <v>85.696000000000012</v>
      </c>
      <c r="P245" s="27">
        <v>89.123840000000015</v>
      </c>
      <c r="Q245" s="27">
        <f>(M245-O245)*H245</f>
        <v>131128.88800000001</v>
      </c>
      <c r="R245" s="27">
        <f t="shared" si="96"/>
        <v>131128.88800000001</v>
      </c>
      <c r="S245" s="27">
        <f t="shared" si="96"/>
        <v>127659.91391999999</v>
      </c>
      <c r="T245" s="27">
        <f>(N245-P245)*K245</f>
        <v>127659.91391999999</v>
      </c>
      <c r="U245" s="27">
        <f t="shared" si="80"/>
        <v>517577.60384</v>
      </c>
      <c r="V245" s="119"/>
      <c r="W245" s="119"/>
      <c r="X245" s="119"/>
      <c r="Y245" s="29"/>
      <c r="Z245" s="30"/>
      <c r="AA245" s="2"/>
      <c r="AD245" s="32"/>
      <c r="AE245" s="91"/>
      <c r="AF245" s="92"/>
    </row>
    <row r="246" spans="1:32" s="40" customFormat="1" ht="15" customHeight="1">
      <c r="A246" s="33"/>
      <c r="B246" s="34"/>
      <c r="C246" s="35"/>
      <c r="D246" s="33"/>
      <c r="E246" s="33"/>
      <c r="F246" s="36"/>
      <c r="G246" s="36"/>
      <c r="H246" s="26"/>
      <c r="I246" s="26"/>
      <c r="J246" s="26"/>
      <c r="K246" s="26"/>
      <c r="L246" s="37"/>
      <c r="M246" s="41"/>
      <c r="N246" s="41"/>
      <c r="O246" s="41"/>
      <c r="P246" s="41"/>
      <c r="Q246" s="27"/>
      <c r="R246" s="27"/>
      <c r="S246" s="27"/>
      <c r="T246" s="27"/>
      <c r="U246" s="27"/>
      <c r="V246" s="119"/>
      <c r="W246" s="119"/>
      <c r="X246" s="119"/>
      <c r="Y246" s="29" t="e">
        <f t="shared" ref="Y246:Y278" si="99">N246/M246*100</f>
        <v>#DIV/0!</v>
      </c>
      <c r="Z246" s="30" t="e">
        <f t="shared" ref="Z246:Z278" si="100">P246/O246*100</f>
        <v>#DIV/0!</v>
      </c>
      <c r="AA246" s="2"/>
      <c r="AD246" s="32" t="e">
        <f t="shared" si="90"/>
        <v>#DIV/0!</v>
      </c>
      <c r="AE246" s="91"/>
      <c r="AF246" s="92"/>
    </row>
    <row r="247" spans="1:32" s="40" customFormat="1" ht="51" customHeight="1">
      <c r="A247" s="33" t="s">
        <v>382</v>
      </c>
      <c r="B247" s="34" t="s">
        <v>120</v>
      </c>
      <c r="C247" s="35" t="s">
        <v>97</v>
      </c>
      <c r="D247" s="33" t="s">
        <v>319</v>
      </c>
      <c r="E247" s="33" t="s">
        <v>320</v>
      </c>
      <c r="F247" s="36" t="s">
        <v>430</v>
      </c>
      <c r="G247" s="36" t="s">
        <v>384</v>
      </c>
      <c r="H247" s="26">
        <f>'2023'!H249</f>
        <v>10580.328</v>
      </c>
      <c r="I247" s="26">
        <f>'2023'!I249</f>
        <v>9970.7920000000013</v>
      </c>
      <c r="J247" s="26">
        <f>'2023'!J249</f>
        <v>10009.784</v>
      </c>
      <c r="K247" s="26">
        <f>'2023'!K249</f>
        <v>9911.5859999999993</v>
      </c>
      <c r="L247" s="26">
        <f t="shared" si="79"/>
        <v>40472.490000000005</v>
      </c>
      <c r="M247" s="38">
        <v>202.55</v>
      </c>
      <c r="N247" s="27">
        <v>221.18</v>
      </c>
      <c r="O247" s="38">
        <v>85.71</v>
      </c>
      <c r="P247" s="27">
        <v>89.13</v>
      </c>
      <c r="Q247" s="27">
        <f>(M247-O247)*H247</f>
        <v>1236205.52352</v>
      </c>
      <c r="R247" s="27">
        <f t="shared" ref="R247:S251" si="101">(M247-O247)*I247</f>
        <v>1164987.3372800003</v>
      </c>
      <c r="S247" s="27">
        <f t="shared" si="101"/>
        <v>1321791.9772000001</v>
      </c>
      <c r="T247" s="27">
        <f>(N247-P247)*K247</f>
        <v>1308824.9313000001</v>
      </c>
      <c r="U247" s="27">
        <f t="shared" si="80"/>
        <v>5031809.7693000007</v>
      </c>
      <c r="V247" s="119"/>
      <c r="W247" s="119"/>
      <c r="X247" s="119"/>
      <c r="Y247" s="29">
        <f t="shared" si="99"/>
        <v>109.19772895581336</v>
      </c>
      <c r="Z247" s="30">
        <f t="shared" si="100"/>
        <v>103.9901995099755</v>
      </c>
      <c r="AA247" s="2"/>
      <c r="AD247" s="32">
        <f t="shared" si="90"/>
        <v>9.8004900245030058E-3</v>
      </c>
      <c r="AE247" s="91"/>
      <c r="AF247" s="92"/>
    </row>
    <row r="248" spans="1:32" s="40" customFormat="1" ht="51" customHeight="1">
      <c r="A248" s="33" t="s">
        <v>382</v>
      </c>
      <c r="B248" s="34" t="s">
        <v>120</v>
      </c>
      <c r="C248" s="35" t="s">
        <v>97</v>
      </c>
      <c r="D248" s="33" t="s">
        <v>319</v>
      </c>
      <c r="E248" s="33" t="s">
        <v>321</v>
      </c>
      <c r="F248" s="36" t="s">
        <v>430</v>
      </c>
      <c r="G248" s="36" t="s">
        <v>384</v>
      </c>
      <c r="H248" s="26">
        <f>'2023'!H250</f>
        <v>2765.453</v>
      </c>
      <c r="I248" s="26">
        <f>'2023'!I250</f>
        <v>2244.1320000000001</v>
      </c>
      <c r="J248" s="26">
        <f>'2023'!J250</f>
        <v>2479.5250000000001</v>
      </c>
      <c r="K248" s="26">
        <f>'2023'!K250</f>
        <v>2248.3430000000003</v>
      </c>
      <c r="L248" s="26">
        <f t="shared" si="79"/>
        <v>9737.4530000000013</v>
      </c>
      <c r="M248" s="38">
        <v>202.55</v>
      </c>
      <c r="N248" s="27">
        <v>221.18</v>
      </c>
      <c r="O248" s="38">
        <v>90.48</v>
      </c>
      <c r="P248" s="27">
        <v>94.1</v>
      </c>
      <c r="Q248" s="27">
        <f>(M248-O248)*H248</f>
        <v>309924.31771000003</v>
      </c>
      <c r="R248" s="27">
        <f t="shared" si="101"/>
        <v>251499.87324000002</v>
      </c>
      <c r="S248" s="27">
        <f t="shared" si="101"/>
        <v>315098.03700000007</v>
      </c>
      <c r="T248" s="27">
        <f>(N248-P248)*K248</f>
        <v>285719.42844000005</v>
      </c>
      <c r="U248" s="27">
        <f t="shared" si="80"/>
        <v>1162241.6563900001</v>
      </c>
      <c r="V248" s="119"/>
      <c r="W248" s="119"/>
      <c r="X248" s="119"/>
      <c r="Y248" s="29">
        <f t="shared" si="99"/>
        <v>109.19772895581336</v>
      </c>
      <c r="Z248" s="30">
        <f t="shared" si="100"/>
        <v>104.00088417329796</v>
      </c>
      <c r="AA248" s="2"/>
      <c r="AD248" s="32">
        <f t="shared" si="90"/>
        <v>-8.841732979618655E-4</v>
      </c>
      <c r="AE248" s="91"/>
      <c r="AF248" s="92"/>
    </row>
    <row r="249" spans="1:32" s="40" customFormat="1" ht="51" customHeight="1">
      <c r="A249" s="33" t="s">
        <v>382</v>
      </c>
      <c r="B249" s="34" t="s">
        <v>120</v>
      </c>
      <c r="C249" s="35" t="s">
        <v>97</v>
      </c>
      <c r="D249" s="33" t="s">
        <v>104</v>
      </c>
      <c r="E249" s="33" t="s">
        <v>63</v>
      </c>
      <c r="F249" s="36" t="s">
        <v>430</v>
      </c>
      <c r="G249" s="36" t="s">
        <v>385</v>
      </c>
      <c r="H249" s="26">
        <f>'2023'!H251</f>
        <v>7974.3809999999994</v>
      </c>
      <c r="I249" s="26">
        <f>'2023'!I251</f>
        <v>7810.72</v>
      </c>
      <c r="J249" s="26">
        <f>'2023'!J251</f>
        <v>8654.2459999999992</v>
      </c>
      <c r="K249" s="26">
        <f>'2023'!K251</f>
        <v>8882.9060000000009</v>
      </c>
      <c r="L249" s="26">
        <f t="shared" si="79"/>
        <v>33322.252999999997</v>
      </c>
      <c r="M249" s="38">
        <v>152.28</v>
      </c>
      <c r="N249" s="27">
        <v>166.29</v>
      </c>
      <c r="O249" s="38">
        <v>87.54</v>
      </c>
      <c r="P249" s="27">
        <v>91.04</v>
      </c>
      <c r="Q249" s="27">
        <f>(M249-O249)*H249</f>
        <v>516261.42593999993</v>
      </c>
      <c r="R249" s="27">
        <f t="shared" si="101"/>
        <v>505666.01279999997</v>
      </c>
      <c r="S249" s="27">
        <f t="shared" si="101"/>
        <v>651232.01149999979</v>
      </c>
      <c r="T249" s="27">
        <f>(N249-P249)*K249</f>
        <v>668438.67649999994</v>
      </c>
      <c r="U249" s="27">
        <f t="shared" si="80"/>
        <v>2341598.1267399997</v>
      </c>
      <c r="V249" s="119"/>
      <c r="W249" s="119"/>
      <c r="X249" s="119"/>
      <c r="Y249" s="29">
        <f t="shared" si="99"/>
        <v>109.20015760441292</v>
      </c>
      <c r="Z249" s="30">
        <f t="shared" si="100"/>
        <v>103.99817226410784</v>
      </c>
      <c r="AA249" s="2"/>
      <c r="AD249" s="32">
        <f t="shared" si="90"/>
        <v>1.8277358921636733E-3</v>
      </c>
      <c r="AE249" s="91"/>
      <c r="AF249" s="92"/>
    </row>
    <row r="250" spans="1:32" s="40" customFormat="1" ht="51" customHeight="1">
      <c r="A250" s="33" t="s">
        <v>102</v>
      </c>
      <c r="B250" s="34" t="s">
        <v>103</v>
      </c>
      <c r="C250" s="35" t="s">
        <v>97</v>
      </c>
      <c r="D250" s="33" t="s">
        <v>98</v>
      </c>
      <c r="E250" s="33" t="s">
        <v>322</v>
      </c>
      <c r="F250" s="36" t="s">
        <v>430</v>
      </c>
      <c r="G250" s="36"/>
      <c r="H250" s="26">
        <f>'2023'!H252</f>
        <v>20581.621999999999</v>
      </c>
      <c r="I250" s="26">
        <f>'2023'!I252</f>
        <v>17956.550999999999</v>
      </c>
      <c r="J250" s="26">
        <f>'2023'!J252</f>
        <v>16988.644</v>
      </c>
      <c r="K250" s="26">
        <f>'2023'!K252</f>
        <v>18432.786</v>
      </c>
      <c r="L250" s="26">
        <f t="shared" si="79"/>
        <v>73959.603000000003</v>
      </c>
      <c r="M250" s="38">
        <v>70.5</v>
      </c>
      <c r="N250" s="27">
        <v>70.5</v>
      </c>
      <c r="O250" s="38">
        <v>58.24</v>
      </c>
      <c r="P250" s="27">
        <v>60.57</v>
      </c>
      <c r="Q250" s="27">
        <f>(M250-O250)*H250</f>
        <v>252330.68571999995</v>
      </c>
      <c r="R250" s="27">
        <f t="shared" si="101"/>
        <v>220147.31525999994</v>
      </c>
      <c r="S250" s="27">
        <f t="shared" si="101"/>
        <v>168697.23491999999</v>
      </c>
      <c r="T250" s="27">
        <f>(N250-P250)*K250</f>
        <v>183037.56498</v>
      </c>
      <c r="U250" s="27">
        <f t="shared" si="80"/>
        <v>824212.80087999988</v>
      </c>
      <c r="V250" s="119"/>
      <c r="W250" s="119"/>
      <c r="X250" s="119"/>
      <c r="Y250" s="29">
        <f t="shared" si="99"/>
        <v>100</v>
      </c>
      <c r="Z250" s="30">
        <f t="shared" si="100"/>
        <v>104.00068681318682</v>
      </c>
      <c r="AA250" s="2"/>
      <c r="AD250" s="32">
        <f t="shared" si="90"/>
        <v>-6.8681318681740322E-4</v>
      </c>
      <c r="AE250" s="91"/>
      <c r="AF250" s="92"/>
    </row>
    <row r="251" spans="1:32" s="40" customFormat="1" ht="51" customHeight="1">
      <c r="A251" s="33" t="s">
        <v>102</v>
      </c>
      <c r="B251" s="34" t="s">
        <v>103</v>
      </c>
      <c r="C251" s="35" t="s">
        <v>97</v>
      </c>
      <c r="D251" s="33" t="s">
        <v>98</v>
      </c>
      <c r="E251" s="33" t="s">
        <v>383</v>
      </c>
      <c r="F251" s="36" t="s">
        <v>430</v>
      </c>
      <c r="G251" s="36"/>
      <c r="H251" s="26">
        <f>'2023'!H253</f>
        <v>1515.6870000000001</v>
      </c>
      <c r="I251" s="26">
        <f>'2023'!I253</f>
        <v>1540.9009999999998</v>
      </c>
      <c r="J251" s="26">
        <f>'2023'!J253</f>
        <v>1588.5860000000002</v>
      </c>
      <c r="K251" s="26">
        <f>'2023'!K253</f>
        <v>1412.81</v>
      </c>
      <c r="L251" s="26">
        <f t="shared" si="79"/>
        <v>6057.9840000000004</v>
      </c>
      <c r="M251" s="38">
        <v>211.04</v>
      </c>
      <c r="N251" s="27">
        <v>214.03</v>
      </c>
      <c r="O251" s="38">
        <v>58.24</v>
      </c>
      <c r="P251" s="27">
        <v>60.57</v>
      </c>
      <c r="Q251" s="27">
        <f>(M251-O251)*H251</f>
        <v>231596.9736</v>
      </c>
      <c r="R251" s="27">
        <f t="shared" si="101"/>
        <v>235449.67279999994</v>
      </c>
      <c r="S251" s="27">
        <f t="shared" si="101"/>
        <v>243784.40756000005</v>
      </c>
      <c r="T251" s="27">
        <f>(N251-P251)*K251</f>
        <v>216809.82260000001</v>
      </c>
      <c r="U251" s="27">
        <f t="shared" si="80"/>
        <v>927640.87656</v>
      </c>
      <c r="V251" s="119"/>
      <c r="W251" s="119"/>
      <c r="X251" s="119"/>
      <c r="Y251" s="29">
        <f t="shared" si="99"/>
        <v>101.41679302501896</v>
      </c>
      <c r="Z251" s="30">
        <f t="shared" si="100"/>
        <v>104.00068681318682</v>
      </c>
      <c r="AA251" s="2"/>
      <c r="AD251" s="32">
        <f t="shared" si="90"/>
        <v>-6.8681318681740322E-4</v>
      </c>
      <c r="AE251" s="91"/>
      <c r="AF251" s="92"/>
    </row>
    <row r="252" spans="1:32" s="40" customFormat="1" ht="15" customHeight="1">
      <c r="A252" s="33"/>
      <c r="B252" s="34"/>
      <c r="C252" s="35"/>
      <c r="D252" s="33"/>
      <c r="E252" s="33"/>
      <c r="F252" s="36"/>
      <c r="G252" s="36"/>
      <c r="H252" s="26"/>
      <c r="I252" s="26"/>
      <c r="J252" s="26"/>
      <c r="K252" s="26"/>
      <c r="L252" s="37"/>
      <c r="M252" s="41"/>
      <c r="N252" s="41"/>
      <c r="O252" s="41"/>
      <c r="P252" s="41"/>
      <c r="Q252" s="27"/>
      <c r="R252" s="27"/>
      <c r="S252" s="27"/>
      <c r="T252" s="27"/>
      <c r="U252" s="27"/>
      <c r="V252" s="119"/>
      <c r="W252" s="119"/>
      <c r="X252" s="119"/>
      <c r="Y252" s="29" t="e">
        <f t="shared" si="99"/>
        <v>#DIV/0!</v>
      </c>
      <c r="Z252" s="30" t="e">
        <f t="shared" si="100"/>
        <v>#DIV/0!</v>
      </c>
      <c r="AA252" s="2"/>
      <c r="AD252" s="32" t="e">
        <f t="shared" si="90"/>
        <v>#DIV/0!</v>
      </c>
      <c r="AE252" s="91"/>
      <c r="AF252" s="92"/>
    </row>
    <row r="253" spans="1:32" s="40" customFormat="1" ht="51" customHeight="1">
      <c r="A253" s="33" t="s">
        <v>116</v>
      </c>
      <c r="B253" s="34" t="s">
        <v>117</v>
      </c>
      <c r="C253" s="35" t="s">
        <v>113</v>
      </c>
      <c r="D253" s="33" t="s">
        <v>118</v>
      </c>
      <c r="E253" s="33" t="s">
        <v>63</v>
      </c>
      <c r="F253" s="36" t="s">
        <v>430</v>
      </c>
      <c r="G253" s="36"/>
      <c r="H253" s="26">
        <f>'2023'!H255</f>
        <v>16879.085999999999</v>
      </c>
      <c r="I253" s="26">
        <f>'2023'!I255</f>
        <v>16628.535</v>
      </c>
      <c r="J253" s="26">
        <f>'2023'!J255</f>
        <v>16831.367999999999</v>
      </c>
      <c r="K253" s="26">
        <f>'2023'!K255</f>
        <v>16445.526999999998</v>
      </c>
      <c r="L253" s="26">
        <f t="shared" si="79"/>
        <v>66784.516000000003</v>
      </c>
      <c r="M253" s="38">
        <f>'2023'!N255</f>
        <v>153.05000000000001</v>
      </c>
      <c r="N253" s="27">
        <f>M253</f>
        <v>153.05000000000001</v>
      </c>
      <c r="O253" s="38">
        <f>'2023'!P255</f>
        <v>35.880000000000003</v>
      </c>
      <c r="P253" s="27">
        <f>O253*1.04</f>
        <v>37.315200000000004</v>
      </c>
      <c r="Q253" s="27">
        <f>(M253-O253)*H253</f>
        <v>1977722.5066200001</v>
      </c>
      <c r="R253" s="27">
        <f t="shared" ref="R253:S256" si="102">(M253-O253)*I253</f>
        <v>1948365.4459500003</v>
      </c>
      <c r="S253" s="27">
        <f t="shared" si="102"/>
        <v>1947975.0092064</v>
      </c>
      <c r="T253" s="27">
        <f>(N253-P253)*K253</f>
        <v>1903319.7782395999</v>
      </c>
      <c r="U253" s="27">
        <f t="shared" si="80"/>
        <v>7777382.7400160003</v>
      </c>
      <c r="V253" s="119"/>
      <c r="W253" s="119"/>
      <c r="X253" s="119"/>
      <c r="Y253" s="29">
        <f t="shared" si="99"/>
        <v>100</v>
      </c>
      <c r="Z253" s="30">
        <f t="shared" si="100"/>
        <v>104</v>
      </c>
      <c r="AA253" s="2"/>
      <c r="AD253" s="32">
        <f t="shared" si="90"/>
        <v>0</v>
      </c>
      <c r="AE253" s="91"/>
      <c r="AF253" s="92"/>
    </row>
    <row r="254" spans="1:32" s="40" customFormat="1" ht="83.25" customHeight="1">
      <c r="A254" s="33" t="s">
        <v>116</v>
      </c>
      <c r="B254" s="34" t="s">
        <v>117</v>
      </c>
      <c r="C254" s="35" t="s">
        <v>113</v>
      </c>
      <c r="D254" s="33" t="s">
        <v>118</v>
      </c>
      <c r="E254" s="33" t="s">
        <v>386</v>
      </c>
      <c r="F254" s="36" t="s">
        <v>430</v>
      </c>
      <c r="G254" s="36"/>
      <c r="H254" s="26">
        <f>'2023'!H256</f>
        <v>935.35400000000004</v>
      </c>
      <c r="I254" s="26">
        <f>'2023'!I256</f>
        <v>790.36700000000008</v>
      </c>
      <c r="J254" s="26">
        <f>'2023'!J256</f>
        <v>831.37</v>
      </c>
      <c r="K254" s="26">
        <f>'2023'!K256</f>
        <v>841.68399999999997</v>
      </c>
      <c r="L254" s="26">
        <f t="shared" si="79"/>
        <v>3398.7749999999996</v>
      </c>
      <c r="M254" s="38">
        <f>'2023'!N256</f>
        <v>153.05000000000001</v>
      </c>
      <c r="N254" s="27">
        <f>M254</f>
        <v>153.05000000000001</v>
      </c>
      <c r="O254" s="38">
        <f>'2023'!P256</f>
        <v>49.34</v>
      </c>
      <c r="P254" s="27">
        <f>O254*1.04</f>
        <v>51.313600000000008</v>
      </c>
      <c r="Q254" s="27">
        <f>(M254-O254)*H254</f>
        <v>97005.563340000008</v>
      </c>
      <c r="R254" s="27">
        <f t="shared" si="102"/>
        <v>81968.961570000014</v>
      </c>
      <c r="S254" s="27">
        <f t="shared" si="102"/>
        <v>84580.590867999999</v>
      </c>
      <c r="T254" s="27">
        <f>(N254-P254)*K254</f>
        <v>85629.900097599995</v>
      </c>
      <c r="U254" s="27">
        <f t="shared" si="80"/>
        <v>349185.01587560005</v>
      </c>
      <c r="V254" s="119"/>
      <c r="W254" s="119"/>
      <c r="X254" s="119"/>
      <c r="Y254" s="29">
        <f t="shared" si="99"/>
        <v>100</v>
      </c>
      <c r="Z254" s="30">
        <f t="shared" si="100"/>
        <v>104</v>
      </c>
      <c r="AA254" s="2"/>
      <c r="AD254" s="32">
        <f t="shared" si="90"/>
        <v>0</v>
      </c>
      <c r="AE254" s="91"/>
      <c r="AF254" s="92"/>
    </row>
    <row r="255" spans="1:32" s="40" customFormat="1" ht="51" customHeight="1">
      <c r="A255" s="33">
        <v>2901284489</v>
      </c>
      <c r="B255" s="34" t="s">
        <v>115</v>
      </c>
      <c r="C255" s="35" t="s">
        <v>113</v>
      </c>
      <c r="D255" s="33" t="s">
        <v>324</v>
      </c>
      <c r="E255" s="33" t="s">
        <v>63</v>
      </c>
      <c r="F255" s="36" t="s">
        <v>430</v>
      </c>
      <c r="G255" s="36" t="s">
        <v>325</v>
      </c>
      <c r="H255" s="26">
        <f>'2023'!H257</f>
        <v>3421.65</v>
      </c>
      <c r="I255" s="26">
        <f>'2023'!I257</f>
        <v>3653.57</v>
      </c>
      <c r="J255" s="26">
        <f>'2023'!J257</f>
        <v>5439.2569999999996</v>
      </c>
      <c r="K255" s="26">
        <f>'2023'!K257</f>
        <v>5427.6720000000005</v>
      </c>
      <c r="L255" s="26">
        <f t="shared" si="79"/>
        <v>17942.148999999998</v>
      </c>
      <c r="M255" s="38">
        <f>'2023'!N257</f>
        <v>119.07</v>
      </c>
      <c r="N255" s="27">
        <f>M255</f>
        <v>119.07</v>
      </c>
      <c r="O255" s="38">
        <f>'2023'!P257</f>
        <v>44.25</v>
      </c>
      <c r="P255" s="27">
        <f>O255*1.04</f>
        <v>46.02</v>
      </c>
      <c r="Q255" s="27">
        <f>(M255-O255)*H255</f>
        <v>256007.85299999997</v>
      </c>
      <c r="R255" s="27">
        <f t="shared" si="102"/>
        <v>273360.10739999998</v>
      </c>
      <c r="S255" s="27">
        <f t="shared" si="102"/>
        <v>397337.72384999989</v>
      </c>
      <c r="T255" s="27">
        <f>(N255-P255)*K255</f>
        <v>396491.43959999993</v>
      </c>
      <c r="U255" s="27">
        <f t="shared" si="80"/>
        <v>1323197.1238499999</v>
      </c>
      <c r="V255" s="119"/>
      <c r="W255" s="119"/>
      <c r="X255" s="119"/>
      <c r="Y255" s="29">
        <f t="shared" si="99"/>
        <v>100</v>
      </c>
      <c r="Z255" s="30">
        <f t="shared" si="100"/>
        <v>104</v>
      </c>
      <c r="AA255" s="2"/>
      <c r="AD255" s="32">
        <f t="shared" si="90"/>
        <v>0</v>
      </c>
      <c r="AE255" s="91"/>
      <c r="AF255" s="92"/>
    </row>
    <row r="256" spans="1:32" s="40" customFormat="1" ht="51" customHeight="1">
      <c r="A256" s="33" t="s">
        <v>111</v>
      </c>
      <c r="B256" s="34" t="s">
        <v>112</v>
      </c>
      <c r="C256" s="35" t="s">
        <v>113</v>
      </c>
      <c r="D256" s="33" t="s">
        <v>114</v>
      </c>
      <c r="E256" s="33"/>
      <c r="F256" s="36" t="s">
        <v>430</v>
      </c>
      <c r="G256" s="36"/>
      <c r="H256" s="26">
        <f>'2023'!H258</f>
        <v>1600</v>
      </c>
      <c r="I256" s="26">
        <f>'2023'!I258</f>
        <v>1600</v>
      </c>
      <c r="J256" s="26">
        <f>'2023'!J258</f>
        <v>1600</v>
      </c>
      <c r="K256" s="26">
        <f>'2023'!K258</f>
        <v>1600</v>
      </c>
      <c r="L256" s="26">
        <f t="shared" si="79"/>
        <v>6400</v>
      </c>
      <c r="M256" s="38">
        <f>'2023'!N258</f>
        <v>374.11</v>
      </c>
      <c r="N256" s="27">
        <v>378.21</v>
      </c>
      <c r="O256" s="38">
        <f>'2023'!P258</f>
        <v>35.04</v>
      </c>
      <c r="P256" s="27">
        <f>O256*1.04</f>
        <v>36.441600000000001</v>
      </c>
      <c r="Q256" s="27">
        <f>(M256-O256)*H256</f>
        <v>542512</v>
      </c>
      <c r="R256" s="27">
        <f t="shared" si="102"/>
        <v>542512</v>
      </c>
      <c r="S256" s="27">
        <f t="shared" si="102"/>
        <v>546829.43999999994</v>
      </c>
      <c r="T256" s="27">
        <f>(N256-P256)*K256</f>
        <v>546829.43999999994</v>
      </c>
      <c r="U256" s="27">
        <f t="shared" si="80"/>
        <v>2178682.8799999999</v>
      </c>
      <c r="V256" s="119"/>
      <c r="W256" s="119"/>
      <c r="X256" s="119"/>
      <c r="Y256" s="29">
        <f t="shared" si="99"/>
        <v>101.09593435085938</v>
      </c>
      <c r="Z256" s="30">
        <f t="shared" si="100"/>
        <v>104</v>
      </c>
      <c r="AA256" s="2"/>
      <c r="AD256" s="32">
        <f t="shared" si="90"/>
        <v>0</v>
      </c>
      <c r="AE256" s="91"/>
      <c r="AF256" s="92"/>
    </row>
    <row r="257" spans="1:32" s="40" customFormat="1" ht="15" customHeight="1">
      <c r="A257" s="33"/>
      <c r="B257" s="34"/>
      <c r="C257" s="35"/>
      <c r="D257" s="33"/>
      <c r="E257" s="33"/>
      <c r="F257" s="36"/>
      <c r="G257" s="36"/>
      <c r="H257" s="26"/>
      <c r="I257" s="26"/>
      <c r="J257" s="26"/>
      <c r="K257" s="26"/>
      <c r="L257" s="37"/>
      <c r="M257" s="41"/>
      <c r="N257" s="41"/>
      <c r="O257" s="41"/>
      <c r="P257" s="41"/>
      <c r="Q257" s="27"/>
      <c r="R257" s="27"/>
      <c r="S257" s="27"/>
      <c r="T257" s="27"/>
      <c r="U257" s="27"/>
      <c r="V257" s="119"/>
      <c r="W257" s="119"/>
      <c r="X257" s="119"/>
      <c r="Y257" s="29" t="e">
        <f t="shared" si="99"/>
        <v>#DIV/0!</v>
      </c>
      <c r="Z257" s="30" t="e">
        <f t="shared" si="100"/>
        <v>#DIV/0!</v>
      </c>
      <c r="AA257" s="2"/>
      <c r="AD257" s="32" t="e">
        <f t="shared" si="90"/>
        <v>#DIV/0!</v>
      </c>
      <c r="AE257" s="91"/>
      <c r="AF257" s="92"/>
    </row>
    <row r="258" spans="1:32" s="40" customFormat="1" ht="51" customHeight="1">
      <c r="A258" s="33">
        <v>2925003747</v>
      </c>
      <c r="B258" s="34" t="s">
        <v>126</v>
      </c>
      <c r="C258" s="35" t="s">
        <v>283</v>
      </c>
      <c r="D258" s="33"/>
      <c r="E258" s="33"/>
      <c r="F258" s="36" t="s">
        <v>430</v>
      </c>
      <c r="G258" s="36" t="s">
        <v>379</v>
      </c>
      <c r="H258" s="26">
        <f>'2023'!H260</f>
        <v>463953.5</v>
      </c>
      <c r="I258" s="26">
        <f>'2023'!I260</f>
        <v>463953.5</v>
      </c>
      <c r="J258" s="26">
        <f>'2023'!J260</f>
        <v>463953.5</v>
      </c>
      <c r="K258" s="26">
        <f>'2023'!K260</f>
        <v>463953.5</v>
      </c>
      <c r="L258" s="26">
        <f t="shared" si="79"/>
        <v>1855814</v>
      </c>
      <c r="M258" s="27">
        <f>'2023'!N260</f>
        <v>38.35</v>
      </c>
      <c r="N258" s="27">
        <v>38.35</v>
      </c>
      <c r="O258" s="27">
        <f>'2023'!P260</f>
        <v>30.332638387999999</v>
      </c>
      <c r="P258" s="27">
        <v>31.545943923519999</v>
      </c>
      <c r="Q258" s="27">
        <f>(M258-O258)*H258</f>
        <v>3719682.9806530429</v>
      </c>
      <c r="R258" s="27">
        <f>(M258-O258)*I258</f>
        <v>3719682.9806530429</v>
      </c>
      <c r="S258" s="27">
        <f>(N258-P258)*J258</f>
        <v>3156765.6308791647</v>
      </c>
      <c r="T258" s="27">
        <f>(N258-P258)*K258</f>
        <v>3156765.6308791647</v>
      </c>
      <c r="U258" s="27">
        <f t="shared" si="80"/>
        <v>13752897.223064415</v>
      </c>
      <c r="V258" s="119"/>
      <c r="W258" s="119"/>
      <c r="X258" s="119"/>
      <c r="Y258" s="29">
        <f t="shared" si="99"/>
        <v>100</v>
      </c>
      <c r="Z258" s="30">
        <f t="shared" si="100"/>
        <v>104</v>
      </c>
      <c r="AA258" s="2" t="s">
        <v>49</v>
      </c>
      <c r="AD258" s="32">
        <f t="shared" si="90"/>
        <v>0</v>
      </c>
      <c r="AE258" s="91"/>
      <c r="AF258" s="92"/>
    </row>
    <row r="259" spans="1:32" s="40" customFormat="1" ht="15" customHeight="1">
      <c r="A259" s="33"/>
      <c r="B259" s="34"/>
      <c r="C259" s="35"/>
      <c r="D259" s="33"/>
      <c r="E259" s="33"/>
      <c r="F259" s="36"/>
      <c r="G259" s="36"/>
      <c r="H259" s="26"/>
      <c r="I259" s="26"/>
      <c r="J259" s="26"/>
      <c r="K259" s="26"/>
      <c r="L259" s="37"/>
      <c r="M259" s="41"/>
      <c r="N259" s="41"/>
      <c r="O259" s="41"/>
      <c r="P259" s="41"/>
      <c r="Q259" s="27"/>
      <c r="R259" s="27"/>
      <c r="S259" s="27"/>
      <c r="T259" s="27"/>
      <c r="U259" s="27"/>
      <c r="V259" s="119"/>
      <c r="W259" s="119"/>
      <c r="X259" s="119"/>
      <c r="Y259" s="29" t="e">
        <f t="shared" si="99"/>
        <v>#DIV/0!</v>
      </c>
      <c r="Z259" s="30" t="e">
        <f t="shared" si="100"/>
        <v>#DIV/0!</v>
      </c>
      <c r="AA259" s="2"/>
      <c r="AD259" s="32" t="e">
        <f t="shared" si="90"/>
        <v>#DIV/0!</v>
      </c>
      <c r="AE259" s="91"/>
      <c r="AF259" s="92"/>
    </row>
    <row r="260" spans="1:32" s="40" customFormat="1" ht="51" customHeight="1">
      <c r="A260" s="33" t="s">
        <v>271</v>
      </c>
      <c r="B260" s="34" t="s">
        <v>272</v>
      </c>
      <c r="C260" s="35" t="s">
        <v>129</v>
      </c>
      <c r="D260" s="33" t="s">
        <v>130</v>
      </c>
      <c r="E260" s="33"/>
      <c r="F260" s="36" t="s">
        <v>430</v>
      </c>
      <c r="G260" s="36"/>
      <c r="H260" s="26">
        <f>'2023'!H262</f>
        <v>104555.97099999999</v>
      </c>
      <c r="I260" s="26">
        <f>'2023'!I262</f>
        <v>99477.771000000008</v>
      </c>
      <c r="J260" s="26">
        <f>'2023'!J262</f>
        <v>92358.073999999993</v>
      </c>
      <c r="K260" s="26">
        <f>'2023'!K262</f>
        <v>102137.519</v>
      </c>
      <c r="L260" s="26">
        <f t="shared" si="79"/>
        <v>398529.33499999996</v>
      </c>
      <c r="M260" s="38">
        <f>'2023'!N262</f>
        <v>78.827307000000033</v>
      </c>
      <c r="N260" s="27">
        <v>78.827307000000033</v>
      </c>
      <c r="O260" s="38">
        <f>'2023'!P262</f>
        <v>49.101215696000011</v>
      </c>
      <c r="P260" s="27">
        <v>51.065264323840012</v>
      </c>
      <c r="Q260" s="27">
        <f>(M260-O260)*H260</f>
        <v>3108040.3403243781</v>
      </c>
      <c r="R260" s="27">
        <f>(M260-O260)*I260</f>
        <v>2957085.3034644057</v>
      </c>
      <c r="S260" s="27">
        <f>(N260-P260)*J260</f>
        <v>2564048.7918759449</v>
      </c>
      <c r="T260" s="27">
        <f>(N260-P260)*K260</f>
        <v>2835546.1613151049</v>
      </c>
      <c r="U260" s="27">
        <f t="shared" si="80"/>
        <v>11464720.596979834</v>
      </c>
      <c r="V260" s="119"/>
      <c r="W260" s="119"/>
      <c r="X260" s="119"/>
      <c r="Y260" s="29">
        <f t="shared" si="99"/>
        <v>100</v>
      </c>
      <c r="Z260" s="30">
        <f t="shared" si="100"/>
        <v>104</v>
      </c>
      <c r="AA260" s="2"/>
      <c r="AD260" s="32">
        <f t="shared" si="90"/>
        <v>0</v>
      </c>
      <c r="AE260" s="91"/>
      <c r="AF260" s="92"/>
    </row>
    <row r="261" spans="1:32" s="40" customFormat="1" ht="15" customHeight="1">
      <c r="A261" s="33"/>
      <c r="B261" s="34"/>
      <c r="C261" s="35"/>
      <c r="D261" s="33"/>
      <c r="E261" s="33"/>
      <c r="F261" s="36"/>
      <c r="G261" s="36"/>
      <c r="H261" s="26"/>
      <c r="I261" s="26"/>
      <c r="J261" s="26"/>
      <c r="K261" s="26"/>
      <c r="L261" s="37"/>
      <c r="M261" s="41"/>
      <c r="N261" s="41"/>
      <c r="O261" s="41"/>
      <c r="P261" s="41"/>
      <c r="Q261" s="27"/>
      <c r="R261" s="27"/>
      <c r="S261" s="27"/>
      <c r="T261" s="27"/>
      <c r="U261" s="27"/>
      <c r="V261" s="119"/>
      <c r="W261" s="119"/>
      <c r="X261" s="119"/>
      <c r="Y261" s="29" t="e">
        <f t="shared" si="99"/>
        <v>#DIV/0!</v>
      </c>
      <c r="Z261" s="30" t="e">
        <f t="shared" si="100"/>
        <v>#DIV/0!</v>
      </c>
      <c r="AA261" s="2"/>
      <c r="AD261" s="32" t="e">
        <f t="shared" si="90"/>
        <v>#DIV/0!</v>
      </c>
      <c r="AE261" s="91"/>
      <c r="AF261" s="92"/>
    </row>
    <row r="262" spans="1:32" s="40" customFormat="1" ht="51" customHeight="1">
      <c r="A262" s="33" t="s">
        <v>60</v>
      </c>
      <c r="B262" s="34" t="s">
        <v>61</v>
      </c>
      <c r="C262" s="35" t="s">
        <v>134</v>
      </c>
      <c r="D262" s="33" t="s">
        <v>135</v>
      </c>
      <c r="E262" s="33"/>
      <c r="F262" s="36" t="s">
        <v>430</v>
      </c>
      <c r="G262" s="36"/>
      <c r="H262" s="26">
        <f>'2023'!H264</f>
        <v>7876.0169999999998</v>
      </c>
      <c r="I262" s="26">
        <f>'2023'!I264</f>
        <v>7433.2690000000002</v>
      </c>
      <c r="J262" s="26">
        <f>'2023'!J264</f>
        <v>7628.0360000000001</v>
      </c>
      <c r="K262" s="26">
        <f>'2023'!K264</f>
        <v>7839.6440000000002</v>
      </c>
      <c r="L262" s="26">
        <f t="shared" si="79"/>
        <v>30776.966</v>
      </c>
      <c r="M262" s="38">
        <f>'2023'!N264</f>
        <v>80.056045815200008</v>
      </c>
      <c r="N262" s="27">
        <v>82.728616208099197</v>
      </c>
      <c r="O262" s="38">
        <f>'2023'!P264</f>
        <v>71.414512000000016</v>
      </c>
      <c r="P262" s="27">
        <v>74.271092480000021</v>
      </c>
      <c r="Q262" s="27">
        <f>(M262-O262)*H262</f>
        <v>68060.867234589998</v>
      </c>
      <c r="R262" s="27">
        <f>(M262-O262)*I262</f>
        <v>64234.845420977828</v>
      </c>
      <c r="S262" s="27">
        <f>(N262-P262)*J262</f>
        <v>64514.295468794728</v>
      </c>
      <c r="T262" s="27">
        <f>(N262-P262)*K262</f>
        <v>66303.975149850332</v>
      </c>
      <c r="U262" s="27">
        <f t="shared" si="80"/>
        <v>263113.98327421292</v>
      </c>
      <c r="V262" s="119"/>
      <c r="W262" s="119"/>
      <c r="X262" s="119"/>
      <c r="Y262" s="29">
        <f t="shared" si="99"/>
        <v>103.33837421731833</v>
      </c>
      <c r="Z262" s="30">
        <f t="shared" si="100"/>
        <v>104</v>
      </c>
      <c r="AA262" s="2"/>
      <c r="AD262" s="32">
        <f t="shared" si="90"/>
        <v>0</v>
      </c>
      <c r="AE262" s="91"/>
      <c r="AF262" s="92"/>
    </row>
    <row r="263" spans="1:32" s="40" customFormat="1" ht="51" customHeight="1">
      <c r="A263" s="33" t="s">
        <v>136</v>
      </c>
      <c r="B263" s="34" t="s">
        <v>137</v>
      </c>
      <c r="C263" s="35" t="s">
        <v>134</v>
      </c>
      <c r="D263" s="33" t="s">
        <v>138</v>
      </c>
      <c r="E263" s="33"/>
      <c r="F263" s="36" t="s">
        <v>430</v>
      </c>
      <c r="G263" s="36"/>
      <c r="H263" s="26">
        <f>'2023'!H265</f>
        <v>84387.099000000002</v>
      </c>
      <c r="I263" s="26">
        <f>'2023'!I265</f>
        <v>83705.733999999997</v>
      </c>
      <c r="J263" s="26">
        <f>'2023'!J265</f>
        <v>80441.418000000005</v>
      </c>
      <c r="K263" s="26">
        <f>'2023'!K265</f>
        <v>81825.293999999994</v>
      </c>
      <c r="L263" s="26">
        <f t="shared" si="79"/>
        <v>330359.54499999998</v>
      </c>
      <c r="M263" s="38">
        <f>'2023'!N265</f>
        <v>140.97999999999999</v>
      </c>
      <c r="N263" s="27">
        <v>140.97999999999999</v>
      </c>
      <c r="O263" s="38">
        <f>'2023'!P265</f>
        <v>54.834208000000004</v>
      </c>
      <c r="P263" s="27">
        <v>57.027576320000009</v>
      </c>
      <c r="Q263" s="27">
        <f>(M263-O263)*H263</f>
        <v>7269593.4779374069</v>
      </c>
      <c r="R263" s="27">
        <f>(M263-O263)*I263</f>
        <v>7210896.7503713267</v>
      </c>
      <c r="S263" s="27">
        <f>(N263-P263)*J263</f>
        <v>6753252.0053559775</v>
      </c>
      <c r="T263" s="27">
        <f>(N263-P263)*K263</f>
        <v>6869431.7496285597</v>
      </c>
      <c r="U263" s="27">
        <f t="shared" si="80"/>
        <v>28103173.983293269</v>
      </c>
      <c r="V263" s="119"/>
      <c r="W263" s="119"/>
      <c r="X263" s="119"/>
      <c r="Y263" s="29">
        <f t="shared" si="99"/>
        <v>100</v>
      </c>
      <c r="Z263" s="30">
        <f t="shared" si="100"/>
        <v>104</v>
      </c>
      <c r="AA263" s="2"/>
      <c r="AD263" s="32">
        <f t="shared" si="90"/>
        <v>0</v>
      </c>
      <c r="AE263" s="91"/>
      <c r="AF263" s="92"/>
    </row>
    <row r="264" spans="1:32" s="40" customFormat="1" ht="15" customHeight="1">
      <c r="A264" s="33"/>
      <c r="B264" s="34"/>
      <c r="C264" s="35"/>
      <c r="D264" s="33"/>
      <c r="E264" s="33"/>
      <c r="F264" s="36"/>
      <c r="G264" s="36"/>
      <c r="H264" s="26"/>
      <c r="I264" s="26"/>
      <c r="J264" s="26"/>
      <c r="K264" s="26"/>
      <c r="L264" s="37"/>
      <c r="M264" s="41"/>
      <c r="N264" s="41"/>
      <c r="O264" s="41"/>
      <c r="P264" s="41"/>
      <c r="Q264" s="27"/>
      <c r="R264" s="27"/>
      <c r="S264" s="27"/>
      <c r="T264" s="27"/>
      <c r="U264" s="27"/>
      <c r="V264" s="119"/>
      <c r="W264" s="119"/>
      <c r="X264" s="119"/>
      <c r="Y264" s="29" t="e">
        <f t="shared" si="99"/>
        <v>#DIV/0!</v>
      </c>
      <c r="Z264" s="30" t="e">
        <f t="shared" si="100"/>
        <v>#DIV/0!</v>
      </c>
      <c r="AA264" s="2"/>
      <c r="AD264" s="32" t="e">
        <f t="shared" si="90"/>
        <v>#DIV/0!</v>
      </c>
      <c r="AE264" s="91"/>
      <c r="AF264" s="92"/>
    </row>
    <row r="265" spans="1:32" s="40" customFormat="1" ht="51" customHeight="1">
      <c r="A265" s="33" t="s">
        <v>144</v>
      </c>
      <c r="B265" s="34" t="s">
        <v>145</v>
      </c>
      <c r="C265" s="35" t="s">
        <v>142</v>
      </c>
      <c r="D265" s="33" t="s">
        <v>146</v>
      </c>
      <c r="E265" s="33"/>
      <c r="F265" s="36" t="s">
        <v>430</v>
      </c>
      <c r="G265" s="36"/>
      <c r="H265" s="26">
        <f>'2023'!H267</f>
        <v>9129.9630000000016</v>
      </c>
      <c r="I265" s="26">
        <f>'2023'!I267</f>
        <v>8946.2039999999997</v>
      </c>
      <c r="J265" s="26">
        <f>'2023'!J267</f>
        <v>9258.0869999999995</v>
      </c>
      <c r="K265" s="26">
        <f>'2023'!K267</f>
        <v>9029.4310000000005</v>
      </c>
      <c r="L265" s="26">
        <f t="shared" ref="L265:L337" si="103">H265+I265+J265+K265</f>
        <v>36363.684999999998</v>
      </c>
      <c r="M265" s="38">
        <f>'2023'!N267</f>
        <v>123.02</v>
      </c>
      <c r="N265" s="27">
        <f>M265</f>
        <v>123.02</v>
      </c>
      <c r="O265" s="38">
        <f>'2023'!P267</f>
        <v>100.11</v>
      </c>
      <c r="P265" s="38">
        <f>O265*1.04</f>
        <v>104.1144</v>
      </c>
      <c r="Q265" s="27">
        <f>(M265-O265)*H265</f>
        <v>209167.45233</v>
      </c>
      <c r="R265" s="27">
        <f t="shared" ref="R265:S268" si="104">(M265-O265)*I265</f>
        <v>204957.53363999995</v>
      </c>
      <c r="S265" s="27">
        <f t="shared" si="104"/>
        <v>175029.68958719991</v>
      </c>
      <c r="T265" s="27">
        <f>(N265-P265)*K265</f>
        <v>170706.81071359993</v>
      </c>
      <c r="U265" s="27">
        <f t="shared" si="80"/>
        <v>759861.48627079977</v>
      </c>
      <c r="V265" s="119"/>
      <c r="W265" s="119"/>
      <c r="X265" s="119"/>
      <c r="Y265" s="29">
        <f t="shared" si="99"/>
        <v>100</v>
      </c>
      <c r="Z265" s="30">
        <f t="shared" si="100"/>
        <v>104</v>
      </c>
      <c r="AA265" s="2"/>
      <c r="AD265" s="32">
        <f t="shared" si="90"/>
        <v>0</v>
      </c>
      <c r="AE265" s="91"/>
      <c r="AF265" s="92"/>
    </row>
    <row r="266" spans="1:32" s="40" customFormat="1" ht="51" customHeight="1">
      <c r="A266" s="33" t="s">
        <v>151</v>
      </c>
      <c r="B266" s="34" t="s">
        <v>152</v>
      </c>
      <c r="C266" s="35" t="s">
        <v>142</v>
      </c>
      <c r="D266" s="33" t="s">
        <v>154</v>
      </c>
      <c r="E266" s="33"/>
      <c r="F266" s="36" t="s">
        <v>430</v>
      </c>
      <c r="G266" s="36"/>
      <c r="H266" s="26">
        <f>'2023'!H268</f>
        <v>2329.0390000000002</v>
      </c>
      <c r="I266" s="26">
        <f>'2023'!I268</f>
        <v>2063.6349999999998</v>
      </c>
      <c r="J266" s="26">
        <f>'2023'!J268</f>
        <v>1887.8219999999999</v>
      </c>
      <c r="K266" s="26">
        <f>'2023'!K268</f>
        <v>2180.1559999999999</v>
      </c>
      <c r="L266" s="26">
        <f t="shared" si="103"/>
        <v>8460.652</v>
      </c>
      <c r="M266" s="38">
        <f>'2023'!N268</f>
        <v>351.81</v>
      </c>
      <c r="N266" s="27">
        <v>369.86711580000008</v>
      </c>
      <c r="O266" s="38">
        <f>'2023'!P268</f>
        <v>100.11</v>
      </c>
      <c r="P266" s="38">
        <f>O266*1.04</f>
        <v>104.1144</v>
      </c>
      <c r="Q266" s="27">
        <f>(M266-O266)*H266</f>
        <v>586219.11629999999</v>
      </c>
      <c r="R266" s="27">
        <f t="shared" si="104"/>
        <v>519416.92949999991</v>
      </c>
      <c r="S266" s="27">
        <f t="shared" si="104"/>
        <v>501693.82344698772</v>
      </c>
      <c r="T266" s="27">
        <f>(N266-P266)*K266</f>
        <v>579382.37786766503</v>
      </c>
      <c r="U266" s="27">
        <f t="shared" si="80"/>
        <v>2186712.2471146528</v>
      </c>
      <c r="V266" s="119"/>
      <c r="W266" s="119"/>
      <c r="X266" s="119"/>
      <c r="Y266" s="29">
        <f t="shared" si="99"/>
        <v>105.13263289843952</v>
      </c>
      <c r="Z266" s="30">
        <f t="shared" si="100"/>
        <v>104</v>
      </c>
      <c r="AA266" s="2"/>
      <c r="AD266" s="32">
        <f t="shared" si="90"/>
        <v>0</v>
      </c>
      <c r="AE266" s="91"/>
      <c r="AF266" s="92"/>
    </row>
    <row r="267" spans="1:32" s="40" customFormat="1" ht="51" customHeight="1">
      <c r="A267" s="33" t="s">
        <v>273</v>
      </c>
      <c r="B267" s="34" t="s">
        <v>155</v>
      </c>
      <c r="C267" s="35" t="s">
        <v>142</v>
      </c>
      <c r="D267" s="33" t="s">
        <v>156</v>
      </c>
      <c r="E267" s="33"/>
      <c r="F267" s="36" t="s">
        <v>430</v>
      </c>
      <c r="G267" s="36"/>
      <c r="H267" s="26">
        <f>'2023'!H269</f>
        <v>5287</v>
      </c>
      <c r="I267" s="26">
        <f>'2023'!I269</f>
        <v>4951</v>
      </c>
      <c r="J267" s="26">
        <f>'2023'!J269</f>
        <v>5149</v>
      </c>
      <c r="K267" s="26">
        <f>'2023'!K269</f>
        <v>4987</v>
      </c>
      <c r="L267" s="26">
        <f t="shared" si="103"/>
        <v>20374</v>
      </c>
      <c r="M267" s="38">
        <f>'2023'!N269</f>
        <v>129.81</v>
      </c>
      <c r="N267" s="27">
        <f>M267</f>
        <v>129.81</v>
      </c>
      <c r="O267" s="38">
        <f>'2023'!P269</f>
        <v>91.03</v>
      </c>
      <c r="P267" s="38">
        <f>O267*1.04</f>
        <v>94.671199999999999</v>
      </c>
      <c r="Q267" s="27">
        <f>(M267-O267)*H267</f>
        <v>205029.86000000002</v>
      </c>
      <c r="R267" s="27">
        <f t="shared" si="104"/>
        <v>191999.78</v>
      </c>
      <c r="S267" s="27">
        <f t="shared" si="104"/>
        <v>180929.68120000002</v>
      </c>
      <c r="T267" s="27">
        <f>(N267-P267)*K267</f>
        <v>175237.19560000001</v>
      </c>
      <c r="U267" s="27">
        <f t="shared" ref="U267:U337" si="105">Q267+R267+S267+T267</f>
        <v>753196.51679999998</v>
      </c>
      <c r="V267" s="119"/>
      <c r="W267" s="119"/>
      <c r="X267" s="119"/>
      <c r="Y267" s="29">
        <f t="shared" si="99"/>
        <v>100</v>
      </c>
      <c r="Z267" s="30">
        <f t="shared" si="100"/>
        <v>104</v>
      </c>
      <c r="AA267" s="2"/>
      <c r="AD267" s="32">
        <f t="shared" si="90"/>
        <v>0</v>
      </c>
      <c r="AE267" s="91"/>
      <c r="AF267" s="92"/>
    </row>
    <row r="268" spans="1:32" s="40" customFormat="1" ht="51" customHeight="1">
      <c r="A268" s="33" t="s">
        <v>147</v>
      </c>
      <c r="B268" s="34" t="s">
        <v>148</v>
      </c>
      <c r="C268" s="35" t="s">
        <v>142</v>
      </c>
      <c r="D268" s="33" t="s">
        <v>149</v>
      </c>
      <c r="E268" s="33"/>
      <c r="F268" s="36" t="s">
        <v>430</v>
      </c>
      <c r="G268" s="36"/>
      <c r="H268" s="26">
        <f>'2023'!H270</f>
        <v>8109.1</v>
      </c>
      <c r="I268" s="26">
        <f>'2023'!I270</f>
        <v>8763.7000000000007</v>
      </c>
      <c r="J268" s="26">
        <f>'2023'!J270</f>
        <v>7460.7</v>
      </c>
      <c r="K268" s="26">
        <f>'2023'!K270</f>
        <v>10726.699999999999</v>
      </c>
      <c r="L268" s="26">
        <f t="shared" si="103"/>
        <v>35060.200000000004</v>
      </c>
      <c r="M268" s="38">
        <f>'2023'!N270</f>
        <v>71.739999999999995</v>
      </c>
      <c r="N268" s="27">
        <f>M268</f>
        <v>71.739999999999995</v>
      </c>
      <c r="O268" s="38">
        <f>'2023'!P270</f>
        <v>63.23</v>
      </c>
      <c r="P268" s="38">
        <f>O268*1.04</f>
        <v>65.759199999999993</v>
      </c>
      <c r="Q268" s="27">
        <f>(M268-O268)*H268</f>
        <v>69008.440999999992</v>
      </c>
      <c r="R268" s="27">
        <f t="shared" si="104"/>
        <v>74579.086999999985</v>
      </c>
      <c r="S268" s="27">
        <f t="shared" si="104"/>
        <v>44620.954560000013</v>
      </c>
      <c r="T268" s="27">
        <f>(N268-P268)*K268</f>
        <v>64154.247360000016</v>
      </c>
      <c r="U268" s="27">
        <f t="shared" si="105"/>
        <v>252362.72992000001</v>
      </c>
      <c r="V268" s="119"/>
      <c r="W268" s="119"/>
      <c r="X268" s="119"/>
      <c r="Y268" s="29">
        <f t="shared" si="99"/>
        <v>100</v>
      </c>
      <c r="Z268" s="30">
        <f t="shared" si="100"/>
        <v>104</v>
      </c>
      <c r="AA268" s="2"/>
      <c r="AD268" s="32">
        <f t="shared" si="90"/>
        <v>0</v>
      </c>
      <c r="AE268" s="91"/>
      <c r="AF268" s="92"/>
    </row>
    <row r="269" spans="1:32" s="40" customFormat="1" ht="15" customHeight="1">
      <c r="A269" s="33"/>
      <c r="B269" s="34"/>
      <c r="C269" s="35"/>
      <c r="D269" s="33"/>
      <c r="E269" s="33"/>
      <c r="F269" s="36"/>
      <c r="G269" s="36"/>
      <c r="H269" s="26"/>
      <c r="I269" s="26"/>
      <c r="J269" s="26"/>
      <c r="K269" s="26"/>
      <c r="L269" s="37"/>
      <c r="M269" s="41"/>
      <c r="N269" s="41"/>
      <c r="O269" s="41"/>
      <c r="P269" s="41"/>
      <c r="Q269" s="27"/>
      <c r="R269" s="27"/>
      <c r="S269" s="27"/>
      <c r="T269" s="27"/>
      <c r="U269" s="27"/>
      <c r="V269" s="119"/>
      <c r="W269" s="119"/>
      <c r="X269" s="119"/>
      <c r="Y269" s="29" t="e">
        <f t="shared" si="99"/>
        <v>#DIV/0!</v>
      </c>
      <c r="Z269" s="30" t="e">
        <f t="shared" si="100"/>
        <v>#DIV/0!</v>
      </c>
      <c r="AA269" s="2"/>
      <c r="AD269" s="32" t="e">
        <f t="shared" si="90"/>
        <v>#DIV/0!</v>
      </c>
      <c r="AE269" s="91"/>
      <c r="AF269" s="92"/>
    </row>
    <row r="270" spans="1:32" s="40" customFormat="1" ht="51" customHeight="1">
      <c r="A270" s="33" t="s">
        <v>157</v>
      </c>
      <c r="B270" s="34" t="s">
        <v>158</v>
      </c>
      <c r="C270" s="35" t="s">
        <v>343</v>
      </c>
      <c r="D270" s="33" t="s">
        <v>349</v>
      </c>
      <c r="E270" s="33"/>
      <c r="F270" s="36" t="s">
        <v>430</v>
      </c>
      <c r="G270" s="36" t="s">
        <v>160</v>
      </c>
      <c r="H270" s="26">
        <f>'2023'!H272</f>
        <v>6945.2</v>
      </c>
      <c r="I270" s="26">
        <f>'2023'!I272</f>
        <v>11138.791999999999</v>
      </c>
      <c r="J270" s="26">
        <f>'2023'!J272</f>
        <v>8363.5750000000007</v>
      </c>
      <c r="K270" s="26">
        <f>'2023'!K272</f>
        <v>6518.6100000000006</v>
      </c>
      <c r="L270" s="26">
        <f t="shared" si="103"/>
        <v>32966.176999999996</v>
      </c>
      <c r="M270" s="38">
        <v>99.36</v>
      </c>
      <c r="N270" s="27">
        <v>99.36</v>
      </c>
      <c r="O270" s="38">
        <v>37.71</v>
      </c>
      <c r="P270" s="27">
        <v>39.22</v>
      </c>
      <c r="Q270" s="27">
        <f>(M270-O270)*H270</f>
        <v>428171.57999999996</v>
      </c>
      <c r="R270" s="27">
        <f t="shared" ref="R270:S274" si="106">(M270-O270)*I270</f>
        <v>686706.52679999999</v>
      </c>
      <c r="S270" s="27">
        <f t="shared" si="106"/>
        <v>502985.40050000005</v>
      </c>
      <c r="T270" s="27">
        <f>(N270-P270)*K270</f>
        <v>392029.20540000004</v>
      </c>
      <c r="U270" s="27">
        <f t="shared" si="105"/>
        <v>2009892.7127</v>
      </c>
      <c r="V270" s="119"/>
      <c r="W270" s="119"/>
      <c r="X270" s="119"/>
      <c r="Y270" s="29">
        <f t="shared" si="99"/>
        <v>100</v>
      </c>
      <c r="Z270" s="30">
        <f t="shared" si="100"/>
        <v>104.00424290639087</v>
      </c>
      <c r="AA270" s="2"/>
      <c r="AD270" s="32">
        <f t="shared" si="90"/>
        <v>-4.242906390871326E-3</v>
      </c>
      <c r="AE270" s="91"/>
      <c r="AF270" s="92"/>
    </row>
    <row r="271" spans="1:32" s="40" customFormat="1" ht="51" customHeight="1">
      <c r="A271" s="33" t="s">
        <v>60</v>
      </c>
      <c r="B271" s="34" t="s">
        <v>61</v>
      </c>
      <c r="C271" s="35" t="s">
        <v>343</v>
      </c>
      <c r="D271" s="33" t="s">
        <v>349</v>
      </c>
      <c r="E271" s="33"/>
      <c r="F271" s="36" t="s">
        <v>430</v>
      </c>
      <c r="G271" s="36"/>
      <c r="H271" s="26">
        <f>'2023'!H273</f>
        <v>7728.9160000000002</v>
      </c>
      <c r="I271" s="26">
        <f>'2023'!I273</f>
        <v>7226.3990000000003</v>
      </c>
      <c r="J271" s="26">
        <f>'2023'!J273</f>
        <v>7168.4170000000013</v>
      </c>
      <c r="K271" s="26">
        <f>'2023'!K273</f>
        <v>7378.2690000000002</v>
      </c>
      <c r="L271" s="26">
        <f t="shared" si="103"/>
        <v>29502.001000000004</v>
      </c>
      <c r="M271" s="38">
        <f>'2023'!N273</f>
        <v>80.056045815200008</v>
      </c>
      <c r="N271" s="27">
        <v>82.728616208099197</v>
      </c>
      <c r="O271" s="38">
        <f>'2023'!P273</f>
        <v>31.42672</v>
      </c>
      <c r="P271" s="27">
        <v>32.683788800000002</v>
      </c>
      <c r="Q271" s="27">
        <f>(M271-O271)*H271</f>
        <v>375851.97436231235</v>
      </c>
      <c r="R271" s="27">
        <f t="shared" si="106"/>
        <v>351414.91144163552</v>
      </c>
      <c r="S271" s="27">
        <f t="shared" si="106"/>
        <v>358742.19155428425</v>
      </c>
      <c r="T271" s="27">
        <f>(N271-P271)*K271</f>
        <v>369244.19867552863</v>
      </c>
      <c r="U271" s="27">
        <f t="shared" si="105"/>
        <v>1455253.2760337607</v>
      </c>
      <c r="V271" s="119"/>
      <c r="W271" s="119"/>
      <c r="X271" s="119"/>
      <c r="Y271" s="29">
        <f t="shared" si="99"/>
        <v>103.33837421731833</v>
      </c>
      <c r="Z271" s="30">
        <f t="shared" si="100"/>
        <v>104</v>
      </c>
      <c r="AA271" s="2"/>
      <c r="AD271" s="32">
        <f t="shared" si="90"/>
        <v>0</v>
      </c>
      <c r="AE271" s="91"/>
      <c r="AF271" s="92"/>
    </row>
    <row r="272" spans="1:32" s="40" customFormat="1" ht="51" customHeight="1">
      <c r="A272" s="33">
        <f>A128</f>
        <v>2920017016</v>
      </c>
      <c r="B272" s="34" t="s">
        <v>454</v>
      </c>
      <c r="C272" s="34" t="str">
        <f>C128</f>
        <v>Плесецкий муниципальный округ Арх.обл.</v>
      </c>
      <c r="D272" s="33" t="str">
        <f>D128</f>
        <v>сельское поселение "Североонежское"</v>
      </c>
      <c r="E272" s="33"/>
      <c r="F272" s="36" t="s">
        <v>430</v>
      </c>
      <c r="G272" s="36" t="s">
        <v>399</v>
      </c>
      <c r="H272" s="26">
        <f>'2023'!H274</f>
        <v>57839.25</v>
      </c>
      <c r="I272" s="26">
        <f>'2023'!I274</f>
        <v>57839.25</v>
      </c>
      <c r="J272" s="26">
        <f>'2023'!J274</f>
        <v>57839.25</v>
      </c>
      <c r="K272" s="26">
        <f>'2023'!K274</f>
        <v>57839.25</v>
      </c>
      <c r="L272" s="26">
        <f t="shared" si="103"/>
        <v>231357</v>
      </c>
      <c r="M272" s="27">
        <f>'2023'!N274</f>
        <v>42.63</v>
      </c>
      <c r="N272" s="27">
        <v>42.63</v>
      </c>
      <c r="O272" s="27">
        <f>'2023'!P274</f>
        <v>37.58</v>
      </c>
      <c r="P272" s="27">
        <v>39.08</v>
      </c>
      <c r="Q272" s="27">
        <f>(M272-O272)*H272</f>
        <v>292088.21250000026</v>
      </c>
      <c r="R272" s="27">
        <f t="shared" si="106"/>
        <v>292088.21250000026</v>
      </c>
      <c r="S272" s="27">
        <f t="shared" si="106"/>
        <v>205329.33750000026</v>
      </c>
      <c r="T272" s="27">
        <f>(N272-P272)*K272</f>
        <v>205329.33750000026</v>
      </c>
      <c r="U272" s="27">
        <f t="shared" si="105"/>
        <v>994835.10000000102</v>
      </c>
      <c r="V272" s="119"/>
      <c r="W272" s="119"/>
      <c r="X272" s="119"/>
      <c r="Y272" s="29">
        <f t="shared" si="99"/>
        <v>100</v>
      </c>
      <c r="Z272" s="30">
        <f t="shared" si="100"/>
        <v>103.99148483235763</v>
      </c>
      <c r="AA272" s="2"/>
      <c r="AD272" s="32">
        <f t="shared" si="90"/>
        <v>8.5151676423720346E-3</v>
      </c>
      <c r="AE272" s="91"/>
      <c r="AF272" s="92"/>
    </row>
    <row r="273" spans="1:32" s="40" customFormat="1" ht="51" customHeight="1">
      <c r="A273" s="33" t="s">
        <v>162</v>
      </c>
      <c r="B273" s="34" t="s">
        <v>163</v>
      </c>
      <c r="C273" s="35" t="s">
        <v>343</v>
      </c>
      <c r="D273" s="33" t="s">
        <v>387</v>
      </c>
      <c r="E273" s="33"/>
      <c r="F273" s="36" t="s">
        <v>430</v>
      </c>
      <c r="G273" s="36"/>
      <c r="H273" s="26">
        <f>'2023'!H275</f>
        <v>49776.03</v>
      </c>
      <c r="I273" s="26">
        <f>'2023'!I275</f>
        <v>47458.828000000001</v>
      </c>
      <c r="J273" s="26">
        <f>'2023'!J275</f>
        <v>48087.203000000001</v>
      </c>
      <c r="K273" s="26">
        <f>'2023'!K275</f>
        <v>48101.11</v>
      </c>
      <c r="L273" s="26">
        <f t="shared" si="103"/>
        <v>193423.17100000003</v>
      </c>
      <c r="M273" s="38">
        <f>'2023'!N275</f>
        <v>80.209641000000033</v>
      </c>
      <c r="N273" s="27">
        <v>83.839288885999991</v>
      </c>
      <c r="O273" s="38">
        <f>'2023'!P275</f>
        <v>37.712064000000005</v>
      </c>
      <c r="P273" s="27">
        <v>39.22054656000001</v>
      </c>
      <c r="Q273" s="27">
        <f>(M273-O273)*H273</f>
        <v>2115360.6676793112</v>
      </c>
      <c r="R273" s="27">
        <f t="shared" si="106"/>
        <v>2016885.1972597574</v>
      </c>
      <c r="S273" s="27">
        <f t="shared" si="106"/>
        <v>2145590.5198350535</v>
      </c>
      <c r="T273" s="27">
        <f>(N273-P273)*K273</f>
        <v>2146211.0326845809</v>
      </c>
      <c r="U273" s="27">
        <f t="shared" si="105"/>
        <v>8424047.4174587037</v>
      </c>
      <c r="V273" s="119"/>
      <c r="W273" s="119"/>
      <c r="X273" s="119"/>
      <c r="Y273" s="29">
        <f t="shared" si="99"/>
        <v>104.52520151037699</v>
      </c>
      <c r="Z273" s="30">
        <f t="shared" si="100"/>
        <v>104</v>
      </c>
      <c r="AA273" s="2"/>
      <c r="AD273" s="32">
        <f t="shared" si="90"/>
        <v>0</v>
      </c>
      <c r="AE273" s="91"/>
      <c r="AF273" s="92"/>
    </row>
    <row r="274" spans="1:32" s="40" customFormat="1" ht="51" customHeight="1">
      <c r="A274" s="33" t="s">
        <v>166</v>
      </c>
      <c r="B274" s="34" t="s">
        <v>167</v>
      </c>
      <c r="C274" s="35" t="s">
        <v>343</v>
      </c>
      <c r="D274" s="33" t="s">
        <v>344</v>
      </c>
      <c r="E274" s="33"/>
      <c r="F274" s="36" t="s">
        <v>430</v>
      </c>
      <c r="G274" s="36"/>
      <c r="H274" s="26">
        <f>'2023'!H276</f>
        <v>65579.67</v>
      </c>
      <c r="I274" s="26">
        <f>'2023'!I276</f>
        <v>58953.626000000004</v>
      </c>
      <c r="J274" s="26">
        <f>'2023'!J276</f>
        <v>53547.313999999998</v>
      </c>
      <c r="K274" s="26">
        <f>'2023'!K276</f>
        <v>60715.467000000004</v>
      </c>
      <c r="L274" s="26">
        <f t="shared" si="103"/>
        <v>238796.07699999999</v>
      </c>
      <c r="M274" s="38">
        <v>77.729249999999993</v>
      </c>
      <c r="N274" s="27">
        <v>77.729249999999993</v>
      </c>
      <c r="O274" s="38">
        <v>27.008800000000004</v>
      </c>
      <c r="P274" s="27">
        <v>28.089152000000006</v>
      </c>
      <c r="Q274" s="27">
        <f>(M274-O274)*H274</f>
        <v>3326230.3732514991</v>
      </c>
      <c r="R274" s="27">
        <f t="shared" si="106"/>
        <v>2990154.4398516994</v>
      </c>
      <c r="S274" s="27">
        <f t="shared" si="106"/>
        <v>2658093.9145967714</v>
      </c>
      <c r="T274" s="27">
        <f>(N274-P274)*K274</f>
        <v>3013921.7319957656</v>
      </c>
      <c r="U274" s="27">
        <f t="shared" si="105"/>
        <v>11988400.459695736</v>
      </c>
      <c r="V274" s="119"/>
      <c r="W274" s="119"/>
      <c r="X274" s="119"/>
      <c r="Y274" s="29">
        <f t="shared" si="99"/>
        <v>100</v>
      </c>
      <c r="Z274" s="30">
        <f t="shared" si="100"/>
        <v>104</v>
      </c>
      <c r="AA274" s="2"/>
      <c r="AD274" s="32">
        <f t="shared" si="90"/>
        <v>0</v>
      </c>
      <c r="AE274" s="91"/>
      <c r="AF274" s="92"/>
    </row>
    <row r="275" spans="1:32" s="40" customFormat="1" ht="15" customHeight="1">
      <c r="A275" s="33"/>
      <c r="B275" s="34"/>
      <c r="C275" s="35"/>
      <c r="D275" s="33"/>
      <c r="E275" s="33"/>
      <c r="F275" s="36"/>
      <c r="G275" s="36"/>
      <c r="H275" s="26"/>
      <c r="I275" s="26"/>
      <c r="J275" s="26"/>
      <c r="K275" s="26"/>
      <c r="L275" s="37"/>
      <c r="M275" s="41"/>
      <c r="N275" s="41"/>
      <c r="O275" s="41"/>
      <c r="P275" s="41"/>
      <c r="Q275" s="27"/>
      <c r="R275" s="27"/>
      <c r="S275" s="27"/>
      <c r="T275" s="27"/>
      <c r="U275" s="27"/>
      <c r="V275" s="119"/>
      <c r="W275" s="119"/>
      <c r="X275" s="119"/>
      <c r="Y275" s="29" t="e">
        <f t="shared" si="99"/>
        <v>#DIV/0!</v>
      </c>
      <c r="Z275" s="30" t="e">
        <f t="shared" si="100"/>
        <v>#DIV/0!</v>
      </c>
      <c r="AA275" s="2"/>
      <c r="AD275" s="32" t="e">
        <f t="shared" si="90"/>
        <v>#DIV/0!</v>
      </c>
      <c r="AE275" s="91"/>
      <c r="AF275" s="92"/>
    </row>
    <row r="276" spans="1:32" s="40" customFormat="1" ht="51" customHeight="1">
      <c r="A276" s="33" t="s">
        <v>168</v>
      </c>
      <c r="B276" s="34" t="s">
        <v>169</v>
      </c>
      <c r="C276" s="35" t="s">
        <v>170</v>
      </c>
      <c r="D276" s="33" t="s">
        <v>358</v>
      </c>
      <c r="E276" s="33" t="s">
        <v>359</v>
      </c>
      <c r="F276" s="36" t="s">
        <v>430</v>
      </c>
      <c r="G276" s="36" t="s">
        <v>171</v>
      </c>
      <c r="H276" s="26">
        <f>'2023'!H278</f>
        <v>773</v>
      </c>
      <c r="I276" s="26">
        <f>'2023'!I278</f>
        <v>750</v>
      </c>
      <c r="J276" s="26">
        <f>'2023'!J278</f>
        <v>750</v>
      </c>
      <c r="K276" s="26">
        <f>'2023'!K278</f>
        <v>779</v>
      </c>
      <c r="L276" s="26">
        <f t="shared" si="103"/>
        <v>3052</v>
      </c>
      <c r="M276" s="38">
        <f>'2023'!N278</f>
        <v>343.82473608121904</v>
      </c>
      <c r="N276" s="27">
        <v>347.09459785973615</v>
      </c>
      <c r="O276" s="38">
        <f>'2023'!P278</f>
        <v>26.207999999999998</v>
      </c>
      <c r="P276" s="27">
        <v>27.256319999999999</v>
      </c>
      <c r="Q276" s="27">
        <f t="shared" ref="Q276:Q294" si="107">(M276-O276)*H276</f>
        <v>245517.73699078234</v>
      </c>
      <c r="R276" s="27">
        <f t="shared" ref="R276:R294" si="108">(M276-O276)*I276</f>
        <v>238212.55206091431</v>
      </c>
      <c r="S276" s="27">
        <f t="shared" ref="S276:S294" si="109">(N276-P276)*J276</f>
        <v>239878.70839480212</v>
      </c>
      <c r="T276" s="27">
        <f t="shared" ref="T276:T294" si="110">(N276-P276)*K276</f>
        <v>249154.01845273445</v>
      </c>
      <c r="U276" s="27">
        <f t="shared" si="105"/>
        <v>972763.01589923329</v>
      </c>
      <c r="V276" s="119"/>
      <c r="W276" s="119"/>
      <c r="X276" s="119"/>
      <c r="Y276" s="29">
        <f t="shared" si="99"/>
        <v>100.95102575102237</v>
      </c>
      <c r="Z276" s="30">
        <f t="shared" si="100"/>
        <v>104</v>
      </c>
      <c r="AA276" s="2"/>
      <c r="AD276" s="32">
        <f t="shared" si="90"/>
        <v>0</v>
      </c>
      <c r="AE276" s="91"/>
      <c r="AF276" s="92"/>
    </row>
    <row r="277" spans="1:32" s="40" customFormat="1" ht="51" customHeight="1">
      <c r="A277" s="33" t="s">
        <v>168</v>
      </c>
      <c r="B277" s="34" t="s">
        <v>169</v>
      </c>
      <c r="C277" s="35" t="s">
        <v>170</v>
      </c>
      <c r="D277" s="33" t="s">
        <v>358</v>
      </c>
      <c r="E277" s="33" t="s">
        <v>360</v>
      </c>
      <c r="F277" s="36" t="s">
        <v>430</v>
      </c>
      <c r="G277" s="36" t="s">
        <v>171</v>
      </c>
      <c r="H277" s="26">
        <f>'2023'!H279</f>
        <v>4468</v>
      </c>
      <c r="I277" s="26">
        <f>'2023'!I279</f>
        <v>4405</v>
      </c>
      <c r="J277" s="26">
        <f>'2023'!J279</f>
        <v>4552</v>
      </c>
      <c r="K277" s="26">
        <f>'2023'!K279</f>
        <v>4547</v>
      </c>
      <c r="L277" s="26">
        <f t="shared" si="103"/>
        <v>17972</v>
      </c>
      <c r="M277" s="38">
        <f>'2023'!N279</f>
        <v>178.86401284179954</v>
      </c>
      <c r="N277" s="27">
        <v>178.86401284179954</v>
      </c>
      <c r="O277" s="38">
        <f>'2023'!P279</f>
        <v>37.44</v>
      </c>
      <c r="P277" s="27">
        <v>38.937599999999996</v>
      </c>
      <c r="Q277" s="27">
        <f t="shared" si="107"/>
        <v>631882.48937716032</v>
      </c>
      <c r="R277" s="27">
        <f t="shared" si="108"/>
        <v>622972.77656812698</v>
      </c>
      <c r="S277" s="27">
        <f t="shared" si="109"/>
        <v>636945.03125587152</v>
      </c>
      <c r="T277" s="27">
        <f t="shared" si="110"/>
        <v>636245.39919166244</v>
      </c>
      <c r="U277" s="27">
        <f t="shared" si="105"/>
        <v>2528045.6963928211</v>
      </c>
      <c r="V277" s="119"/>
      <c r="W277" s="119"/>
      <c r="X277" s="119"/>
      <c r="Y277" s="29">
        <f t="shared" si="99"/>
        <v>100</v>
      </c>
      <c r="Z277" s="30">
        <f t="shared" si="100"/>
        <v>104</v>
      </c>
      <c r="AA277" s="2"/>
      <c r="AD277" s="32">
        <f t="shared" si="90"/>
        <v>0</v>
      </c>
      <c r="AE277" s="91"/>
      <c r="AF277" s="92"/>
    </row>
    <row r="278" spans="1:32" s="40" customFormat="1" ht="51" customHeight="1">
      <c r="A278" s="33" t="s">
        <v>168</v>
      </c>
      <c r="B278" s="34" t="s">
        <v>169</v>
      </c>
      <c r="C278" s="35" t="s">
        <v>170</v>
      </c>
      <c r="D278" s="33" t="s">
        <v>358</v>
      </c>
      <c r="E278" s="33" t="s">
        <v>361</v>
      </c>
      <c r="F278" s="36" t="s">
        <v>430</v>
      </c>
      <c r="G278" s="36" t="s">
        <v>171</v>
      </c>
      <c r="H278" s="26">
        <f>'2023'!H280</f>
        <v>3075</v>
      </c>
      <c r="I278" s="26">
        <f>'2023'!I280</f>
        <v>2980</v>
      </c>
      <c r="J278" s="26">
        <f>'2023'!J280</f>
        <v>3090</v>
      </c>
      <c r="K278" s="26">
        <f>'2023'!K280</f>
        <v>3020</v>
      </c>
      <c r="L278" s="26">
        <f t="shared" si="103"/>
        <v>12165</v>
      </c>
      <c r="M278" s="38">
        <f>'2023'!N280</f>
        <v>129.32101863633275</v>
      </c>
      <c r="N278" s="27">
        <v>129.32101863633275</v>
      </c>
      <c r="O278" s="38">
        <f>'2023'!P280</f>
        <v>31.569585146666672</v>
      </c>
      <c r="P278" s="27">
        <v>32.832368552533339</v>
      </c>
      <c r="Q278" s="27">
        <f t="shared" si="107"/>
        <v>300585.65798072319</v>
      </c>
      <c r="R278" s="27">
        <f t="shared" si="108"/>
        <v>291299.27179920493</v>
      </c>
      <c r="S278" s="27">
        <f t="shared" si="109"/>
        <v>298149.92875894019</v>
      </c>
      <c r="T278" s="27">
        <f t="shared" si="110"/>
        <v>291395.72325307422</v>
      </c>
      <c r="U278" s="27">
        <f t="shared" si="105"/>
        <v>1181430.5817919425</v>
      </c>
      <c r="V278" s="119"/>
      <c r="W278" s="119"/>
      <c r="X278" s="119"/>
      <c r="Y278" s="29">
        <f t="shared" si="99"/>
        <v>100</v>
      </c>
      <c r="Z278" s="30">
        <f t="shared" si="100"/>
        <v>104</v>
      </c>
      <c r="AA278" s="2"/>
      <c r="AD278" s="32">
        <f t="shared" si="90"/>
        <v>0</v>
      </c>
      <c r="AE278" s="91"/>
      <c r="AF278" s="92"/>
    </row>
    <row r="279" spans="1:32" s="40" customFormat="1" ht="51" customHeight="1">
      <c r="A279" s="33" t="s">
        <v>64</v>
      </c>
      <c r="B279" s="34" t="s">
        <v>65</v>
      </c>
      <c r="C279" s="35" t="s">
        <v>170</v>
      </c>
      <c r="D279" s="33" t="s">
        <v>358</v>
      </c>
      <c r="E279" s="33" t="s">
        <v>366</v>
      </c>
      <c r="F279" s="36" t="s">
        <v>430</v>
      </c>
      <c r="G279" s="36"/>
      <c r="H279" s="26">
        <f>'2023'!H281</f>
        <v>3907</v>
      </c>
      <c r="I279" s="26">
        <f>'2023'!I281</f>
        <v>3807</v>
      </c>
      <c r="J279" s="26">
        <f>'2023'!J281</f>
        <v>2176.75</v>
      </c>
      <c r="K279" s="26">
        <f>'2023'!K281</f>
        <v>2193.3049999999998</v>
      </c>
      <c r="L279" s="26">
        <f t="shared" si="103"/>
        <v>12084.055</v>
      </c>
      <c r="M279" s="38">
        <v>342.01</v>
      </c>
      <c r="N279" s="27">
        <v>342.01181271867279</v>
      </c>
      <c r="O279" s="38">
        <f>'2023'!P281</f>
        <v>27.15</v>
      </c>
      <c r="P279" s="27">
        <f>O279*1.04</f>
        <v>28.236000000000001</v>
      </c>
      <c r="Q279" s="27">
        <f t="shared" si="107"/>
        <v>1230158.02</v>
      </c>
      <c r="R279" s="27">
        <f t="shared" si="108"/>
        <v>1198672.02</v>
      </c>
      <c r="S279" s="27">
        <f t="shared" si="109"/>
        <v>683011.50033537101</v>
      </c>
      <c r="T279" s="27">
        <f t="shared" si="110"/>
        <v>688206.05891492858</v>
      </c>
      <c r="U279" s="27">
        <f t="shared" si="105"/>
        <v>3800047.5992502999</v>
      </c>
      <c r="V279" s="119"/>
      <c r="W279" s="119"/>
      <c r="X279" s="119"/>
      <c r="Y279" s="29"/>
      <c r="Z279" s="30"/>
      <c r="AA279" s="2"/>
      <c r="AD279" s="32"/>
      <c r="AE279" s="91"/>
      <c r="AF279" s="92"/>
    </row>
    <row r="280" spans="1:32" s="40" customFormat="1" ht="51" customHeight="1">
      <c r="A280" s="33" t="s">
        <v>172</v>
      </c>
      <c r="B280" s="34" t="s">
        <v>173</v>
      </c>
      <c r="C280" s="35" t="s">
        <v>170</v>
      </c>
      <c r="D280" s="33" t="s">
        <v>371</v>
      </c>
      <c r="E280" s="33" t="s">
        <v>373</v>
      </c>
      <c r="F280" s="36" t="s">
        <v>430</v>
      </c>
      <c r="G280" s="36" t="s">
        <v>174</v>
      </c>
      <c r="H280" s="26">
        <f>'2023'!H282</f>
        <v>4970.38</v>
      </c>
      <c r="I280" s="26">
        <f>'2023'!I282</f>
        <v>5028.1100000000006</v>
      </c>
      <c r="J280" s="26">
        <f>'2023'!J282</f>
        <v>4988.22</v>
      </c>
      <c r="K280" s="26">
        <f>'2023'!K282</f>
        <v>4334.4799999999996</v>
      </c>
      <c r="L280" s="26">
        <f t="shared" si="103"/>
        <v>19321.190000000002</v>
      </c>
      <c r="M280" s="38">
        <f>'2023'!N282</f>
        <v>154.69999999999999</v>
      </c>
      <c r="N280" s="27">
        <v>168.93239999999997</v>
      </c>
      <c r="O280" s="38">
        <v>29.855384000000001</v>
      </c>
      <c r="P280" s="27">
        <f>O280*1.04</f>
        <v>31.049599360000002</v>
      </c>
      <c r="Q280" s="27">
        <f t="shared" si="107"/>
        <v>620525.18247408001</v>
      </c>
      <c r="R280" s="27">
        <f t="shared" si="108"/>
        <v>627732.46215576003</v>
      </c>
      <c r="S280" s="27">
        <f t="shared" si="109"/>
        <v>687789.74380846065</v>
      </c>
      <c r="T280" s="27">
        <f t="shared" si="110"/>
        <v>597650.24171806697</v>
      </c>
      <c r="U280" s="27">
        <f t="shared" si="105"/>
        <v>2533697.6301563676</v>
      </c>
      <c r="V280" s="119"/>
      <c r="W280" s="119"/>
      <c r="X280" s="119"/>
      <c r="Y280" s="29">
        <f>N280/M280*100</f>
        <v>109.19999999999999</v>
      </c>
      <c r="Z280" s="30">
        <f>P280/O280*100</f>
        <v>104</v>
      </c>
      <c r="AA280" s="2"/>
      <c r="AD280" s="32">
        <f t="shared" si="90"/>
        <v>0</v>
      </c>
      <c r="AE280" s="91"/>
      <c r="AF280" s="92"/>
    </row>
    <row r="281" spans="1:32" s="40" customFormat="1" ht="51" customHeight="1">
      <c r="A281" s="33" t="s">
        <v>274</v>
      </c>
      <c r="B281" s="34" t="s">
        <v>275</v>
      </c>
      <c r="C281" s="35" t="s">
        <v>170</v>
      </c>
      <c r="D281" s="33" t="s">
        <v>371</v>
      </c>
      <c r="E281" s="33" t="s">
        <v>372</v>
      </c>
      <c r="F281" s="36" t="s">
        <v>430</v>
      </c>
      <c r="G281" s="36"/>
      <c r="H281" s="26">
        <f>'2023'!H283</f>
        <v>20575.32</v>
      </c>
      <c r="I281" s="26">
        <f>'2023'!I283</f>
        <v>20420.800000000003</v>
      </c>
      <c r="J281" s="26">
        <f>'2023'!J283</f>
        <v>20197.800000000003</v>
      </c>
      <c r="K281" s="26">
        <f>'2023'!K283</f>
        <v>20317.800000000003</v>
      </c>
      <c r="L281" s="26">
        <f t="shared" si="103"/>
        <v>81511.72</v>
      </c>
      <c r="M281" s="38">
        <f>'2023'!N283</f>
        <v>71.63</v>
      </c>
      <c r="N281" s="27">
        <v>71.62730000000002</v>
      </c>
      <c r="O281" s="38">
        <v>37.883502176</v>
      </c>
      <c r="P281" s="27">
        <f>O281*1.04</f>
        <v>39.398842263040002</v>
      </c>
      <c r="Q281" s="27">
        <f t="shared" si="107"/>
        <v>694344.99160810362</v>
      </c>
      <c r="R281" s="27">
        <f t="shared" si="108"/>
        <v>689130.48276433919</v>
      </c>
      <c r="S281" s="27">
        <f t="shared" si="109"/>
        <v>650943.94367957115</v>
      </c>
      <c r="T281" s="27">
        <f t="shared" si="110"/>
        <v>654811.35860800638</v>
      </c>
      <c r="U281" s="27">
        <f t="shared" si="105"/>
        <v>2689230.7766600205</v>
      </c>
      <c r="V281" s="119"/>
      <c r="W281" s="119"/>
      <c r="X281" s="119"/>
      <c r="Y281" s="29">
        <f>N281/M281*100</f>
        <v>99.996230629624492</v>
      </c>
      <c r="Z281" s="30">
        <f>P281/O281*100</f>
        <v>104</v>
      </c>
      <c r="AA281" s="2"/>
      <c r="AD281" s="32">
        <f t="shared" si="90"/>
        <v>0</v>
      </c>
      <c r="AE281" s="91"/>
      <c r="AF281" s="92"/>
    </row>
    <row r="282" spans="1:32" s="40" customFormat="1" ht="51" customHeight="1">
      <c r="A282" s="33" t="s">
        <v>176</v>
      </c>
      <c r="B282" s="34" t="s">
        <v>177</v>
      </c>
      <c r="C282" s="35" t="s">
        <v>170</v>
      </c>
      <c r="D282" s="33" t="s">
        <v>362</v>
      </c>
      <c r="E282" s="33" t="s">
        <v>363</v>
      </c>
      <c r="F282" s="36" t="s">
        <v>430</v>
      </c>
      <c r="G282" s="36"/>
      <c r="H282" s="26">
        <f>'2023'!H284</f>
        <v>51328.31</v>
      </c>
      <c r="I282" s="26">
        <f>'2023'!I284</f>
        <v>51153.140000000007</v>
      </c>
      <c r="J282" s="26">
        <f>'2023'!J284</f>
        <v>49188.79</v>
      </c>
      <c r="K282" s="26">
        <f>'2023'!K284</f>
        <v>48476.990000000005</v>
      </c>
      <c r="L282" s="26">
        <f t="shared" si="103"/>
        <v>200147.23000000004</v>
      </c>
      <c r="M282" s="38">
        <f>'2023'!N284</f>
        <v>38.03</v>
      </c>
      <c r="N282" s="27">
        <v>38.179280864138811</v>
      </c>
      <c r="O282" s="38">
        <v>24.335999999999999</v>
      </c>
      <c r="P282" s="27">
        <f>O282*1.04</f>
        <v>25.309439999999999</v>
      </c>
      <c r="Q282" s="27">
        <f t="shared" si="107"/>
        <v>702889.87714000011</v>
      </c>
      <c r="R282" s="27">
        <f t="shared" si="108"/>
        <v>700491.09916000022</v>
      </c>
      <c r="S282" s="27">
        <f t="shared" si="109"/>
        <v>633051.89959954261</v>
      </c>
      <c r="T282" s="27">
        <f t="shared" si="110"/>
        <v>623891.14687244862</v>
      </c>
      <c r="U282" s="27">
        <f t="shared" si="105"/>
        <v>2660324.0227719913</v>
      </c>
      <c r="V282" s="119"/>
      <c r="W282" s="119"/>
      <c r="X282" s="119"/>
      <c r="Y282" s="29">
        <f>N282/M282*100</f>
        <v>100.39253448366765</v>
      </c>
      <c r="Z282" s="30">
        <f>P282/O282*100</f>
        <v>104</v>
      </c>
      <c r="AA282" s="2"/>
      <c r="AD282" s="32">
        <f t="shared" ref="AD282:AD352" si="111">104-Z282</f>
        <v>0</v>
      </c>
      <c r="AE282" s="91"/>
      <c r="AF282" s="92"/>
    </row>
    <row r="283" spans="1:32" s="40" customFormat="1" ht="204.75" customHeight="1">
      <c r="A283" s="33" t="s">
        <v>178</v>
      </c>
      <c r="B283" s="34" t="s">
        <v>179</v>
      </c>
      <c r="C283" s="35" t="s">
        <v>170</v>
      </c>
      <c r="D283" s="33" t="s">
        <v>180</v>
      </c>
      <c r="E283" s="33" t="str">
        <f>E141</f>
        <v>сельское поселение "Уемское" и городской округ "Город Архангельск" (система водоснабжения по ул.Заводская пос.Уемский)</v>
      </c>
      <c r="F283" s="36" t="s">
        <v>430</v>
      </c>
      <c r="G283" s="36"/>
      <c r="H283" s="26">
        <f>'2023'!H285</f>
        <v>31239.52</v>
      </c>
      <c r="I283" s="26">
        <f>'2023'!I285</f>
        <v>31083.599999999999</v>
      </c>
      <c r="J283" s="26">
        <f>'2023'!J285</f>
        <v>29118.11</v>
      </c>
      <c r="K283" s="26">
        <f>'2023'!K285</f>
        <v>31585.93</v>
      </c>
      <c r="L283" s="26">
        <f t="shared" si="103"/>
        <v>123027.16</v>
      </c>
      <c r="M283" s="38">
        <v>98.75</v>
      </c>
      <c r="N283" s="27">
        <v>105.02</v>
      </c>
      <c r="O283" s="38">
        <v>33.799999999999997</v>
      </c>
      <c r="P283" s="27">
        <v>35.15</v>
      </c>
      <c r="Q283" s="27">
        <f t="shared" si="107"/>
        <v>2029006.824</v>
      </c>
      <c r="R283" s="27">
        <f t="shared" si="108"/>
        <v>2018879.82</v>
      </c>
      <c r="S283" s="27">
        <f t="shared" si="109"/>
        <v>2034482.3457000002</v>
      </c>
      <c r="T283" s="27">
        <f t="shared" si="110"/>
        <v>2206908.9291000003</v>
      </c>
      <c r="U283" s="27">
        <f t="shared" si="105"/>
        <v>8289277.918800001</v>
      </c>
      <c r="V283" s="119"/>
      <c r="W283" s="119"/>
      <c r="X283" s="119"/>
      <c r="Y283" s="29">
        <f>N283/M283*100</f>
        <v>106.34936708860758</v>
      </c>
      <c r="Z283" s="30">
        <f>P283/O283*100</f>
        <v>103.9940828402367</v>
      </c>
      <c r="AA283" s="2"/>
      <c r="AD283" s="32">
        <f t="shared" si="111"/>
        <v>5.9171597632996509E-3</v>
      </c>
      <c r="AE283" s="91"/>
      <c r="AF283" s="92"/>
    </row>
    <row r="284" spans="1:32" s="40" customFormat="1" ht="51" customHeight="1">
      <c r="A284" s="33" t="s">
        <v>178</v>
      </c>
      <c r="B284" s="34" t="s">
        <v>179</v>
      </c>
      <c r="C284" s="35" t="s">
        <v>170</v>
      </c>
      <c r="D284" s="33" t="s">
        <v>362</v>
      </c>
      <c r="E284" s="33" t="s">
        <v>365</v>
      </c>
      <c r="F284" s="36" t="s">
        <v>430</v>
      </c>
      <c r="G284" s="36" t="s">
        <v>397</v>
      </c>
      <c r="H284" s="26">
        <f>'2023'!H286</f>
        <v>3516.6</v>
      </c>
      <c r="I284" s="26">
        <f>'2023'!I286</f>
        <v>3068.74</v>
      </c>
      <c r="J284" s="26">
        <f>'2023'!J286</f>
        <v>3087.4</v>
      </c>
      <c r="K284" s="26">
        <f>'2023'!K286</f>
        <v>3043.46</v>
      </c>
      <c r="L284" s="26">
        <f t="shared" si="103"/>
        <v>12716.2</v>
      </c>
      <c r="M284" s="38">
        <f>'2023'!N286</f>
        <v>214.9</v>
      </c>
      <c r="N284" s="27">
        <v>214.89689999999999</v>
      </c>
      <c r="O284" s="38">
        <v>29.535999999999998</v>
      </c>
      <c r="P284" s="27">
        <f>O284*1.04</f>
        <v>30.71744</v>
      </c>
      <c r="Q284" s="27">
        <f t="shared" si="107"/>
        <v>651851.04240000003</v>
      </c>
      <c r="R284" s="27">
        <f t="shared" si="108"/>
        <v>568833.92135999992</v>
      </c>
      <c r="S284" s="27">
        <f t="shared" si="109"/>
        <v>568635.66480399994</v>
      </c>
      <c r="T284" s="27">
        <f t="shared" si="110"/>
        <v>560542.81933159998</v>
      </c>
      <c r="U284" s="27">
        <f t="shared" si="105"/>
        <v>2349863.4478956</v>
      </c>
      <c r="V284" s="119"/>
      <c r="W284" s="119"/>
      <c r="X284" s="119"/>
      <c r="Y284" s="29"/>
      <c r="Z284" s="30"/>
      <c r="AA284" s="2"/>
      <c r="AD284" s="32"/>
      <c r="AE284" s="91"/>
      <c r="AF284" s="92"/>
    </row>
    <row r="285" spans="1:32" s="40" customFormat="1" ht="51" customHeight="1">
      <c r="A285" s="33" t="s">
        <v>181</v>
      </c>
      <c r="B285" s="34" t="s">
        <v>433</v>
      </c>
      <c r="C285" s="35" t="s">
        <v>170</v>
      </c>
      <c r="D285" s="33" t="s">
        <v>353</v>
      </c>
      <c r="E285" s="33" t="s">
        <v>354</v>
      </c>
      <c r="F285" s="36" t="s">
        <v>430</v>
      </c>
      <c r="G285" s="36"/>
      <c r="H285" s="26">
        <f>'2023'!H287</f>
        <v>3242.09</v>
      </c>
      <c r="I285" s="26">
        <f>'2023'!I287</f>
        <v>3050.7299999999996</v>
      </c>
      <c r="J285" s="26">
        <f>'2023'!J287</f>
        <v>3381.58</v>
      </c>
      <c r="K285" s="26">
        <f>'2023'!K287</f>
        <v>3241.3</v>
      </c>
      <c r="L285" s="26">
        <f t="shared" si="103"/>
        <v>12915.7</v>
      </c>
      <c r="M285" s="38">
        <f>'2023'!N287</f>
        <v>135.85</v>
      </c>
      <c r="N285" s="27">
        <v>135.85400000000004</v>
      </c>
      <c r="O285" s="38">
        <v>33.800000000000004</v>
      </c>
      <c r="P285" s="27">
        <f>O285*1.04</f>
        <v>35.152000000000008</v>
      </c>
      <c r="Q285" s="27">
        <f t="shared" si="107"/>
        <v>330855.28449999995</v>
      </c>
      <c r="R285" s="27">
        <f t="shared" si="108"/>
        <v>311326.99649999989</v>
      </c>
      <c r="S285" s="27">
        <f t="shared" si="109"/>
        <v>340531.86916000006</v>
      </c>
      <c r="T285" s="27">
        <f t="shared" si="110"/>
        <v>326405.39260000008</v>
      </c>
      <c r="U285" s="27">
        <f t="shared" si="105"/>
        <v>1309119.5427600001</v>
      </c>
      <c r="V285" s="119"/>
      <c r="W285" s="119"/>
      <c r="X285" s="119"/>
      <c r="Y285" s="29">
        <f t="shared" ref="Y285:Y312" si="112">N285/M285*100</f>
        <v>100.00294442399709</v>
      </c>
      <c r="Z285" s="30">
        <f t="shared" ref="Z285:Z312" si="113">P285/O285*100</f>
        <v>104</v>
      </c>
      <c r="AA285" s="2"/>
      <c r="AD285" s="32">
        <f t="shared" si="111"/>
        <v>0</v>
      </c>
      <c r="AE285" s="91"/>
      <c r="AF285" s="92"/>
    </row>
    <row r="286" spans="1:32" s="40" customFormat="1" ht="51" customHeight="1">
      <c r="A286" s="33" t="s">
        <v>182</v>
      </c>
      <c r="B286" s="34" t="s">
        <v>183</v>
      </c>
      <c r="C286" s="35" t="s">
        <v>170</v>
      </c>
      <c r="D286" s="33" t="s">
        <v>285</v>
      </c>
      <c r="E286" s="33" t="s">
        <v>355</v>
      </c>
      <c r="F286" s="36" t="s">
        <v>430</v>
      </c>
      <c r="G286" s="36"/>
      <c r="H286" s="26">
        <f>'2023'!H288</f>
        <v>6456.2999999999993</v>
      </c>
      <c r="I286" s="26">
        <f>'2023'!I288</f>
        <v>6214.4830000000002</v>
      </c>
      <c r="J286" s="26">
        <f>'2023'!J288</f>
        <v>5781.2330000000002</v>
      </c>
      <c r="K286" s="26">
        <f>'2023'!K288</f>
        <v>6187.7729999999992</v>
      </c>
      <c r="L286" s="26">
        <f t="shared" si="103"/>
        <v>24639.788999999997</v>
      </c>
      <c r="M286" s="38">
        <v>65.989999999999995</v>
      </c>
      <c r="N286" s="27">
        <v>65.989999999999995</v>
      </c>
      <c r="O286" s="38">
        <v>40.56</v>
      </c>
      <c r="P286" s="27">
        <v>42.18</v>
      </c>
      <c r="Q286" s="27">
        <f t="shared" si="107"/>
        <v>164183.70899999994</v>
      </c>
      <c r="R286" s="27">
        <f t="shared" si="108"/>
        <v>158034.30268999995</v>
      </c>
      <c r="S286" s="27">
        <f t="shared" si="109"/>
        <v>137651.15772999998</v>
      </c>
      <c r="T286" s="27">
        <f t="shared" si="110"/>
        <v>147330.87512999994</v>
      </c>
      <c r="U286" s="27">
        <f t="shared" si="105"/>
        <v>607200.04454999976</v>
      </c>
      <c r="V286" s="119"/>
      <c r="W286" s="119"/>
      <c r="X286" s="119"/>
      <c r="Y286" s="29">
        <f t="shared" si="112"/>
        <v>100</v>
      </c>
      <c r="Z286" s="30">
        <f t="shared" si="113"/>
        <v>103.99408284023667</v>
      </c>
      <c r="AA286" s="2"/>
      <c r="AD286" s="32">
        <f t="shared" si="111"/>
        <v>5.9171597633280726E-3</v>
      </c>
      <c r="AE286" s="91"/>
      <c r="AF286" s="92"/>
    </row>
    <row r="287" spans="1:32" s="40" customFormat="1" ht="51" customHeight="1">
      <c r="A287" s="33" t="s">
        <v>182</v>
      </c>
      <c r="B287" s="34" t="s">
        <v>183</v>
      </c>
      <c r="C287" s="35" t="s">
        <v>170</v>
      </c>
      <c r="D287" s="33" t="s">
        <v>285</v>
      </c>
      <c r="E287" s="33" t="s">
        <v>356</v>
      </c>
      <c r="F287" s="36" t="s">
        <v>430</v>
      </c>
      <c r="G287" s="36"/>
      <c r="H287" s="26">
        <f>'2023'!H289</f>
        <v>517.27</v>
      </c>
      <c r="I287" s="26">
        <f>'2023'!I289</f>
        <v>548.75</v>
      </c>
      <c r="J287" s="26">
        <f>'2023'!J289</f>
        <v>577.47</v>
      </c>
      <c r="K287" s="26">
        <f>'2023'!K289</f>
        <v>506.35</v>
      </c>
      <c r="L287" s="26">
        <f t="shared" si="103"/>
        <v>2149.84</v>
      </c>
      <c r="M287" s="38">
        <v>501.5</v>
      </c>
      <c r="N287" s="27">
        <v>501.5</v>
      </c>
      <c r="O287" s="38">
        <v>40.56</v>
      </c>
      <c r="P287" s="27">
        <v>42.18</v>
      </c>
      <c r="Q287" s="27">
        <f t="shared" si="107"/>
        <v>238430.4338</v>
      </c>
      <c r="R287" s="27">
        <f t="shared" si="108"/>
        <v>252940.82500000001</v>
      </c>
      <c r="S287" s="27">
        <f t="shared" si="109"/>
        <v>265243.52040000004</v>
      </c>
      <c r="T287" s="27">
        <f t="shared" si="110"/>
        <v>232576.682</v>
      </c>
      <c r="U287" s="27">
        <f t="shared" si="105"/>
        <v>989191.46120000002</v>
      </c>
      <c r="V287" s="119"/>
      <c r="W287" s="119"/>
      <c r="X287" s="119"/>
      <c r="Y287" s="29">
        <f t="shared" si="112"/>
        <v>100</v>
      </c>
      <c r="Z287" s="30">
        <f t="shared" si="113"/>
        <v>103.99408284023667</v>
      </c>
      <c r="AA287" s="2"/>
      <c r="AD287" s="32">
        <f t="shared" si="111"/>
        <v>5.9171597633280726E-3</v>
      </c>
      <c r="AE287" s="91"/>
      <c r="AF287" s="92"/>
    </row>
    <row r="288" spans="1:32" s="40" customFormat="1" ht="51" customHeight="1">
      <c r="A288" s="33" t="s">
        <v>182</v>
      </c>
      <c r="B288" s="34" t="s">
        <v>183</v>
      </c>
      <c r="C288" s="35" t="s">
        <v>170</v>
      </c>
      <c r="D288" s="33" t="s">
        <v>285</v>
      </c>
      <c r="E288" s="33" t="s">
        <v>357</v>
      </c>
      <c r="F288" s="36" t="s">
        <v>430</v>
      </c>
      <c r="G288" s="36"/>
      <c r="H288" s="26">
        <f>'2023'!H290</f>
        <v>3918.0599999999995</v>
      </c>
      <c r="I288" s="26">
        <f>'2023'!I290</f>
        <v>4004.08</v>
      </c>
      <c r="J288" s="26">
        <f>'2023'!J290</f>
        <v>4308.91</v>
      </c>
      <c r="K288" s="26">
        <f>'2023'!K290</f>
        <v>3729.0699999999997</v>
      </c>
      <c r="L288" s="26">
        <f t="shared" si="103"/>
        <v>15960.119999999999</v>
      </c>
      <c r="M288" s="38">
        <v>108.07</v>
      </c>
      <c r="N288" s="27">
        <v>108.07</v>
      </c>
      <c r="O288" s="38">
        <v>35.36</v>
      </c>
      <c r="P288" s="27">
        <v>36.770000000000003</v>
      </c>
      <c r="Q288" s="27">
        <f t="shared" si="107"/>
        <v>284882.14259999996</v>
      </c>
      <c r="R288" s="27">
        <f t="shared" si="108"/>
        <v>291136.6568</v>
      </c>
      <c r="S288" s="27">
        <f t="shared" si="109"/>
        <v>307225.28299999994</v>
      </c>
      <c r="T288" s="27">
        <f t="shared" si="110"/>
        <v>265882.69099999993</v>
      </c>
      <c r="U288" s="27">
        <f t="shared" si="105"/>
        <v>1149126.7733999998</v>
      </c>
      <c r="V288" s="119"/>
      <c r="W288" s="119"/>
      <c r="X288" s="119"/>
      <c r="Y288" s="29">
        <f t="shared" si="112"/>
        <v>100</v>
      </c>
      <c r="Z288" s="30">
        <f t="shared" si="113"/>
        <v>103.98755656108598</v>
      </c>
      <c r="AA288" s="2"/>
      <c r="AD288" s="32">
        <f t="shared" si="111"/>
        <v>1.2443438914019112E-2</v>
      </c>
      <c r="AE288" s="91"/>
      <c r="AF288" s="92"/>
    </row>
    <row r="289" spans="1:32" s="40" customFormat="1" ht="51" customHeight="1">
      <c r="A289" s="33" t="s">
        <v>182</v>
      </c>
      <c r="B289" s="34" t="s">
        <v>183</v>
      </c>
      <c r="C289" s="35" t="s">
        <v>170</v>
      </c>
      <c r="D289" s="33" t="s">
        <v>187</v>
      </c>
      <c r="E289" s="33" t="s">
        <v>63</v>
      </c>
      <c r="F289" s="36" t="s">
        <v>430</v>
      </c>
      <c r="G289" s="36"/>
      <c r="H289" s="26">
        <f>'2023'!H291</f>
        <v>9556.23</v>
      </c>
      <c r="I289" s="26">
        <f>'2023'!I291</f>
        <v>10390.76</v>
      </c>
      <c r="J289" s="26">
        <f>'2023'!J291</f>
        <v>10573.33</v>
      </c>
      <c r="K289" s="26">
        <f>'2023'!K291</f>
        <v>10047.869999999999</v>
      </c>
      <c r="L289" s="26">
        <f t="shared" si="103"/>
        <v>40568.19</v>
      </c>
      <c r="M289" s="38">
        <v>91.56</v>
      </c>
      <c r="N289" s="27">
        <v>91.56</v>
      </c>
      <c r="O289" s="38">
        <v>23.4</v>
      </c>
      <c r="P289" s="27">
        <v>24.34</v>
      </c>
      <c r="Q289" s="27">
        <f t="shared" si="107"/>
        <v>651352.63679999998</v>
      </c>
      <c r="R289" s="27">
        <f t="shared" si="108"/>
        <v>708234.20160000003</v>
      </c>
      <c r="S289" s="27">
        <f t="shared" si="109"/>
        <v>710739.2426</v>
      </c>
      <c r="T289" s="27">
        <f t="shared" si="110"/>
        <v>675417.8213999999</v>
      </c>
      <c r="U289" s="27">
        <f t="shared" si="105"/>
        <v>2745743.9024</v>
      </c>
      <c r="V289" s="119"/>
      <c r="W289" s="119"/>
      <c r="X289" s="119"/>
      <c r="Y289" s="29">
        <f t="shared" si="112"/>
        <v>100</v>
      </c>
      <c r="Z289" s="30">
        <f t="shared" si="113"/>
        <v>104.01709401709402</v>
      </c>
      <c r="AA289" s="2"/>
      <c r="AD289" s="32">
        <f t="shared" si="111"/>
        <v>-1.7094017094024139E-2</v>
      </c>
      <c r="AE289" s="91"/>
      <c r="AF289" s="92"/>
    </row>
    <row r="290" spans="1:32" s="40" customFormat="1" ht="51" customHeight="1">
      <c r="A290" s="33" t="s">
        <v>185</v>
      </c>
      <c r="B290" s="34" t="s">
        <v>186</v>
      </c>
      <c r="C290" s="35" t="s">
        <v>170</v>
      </c>
      <c r="D290" s="33" t="s">
        <v>187</v>
      </c>
      <c r="E290" s="33"/>
      <c r="F290" s="36" t="s">
        <v>430</v>
      </c>
      <c r="G290" s="36"/>
      <c r="H290" s="26">
        <f>'2023'!H292</f>
        <v>3048.0010000000002</v>
      </c>
      <c r="I290" s="26">
        <f>'2023'!I292</f>
        <v>3228.3460000000005</v>
      </c>
      <c r="J290" s="26">
        <f>'2023'!J292</f>
        <v>3093.9800000000005</v>
      </c>
      <c r="K290" s="26">
        <f>'2023'!K292</f>
        <v>2930.0029999999997</v>
      </c>
      <c r="L290" s="26">
        <f t="shared" si="103"/>
        <v>12300.330000000002</v>
      </c>
      <c r="M290" s="38">
        <v>296.47000000000003</v>
      </c>
      <c r="N290" s="27">
        <v>296.47000000000003</v>
      </c>
      <c r="O290" s="38">
        <v>25.9</v>
      </c>
      <c r="P290" s="27">
        <v>26.93</v>
      </c>
      <c r="Q290" s="27">
        <f t="shared" si="107"/>
        <v>824697.63057000015</v>
      </c>
      <c r="R290" s="27">
        <f t="shared" si="108"/>
        <v>873493.57722000033</v>
      </c>
      <c r="S290" s="27">
        <f t="shared" si="109"/>
        <v>833951.36920000019</v>
      </c>
      <c r="T290" s="27">
        <f t="shared" si="110"/>
        <v>789753.00861999998</v>
      </c>
      <c r="U290" s="27">
        <f t="shared" si="105"/>
        <v>3321895.5856100004</v>
      </c>
      <c r="V290" s="119"/>
      <c r="W290" s="119"/>
      <c r="X290" s="119"/>
      <c r="Y290" s="29">
        <f t="shared" si="112"/>
        <v>100</v>
      </c>
      <c r="Z290" s="30">
        <f t="shared" si="113"/>
        <v>103.97683397683397</v>
      </c>
      <c r="AA290" s="2"/>
      <c r="AD290" s="32">
        <f t="shared" si="111"/>
        <v>2.3166023166027117E-2</v>
      </c>
      <c r="AE290" s="91"/>
      <c r="AF290" s="92"/>
    </row>
    <row r="291" spans="1:32" s="40" customFormat="1" ht="51" customHeight="1">
      <c r="A291" s="33" t="s">
        <v>191</v>
      </c>
      <c r="B291" s="34" t="s">
        <v>192</v>
      </c>
      <c r="C291" s="35" t="s">
        <v>170</v>
      </c>
      <c r="D291" s="33" t="s">
        <v>193</v>
      </c>
      <c r="E291" s="33" t="s">
        <v>63</v>
      </c>
      <c r="F291" s="36" t="s">
        <v>430</v>
      </c>
      <c r="G291" s="36"/>
      <c r="H291" s="26">
        <f>'2023'!H293</f>
        <v>5309.9539999999997</v>
      </c>
      <c r="I291" s="26">
        <f>'2023'!I293</f>
        <v>5176.5859999999993</v>
      </c>
      <c r="J291" s="26">
        <f>'2023'!J293</f>
        <v>6568.8719999999994</v>
      </c>
      <c r="K291" s="26">
        <f>'2023'!K293</f>
        <v>4915.326</v>
      </c>
      <c r="L291" s="26">
        <f t="shared" si="103"/>
        <v>21970.737999999998</v>
      </c>
      <c r="M291" s="38">
        <f>'2023'!N293</f>
        <v>62.846000000000018</v>
      </c>
      <c r="N291" s="27">
        <v>62.846000000000018</v>
      </c>
      <c r="O291" s="38">
        <v>45.760000000000005</v>
      </c>
      <c r="P291" s="27">
        <f>O291*1.04</f>
        <v>47.59040000000001</v>
      </c>
      <c r="Q291" s="27">
        <f t="shared" si="107"/>
        <v>90725.874044000069</v>
      </c>
      <c r="R291" s="27">
        <f t="shared" si="108"/>
        <v>88447.148396000048</v>
      </c>
      <c r="S291" s="27">
        <f t="shared" si="109"/>
        <v>100212.08368320005</v>
      </c>
      <c r="T291" s="27">
        <f t="shared" si="110"/>
        <v>74986.247325600038</v>
      </c>
      <c r="U291" s="27">
        <f t="shared" si="105"/>
        <v>354371.35344880016</v>
      </c>
      <c r="V291" s="119"/>
      <c r="W291" s="119"/>
      <c r="X291" s="119"/>
      <c r="Y291" s="29">
        <f t="shared" si="112"/>
        <v>100</v>
      </c>
      <c r="Z291" s="30">
        <f t="shared" si="113"/>
        <v>104</v>
      </c>
      <c r="AA291" s="2"/>
      <c r="AD291" s="32">
        <f t="shared" si="111"/>
        <v>0</v>
      </c>
      <c r="AE291" s="91"/>
      <c r="AF291" s="92"/>
    </row>
    <row r="292" spans="1:32" s="40" customFormat="1" ht="106.5" customHeight="1">
      <c r="A292" s="33" t="s">
        <v>190</v>
      </c>
      <c r="B292" s="34" t="s">
        <v>368</v>
      </c>
      <c r="C292" s="35" t="s">
        <v>170</v>
      </c>
      <c r="D292" s="33" t="s">
        <v>351</v>
      </c>
      <c r="E292" s="33" t="s">
        <v>369</v>
      </c>
      <c r="F292" s="36" t="s">
        <v>430</v>
      </c>
      <c r="G292" s="36" t="s">
        <v>396</v>
      </c>
      <c r="H292" s="26">
        <f>'2023'!H294</f>
        <v>13407.18</v>
      </c>
      <c r="I292" s="26">
        <f>'2023'!I294</f>
        <v>14299.876</v>
      </c>
      <c r="J292" s="26">
        <f>'2023'!J294</f>
        <v>14369.606</v>
      </c>
      <c r="K292" s="26">
        <f>'2023'!K294</f>
        <v>18023.326000000001</v>
      </c>
      <c r="L292" s="26">
        <f t="shared" si="103"/>
        <v>60099.987999999998</v>
      </c>
      <c r="M292" s="38">
        <v>119.11</v>
      </c>
      <c r="N292" s="27">
        <v>148.97999999999999</v>
      </c>
      <c r="O292" s="38">
        <v>27.13</v>
      </c>
      <c r="P292" s="27">
        <v>28.21</v>
      </c>
      <c r="Q292" s="27">
        <f t="shared" si="107"/>
        <v>1233192.4164</v>
      </c>
      <c r="R292" s="27">
        <f t="shared" si="108"/>
        <v>1315302.59448</v>
      </c>
      <c r="S292" s="27">
        <f t="shared" si="109"/>
        <v>1735417.3166199997</v>
      </c>
      <c r="T292" s="27">
        <f t="shared" si="110"/>
        <v>2176677.0810199999</v>
      </c>
      <c r="U292" s="27">
        <f t="shared" si="105"/>
        <v>6460589.4085200001</v>
      </c>
      <c r="V292" s="119"/>
      <c r="W292" s="119"/>
      <c r="X292" s="119"/>
      <c r="Y292" s="29">
        <f t="shared" si="112"/>
        <v>125.07765930652337</v>
      </c>
      <c r="Z292" s="30">
        <f t="shared" si="113"/>
        <v>103.98083302617029</v>
      </c>
      <c r="AA292" s="2"/>
      <c r="AD292" s="32">
        <f t="shared" si="111"/>
        <v>1.9166973829712219E-2</v>
      </c>
      <c r="AE292" s="91"/>
      <c r="AF292" s="92"/>
    </row>
    <row r="293" spans="1:32" s="40" customFormat="1" ht="48.75" customHeight="1">
      <c r="A293" s="33" t="s">
        <v>188</v>
      </c>
      <c r="B293" s="34" t="s">
        <v>189</v>
      </c>
      <c r="C293" s="35" t="s">
        <v>170</v>
      </c>
      <c r="D293" s="33" t="s">
        <v>353</v>
      </c>
      <c r="E293" s="33" t="s">
        <v>370</v>
      </c>
      <c r="F293" s="36" t="s">
        <v>430</v>
      </c>
      <c r="G293" s="36"/>
      <c r="H293" s="26">
        <f>'2023'!H295</f>
        <v>25033.985000000001</v>
      </c>
      <c r="I293" s="26">
        <f>'2023'!I295</f>
        <v>25562.775000000001</v>
      </c>
      <c r="J293" s="26">
        <f>'2023'!J295</f>
        <v>20959.37</v>
      </c>
      <c r="K293" s="26">
        <f>'2023'!K295</f>
        <v>20575.59</v>
      </c>
      <c r="L293" s="26">
        <f t="shared" si="103"/>
        <v>92131.72</v>
      </c>
      <c r="M293" s="38">
        <v>254.29</v>
      </c>
      <c r="N293" s="27">
        <v>254.29</v>
      </c>
      <c r="O293" s="38">
        <v>35.200000000000003</v>
      </c>
      <c r="P293" s="27">
        <v>36.61</v>
      </c>
      <c r="Q293" s="27">
        <f t="shared" si="107"/>
        <v>5484695.7736499999</v>
      </c>
      <c r="R293" s="27">
        <f t="shared" si="108"/>
        <v>5600548.3747499995</v>
      </c>
      <c r="S293" s="27">
        <f t="shared" si="109"/>
        <v>4562435.6616000002</v>
      </c>
      <c r="T293" s="27">
        <f t="shared" si="110"/>
        <v>4478894.4312000005</v>
      </c>
      <c r="U293" s="27">
        <f t="shared" si="105"/>
        <v>20126574.2412</v>
      </c>
      <c r="V293" s="119"/>
      <c r="W293" s="119"/>
      <c r="X293" s="119"/>
      <c r="Y293" s="29">
        <f t="shared" si="112"/>
        <v>100</v>
      </c>
      <c r="Z293" s="30">
        <f t="shared" si="113"/>
        <v>104.00568181818181</v>
      </c>
      <c r="AA293" s="2"/>
      <c r="AD293" s="32">
        <f t="shared" si="111"/>
        <v>-5.6818181818130142E-3</v>
      </c>
      <c r="AE293" s="91"/>
      <c r="AF293" s="92"/>
    </row>
    <row r="294" spans="1:32" s="40" customFormat="1" ht="83.25" customHeight="1">
      <c r="A294" s="33" t="s">
        <v>194</v>
      </c>
      <c r="B294" s="34" t="s">
        <v>195</v>
      </c>
      <c r="C294" s="35" t="s">
        <v>170</v>
      </c>
      <c r="D294" s="33" t="s">
        <v>196</v>
      </c>
      <c r="E294" s="33"/>
      <c r="F294" s="36" t="s">
        <v>430</v>
      </c>
      <c r="G294" s="36" t="s">
        <v>197</v>
      </c>
      <c r="H294" s="26">
        <f>'2023'!H296</f>
        <v>12612.15</v>
      </c>
      <c r="I294" s="26">
        <f>'2023'!I296</f>
        <v>14271.84</v>
      </c>
      <c r="J294" s="26">
        <f>'2023'!J296</f>
        <v>12657.21</v>
      </c>
      <c r="K294" s="26">
        <f>'2023'!K296</f>
        <v>13256.6</v>
      </c>
      <c r="L294" s="26">
        <f t="shared" si="103"/>
        <v>52797.799999999996</v>
      </c>
      <c r="M294" s="38">
        <v>58.56</v>
      </c>
      <c r="N294" s="27">
        <v>58.56</v>
      </c>
      <c r="O294" s="38">
        <v>20.55</v>
      </c>
      <c r="P294" s="27">
        <v>21.37</v>
      </c>
      <c r="Q294" s="27">
        <f t="shared" si="107"/>
        <v>479387.82150000008</v>
      </c>
      <c r="R294" s="27">
        <f t="shared" si="108"/>
        <v>542472.63840000005</v>
      </c>
      <c r="S294" s="27">
        <f t="shared" si="109"/>
        <v>470721.63989999995</v>
      </c>
      <c r="T294" s="27">
        <f t="shared" si="110"/>
        <v>493012.95399999997</v>
      </c>
      <c r="U294" s="27">
        <f t="shared" si="105"/>
        <v>1985595.0537999999</v>
      </c>
      <c r="V294" s="119"/>
      <c r="W294" s="119"/>
      <c r="X294" s="119"/>
      <c r="Y294" s="29">
        <f t="shared" si="112"/>
        <v>100</v>
      </c>
      <c r="Z294" s="30">
        <f t="shared" si="113"/>
        <v>103.99026763990267</v>
      </c>
      <c r="AA294" s="2"/>
      <c r="AD294" s="32">
        <f t="shared" si="111"/>
        <v>9.7323600973311386E-3</v>
      </c>
      <c r="AE294" s="91"/>
      <c r="AF294" s="92"/>
    </row>
    <row r="295" spans="1:32" s="40" customFormat="1" ht="15" customHeight="1">
      <c r="A295" s="33"/>
      <c r="B295" s="34"/>
      <c r="C295" s="35"/>
      <c r="D295" s="33"/>
      <c r="E295" s="33"/>
      <c r="F295" s="36"/>
      <c r="G295" s="36"/>
      <c r="H295" s="26"/>
      <c r="I295" s="26"/>
      <c r="J295" s="26"/>
      <c r="K295" s="26"/>
      <c r="L295" s="37"/>
      <c r="M295" s="41"/>
      <c r="N295" s="41"/>
      <c r="O295" s="41"/>
      <c r="P295" s="41"/>
      <c r="Q295" s="27"/>
      <c r="R295" s="27"/>
      <c r="S295" s="27"/>
      <c r="T295" s="27"/>
      <c r="U295" s="27"/>
      <c r="V295" s="119"/>
      <c r="W295" s="119"/>
      <c r="X295" s="119"/>
      <c r="Y295" s="29" t="e">
        <f t="shared" si="112"/>
        <v>#DIV/0!</v>
      </c>
      <c r="Z295" s="30" t="e">
        <f t="shared" si="113"/>
        <v>#DIV/0!</v>
      </c>
      <c r="AA295" s="2"/>
      <c r="AD295" s="32" t="e">
        <f t="shared" si="111"/>
        <v>#DIV/0!</v>
      </c>
      <c r="AE295" s="91"/>
      <c r="AF295" s="92"/>
    </row>
    <row r="296" spans="1:32" s="40" customFormat="1" ht="41.25" customHeight="1">
      <c r="A296" s="33">
        <v>2902060361</v>
      </c>
      <c r="B296" s="34" t="s">
        <v>198</v>
      </c>
      <c r="C296" s="35" t="s">
        <v>199</v>
      </c>
      <c r="D296" s="33"/>
      <c r="E296" s="33"/>
      <c r="F296" s="36" t="s">
        <v>430</v>
      </c>
      <c r="G296" s="36"/>
      <c r="H296" s="26">
        <f>'2023'!H298</f>
        <v>423046.32300000003</v>
      </c>
      <c r="I296" s="26">
        <f>'2023'!I298</f>
        <v>408044.73500000004</v>
      </c>
      <c r="J296" s="26">
        <f>'2023'!J298</f>
        <v>383631.125</v>
      </c>
      <c r="K296" s="26">
        <f>'2023'!K298</f>
        <v>412631.96799999999</v>
      </c>
      <c r="L296" s="26">
        <f t="shared" si="103"/>
        <v>1627354.1510000001</v>
      </c>
      <c r="M296" s="38">
        <f>'2023'!N298</f>
        <v>41.804099999999998</v>
      </c>
      <c r="N296" s="27">
        <v>41.804099999999998</v>
      </c>
      <c r="O296" s="38">
        <f>'2023'!P298</f>
        <v>29.804580426400001</v>
      </c>
      <c r="P296" s="27">
        <v>30.996763643456003</v>
      </c>
      <c r="Q296" s="27">
        <f>(M296-O296)*H296</f>
        <v>5076352.6333780074</v>
      </c>
      <c r="R296" s="27">
        <f>(M296-O296)*I296</f>
        <v>4896340.7845369242</v>
      </c>
      <c r="S296" s="27">
        <f>(N296-P296)*J296</f>
        <v>4146030.6047143741</v>
      </c>
      <c r="T296" s="27">
        <f>(N296-P296)*K296</f>
        <v>4459452.4696386987</v>
      </c>
      <c r="U296" s="27">
        <f t="shared" si="105"/>
        <v>18578176.492268004</v>
      </c>
      <c r="V296" s="119"/>
      <c r="W296" s="119"/>
      <c r="X296" s="119"/>
      <c r="Y296" s="29">
        <f t="shared" si="112"/>
        <v>100</v>
      </c>
      <c r="Z296" s="30">
        <f t="shared" si="113"/>
        <v>104</v>
      </c>
      <c r="AA296" s="2"/>
      <c r="AD296" s="32">
        <f t="shared" si="111"/>
        <v>0</v>
      </c>
      <c r="AE296" s="91"/>
      <c r="AF296" s="92"/>
    </row>
    <row r="297" spans="1:32" s="40" customFormat="1" ht="66.75" customHeight="1">
      <c r="A297" s="33">
        <v>2902059091</v>
      </c>
      <c r="B297" s="34" t="s">
        <v>200</v>
      </c>
      <c r="C297" s="35" t="s">
        <v>199</v>
      </c>
      <c r="D297" s="33"/>
      <c r="E297" s="33"/>
      <c r="F297" s="36" t="s">
        <v>430</v>
      </c>
      <c r="G297" s="36" t="s">
        <v>310</v>
      </c>
      <c r="H297" s="26">
        <f>'2023'!H299</f>
        <v>1952371</v>
      </c>
      <c r="I297" s="26">
        <f>'2023'!I299</f>
        <v>1952371</v>
      </c>
      <c r="J297" s="26">
        <f>'2023'!J299</f>
        <v>1952371</v>
      </c>
      <c r="K297" s="26">
        <f>'2023'!K299</f>
        <v>1952371</v>
      </c>
      <c r="L297" s="26">
        <f t="shared" si="103"/>
        <v>7809484</v>
      </c>
      <c r="M297" s="27">
        <f>'2023'!N299</f>
        <v>32.550700036900004</v>
      </c>
      <c r="N297" s="27">
        <v>32.550700036900004</v>
      </c>
      <c r="O297" s="27">
        <f>'2023'!P299</f>
        <v>29.804580426400001</v>
      </c>
      <c r="P297" s="27">
        <f>O297*1.04</f>
        <v>30.996763643456003</v>
      </c>
      <c r="Q297" s="27">
        <f>(M297-O297)*H297</f>
        <v>5361444.2900715005</v>
      </c>
      <c r="R297" s="27">
        <f>(M297-O297)*I297</f>
        <v>5361444.2900715005</v>
      </c>
      <c r="S297" s="27">
        <f>(N297-P297)*J297</f>
        <v>3033860.3504046579</v>
      </c>
      <c r="T297" s="27">
        <f>(N297-P297)*K297</f>
        <v>3033860.3504046579</v>
      </c>
      <c r="U297" s="27">
        <f t="shared" si="105"/>
        <v>16790609.280952316</v>
      </c>
      <c r="V297" s="119"/>
      <c r="W297" s="119"/>
      <c r="X297" s="119"/>
      <c r="Y297" s="29">
        <f t="shared" si="112"/>
        <v>100</v>
      </c>
      <c r="Z297" s="30">
        <f t="shared" si="113"/>
        <v>104</v>
      </c>
      <c r="AA297" s="2"/>
      <c r="AD297" s="32">
        <f t="shared" si="111"/>
        <v>0</v>
      </c>
      <c r="AE297" s="91"/>
      <c r="AF297" s="92"/>
    </row>
    <row r="298" spans="1:32" s="40" customFormat="1" ht="15" customHeight="1">
      <c r="A298" s="33"/>
      <c r="B298" s="34"/>
      <c r="C298" s="35"/>
      <c r="D298" s="33"/>
      <c r="E298" s="33"/>
      <c r="F298" s="36"/>
      <c r="G298" s="36"/>
      <c r="H298" s="26"/>
      <c r="I298" s="26"/>
      <c r="J298" s="26"/>
      <c r="K298" s="26"/>
      <c r="L298" s="37"/>
      <c r="M298" s="41"/>
      <c r="N298" s="41"/>
      <c r="O298" s="41"/>
      <c r="P298" s="41"/>
      <c r="Q298" s="27"/>
      <c r="R298" s="27"/>
      <c r="S298" s="27"/>
      <c r="T298" s="27"/>
      <c r="U298" s="27"/>
      <c r="V298" s="119"/>
      <c r="W298" s="119"/>
      <c r="X298" s="119"/>
      <c r="Y298" s="29" t="e">
        <f t="shared" si="112"/>
        <v>#DIV/0!</v>
      </c>
      <c r="Z298" s="30" t="e">
        <f t="shared" si="113"/>
        <v>#DIV/0!</v>
      </c>
      <c r="AA298" s="2"/>
      <c r="AD298" s="32" t="e">
        <f t="shared" si="111"/>
        <v>#DIV/0!</v>
      </c>
      <c r="AE298" s="91"/>
      <c r="AF298" s="92"/>
    </row>
    <row r="299" spans="1:32" s="40" customFormat="1" ht="41.25" customHeight="1">
      <c r="A299" s="33" t="s">
        <v>201</v>
      </c>
      <c r="B299" s="34" t="s">
        <v>202</v>
      </c>
      <c r="C299" s="35" t="s">
        <v>203</v>
      </c>
      <c r="D299" s="33" t="s">
        <v>204</v>
      </c>
      <c r="E299" s="33"/>
      <c r="F299" s="36" t="s">
        <v>430</v>
      </c>
      <c r="G299" s="36"/>
      <c r="H299" s="26">
        <f>'2023'!H301</f>
        <v>3172.9730000000004</v>
      </c>
      <c r="I299" s="26">
        <f>'2023'!I301</f>
        <v>1908.058</v>
      </c>
      <c r="J299" s="26">
        <f>'2023'!J301</f>
        <v>1506.5260000000001</v>
      </c>
      <c r="K299" s="26">
        <f>'2023'!K301</f>
        <v>2203.4290000000001</v>
      </c>
      <c r="L299" s="26">
        <f t="shared" si="103"/>
        <v>8790.9860000000008</v>
      </c>
      <c r="M299" s="38">
        <f>'2023'!N301</f>
        <v>168.99369801704177</v>
      </c>
      <c r="N299" s="27">
        <v>168.99369801704177</v>
      </c>
      <c r="O299" s="38">
        <f>'2023'!P301</f>
        <v>42.026399999999995</v>
      </c>
      <c r="P299" s="27">
        <v>43.707455999999993</v>
      </c>
      <c r="Q299" s="27">
        <f>(M299-O299)*H299</f>
        <v>402863.80849102716</v>
      </c>
      <c r="R299" s="27">
        <f t="shared" ref="R299:S301" si="114">(M299-O299)*I299</f>
        <v>242260.96871980067</v>
      </c>
      <c r="S299" s="27">
        <f t="shared" si="114"/>
        <v>188746.98104096588</v>
      </c>
      <c r="T299" s="27">
        <f>(N299-P299)*K299</f>
        <v>276059.33896136837</v>
      </c>
      <c r="U299" s="27">
        <f t="shared" si="105"/>
        <v>1109931.0972131621</v>
      </c>
      <c r="V299" s="119"/>
      <c r="W299" s="119"/>
      <c r="X299" s="119"/>
      <c r="Y299" s="29">
        <f t="shared" si="112"/>
        <v>100</v>
      </c>
      <c r="Z299" s="30">
        <f t="shared" si="113"/>
        <v>104</v>
      </c>
      <c r="AA299" s="2"/>
      <c r="AD299" s="32">
        <f t="shared" si="111"/>
        <v>0</v>
      </c>
      <c r="AE299" s="91"/>
      <c r="AF299" s="92"/>
    </row>
    <row r="300" spans="1:32" s="40" customFormat="1" ht="54.75" customHeight="1">
      <c r="A300" s="33" t="s">
        <v>58</v>
      </c>
      <c r="B300" s="34" t="s">
        <v>59</v>
      </c>
      <c r="C300" s="35" t="s">
        <v>203</v>
      </c>
      <c r="D300" s="33" t="s">
        <v>205</v>
      </c>
      <c r="E300" s="33"/>
      <c r="F300" s="36" t="s">
        <v>430</v>
      </c>
      <c r="G300" s="36"/>
      <c r="H300" s="26">
        <f>'2023'!H302</f>
        <v>67329.45</v>
      </c>
      <c r="I300" s="26">
        <f>'2023'!I302</f>
        <v>62420.950000000004</v>
      </c>
      <c r="J300" s="26">
        <f>'2023'!J302</f>
        <v>57766.649999999994</v>
      </c>
      <c r="K300" s="26">
        <f>'2023'!K302</f>
        <v>59119.03</v>
      </c>
      <c r="L300" s="26">
        <f t="shared" si="103"/>
        <v>246636.08</v>
      </c>
      <c r="M300" s="38">
        <f>'2023'!N302</f>
        <v>137.83589374563684</v>
      </c>
      <c r="N300" s="27">
        <v>137.83589374563684</v>
      </c>
      <c r="O300" s="38">
        <f>'2023'!P302</f>
        <v>35.027200000000001</v>
      </c>
      <c r="P300" s="27">
        <v>36.428288000000002</v>
      </c>
      <c r="Q300" s="27">
        <f>(M300-O300)*H300</f>
        <v>6922052.8051121682</v>
      </c>
      <c r="R300" s="27">
        <f t="shared" si="114"/>
        <v>6417416.3318617111</v>
      </c>
      <c r="S300" s="27">
        <f t="shared" si="114"/>
        <v>5857977.6684461916</v>
      </c>
      <c r="T300" s="27">
        <f>(N300-P300)*K300</f>
        <v>5995119.2863044757</v>
      </c>
      <c r="U300" s="27">
        <f t="shared" si="105"/>
        <v>25192566.091724545</v>
      </c>
      <c r="V300" s="119"/>
      <c r="W300" s="119"/>
      <c r="X300" s="119"/>
      <c r="Y300" s="29">
        <f t="shared" si="112"/>
        <v>100</v>
      </c>
      <c r="Z300" s="30">
        <f t="shared" si="113"/>
        <v>104</v>
      </c>
      <c r="AA300" s="2"/>
      <c r="AD300" s="32">
        <f t="shared" si="111"/>
        <v>0</v>
      </c>
      <c r="AE300" s="91"/>
      <c r="AF300" s="92"/>
    </row>
    <row r="301" spans="1:32" s="40" customFormat="1" ht="41.25" customHeight="1">
      <c r="A301" s="33" t="s">
        <v>214</v>
      </c>
      <c r="B301" s="34" t="s">
        <v>215</v>
      </c>
      <c r="C301" s="35" t="s">
        <v>203</v>
      </c>
      <c r="D301" s="33" t="s">
        <v>216</v>
      </c>
      <c r="E301" s="33"/>
      <c r="F301" s="36" t="s">
        <v>430</v>
      </c>
      <c r="G301" s="36"/>
      <c r="H301" s="26">
        <f>'2023'!H303</f>
        <v>5788.7800000000007</v>
      </c>
      <c r="I301" s="26">
        <f>'2023'!I303</f>
        <v>5444.6360000000004</v>
      </c>
      <c r="J301" s="26">
        <f>'2023'!J303</f>
        <v>5529.6760000000004</v>
      </c>
      <c r="K301" s="26">
        <f>'2023'!K303</f>
        <v>5326.9170000000004</v>
      </c>
      <c r="L301" s="26">
        <f t="shared" si="103"/>
        <v>22090.009000000002</v>
      </c>
      <c r="M301" s="38">
        <f>'2023'!N303</f>
        <v>294.57483448022708</v>
      </c>
      <c r="N301" s="27">
        <v>294.57483448022708</v>
      </c>
      <c r="O301" s="38">
        <f>'2023'!P303</f>
        <v>37.44</v>
      </c>
      <c r="P301" s="27">
        <v>38.937599999999996</v>
      </c>
      <c r="Q301" s="27">
        <f>(M301-O301)*H301</f>
        <v>1488496.987142449</v>
      </c>
      <c r="R301" s="27">
        <f t="shared" si="114"/>
        <v>1400005.5766650857</v>
      </c>
      <c r="S301" s="27">
        <f t="shared" si="114"/>
        <v>1413591.0802116843</v>
      </c>
      <c r="T301" s="27">
        <f>(N301-P301)*K301</f>
        <v>1361758.3301857079</v>
      </c>
      <c r="U301" s="27">
        <f t="shared" si="105"/>
        <v>5663851.9742049268</v>
      </c>
      <c r="V301" s="119"/>
      <c r="W301" s="119"/>
      <c r="X301" s="119"/>
      <c r="Y301" s="29">
        <f t="shared" si="112"/>
        <v>100</v>
      </c>
      <c r="Z301" s="30">
        <f t="shared" si="113"/>
        <v>104</v>
      </c>
      <c r="AA301" s="2"/>
      <c r="AD301" s="32">
        <f t="shared" si="111"/>
        <v>0</v>
      </c>
      <c r="AE301" s="91"/>
      <c r="AF301" s="92"/>
    </row>
    <row r="302" spans="1:32" s="40" customFormat="1" ht="15" customHeight="1">
      <c r="A302" s="33"/>
      <c r="B302" s="34"/>
      <c r="C302" s="35"/>
      <c r="D302" s="33"/>
      <c r="E302" s="33"/>
      <c r="F302" s="36"/>
      <c r="G302" s="36"/>
      <c r="H302" s="26"/>
      <c r="I302" s="26"/>
      <c r="J302" s="26"/>
      <c r="K302" s="26"/>
      <c r="L302" s="37"/>
      <c r="M302" s="41"/>
      <c r="N302" s="41"/>
      <c r="O302" s="41"/>
      <c r="P302" s="41"/>
      <c r="Q302" s="27"/>
      <c r="R302" s="27"/>
      <c r="S302" s="27"/>
      <c r="T302" s="27"/>
      <c r="U302" s="27"/>
      <c r="V302" s="119"/>
      <c r="W302" s="119"/>
      <c r="X302" s="119"/>
      <c r="Y302" s="29" t="e">
        <f t="shared" si="112"/>
        <v>#DIV/0!</v>
      </c>
      <c r="Z302" s="30" t="e">
        <f t="shared" si="113"/>
        <v>#DIV/0!</v>
      </c>
      <c r="AA302" s="2"/>
      <c r="AD302" s="32" t="e">
        <f t="shared" si="111"/>
        <v>#DIV/0!</v>
      </c>
      <c r="AE302" s="91"/>
      <c r="AF302" s="92"/>
    </row>
    <row r="303" spans="1:32" s="40" customFormat="1" ht="41.25" customHeight="1">
      <c r="A303" s="33" t="s">
        <v>221</v>
      </c>
      <c r="B303" s="34" t="s">
        <v>222</v>
      </c>
      <c r="C303" s="35" t="s">
        <v>223</v>
      </c>
      <c r="D303" s="33" t="s">
        <v>228</v>
      </c>
      <c r="E303" s="33"/>
      <c r="F303" s="36" t="s">
        <v>430</v>
      </c>
      <c r="G303" s="36" t="s">
        <v>225</v>
      </c>
      <c r="H303" s="26">
        <f>'2023'!H305</f>
        <v>17654.136000000002</v>
      </c>
      <c r="I303" s="26">
        <f>'2023'!I305</f>
        <v>16940.304</v>
      </c>
      <c r="J303" s="26">
        <f>'2023'!J305</f>
        <v>17371.645</v>
      </c>
      <c r="K303" s="26">
        <f>'2023'!K305</f>
        <v>17425.745999999999</v>
      </c>
      <c r="L303" s="26">
        <f t="shared" si="103"/>
        <v>69391.831000000006</v>
      </c>
      <c r="M303" s="38">
        <f>'2023'!N305</f>
        <v>106.44</v>
      </c>
      <c r="N303" s="27">
        <f t="shared" ref="N303:N309" si="115">M303</f>
        <v>106.44</v>
      </c>
      <c r="O303" s="38">
        <f>'2023'!P305</f>
        <v>75.97</v>
      </c>
      <c r="P303" s="27">
        <v>79</v>
      </c>
      <c r="Q303" s="27">
        <f t="shared" ref="Q303:Q310" si="116">(M303-O303)*H303</f>
        <v>537921.52392000007</v>
      </c>
      <c r="R303" s="27">
        <f t="shared" ref="R303:S310" si="117">(M303-O303)*I303</f>
        <v>516171.06287999998</v>
      </c>
      <c r="S303" s="27">
        <f t="shared" si="117"/>
        <v>476677.93879999995</v>
      </c>
      <c r="T303" s="27">
        <f t="shared" ref="T303:T310" si="118">(N303-P303)*K303</f>
        <v>478162.47023999994</v>
      </c>
      <c r="U303" s="27">
        <f t="shared" si="105"/>
        <v>2008932.99584</v>
      </c>
      <c r="V303" s="119"/>
      <c r="W303" s="119"/>
      <c r="X303" s="119"/>
      <c r="Y303" s="29">
        <f t="shared" si="112"/>
        <v>100</v>
      </c>
      <c r="Z303" s="30">
        <f t="shared" si="113"/>
        <v>103.98841648018956</v>
      </c>
      <c r="AA303" s="2"/>
      <c r="AD303" s="32">
        <f t="shared" si="111"/>
        <v>1.1583519810443477E-2</v>
      </c>
      <c r="AE303" s="91"/>
      <c r="AF303" s="92"/>
    </row>
    <row r="304" spans="1:32" s="40" customFormat="1" ht="41.25" customHeight="1">
      <c r="A304" s="33" t="s">
        <v>221</v>
      </c>
      <c r="B304" s="34" t="s">
        <v>222</v>
      </c>
      <c r="C304" s="35" t="s">
        <v>223</v>
      </c>
      <c r="D304" s="33" t="s">
        <v>226</v>
      </c>
      <c r="E304" s="33"/>
      <c r="F304" s="36" t="s">
        <v>430</v>
      </c>
      <c r="G304" s="36" t="s">
        <v>227</v>
      </c>
      <c r="H304" s="26">
        <f>'2023'!H306</f>
        <v>3141.8799999999997</v>
      </c>
      <c r="I304" s="26">
        <f>'2023'!I306</f>
        <v>3561.7330000000002</v>
      </c>
      <c r="J304" s="26">
        <f>'2023'!J306</f>
        <v>3751.0550000000003</v>
      </c>
      <c r="K304" s="26">
        <f>'2023'!K306</f>
        <v>3189.8450000000003</v>
      </c>
      <c r="L304" s="26">
        <f t="shared" si="103"/>
        <v>13644.512999999999</v>
      </c>
      <c r="M304" s="38">
        <f>'2023'!N306</f>
        <v>289.45</v>
      </c>
      <c r="N304" s="27">
        <f t="shared" si="115"/>
        <v>289.45</v>
      </c>
      <c r="O304" s="38">
        <f>'2023'!P306</f>
        <v>166.47280000000001</v>
      </c>
      <c r="P304" s="27">
        <f t="shared" ref="P304:P310" si="119">O304*1.04</f>
        <v>173.13171200000002</v>
      </c>
      <c r="Q304" s="27">
        <f t="shared" si="116"/>
        <v>386379.60513599991</v>
      </c>
      <c r="R304" s="27">
        <f t="shared" si="117"/>
        <v>438011.95148759993</v>
      </c>
      <c r="S304" s="27">
        <f t="shared" si="117"/>
        <v>436316.2957938399</v>
      </c>
      <c r="T304" s="27">
        <f t="shared" si="118"/>
        <v>371037.30938535993</v>
      </c>
      <c r="U304" s="27">
        <f t="shared" si="105"/>
        <v>1631745.1618027997</v>
      </c>
      <c r="V304" s="119"/>
      <c r="W304" s="119"/>
      <c r="X304" s="119"/>
      <c r="Y304" s="29">
        <f t="shared" si="112"/>
        <v>100</v>
      </c>
      <c r="Z304" s="30">
        <f t="shared" si="113"/>
        <v>104</v>
      </c>
      <c r="AA304" s="2"/>
      <c r="AD304" s="32">
        <f t="shared" si="111"/>
        <v>0</v>
      </c>
      <c r="AE304" s="91"/>
      <c r="AF304" s="92"/>
    </row>
    <row r="305" spans="1:32" s="40" customFormat="1" ht="41.25" customHeight="1">
      <c r="A305" s="33" t="s">
        <v>221</v>
      </c>
      <c r="B305" s="34" t="s">
        <v>222</v>
      </c>
      <c r="C305" s="35" t="s">
        <v>223</v>
      </c>
      <c r="D305" s="33" t="s">
        <v>224</v>
      </c>
      <c r="E305" s="33"/>
      <c r="F305" s="36" t="s">
        <v>430</v>
      </c>
      <c r="G305" s="36" t="s">
        <v>227</v>
      </c>
      <c r="H305" s="26">
        <f>'2023'!H307</f>
        <v>1251.556</v>
      </c>
      <c r="I305" s="26">
        <f>'2023'!I307</f>
        <v>1315.431</v>
      </c>
      <c r="J305" s="26">
        <f>'2023'!J307</f>
        <v>1447.4880000000001</v>
      </c>
      <c r="K305" s="26">
        <f>'2023'!K307</f>
        <v>1582.1669999999999</v>
      </c>
      <c r="L305" s="26">
        <f t="shared" si="103"/>
        <v>5596.6419999999998</v>
      </c>
      <c r="M305" s="38">
        <f>'2023'!N307</f>
        <v>232.12</v>
      </c>
      <c r="N305" s="27">
        <f t="shared" si="115"/>
        <v>232.12</v>
      </c>
      <c r="O305" s="38">
        <f>'2023'!P307</f>
        <v>102.96</v>
      </c>
      <c r="P305" s="27">
        <f t="shared" si="119"/>
        <v>107.0784</v>
      </c>
      <c r="Q305" s="27">
        <f t="shared" si="116"/>
        <v>161650.97296000004</v>
      </c>
      <c r="R305" s="27">
        <f t="shared" si="117"/>
        <v>169901.06796000004</v>
      </c>
      <c r="S305" s="27">
        <f t="shared" si="117"/>
        <v>180996.2155008</v>
      </c>
      <c r="T305" s="27">
        <f t="shared" si="118"/>
        <v>197836.69314719999</v>
      </c>
      <c r="U305" s="27">
        <f t="shared" si="105"/>
        <v>710384.94956800004</v>
      </c>
      <c r="V305" s="119"/>
      <c r="W305" s="119"/>
      <c r="X305" s="119"/>
      <c r="Y305" s="29">
        <f t="shared" si="112"/>
        <v>100</v>
      </c>
      <c r="Z305" s="30">
        <f t="shared" si="113"/>
        <v>104</v>
      </c>
      <c r="AA305" s="2"/>
      <c r="AD305" s="32">
        <f t="shared" si="111"/>
        <v>0</v>
      </c>
      <c r="AE305" s="91"/>
      <c r="AF305" s="92"/>
    </row>
    <row r="306" spans="1:32" s="40" customFormat="1" ht="41.25" customHeight="1">
      <c r="A306" s="33" t="s">
        <v>229</v>
      </c>
      <c r="B306" s="34" t="s">
        <v>230</v>
      </c>
      <c r="C306" s="35" t="s">
        <v>223</v>
      </c>
      <c r="D306" s="33" t="s">
        <v>231</v>
      </c>
      <c r="E306" s="33"/>
      <c r="F306" s="36" t="s">
        <v>430</v>
      </c>
      <c r="G306" s="36"/>
      <c r="H306" s="26">
        <f>'2023'!H308</f>
        <v>18042.21</v>
      </c>
      <c r="I306" s="26">
        <f>'2023'!I308</f>
        <v>18093.43</v>
      </c>
      <c r="J306" s="26">
        <f>'2023'!J308</f>
        <v>18065.07</v>
      </c>
      <c r="K306" s="26">
        <f>'2023'!K308</f>
        <v>16614.990000000002</v>
      </c>
      <c r="L306" s="26">
        <f t="shared" si="103"/>
        <v>70815.7</v>
      </c>
      <c r="M306" s="38">
        <f>'2023'!N308</f>
        <v>159.63</v>
      </c>
      <c r="N306" s="27">
        <f t="shared" si="115"/>
        <v>159.63</v>
      </c>
      <c r="O306" s="38">
        <f>'2023'!P308</f>
        <v>86.694400000000002</v>
      </c>
      <c r="P306" s="27">
        <f t="shared" si="119"/>
        <v>90.162176000000002</v>
      </c>
      <c r="Q306" s="27">
        <f t="shared" si="116"/>
        <v>1315919.4116759999</v>
      </c>
      <c r="R306" s="27">
        <f t="shared" si="117"/>
        <v>1319655.1731079998</v>
      </c>
      <c r="S306" s="27">
        <f t="shared" si="117"/>
        <v>1254941.1033076798</v>
      </c>
      <c r="T306" s="27">
        <f t="shared" si="118"/>
        <v>1154207.20108176</v>
      </c>
      <c r="U306" s="27">
        <f t="shared" si="105"/>
        <v>5044722.8891734397</v>
      </c>
      <c r="V306" s="119"/>
      <c r="W306" s="119"/>
      <c r="X306" s="119"/>
      <c r="Y306" s="29">
        <f t="shared" si="112"/>
        <v>100</v>
      </c>
      <c r="Z306" s="30">
        <f t="shared" si="113"/>
        <v>104</v>
      </c>
      <c r="AA306" s="2"/>
      <c r="AD306" s="32">
        <f t="shared" si="111"/>
        <v>0</v>
      </c>
      <c r="AE306" s="91"/>
      <c r="AF306" s="92"/>
    </row>
    <row r="307" spans="1:32" s="40" customFormat="1" ht="41.25" customHeight="1">
      <c r="A307" s="33" t="s">
        <v>229</v>
      </c>
      <c r="B307" s="34" t="s">
        <v>230</v>
      </c>
      <c r="C307" s="35" t="s">
        <v>223</v>
      </c>
      <c r="D307" s="33" t="s">
        <v>232</v>
      </c>
      <c r="E307" s="33"/>
      <c r="F307" s="36" t="s">
        <v>430</v>
      </c>
      <c r="G307" s="36"/>
      <c r="H307" s="26">
        <f>'2023'!H309</f>
        <v>5357.9</v>
      </c>
      <c r="I307" s="26">
        <f>'2023'!I309</f>
        <v>6010.7800000000007</v>
      </c>
      <c r="J307" s="26">
        <f>'2023'!J309</f>
        <v>5149.09</v>
      </c>
      <c r="K307" s="26">
        <f>'2023'!K309</f>
        <v>5469.76</v>
      </c>
      <c r="L307" s="26">
        <f t="shared" si="103"/>
        <v>21987.53</v>
      </c>
      <c r="M307" s="38">
        <f>'2023'!N309</f>
        <v>263.33</v>
      </c>
      <c r="N307" s="27">
        <f t="shared" si="115"/>
        <v>263.33</v>
      </c>
      <c r="O307" s="38">
        <f>'2023'!P309</f>
        <v>129.42390240000003</v>
      </c>
      <c r="P307" s="27">
        <f t="shared" si="119"/>
        <v>134.60085849600003</v>
      </c>
      <c r="Q307" s="27">
        <f t="shared" si="116"/>
        <v>717455.48033103975</v>
      </c>
      <c r="R307" s="27">
        <f t="shared" si="117"/>
        <v>804880.09333212778</v>
      </c>
      <c r="S307" s="27">
        <f t="shared" si="117"/>
        <v>662837.93522683112</v>
      </c>
      <c r="T307" s="27">
        <f t="shared" si="118"/>
        <v>704117.50903291884</v>
      </c>
      <c r="U307" s="27">
        <f t="shared" si="105"/>
        <v>2889291.0179229174</v>
      </c>
      <c r="V307" s="119"/>
      <c r="W307" s="119"/>
      <c r="X307" s="119"/>
      <c r="Y307" s="29">
        <f t="shared" si="112"/>
        <v>100</v>
      </c>
      <c r="Z307" s="30">
        <f t="shared" si="113"/>
        <v>104</v>
      </c>
      <c r="AA307" s="2"/>
      <c r="AD307" s="32">
        <f t="shared" si="111"/>
        <v>0</v>
      </c>
      <c r="AE307" s="91"/>
      <c r="AF307" s="92"/>
    </row>
    <row r="308" spans="1:32" s="40" customFormat="1" ht="41.25" customHeight="1">
      <c r="A308" s="33" t="s">
        <v>233</v>
      </c>
      <c r="B308" s="34" t="s">
        <v>234</v>
      </c>
      <c r="C308" s="35" t="s">
        <v>223</v>
      </c>
      <c r="D308" s="33" t="s">
        <v>235</v>
      </c>
      <c r="E308" s="33"/>
      <c r="F308" s="36" t="s">
        <v>430</v>
      </c>
      <c r="G308" s="36"/>
      <c r="H308" s="26">
        <f>'2023'!H310</f>
        <v>3474.6820000000002</v>
      </c>
      <c r="I308" s="26">
        <f>'2023'!I310</f>
        <v>3025.404</v>
      </c>
      <c r="J308" s="26">
        <f>'2023'!J310</f>
        <v>2890.5309999999999</v>
      </c>
      <c r="K308" s="26">
        <f>'2023'!K310</f>
        <v>2926.7240000000002</v>
      </c>
      <c r="L308" s="26">
        <f>H308+I308+J308+K308</f>
        <v>12317.341</v>
      </c>
      <c r="M308" s="38">
        <f>'2023'!N310</f>
        <v>335.55</v>
      </c>
      <c r="N308" s="27">
        <f t="shared" si="115"/>
        <v>335.55</v>
      </c>
      <c r="O308" s="38">
        <f>'2023'!P310</f>
        <v>168.63600000000002</v>
      </c>
      <c r="P308" s="27">
        <f t="shared" si="119"/>
        <v>175.38144000000003</v>
      </c>
      <c r="Q308" s="27">
        <f t="shared" si="116"/>
        <v>579973.07134799997</v>
      </c>
      <c r="R308" s="27">
        <f t="shared" si="117"/>
        <v>504982.28325599997</v>
      </c>
      <c r="S308" s="27">
        <f t="shared" si="117"/>
        <v>462972.18790535996</v>
      </c>
      <c r="T308" s="27">
        <f t="shared" si="118"/>
        <v>468769.16859744</v>
      </c>
      <c r="U308" s="27">
        <f t="shared" si="105"/>
        <v>2016696.7111068</v>
      </c>
      <c r="V308" s="119"/>
      <c r="W308" s="119"/>
      <c r="X308" s="119"/>
      <c r="Y308" s="29">
        <f t="shared" si="112"/>
        <v>100</v>
      </c>
      <c r="Z308" s="30">
        <f t="shared" si="113"/>
        <v>104</v>
      </c>
      <c r="AA308" s="2"/>
      <c r="AD308" s="32">
        <f t="shared" si="111"/>
        <v>0</v>
      </c>
      <c r="AE308" s="91"/>
      <c r="AF308" s="92"/>
    </row>
    <row r="309" spans="1:32" s="40" customFormat="1" ht="41.25" customHeight="1">
      <c r="A309" s="33" t="s">
        <v>276</v>
      </c>
      <c r="B309" s="34" t="s">
        <v>241</v>
      </c>
      <c r="C309" s="35" t="s">
        <v>223</v>
      </c>
      <c r="D309" s="33" t="s">
        <v>242</v>
      </c>
      <c r="E309" s="33"/>
      <c r="F309" s="36" t="s">
        <v>430</v>
      </c>
      <c r="G309" s="36"/>
      <c r="H309" s="26">
        <f>'2023'!H311</f>
        <v>8714.4499999999989</v>
      </c>
      <c r="I309" s="26">
        <f>'2023'!I311</f>
        <v>7547.76</v>
      </c>
      <c r="J309" s="26">
        <f>'2023'!J311</f>
        <v>7405.7800000000007</v>
      </c>
      <c r="K309" s="26">
        <f>'2023'!K311</f>
        <v>7982.4</v>
      </c>
      <c r="L309" s="26">
        <f t="shared" si="103"/>
        <v>31650.39</v>
      </c>
      <c r="M309" s="38">
        <f>'2023'!N311</f>
        <v>167.16</v>
      </c>
      <c r="N309" s="27">
        <f t="shared" si="115"/>
        <v>167.16</v>
      </c>
      <c r="O309" s="38">
        <f>'2023'!P311</f>
        <v>102.96000000000001</v>
      </c>
      <c r="P309" s="27">
        <f t="shared" si="119"/>
        <v>107.07840000000002</v>
      </c>
      <c r="Q309" s="27">
        <f t="shared" si="116"/>
        <v>559467.68999999983</v>
      </c>
      <c r="R309" s="27">
        <f t="shared" si="117"/>
        <v>484566.19199999992</v>
      </c>
      <c r="S309" s="27">
        <f t="shared" si="117"/>
        <v>444951.1116479999</v>
      </c>
      <c r="T309" s="27">
        <f t="shared" si="118"/>
        <v>479595.36383999983</v>
      </c>
      <c r="U309" s="27">
        <f t="shared" si="105"/>
        <v>1968580.3574879994</v>
      </c>
      <c r="V309" s="119"/>
      <c r="W309" s="119"/>
      <c r="X309" s="119"/>
      <c r="Y309" s="29">
        <f t="shared" si="112"/>
        <v>100</v>
      </c>
      <c r="Z309" s="30">
        <f t="shared" si="113"/>
        <v>104</v>
      </c>
      <c r="AA309" s="2"/>
      <c r="AD309" s="32">
        <f t="shared" si="111"/>
        <v>0</v>
      </c>
      <c r="AE309" s="91"/>
      <c r="AF309" s="92"/>
    </row>
    <row r="310" spans="1:32" s="40" customFormat="1" ht="41.25" customHeight="1">
      <c r="A310" s="33" t="s">
        <v>236</v>
      </c>
      <c r="B310" s="34" t="s">
        <v>237</v>
      </c>
      <c r="C310" s="35" t="s">
        <v>223</v>
      </c>
      <c r="D310" s="33" t="s">
        <v>44</v>
      </c>
      <c r="E310" s="33"/>
      <c r="F310" s="36" t="s">
        <v>430</v>
      </c>
      <c r="G310" s="36"/>
      <c r="H310" s="26">
        <f>'2023'!H312</f>
        <v>401.25800000000004</v>
      </c>
      <c r="I310" s="26">
        <f>'2023'!I312</f>
        <v>369.53300000000002</v>
      </c>
      <c r="J310" s="26">
        <f>'2023'!J312</f>
        <v>438.09899999999999</v>
      </c>
      <c r="K310" s="26">
        <f>'2023'!K312</f>
        <v>438.09899999999999</v>
      </c>
      <c r="L310" s="26">
        <f t="shared" si="103"/>
        <v>1646.989</v>
      </c>
      <c r="M310" s="38">
        <f>'2023'!N312</f>
        <v>81.540000000000006</v>
      </c>
      <c r="N310" s="27">
        <v>89.041679999999999</v>
      </c>
      <c r="O310" s="38">
        <f>'2023'!P312</f>
        <v>50.609156416000005</v>
      </c>
      <c r="P310" s="27">
        <f t="shared" si="119"/>
        <v>52.633522672640005</v>
      </c>
      <c r="Q310" s="27">
        <f t="shared" si="116"/>
        <v>12411.248434828674</v>
      </c>
      <c r="R310" s="27">
        <f t="shared" si="117"/>
        <v>11429.967422126274</v>
      </c>
      <c r="S310" s="27">
        <f t="shared" si="117"/>
        <v>15950.377316959086</v>
      </c>
      <c r="T310" s="27">
        <f t="shared" si="118"/>
        <v>15950.377316959086</v>
      </c>
      <c r="U310" s="27">
        <f t="shared" si="105"/>
        <v>55741.970490873122</v>
      </c>
      <c r="V310" s="119"/>
      <c r="W310" s="119"/>
      <c r="X310" s="119"/>
      <c r="Y310" s="29">
        <f t="shared" si="112"/>
        <v>109.19999999999999</v>
      </c>
      <c r="Z310" s="30">
        <f t="shared" si="113"/>
        <v>104</v>
      </c>
      <c r="AA310" s="2"/>
      <c r="AD310" s="32">
        <f t="shared" si="111"/>
        <v>0</v>
      </c>
      <c r="AE310" s="91"/>
      <c r="AF310" s="92"/>
    </row>
    <row r="311" spans="1:32" s="40" customFormat="1" ht="15" customHeight="1">
      <c r="A311" s="33"/>
      <c r="B311" s="34"/>
      <c r="C311" s="35"/>
      <c r="D311" s="33"/>
      <c r="E311" s="33"/>
      <c r="F311" s="36"/>
      <c r="G311" s="36"/>
      <c r="H311" s="26"/>
      <c r="I311" s="26"/>
      <c r="J311" s="26"/>
      <c r="K311" s="26"/>
      <c r="L311" s="37"/>
      <c r="M311" s="41"/>
      <c r="N311" s="41"/>
      <c r="O311" s="41"/>
      <c r="P311" s="41"/>
      <c r="Q311" s="27"/>
      <c r="R311" s="27"/>
      <c r="S311" s="27"/>
      <c r="T311" s="27"/>
      <c r="U311" s="27"/>
      <c r="V311" s="119"/>
      <c r="W311" s="119"/>
      <c r="X311" s="119"/>
      <c r="Y311" s="29" t="e">
        <f t="shared" si="112"/>
        <v>#DIV/0!</v>
      </c>
      <c r="Z311" s="30" t="e">
        <f t="shared" si="113"/>
        <v>#DIV/0!</v>
      </c>
      <c r="AA311" s="2"/>
      <c r="AD311" s="32" t="e">
        <f t="shared" si="111"/>
        <v>#DIV/0!</v>
      </c>
      <c r="AE311" s="91"/>
      <c r="AF311" s="92"/>
    </row>
    <row r="312" spans="1:32" s="40" customFormat="1" ht="63.75" customHeight="1">
      <c r="A312" s="33" t="s">
        <v>243</v>
      </c>
      <c r="B312" s="34" t="s">
        <v>244</v>
      </c>
      <c r="C312" s="35" t="s">
        <v>245</v>
      </c>
      <c r="D312" s="33" t="s">
        <v>246</v>
      </c>
      <c r="E312" s="33"/>
      <c r="F312" s="36" t="s">
        <v>430</v>
      </c>
      <c r="G312" s="36"/>
      <c r="H312" s="26">
        <f>'2023'!H314</f>
        <v>2521.14</v>
      </c>
      <c r="I312" s="26">
        <f>'2023'!I314</f>
        <v>2471.29</v>
      </c>
      <c r="J312" s="26">
        <f>'2023'!J314</f>
        <v>2432.6279999999997</v>
      </c>
      <c r="K312" s="26">
        <f>'2023'!K314</f>
        <v>2416.5</v>
      </c>
      <c r="L312" s="26">
        <f t="shared" si="103"/>
        <v>9841.5580000000009</v>
      </c>
      <c r="M312" s="38">
        <f>'2023'!N314</f>
        <v>80.849999999999994</v>
      </c>
      <c r="N312" s="27">
        <v>88.29</v>
      </c>
      <c r="O312" s="38">
        <f>'2023'!P314</f>
        <v>43.89</v>
      </c>
      <c r="P312" s="27">
        <v>45.64</v>
      </c>
      <c r="Q312" s="27">
        <f>(M312-O312)*H312</f>
        <v>93181.334399999978</v>
      </c>
      <c r="R312" s="27">
        <f>(M312-O312)*I312</f>
        <v>91338.878399999987</v>
      </c>
      <c r="S312" s="27">
        <f>(N312-P312)*J312</f>
        <v>103751.5842</v>
      </c>
      <c r="T312" s="27">
        <f>(N312-P312)*K312</f>
        <v>103063.72500000002</v>
      </c>
      <c r="U312" s="27">
        <f t="shared" si="105"/>
        <v>391335.522</v>
      </c>
      <c r="V312" s="119"/>
      <c r="W312" s="119"/>
      <c r="X312" s="119"/>
      <c r="Y312" s="29">
        <f t="shared" si="112"/>
        <v>109.2022263450835</v>
      </c>
      <c r="Z312" s="30">
        <f t="shared" si="113"/>
        <v>103.98724082934609</v>
      </c>
      <c r="AA312" s="2"/>
      <c r="AD312" s="32">
        <f t="shared" si="111"/>
        <v>1.2759170653907859E-2</v>
      </c>
      <c r="AE312" s="91"/>
      <c r="AF312" s="92"/>
    </row>
    <row r="313" spans="1:32" s="40" customFormat="1" ht="63.75" customHeight="1">
      <c r="A313" s="153" t="s">
        <v>451</v>
      </c>
      <c r="B313" s="154"/>
      <c r="C313" s="154"/>
      <c r="D313" s="154"/>
      <c r="E313" s="154"/>
      <c r="F313" s="154"/>
      <c r="G313" s="154"/>
      <c r="H313" s="37">
        <f>SUM(H11:H312)</f>
        <v>18132660.795307882</v>
      </c>
      <c r="I313" s="37">
        <f>SUM(I11:I312)</f>
        <v>17906949.102307867</v>
      </c>
      <c r="J313" s="37">
        <f>SUM(J11:J312)</f>
        <v>17218759.524307862</v>
      </c>
      <c r="K313" s="37">
        <f>SUM(K11:K312)</f>
        <v>18087748.552307863</v>
      </c>
      <c r="L313" s="37">
        <f>SUM(L8:L312)</f>
        <v>72173536.32623148</v>
      </c>
      <c r="M313" s="37"/>
      <c r="N313" s="37"/>
      <c r="O313" s="37"/>
      <c r="P313" s="37"/>
      <c r="Q313" s="38">
        <f>SUM(Q8:Q312)</f>
        <v>646758894.44835985</v>
      </c>
      <c r="R313" s="38">
        <f t="shared" ref="R313:U313" si="120">SUM(R8:R312)</f>
        <v>635343693.13732886</v>
      </c>
      <c r="S313" s="38">
        <f t="shared" si="120"/>
        <v>664221750.27395141</v>
      </c>
      <c r="T313" s="38">
        <f t="shared" si="120"/>
        <v>695155195.14585018</v>
      </c>
      <c r="U313" s="38">
        <f t="shared" si="120"/>
        <v>2641479533.0054908</v>
      </c>
      <c r="V313" s="38"/>
      <c r="W313" s="38"/>
      <c r="X313" s="38"/>
      <c r="Y313" s="37" t="e">
        <f>SUM(Y11:Y312)</f>
        <v>#DIV/0!</v>
      </c>
      <c r="Z313" s="37" t="e">
        <f>SUM(Z11:Z312)</f>
        <v>#DIV/0!</v>
      </c>
      <c r="AA313" s="37">
        <f>SUM(AA11:AA312)</f>
        <v>0</v>
      </c>
      <c r="AD313" s="32"/>
    </row>
    <row r="314" spans="1:32" s="40" customFormat="1" ht="15" customHeight="1">
      <c r="A314" s="33"/>
      <c r="B314" s="34"/>
      <c r="C314" s="35"/>
      <c r="D314" s="33"/>
      <c r="E314" s="33"/>
      <c r="F314" s="36"/>
      <c r="G314" s="36"/>
      <c r="H314" s="26"/>
      <c r="I314" s="26"/>
      <c r="J314" s="26"/>
      <c r="K314" s="26"/>
      <c r="L314" s="26"/>
      <c r="M314" s="38"/>
      <c r="N314" s="27"/>
      <c r="O314" s="38"/>
      <c r="P314" s="27"/>
      <c r="Q314" s="27"/>
      <c r="R314" s="27"/>
      <c r="S314" s="27"/>
      <c r="T314" s="27"/>
      <c r="U314" s="27"/>
      <c r="V314" s="119"/>
      <c r="W314" s="119"/>
      <c r="X314" s="119"/>
      <c r="Y314" s="29"/>
      <c r="Z314" s="30"/>
      <c r="AA314" s="2"/>
      <c r="AD314" s="32"/>
      <c r="AE314" s="91"/>
      <c r="AF314" s="92"/>
    </row>
    <row r="315" spans="1:32" s="40" customFormat="1" ht="39.75" customHeight="1">
      <c r="A315" s="153" t="s">
        <v>445</v>
      </c>
      <c r="B315" s="154"/>
      <c r="C315" s="154"/>
      <c r="D315" s="154"/>
      <c r="E315" s="154"/>
      <c r="F315" s="154"/>
      <c r="G315" s="154"/>
      <c r="H315" s="37"/>
      <c r="I315" s="37"/>
      <c r="J315" s="37"/>
      <c r="K315" s="37"/>
      <c r="L315" s="26"/>
      <c r="M315" s="38"/>
      <c r="N315" s="27"/>
      <c r="O315" s="38"/>
      <c r="P315" s="27"/>
      <c r="Q315" s="27"/>
      <c r="R315" s="27"/>
      <c r="S315" s="27"/>
      <c r="T315" s="27"/>
      <c r="U315" s="27"/>
      <c r="V315" s="119"/>
      <c r="W315" s="119"/>
      <c r="X315" s="119"/>
      <c r="Y315" s="29"/>
      <c r="Z315" s="30"/>
      <c r="AA315" s="2"/>
      <c r="AD315" s="32"/>
    </row>
    <row r="316" spans="1:32" s="40" customFormat="1" ht="51" customHeight="1">
      <c r="A316" s="34">
        <v>2901308154</v>
      </c>
      <c r="B316" s="34" t="s">
        <v>423</v>
      </c>
      <c r="C316" s="34" t="s">
        <v>62</v>
      </c>
      <c r="D316" s="33" t="s">
        <v>424</v>
      </c>
      <c r="F316" s="36" t="s">
        <v>446</v>
      </c>
      <c r="G316" s="36"/>
      <c r="H316" s="37">
        <f>32346/4</f>
        <v>8086.5</v>
      </c>
      <c r="I316" s="37">
        <v>8086.5</v>
      </c>
      <c r="J316" s="37">
        <v>8086.5</v>
      </c>
      <c r="K316" s="37">
        <v>8086.5</v>
      </c>
      <c r="L316" s="26">
        <f t="shared" si="103"/>
        <v>32346</v>
      </c>
      <c r="M316" s="38">
        <f>'2023'!N318</f>
        <v>83.946571717036917</v>
      </c>
      <c r="N316" s="27">
        <f>N184*1.2</f>
        <v>101.4953426392368</v>
      </c>
      <c r="O316" s="38">
        <f>O184*1.2</f>
        <v>45.033406080000006</v>
      </c>
      <c r="P316" s="27">
        <f t="shared" ref="P316:P321" si="121">O316*1.04</f>
        <v>46.834742323200011</v>
      </c>
      <c r="Q316" s="27">
        <f t="shared" ref="Q316:Q321" si="122">(M316-O316)*H316</f>
        <v>314671.31392389897</v>
      </c>
      <c r="R316" s="27">
        <f t="shared" ref="R316:S321" si="123">(M316-O316)*I316</f>
        <v>314671.31392389897</v>
      </c>
      <c r="S316" s="27">
        <f t="shared" si="123"/>
        <v>442012.94445563148</v>
      </c>
      <c r="T316" s="27">
        <f t="shared" ref="T316:T321" si="124">(N316-P316)*K316</f>
        <v>442012.94445563148</v>
      </c>
      <c r="U316" s="27">
        <f t="shared" si="105"/>
        <v>1513368.516759061</v>
      </c>
      <c r="V316" s="119"/>
      <c r="W316" s="119"/>
      <c r="X316" s="119"/>
      <c r="Y316" s="29"/>
      <c r="Z316" s="30"/>
      <c r="AA316" s="2"/>
      <c r="AD316" s="32"/>
      <c r="AE316" s="91"/>
      <c r="AF316" s="92"/>
    </row>
    <row r="317" spans="1:32" s="40" customFormat="1" ht="51" customHeight="1">
      <c r="A317" s="34">
        <v>2901308154</v>
      </c>
      <c r="B317" s="34" t="s">
        <v>423</v>
      </c>
      <c r="C317" s="34" t="s">
        <v>62</v>
      </c>
      <c r="D317" s="33" t="s">
        <v>424</v>
      </c>
      <c r="F317" s="36" t="s">
        <v>447</v>
      </c>
      <c r="G317" s="36"/>
      <c r="H317" s="37">
        <f>1969.8714/4</f>
        <v>492.46785</v>
      </c>
      <c r="I317" s="37">
        <v>492.46785</v>
      </c>
      <c r="J317" s="37">
        <v>492.46785</v>
      </c>
      <c r="K317" s="37">
        <v>492.46785</v>
      </c>
      <c r="L317" s="26">
        <f>H317+I317+J317+K317</f>
        <v>1969.8714</v>
      </c>
      <c r="M317" s="38">
        <v>21318.74</v>
      </c>
      <c r="N317" s="27">
        <v>21318.74</v>
      </c>
      <c r="O317" s="38">
        <f>'2023'!P319</f>
        <v>2048.8000000000002</v>
      </c>
      <c r="P317" s="27">
        <f t="shared" si="121"/>
        <v>2130.7520000000004</v>
      </c>
      <c r="Q317" s="27">
        <f t="shared" si="122"/>
        <v>9489825.9214290008</v>
      </c>
      <c r="R317" s="27">
        <f t="shared" si="123"/>
        <v>9489825.9214290008</v>
      </c>
      <c r="S317" s="27">
        <f t="shared" si="123"/>
        <v>9449467.1961858012</v>
      </c>
      <c r="T317" s="27">
        <f t="shared" si="124"/>
        <v>9449467.1961858012</v>
      </c>
      <c r="U317" s="27">
        <f t="shared" si="105"/>
        <v>37878586.235229604</v>
      </c>
      <c r="V317" s="119"/>
      <c r="W317" s="119"/>
      <c r="X317" s="119"/>
      <c r="Y317" s="29"/>
      <c r="Z317" s="30"/>
      <c r="AA317" s="2"/>
      <c r="AD317" s="32"/>
      <c r="AE317" s="91"/>
      <c r="AF317" s="92"/>
    </row>
    <row r="318" spans="1:32" s="40" customFormat="1" ht="51" customHeight="1">
      <c r="A318" s="34">
        <v>2901308154</v>
      </c>
      <c r="B318" s="34" t="s">
        <v>423</v>
      </c>
      <c r="C318" s="34" t="s">
        <v>62</v>
      </c>
      <c r="D318" s="33" t="s">
        <v>425</v>
      </c>
      <c r="F318" s="36" t="s">
        <v>446</v>
      </c>
      <c r="G318" s="36"/>
      <c r="H318" s="37">
        <f>39630/4</f>
        <v>9907.5</v>
      </c>
      <c r="I318" s="37">
        <v>9907.5</v>
      </c>
      <c r="J318" s="37">
        <v>9907.5</v>
      </c>
      <c r="K318" s="37">
        <v>9907.5</v>
      </c>
      <c r="L318" s="26">
        <f>H318+I318+J318+K318</f>
        <v>39630</v>
      </c>
      <c r="M318" s="38">
        <f>'2023'!N320</f>
        <v>83.946571717036917</v>
      </c>
      <c r="N318" s="27">
        <f>N316</f>
        <v>101.4953426392368</v>
      </c>
      <c r="O318" s="38">
        <f>O316</f>
        <v>45.033406080000006</v>
      </c>
      <c r="P318" s="27">
        <f t="shared" si="121"/>
        <v>46.834742323200011</v>
      </c>
      <c r="Q318" s="27">
        <f t="shared" si="122"/>
        <v>385532.1885489432</v>
      </c>
      <c r="R318" s="27">
        <f t="shared" si="123"/>
        <v>385532.1885489432</v>
      </c>
      <c r="S318" s="27">
        <f t="shared" si="123"/>
        <v>541549.89763113449</v>
      </c>
      <c r="T318" s="27">
        <f t="shared" si="124"/>
        <v>541549.89763113449</v>
      </c>
      <c r="U318" s="27">
        <f t="shared" si="105"/>
        <v>1854164.1723601553</v>
      </c>
      <c r="V318" s="119"/>
      <c r="W318" s="119"/>
      <c r="X318" s="119"/>
      <c r="Y318" s="29"/>
      <c r="Z318" s="30"/>
      <c r="AA318" s="2"/>
      <c r="AD318" s="32"/>
      <c r="AE318" s="91"/>
      <c r="AF318" s="92"/>
    </row>
    <row r="319" spans="1:32" s="40" customFormat="1" ht="51" customHeight="1">
      <c r="A319" s="34">
        <v>2901308154</v>
      </c>
      <c r="B319" s="34" t="s">
        <v>423</v>
      </c>
      <c r="C319" s="34" t="s">
        <v>62</v>
      </c>
      <c r="D319" s="33" t="s">
        <v>425</v>
      </c>
      <c r="F319" s="36" t="s">
        <v>447</v>
      </c>
      <c r="G319" s="36"/>
      <c r="H319" s="37">
        <f>2413.467/4</f>
        <v>603.36675000000002</v>
      </c>
      <c r="I319" s="37">
        <v>603.36675000000002</v>
      </c>
      <c r="J319" s="37">
        <v>603.36675000000002</v>
      </c>
      <c r="K319" s="37">
        <v>603.36675000000002</v>
      </c>
      <c r="L319" s="26">
        <f t="shared" ref="L319:L321" si="125">H319+I319+J319+K319</f>
        <v>2413.4670000000001</v>
      </c>
      <c r="M319" s="38">
        <v>21318.74</v>
      </c>
      <c r="N319" s="27">
        <f>N317</f>
        <v>21318.74</v>
      </c>
      <c r="O319" s="38">
        <f>'2023'!P319</f>
        <v>2048.8000000000002</v>
      </c>
      <c r="P319" s="27">
        <f t="shared" si="121"/>
        <v>2130.7520000000004</v>
      </c>
      <c r="Q319" s="27">
        <f t="shared" si="122"/>
        <v>11626841.070495002</v>
      </c>
      <c r="R319" s="27">
        <f t="shared" si="123"/>
        <v>11626841.070495002</v>
      </c>
      <c r="S319" s="27">
        <f t="shared" si="123"/>
        <v>11577393.958599001</v>
      </c>
      <c r="T319" s="27">
        <f t="shared" si="124"/>
        <v>11577393.958599001</v>
      </c>
      <c r="U319" s="27">
        <f t="shared" si="105"/>
        <v>46408470.058188006</v>
      </c>
      <c r="V319" s="119"/>
      <c r="W319" s="119"/>
      <c r="X319" s="119"/>
      <c r="Y319" s="29"/>
      <c r="Z319" s="30"/>
      <c r="AA319" s="2"/>
      <c r="AD319" s="32"/>
      <c r="AE319" s="91"/>
      <c r="AF319" s="92"/>
    </row>
    <row r="320" spans="1:32" s="40" customFormat="1" ht="51" customHeight="1">
      <c r="A320" s="34">
        <v>2901308154</v>
      </c>
      <c r="B320" s="34" t="s">
        <v>423</v>
      </c>
      <c r="C320" s="34" t="s">
        <v>62</v>
      </c>
      <c r="D320" s="33" t="s">
        <v>426</v>
      </c>
      <c r="F320" s="36" t="s">
        <v>446</v>
      </c>
      <c r="G320" s="36"/>
      <c r="H320" s="37">
        <f>128384/4</f>
        <v>32096</v>
      </c>
      <c r="I320" s="37">
        <v>32096</v>
      </c>
      <c r="J320" s="37">
        <v>32096</v>
      </c>
      <c r="K320" s="37">
        <v>32096</v>
      </c>
      <c r="L320" s="26">
        <f t="shared" si="125"/>
        <v>128384</v>
      </c>
      <c r="M320" s="38">
        <f>'2023'!N322</f>
        <v>83.946571717036917</v>
      </c>
      <c r="N320" s="27">
        <f>N318</f>
        <v>101.4953426392368</v>
      </c>
      <c r="O320" s="38">
        <f>O316</f>
        <v>45.033406080000006</v>
      </c>
      <c r="P320" s="27">
        <f t="shared" si="121"/>
        <v>46.834742323200011</v>
      </c>
      <c r="Q320" s="27">
        <f t="shared" si="122"/>
        <v>1248956.9642863367</v>
      </c>
      <c r="R320" s="27">
        <f t="shared" si="123"/>
        <v>1248956.9642863367</v>
      </c>
      <c r="S320" s="27">
        <f t="shared" si="123"/>
        <v>1754386.6277435166</v>
      </c>
      <c r="T320" s="27">
        <f t="shared" si="124"/>
        <v>1754386.6277435166</v>
      </c>
      <c r="U320" s="27">
        <f t="shared" si="105"/>
        <v>6006687.1840597056</v>
      </c>
      <c r="V320" s="119"/>
      <c r="W320" s="119"/>
      <c r="X320" s="119"/>
      <c r="Y320" s="29"/>
      <c r="Z320" s="30"/>
      <c r="AA320" s="2"/>
      <c r="AD320" s="32"/>
      <c r="AE320" s="91"/>
      <c r="AF320" s="92"/>
    </row>
    <row r="321" spans="1:32" s="40" customFormat="1" ht="51" customHeight="1">
      <c r="A321" s="34">
        <v>2901308154</v>
      </c>
      <c r="B321" s="34" t="s">
        <v>423</v>
      </c>
      <c r="C321" s="34" t="s">
        <v>62</v>
      </c>
      <c r="D321" s="33" t="s">
        <v>426</v>
      </c>
      <c r="F321" s="36" t="s">
        <v>447</v>
      </c>
      <c r="G321" s="36"/>
      <c r="H321" s="37">
        <f>7818.5839/4</f>
        <v>1954.6459749999999</v>
      </c>
      <c r="I321" s="37">
        <v>1954.6459749999999</v>
      </c>
      <c r="J321" s="86">
        <v>1954.6459749999999</v>
      </c>
      <c r="K321" s="37">
        <v>1954.6459749999999</v>
      </c>
      <c r="L321" s="37">
        <f t="shared" si="125"/>
        <v>7818.5838999999996</v>
      </c>
      <c r="M321" s="38">
        <v>3027.97</v>
      </c>
      <c r="N321" s="38">
        <v>3027.97</v>
      </c>
      <c r="O321" s="38">
        <f>O319</f>
        <v>2048.8000000000002</v>
      </c>
      <c r="P321" s="27">
        <f t="shared" si="121"/>
        <v>2130.7520000000004</v>
      </c>
      <c r="Q321" s="38">
        <f t="shared" si="122"/>
        <v>1913930.6993407491</v>
      </c>
      <c r="R321" s="38">
        <f t="shared" si="123"/>
        <v>1913930.6993407491</v>
      </c>
      <c r="S321" s="38">
        <f t="shared" si="123"/>
        <v>1753743.5523975487</v>
      </c>
      <c r="T321" s="38">
        <f t="shared" si="124"/>
        <v>1753743.5523975487</v>
      </c>
      <c r="U321" s="38">
        <f t="shared" si="105"/>
        <v>7335348.5034765955</v>
      </c>
      <c r="V321" s="119"/>
      <c r="W321" s="119"/>
      <c r="X321" s="119"/>
      <c r="Y321" s="29"/>
      <c r="Z321" s="30"/>
      <c r="AA321" s="2"/>
      <c r="AD321" s="32"/>
      <c r="AE321" s="91"/>
      <c r="AF321" s="92"/>
    </row>
    <row r="322" spans="1:32" s="40" customFormat="1" ht="33.75" customHeight="1">
      <c r="A322" s="153" t="s">
        <v>448</v>
      </c>
      <c r="B322" s="154"/>
      <c r="C322" s="154"/>
      <c r="D322" s="154"/>
      <c r="E322" s="154"/>
      <c r="F322" s="154"/>
      <c r="G322" s="154"/>
      <c r="H322" s="37"/>
      <c r="I322" s="37"/>
      <c r="J322" s="37"/>
      <c r="K322" s="37"/>
      <c r="L322" s="37"/>
      <c r="M322" s="38"/>
      <c r="N322" s="38"/>
      <c r="O322" s="38"/>
      <c r="P322" s="38"/>
      <c r="Q322" s="38">
        <f>SUM(Q316:Q321)</f>
        <v>24979758.158023927</v>
      </c>
      <c r="R322" s="38">
        <f t="shared" ref="R322:U322" si="126">SUM(R316:R321)</f>
        <v>24979758.158023927</v>
      </c>
      <c r="S322" s="38">
        <f t="shared" si="126"/>
        <v>25518554.177012634</v>
      </c>
      <c r="T322" s="38">
        <f t="shared" si="126"/>
        <v>25518554.177012634</v>
      </c>
      <c r="U322" s="38">
        <f t="shared" si="126"/>
        <v>100996624.67007312</v>
      </c>
      <c r="V322" s="119"/>
      <c r="W322" s="119"/>
      <c r="X322" s="119"/>
      <c r="Y322" s="29"/>
      <c r="Z322" s="30"/>
      <c r="AA322" s="2"/>
      <c r="AD322" s="32"/>
    </row>
    <row r="323" spans="1:32" s="40" customFormat="1" ht="15" customHeight="1">
      <c r="A323" s="34"/>
      <c r="B323" s="34"/>
      <c r="C323" s="34"/>
      <c r="D323" s="33"/>
      <c r="E323" s="33"/>
      <c r="F323" s="36"/>
      <c r="G323" s="36"/>
      <c r="H323" s="37"/>
      <c r="I323" s="37"/>
      <c r="J323" s="37"/>
      <c r="K323" s="37"/>
      <c r="L323" s="37"/>
      <c r="M323" s="38"/>
      <c r="N323" s="38"/>
      <c r="O323" s="38"/>
      <c r="P323" s="38"/>
      <c r="Q323" s="38"/>
      <c r="R323" s="38"/>
      <c r="S323" s="38"/>
      <c r="T323" s="38"/>
      <c r="U323" s="120"/>
      <c r="V323" s="121"/>
      <c r="W323" s="119"/>
      <c r="X323" s="119"/>
      <c r="Y323" s="29"/>
      <c r="Z323" s="30"/>
      <c r="AA323" s="2"/>
      <c r="AD323" s="32"/>
    </row>
    <row r="324" spans="1:32" ht="35.25" customHeight="1">
      <c r="A324" s="153" t="s">
        <v>449</v>
      </c>
      <c r="B324" s="154"/>
      <c r="C324" s="154"/>
      <c r="D324" s="154"/>
      <c r="E324" s="154"/>
      <c r="F324" s="154"/>
      <c r="G324" s="154"/>
      <c r="H324" s="69"/>
      <c r="I324" s="69"/>
      <c r="J324" s="69"/>
      <c r="K324" s="69"/>
      <c r="L324" s="69"/>
      <c r="M324" s="69"/>
      <c r="N324" s="69"/>
      <c r="O324" s="69"/>
      <c r="P324" s="69"/>
      <c r="Q324" s="220">
        <f>Q325+Q326</f>
        <v>671738652.6063838</v>
      </c>
      <c r="R324" s="220">
        <f t="shared" ref="R324:V324" si="127">R325+R326</f>
        <v>660323451.29535282</v>
      </c>
      <c r="S324" s="220">
        <f t="shared" si="127"/>
        <v>689740304.45096409</v>
      </c>
      <c r="T324" s="220">
        <f t="shared" si="127"/>
        <v>720673749.32286286</v>
      </c>
      <c r="U324" s="220">
        <f t="shared" si="127"/>
        <v>2742476157.6755633</v>
      </c>
      <c r="V324" s="220">
        <f t="shared" si="127"/>
        <v>220976124.6300264</v>
      </c>
      <c r="W324" s="220">
        <f>W325+W326</f>
        <v>240224583.10762092</v>
      </c>
      <c r="X324" s="220">
        <f>X325+X326</f>
        <v>2723227699.197969</v>
      </c>
      <c r="Y324" s="29" t="e">
        <f>N324/M324*100</f>
        <v>#DIV/0!</v>
      </c>
      <c r="Z324" s="30" t="e">
        <f>P324/O324*100</f>
        <v>#DIV/0!</v>
      </c>
      <c r="AD324" s="32" t="e">
        <f t="shared" ref="AD324" si="128">104-Z324</f>
        <v>#DIV/0!</v>
      </c>
    </row>
    <row r="325" spans="1:32" s="104" customFormat="1" ht="30" customHeight="1">
      <c r="A325" s="153" t="s">
        <v>450</v>
      </c>
      <c r="B325" s="154"/>
      <c r="C325" s="154"/>
      <c r="D325" s="154"/>
      <c r="E325" s="154"/>
      <c r="F325" s="154"/>
      <c r="G325" s="154"/>
      <c r="H325" s="169">
        <f>H313+H316+H318+H320</f>
        <v>18182750.795307882</v>
      </c>
      <c r="I325" s="169">
        <f t="shared" ref="I325:U325" si="129">I313+I316+I318+I320</f>
        <v>17957039.102307867</v>
      </c>
      <c r="J325" s="169">
        <f t="shared" si="129"/>
        <v>17268849.524307862</v>
      </c>
      <c r="K325" s="169">
        <f t="shared" si="129"/>
        <v>18137838.552307863</v>
      </c>
      <c r="L325" s="169">
        <f t="shared" si="129"/>
        <v>72373896.32623148</v>
      </c>
      <c r="M325" s="169"/>
      <c r="N325" s="169"/>
      <c r="O325" s="169"/>
      <c r="P325" s="169"/>
      <c r="Q325" s="221">
        <f>Q313+Q316+Q318+Q320</f>
        <v>648708054.91511905</v>
      </c>
      <c r="R325" s="221">
        <f t="shared" si="129"/>
        <v>637292853.60408807</v>
      </c>
      <c r="S325" s="221">
        <f t="shared" si="129"/>
        <v>666959699.74378169</v>
      </c>
      <c r="T325" s="221">
        <f t="shared" si="129"/>
        <v>697893144.61568046</v>
      </c>
      <c r="U325" s="221">
        <f t="shared" si="129"/>
        <v>2650853752.8786693</v>
      </c>
      <c r="V325" s="221">
        <f>'2023'!W327</f>
        <v>212828518.22657946</v>
      </c>
      <c r="W325" s="222">
        <f>T325/3</f>
        <v>232631048.20522681</v>
      </c>
      <c r="X325" s="221">
        <f>U325+V325-W325</f>
        <v>2631051222.900022</v>
      </c>
      <c r="Y325" s="101"/>
      <c r="Z325" s="102"/>
      <c r="AA325" s="103"/>
      <c r="AD325" s="105"/>
    </row>
    <row r="326" spans="1:32" s="104" customFormat="1" ht="30" customHeight="1">
      <c r="A326" s="153" t="s">
        <v>431</v>
      </c>
      <c r="B326" s="154"/>
      <c r="C326" s="154"/>
      <c r="D326" s="154"/>
      <c r="E326" s="154"/>
      <c r="F326" s="154"/>
      <c r="G326" s="154"/>
      <c r="H326" s="169">
        <f>H317+H319+H321</f>
        <v>3050.480575</v>
      </c>
      <c r="I326" s="169">
        <f t="shared" ref="I326:U326" si="130">I317+I319+I321</f>
        <v>3050.480575</v>
      </c>
      <c r="J326" s="169">
        <f t="shared" si="130"/>
        <v>3050.480575</v>
      </c>
      <c r="K326" s="169">
        <f t="shared" si="130"/>
        <v>3050.480575</v>
      </c>
      <c r="L326" s="169">
        <f t="shared" si="130"/>
        <v>12201.9223</v>
      </c>
      <c r="M326" s="169"/>
      <c r="N326" s="169"/>
      <c r="O326" s="169"/>
      <c r="P326" s="169"/>
      <c r="Q326" s="221">
        <f t="shared" si="130"/>
        <v>23030597.691264752</v>
      </c>
      <c r="R326" s="221">
        <f t="shared" si="130"/>
        <v>23030597.691264752</v>
      </c>
      <c r="S326" s="221">
        <f t="shared" si="130"/>
        <v>22780604.707182351</v>
      </c>
      <c r="T326" s="221">
        <f t="shared" si="130"/>
        <v>22780604.707182351</v>
      </c>
      <c r="U326" s="221">
        <f t="shared" si="130"/>
        <v>91622404.796894193</v>
      </c>
      <c r="V326" s="221">
        <f>'2023'!W328</f>
        <v>8147606.4034469323</v>
      </c>
      <c r="W326" s="222">
        <f>T326/3</f>
        <v>7593534.9023941169</v>
      </c>
      <c r="X326" s="221">
        <f>U326+V326-W326</f>
        <v>92176476.297947004</v>
      </c>
      <c r="Y326" s="101"/>
      <c r="Z326" s="102"/>
      <c r="AA326" s="103"/>
      <c r="AD326" s="105"/>
    </row>
    <row r="327" spans="1:32" ht="15" customHeight="1">
      <c r="A327" s="87"/>
      <c r="B327" s="93"/>
      <c r="C327" s="93"/>
      <c r="D327" s="94"/>
      <c r="E327" s="94"/>
      <c r="F327" s="94"/>
      <c r="G327" s="94"/>
      <c r="H327" s="94"/>
      <c r="I327" s="94"/>
      <c r="J327" s="94"/>
      <c r="K327" s="81"/>
      <c r="L327" s="81"/>
      <c r="M327" s="83"/>
      <c r="N327" s="84"/>
      <c r="O327" s="85"/>
      <c r="P327" s="84"/>
      <c r="Q327" s="38"/>
      <c r="R327" s="38"/>
      <c r="S327" s="38"/>
      <c r="T327" s="38"/>
      <c r="U327" s="38"/>
      <c r="V327" s="38"/>
      <c r="W327" s="124"/>
      <c r="X327" s="124"/>
      <c r="Y327" s="29"/>
      <c r="Z327" s="30"/>
      <c r="AD327" s="32"/>
      <c r="AE327" s="91"/>
      <c r="AF327" s="92"/>
    </row>
    <row r="328" spans="1:32" ht="39" customHeight="1">
      <c r="A328" s="223" t="s">
        <v>278</v>
      </c>
      <c r="B328" s="224"/>
      <c r="C328" s="224"/>
      <c r="D328" s="225"/>
      <c r="E328" s="225"/>
      <c r="F328" s="226"/>
      <c r="G328" s="226"/>
      <c r="H328" s="226"/>
      <c r="I328" s="226"/>
      <c r="J328" s="226"/>
      <c r="K328" s="227"/>
      <c r="L328" s="227"/>
      <c r="M328" s="227"/>
      <c r="N328" s="174"/>
      <c r="O328" s="174"/>
      <c r="P328" s="174"/>
      <c r="Q328" s="228"/>
      <c r="R328" s="228"/>
      <c r="S328" s="228"/>
      <c r="T328" s="228"/>
      <c r="U328" s="228"/>
      <c r="V328" s="229"/>
      <c r="W328" s="229"/>
      <c r="X328" s="229"/>
      <c r="Y328" s="29" t="e">
        <f t="shared" ref="Y328:Y352" si="131">N328/M328*100</f>
        <v>#DIV/0!</v>
      </c>
      <c r="Z328" s="30" t="e">
        <f t="shared" ref="Z328:Z352" si="132">P328/O328*100</f>
        <v>#DIV/0!</v>
      </c>
      <c r="AD328" s="32" t="e">
        <f t="shared" si="111"/>
        <v>#DIV/0!</v>
      </c>
      <c r="AE328" s="91"/>
      <c r="AF328" s="92"/>
    </row>
    <row r="329" spans="1:32" ht="49.5" customHeight="1">
      <c r="A329" s="34">
        <v>2901070303</v>
      </c>
      <c r="B329" s="34" t="s">
        <v>279</v>
      </c>
      <c r="C329" s="34" t="s">
        <v>107</v>
      </c>
      <c r="D329" s="33" t="s">
        <v>108</v>
      </c>
      <c r="E329" s="22"/>
      <c r="F329" s="36" t="s">
        <v>430</v>
      </c>
      <c r="G329" s="25"/>
      <c r="H329" s="26">
        <f>'2023'!H331</f>
        <v>186.03</v>
      </c>
      <c r="I329" s="26">
        <f>'2023'!I331</f>
        <v>179.82900000000001</v>
      </c>
      <c r="J329" s="88">
        <f>'2023'!J331</f>
        <v>167.42699999999999</v>
      </c>
      <c r="K329" s="37">
        <f>'2023'!K331</f>
        <v>165.35999999999999</v>
      </c>
      <c r="L329" s="37">
        <f t="shared" si="103"/>
        <v>698.64600000000007</v>
      </c>
      <c r="M329" s="71">
        <f>'2023'!N331</f>
        <v>192.1277</v>
      </c>
      <c r="N329" s="38">
        <v>199.54459420000001</v>
      </c>
      <c r="O329" s="71">
        <f>'2023'!P331</f>
        <v>57.015005632000005</v>
      </c>
      <c r="P329" s="38">
        <v>59.295605857280009</v>
      </c>
      <c r="Q329" s="38">
        <f t="shared" ref="Q329:Q352" si="133">(M329-O329)*H329</f>
        <v>25135.014533279042</v>
      </c>
      <c r="R329" s="38">
        <f t="shared" ref="R329:R352" si="134">(M329-O329)*I329</f>
        <v>24297.180715503073</v>
      </c>
      <c r="S329" s="38">
        <f t="shared" ref="S329:S352" si="135">(N329-P329)*J329</f>
        <v>23481.467371256578</v>
      </c>
      <c r="T329" s="38">
        <f t="shared" ref="T329:T352" si="136">(N329-P329)*K329</f>
        <v>23191.572712352176</v>
      </c>
      <c r="U329" s="38">
        <f t="shared" si="105"/>
        <v>96105.235332390876</v>
      </c>
      <c r="V329" s="38"/>
      <c r="W329" s="38"/>
      <c r="X329" s="127"/>
      <c r="Y329" s="29">
        <f t="shared" si="131"/>
        <v>103.86039816226396</v>
      </c>
      <c r="Z329" s="30">
        <f t="shared" si="132"/>
        <v>104</v>
      </c>
      <c r="AD329" s="32">
        <f t="shared" si="111"/>
        <v>0</v>
      </c>
      <c r="AE329" s="91"/>
      <c r="AF329" s="92"/>
    </row>
    <row r="330" spans="1:32" ht="49.5" customHeight="1">
      <c r="A330" s="34">
        <v>7729314745</v>
      </c>
      <c r="B330" s="34" t="s">
        <v>280</v>
      </c>
      <c r="C330" s="34" t="s">
        <v>62</v>
      </c>
      <c r="D330" s="33"/>
      <c r="E330" s="33"/>
      <c r="F330" s="25" t="s">
        <v>428</v>
      </c>
      <c r="G330" s="36"/>
      <c r="H330" s="26">
        <f>'2023'!H332</f>
        <v>868.68799999999999</v>
      </c>
      <c r="I330" s="26">
        <f>'2023'!I332</f>
        <v>760.20400000000006</v>
      </c>
      <c r="J330" s="26">
        <f>'2023'!J332</f>
        <v>836.22199999999998</v>
      </c>
      <c r="K330" s="26">
        <f>'2023'!K332</f>
        <v>835.82100000000003</v>
      </c>
      <c r="L330" s="26">
        <f t="shared" si="103"/>
        <v>3300.9349999999999</v>
      </c>
      <c r="M330" s="71">
        <f>'2023'!N332</f>
        <v>106.69</v>
      </c>
      <c r="N330" s="27">
        <v>106.68530000000003</v>
      </c>
      <c r="O330" s="71">
        <f>'2023'!P332</f>
        <v>37.53</v>
      </c>
      <c r="P330" s="27">
        <f t="shared" ref="P330:P337" si="137">O330*1.04</f>
        <v>39.031200000000005</v>
      </c>
      <c r="Q330" s="27">
        <f t="shared" si="133"/>
        <v>60078.462079999998</v>
      </c>
      <c r="R330" s="27">
        <f t="shared" si="134"/>
        <v>52575.708640000004</v>
      </c>
      <c r="S330" s="27">
        <f t="shared" si="135"/>
        <v>56573.846810200019</v>
      </c>
      <c r="T330" s="27">
        <f t="shared" si="136"/>
        <v>56546.717516100027</v>
      </c>
      <c r="U330" s="27">
        <f t="shared" si="105"/>
        <v>225774.73504630005</v>
      </c>
      <c r="V330" s="38"/>
      <c r="W330" s="38"/>
      <c r="X330" s="127"/>
      <c r="Y330" s="29">
        <f t="shared" si="131"/>
        <v>99.995594713656416</v>
      </c>
      <c r="Z330" s="30">
        <f t="shared" si="132"/>
        <v>104</v>
      </c>
      <c r="AD330" s="32">
        <f t="shared" si="111"/>
        <v>0</v>
      </c>
      <c r="AE330" s="91"/>
      <c r="AF330" s="92"/>
    </row>
    <row r="331" spans="1:32" ht="49.5" customHeight="1">
      <c r="A331" s="34">
        <v>7729314745</v>
      </c>
      <c r="B331" s="34" t="s">
        <v>280</v>
      </c>
      <c r="C331" s="34" t="s">
        <v>86</v>
      </c>
      <c r="D331" s="33" t="s">
        <v>87</v>
      </c>
      <c r="E331" s="33"/>
      <c r="F331" s="25" t="s">
        <v>428</v>
      </c>
      <c r="G331" s="36"/>
      <c r="H331" s="26">
        <f>'2023'!H333</f>
        <v>620.18600000000004</v>
      </c>
      <c r="I331" s="26">
        <f>'2023'!I333</f>
        <v>631.89600000000007</v>
      </c>
      <c r="J331" s="26">
        <f>'2023'!J333</f>
        <v>665.93499999999995</v>
      </c>
      <c r="K331" s="26">
        <f>'2023'!K333</f>
        <v>676.29899999999998</v>
      </c>
      <c r="L331" s="26">
        <f t="shared" si="103"/>
        <v>2594.3159999999998</v>
      </c>
      <c r="M331" s="71">
        <f>'2023'!N333</f>
        <v>208.32</v>
      </c>
      <c r="N331" s="27">
        <v>208.31720000000004</v>
      </c>
      <c r="O331" s="71">
        <f>'2023'!P333</f>
        <v>43.89</v>
      </c>
      <c r="P331" s="27">
        <f t="shared" si="137"/>
        <v>45.645600000000002</v>
      </c>
      <c r="Q331" s="27">
        <f t="shared" si="133"/>
        <v>101977.18398000002</v>
      </c>
      <c r="R331" s="27">
        <f t="shared" si="134"/>
        <v>103902.65928000002</v>
      </c>
      <c r="S331" s="27">
        <f t="shared" si="135"/>
        <v>108328.71194600002</v>
      </c>
      <c r="T331" s="27">
        <f t="shared" si="136"/>
        <v>110014.64040840002</v>
      </c>
      <c r="U331" s="27">
        <f t="shared" si="105"/>
        <v>424223.19561440015</v>
      </c>
      <c r="V331" s="38"/>
      <c r="W331" s="38"/>
      <c r="X331" s="127"/>
      <c r="Y331" s="29">
        <f t="shared" si="131"/>
        <v>99.998655913978524</v>
      </c>
      <c r="Z331" s="30">
        <f t="shared" si="132"/>
        <v>104</v>
      </c>
      <c r="AD331" s="32">
        <f t="shared" si="111"/>
        <v>0</v>
      </c>
      <c r="AE331" s="91"/>
      <c r="AF331" s="92"/>
    </row>
    <row r="332" spans="1:32" ht="49.5" customHeight="1">
      <c r="A332" s="34">
        <v>7729314745</v>
      </c>
      <c r="B332" s="34" t="s">
        <v>280</v>
      </c>
      <c r="C332" s="34" t="s">
        <v>97</v>
      </c>
      <c r="D332" s="33" t="s">
        <v>281</v>
      </c>
      <c r="E332" s="33"/>
      <c r="F332" s="25" t="s">
        <v>428</v>
      </c>
      <c r="G332" s="36"/>
      <c r="H332" s="26">
        <f>'2023'!H334</f>
        <v>2123.7429999999999</v>
      </c>
      <c r="I332" s="26">
        <f>'2023'!I334</f>
        <v>2087.3440000000001</v>
      </c>
      <c r="J332" s="26">
        <f>'2023'!J334</f>
        <v>2091.5520000000001</v>
      </c>
      <c r="K332" s="26">
        <f>'2023'!K334</f>
        <v>3131.3629999999998</v>
      </c>
      <c r="L332" s="26">
        <f t="shared" si="103"/>
        <v>9434.0019999999986</v>
      </c>
      <c r="M332" s="71">
        <f>'2023'!N334</f>
        <v>56.32</v>
      </c>
      <c r="N332" s="27">
        <v>56.324748698400008</v>
      </c>
      <c r="O332" s="71">
        <f>'2023'!P334</f>
        <v>28.5</v>
      </c>
      <c r="P332" s="27">
        <f t="shared" si="137"/>
        <v>29.64</v>
      </c>
      <c r="Q332" s="27">
        <f t="shared" si="133"/>
        <v>59082.53026</v>
      </c>
      <c r="R332" s="27">
        <f t="shared" si="134"/>
        <v>58069.910080000001</v>
      </c>
      <c r="S332" s="27">
        <f t="shared" si="135"/>
        <v>55812.539509635935</v>
      </c>
      <c r="T332" s="27">
        <f t="shared" si="136"/>
        <v>83559.634738467939</v>
      </c>
      <c r="U332" s="27">
        <f t="shared" si="105"/>
        <v>256524.6145881039</v>
      </c>
      <c r="V332" s="38"/>
      <c r="W332" s="38"/>
      <c r="X332" s="127"/>
      <c r="Y332" s="29">
        <f t="shared" si="131"/>
        <v>100.0084316377841</v>
      </c>
      <c r="Z332" s="30">
        <f t="shared" si="132"/>
        <v>104</v>
      </c>
      <c r="AD332" s="32">
        <f t="shared" si="111"/>
        <v>0</v>
      </c>
      <c r="AE332" s="91"/>
      <c r="AF332" s="92"/>
    </row>
    <row r="333" spans="1:32" ht="49.5" customHeight="1">
      <c r="A333" s="34">
        <v>7729314745</v>
      </c>
      <c r="B333" s="34" t="s">
        <v>280</v>
      </c>
      <c r="C333" s="34" t="s">
        <v>123</v>
      </c>
      <c r="D333" s="33" t="s">
        <v>282</v>
      </c>
      <c r="E333" s="33"/>
      <c r="F333" s="25" t="s">
        <v>428</v>
      </c>
      <c r="G333" s="36"/>
      <c r="H333" s="26">
        <f>'2023'!H335</f>
        <v>60</v>
      </c>
      <c r="I333" s="26">
        <f>'2023'!I335</f>
        <v>35.733000000000004</v>
      </c>
      <c r="J333" s="26">
        <f>'2023'!J335</f>
        <v>36</v>
      </c>
      <c r="K333" s="26">
        <f>'2023'!K335</f>
        <v>36</v>
      </c>
      <c r="L333" s="26">
        <f t="shared" si="103"/>
        <v>167.733</v>
      </c>
      <c r="M333" s="71">
        <f>'2023'!N335</f>
        <v>432.72</v>
      </c>
      <c r="N333" s="27">
        <v>432.71780000000007</v>
      </c>
      <c r="O333" s="71">
        <f>'2023'!P335</f>
        <v>66.3</v>
      </c>
      <c r="P333" s="27">
        <f t="shared" si="137"/>
        <v>68.951999999999998</v>
      </c>
      <c r="Q333" s="27">
        <f t="shared" si="133"/>
        <v>21985.200000000001</v>
      </c>
      <c r="R333" s="27">
        <f t="shared" si="134"/>
        <v>13093.285860000002</v>
      </c>
      <c r="S333" s="27">
        <f t="shared" si="135"/>
        <v>13095.568800000003</v>
      </c>
      <c r="T333" s="27">
        <f t="shared" si="136"/>
        <v>13095.568800000003</v>
      </c>
      <c r="U333" s="27">
        <f t="shared" si="105"/>
        <v>61269.623460000003</v>
      </c>
      <c r="V333" s="38"/>
      <c r="W333" s="38"/>
      <c r="X333" s="127"/>
      <c r="Y333" s="29">
        <f t="shared" si="131"/>
        <v>99.999491588093932</v>
      </c>
      <c r="Z333" s="30">
        <f t="shared" si="132"/>
        <v>104</v>
      </c>
      <c r="AD333" s="32">
        <f t="shared" si="111"/>
        <v>0</v>
      </c>
      <c r="AE333" s="91"/>
      <c r="AF333" s="92"/>
    </row>
    <row r="334" spans="1:32" ht="49.5" customHeight="1">
      <c r="A334" s="34">
        <v>7729314745</v>
      </c>
      <c r="B334" s="34" t="s">
        <v>280</v>
      </c>
      <c r="C334" s="34" t="s">
        <v>283</v>
      </c>
      <c r="D334" s="33" t="s">
        <v>284</v>
      </c>
      <c r="E334" s="33"/>
      <c r="F334" s="25" t="s">
        <v>428</v>
      </c>
      <c r="G334" s="36"/>
      <c r="H334" s="26">
        <f>'2023'!H336</f>
        <v>24455</v>
      </c>
      <c r="I334" s="26">
        <f>'2023'!I336</f>
        <v>24727</v>
      </c>
      <c r="J334" s="26">
        <f>'2023'!J336</f>
        <v>24998</v>
      </c>
      <c r="K334" s="26">
        <f>'2023'!K336</f>
        <v>24998</v>
      </c>
      <c r="L334" s="26">
        <f t="shared" si="103"/>
        <v>99178</v>
      </c>
      <c r="M334" s="71">
        <f>'2023'!N336</f>
        <v>56.15</v>
      </c>
      <c r="N334" s="27">
        <v>56.150500000000008</v>
      </c>
      <c r="O334" s="71">
        <f>'2023'!P336</f>
        <v>28.86</v>
      </c>
      <c r="P334" s="27">
        <f t="shared" si="137"/>
        <v>30.014400000000002</v>
      </c>
      <c r="Q334" s="27">
        <f t="shared" si="133"/>
        <v>667376.94999999995</v>
      </c>
      <c r="R334" s="27">
        <f t="shared" si="134"/>
        <v>674799.83</v>
      </c>
      <c r="S334" s="27">
        <f t="shared" si="135"/>
        <v>653350.22780000011</v>
      </c>
      <c r="T334" s="27">
        <f t="shared" si="136"/>
        <v>653350.22780000011</v>
      </c>
      <c r="U334" s="27">
        <f t="shared" si="105"/>
        <v>2648877.2355999998</v>
      </c>
      <c r="V334" s="38"/>
      <c r="W334" s="38"/>
      <c r="X334" s="127"/>
      <c r="Y334" s="29">
        <f t="shared" si="131"/>
        <v>100.00089047195016</v>
      </c>
      <c r="Z334" s="30">
        <f t="shared" si="132"/>
        <v>104</v>
      </c>
      <c r="AD334" s="32">
        <f t="shared" si="111"/>
        <v>0</v>
      </c>
      <c r="AE334" s="91"/>
      <c r="AF334" s="92"/>
    </row>
    <row r="335" spans="1:32" ht="49.5" customHeight="1">
      <c r="A335" s="34">
        <v>7729314745</v>
      </c>
      <c r="B335" s="34" t="s">
        <v>280</v>
      </c>
      <c r="C335" s="34" t="s">
        <v>170</v>
      </c>
      <c r="D335" s="33" t="s">
        <v>285</v>
      </c>
      <c r="E335" s="33"/>
      <c r="F335" s="25" t="s">
        <v>428</v>
      </c>
      <c r="G335" s="36"/>
      <c r="H335" s="26">
        <f>'2023'!H337</f>
        <v>412.57100000000003</v>
      </c>
      <c r="I335" s="26">
        <f>'2023'!I337</f>
        <v>89.257999999999996</v>
      </c>
      <c r="J335" s="26">
        <f>'2023'!J337</f>
        <v>102.44499999999999</v>
      </c>
      <c r="K335" s="26">
        <f>'2023'!K337</f>
        <v>112.364</v>
      </c>
      <c r="L335" s="26">
        <f t="shared" si="103"/>
        <v>716.63800000000003</v>
      </c>
      <c r="M335" s="71">
        <f>'2023'!N337</f>
        <v>56.15</v>
      </c>
      <c r="N335" s="27">
        <v>56.150500000000008</v>
      </c>
      <c r="O335" s="71">
        <f>'2023'!P337</f>
        <v>35.78</v>
      </c>
      <c r="P335" s="27">
        <f t="shared" si="137"/>
        <v>37.211200000000005</v>
      </c>
      <c r="Q335" s="27">
        <f t="shared" si="133"/>
        <v>8404.0712700000004</v>
      </c>
      <c r="R335" s="27">
        <f t="shared" si="134"/>
        <v>1818.1854599999997</v>
      </c>
      <c r="S335" s="27">
        <f t="shared" si="135"/>
        <v>1940.2365885000002</v>
      </c>
      <c r="T335" s="27">
        <f t="shared" si="136"/>
        <v>2128.0955052000004</v>
      </c>
      <c r="U335" s="27">
        <f t="shared" si="105"/>
        <v>14290.588823700002</v>
      </c>
      <c r="V335" s="38"/>
      <c r="W335" s="38"/>
      <c r="X335" s="127"/>
      <c r="Y335" s="29">
        <f t="shared" si="131"/>
        <v>100.00089047195016</v>
      </c>
      <c r="Z335" s="30">
        <f t="shared" si="132"/>
        <v>104</v>
      </c>
      <c r="AD335" s="32">
        <f t="shared" si="111"/>
        <v>0</v>
      </c>
      <c r="AE335" s="91"/>
      <c r="AF335" s="92"/>
    </row>
    <row r="336" spans="1:32" ht="49.5" customHeight="1">
      <c r="A336" s="34">
        <v>7729314745</v>
      </c>
      <c r="B336" s="34" t="s">
        <v>280</v>
      </c>
      <c r="C336" s="34" t="s">
        <v>199</v>
      </c>
      <c r="D336" s="33" t="s">
        <v>286</v>
      </c>
      <c r="E336" s="33"/>
      <c r="F336" s="25" t="s">
        <v>428</v>
      </c>
      <c r="G336" s="36"/>
      <c r="H336" s="26">
        <f>'2023'!H338</f>
        <v>2161.8879999999999</v>
      </c>
      <c r="I336" s="26">
        <f>'2023'!I338</f>
        <v>2095.1870000000004</v>
      </c>
      <c r="J336" s="26">
        <f>'2023'!J338</f>
        <v>2433.174</v>
      </c>
      <c r="K336" s="26">
        <f>'2023'!K338</f>
        <v>2117.125</v>
      </c>
      <c r="L336" s="26">
        <f t="shared" si="103"/>
        <v>8807.3739999999998</v>
      </c>
      <c r="M336" s="71">
        <f>'2023'!N338</f>
        <v>217.78</v>
      </c>
      <c r="N336" s="27">
        <v>227.7742106</v>
      </c>
      <c r="O336" s="71">
        <f>'2023'!P338</f>
        <v>33.049999999999997</v>
      </c>
      <c r="P336" s="27">
        <f t="shared" si="137"/>
        <v>34.372</v>
      </c>
      <c r="Q336" s="27">
        <f t="shared" si="133"/>
        <v>399365.57024000003</v>
      </c>
      <c r="R336" s="27">
        <f t="shared" si="134"/>
        <v>387043.89451000013</v>
      </c>
      <c r="S336" s="27">
        <f t="shared" si="135"/>
        <v>470581.23037444439</v>
      </c>
      <c r="T336" s="27">
        <f t="shared" si="136"/>
        <v>409456.65511652495</v>
      </c>
      <c r="U336" s="27">
        <f t="shared" si="105"/>
        <v>1666447.3502409696</v>
      </c>
      <c r="V336" s="38"/>
      <c r="W336" s="38"/>
      <c r="X336" s="127"/>
      <c r="Y336" s="29">
        <f t="shared" si="131"/>
        <v>104.58913150886215</v>
      </c>
      <c r="Z336" s="30">
        <f t="shared" si="132"/>
        <v>104</v>
      </c>
      <c r="AD336" s="32">
        <f t="shared" si="111"/>
        <v>0</v>
      </c>
      <c r="AE336" s="91"/>
      <c r="AF336" s="92"/>
    </row>
    <row r="337" spans="1:32" ht="49.5" customHeight="1">
      <c r="A337" s="34">
        <v>7729314745</v>
      </c>
      <c r="B337" s="34" t="s">
        <v>280</v>
      </c>
      <c r="C337" s="34" t="s">
        <v>287</v>
      </c>
      <c r="D337" s="33"/>
      <c r="E337" s="33"/>
      <c r="F337" s="25" t="s">
        <v>428</v>
      </c>
      <c r="G337" s="36" t="s">
        <v>379</v>
      </c>
      <c r="H337" s="26">
        <f>'2023'!H339</f>
        <v>22785.75</v>
      </c>
      <c r="I337" s="26">
        <f>'2023'!I339</f>
        <v>22785.75</v>
      </c>
      <c r="J337" s="26">
        <f>'2023'!J339</f>
        <v>22785.75</v>
      </c>
      <c r="K337" s="26">
        <f>'2023'!K339</f>
        <v>22785.75</v>
      </c>
      <c r="L337" s="26">
        <f t="shared" si="103"/>
        <v>91143</v>
      </c>
      <c r="M337" s="71">
        <f>'2023'!N339</f>
        <v>184.29</v>
      </c>
      <c r="N337" s="27">
        <v>184.29</v>
      </c>
      <c r="O337" s="71">
        <f>'2023'!P339</f>
        <v>110.2</v>
      </c>
      <c r="P337" s="27">
        <f t="shared" si="137"/>
        <v>114.608</v>
      </c>
      <c r="Q337" s="27">
        <f t="shared" si="133"/>
        <v>1688196.2174999998</v>
      </c>
      <c r="R337" s="27">
        <f t="shared" si="134"/>
        <v>1688196.2174999998</v>
      </c>
      <c r="S337" s="27">
        <f t="shared" si="135"/>
        <v>1587756.6314999997</v>
      </c>
      <c r="T337" s="27">
        <f t="shared" si="136"/>
        <v>1587756.6314999997</v>
      </c>
      <c r="U337" s="27">
        <f t="shared" si="105"/>
        <v>6551905.6979999989</v>
      </c>
      <c r="V337" s="38"/>
      <c r="W337" s="38"/>
      <c r="X337" s="127"/>
      <c r="Y337" s="29">
        <f t="shared" si="131"/>
        <v>100</v>
      </c>
      <c r="Z337" s="30">
        <f t="shared" si="132"/>
        <v>104</v>
      </c>
      <c r="AD337" s="32">
        <f t="shared" si="111"/>
        <v>0</v>
      </c>
      <c r="AE337" s="91"/>
      <c r="AF337" s="92"/>
    </row>
    <row r="338" spans="1:32" ht="64.5" customHeight="1">
      <c r="A338" s="34">
        <v>2911001370</v>
      </c>
      <c r="B338" s="34" t="s">
        <v>289</v>
      </c>
      <c r="C338" s="34" t="s">
        <v>270</v>
      </c>
      <c r="D338" s="33"/>
      <c r="E338" s="22"/>
      <c r="F338" s="25" t="s">
        <v>428</v>
      </c>
      <c r="G338" s="36"/>
      <c r="H338" s="26">
        <f>'2023'!H340</f>
        <v>915</v>
      </c>
      <c r="I338" s="26">
        <f>'2023'!I340</f>
        <v>915</v>
      </c>
      <c r="J338" s="26">
        <f>'2023'!J340</f>
        <v>915</v>
      </c>
      <c r="K338" s="26">
        <f>'2023'!K340</f>
        <v>915</v>
      </c>
      <c r="L338" s="26">
        <f t="shared" ref="L338:L352" si="138">H338+I338+J338+K338</f>
        <v>3660</v>
      </c>
      <c r="M338" s="71">
        <f>'2023'!N340</f>
        <v>25.003629999999998</v>
      </c>
      <c r="N338" s="71">
        <v>25.003629999999998</v>
      </c>
      <c r="O338" s="71">
        <f>'2023'!P340</f>
        <v>23.202400000000001</v>
      </c>
      <c r="P338" s="27">
        <f>O338*1.04</f>
        <v>24.130496000000001</v>
      </c>
      <c r="Q338" s="27">
        <f t="shared" si="133"/>
        <v>1648.125449999997</v>
      </c>
      <c r="R338" s="27">
        <f t="shared" si="134"/>
        <v>1648.125449999997</v>
      </c>
      <c r="S338" s="27">
        <f t="shared" si="135"/>
        <v>798.91760999999701</v>
      </c>
      <c r="T338" s="27">
        <f t="shared" si="136"/>
        <v>798.91760999999701</v>
      </c>
      <c r="U338" s="27">
        <f t="shared" ref="U338:U352" si="139">Q338+R338+S338+T338</f>
        <v>4894.0861199999881</v>
      </c>
      <c r="V338" s="38"/>
      <c r="W338" s="38"/>
      <c r="X338" s="127"/>
      <c r="Y338" s="29">
        <f t="shared" si="131"/>
        <v>100</v>
      </c>
      <c r="Z338" s="30">
        <f t="shared" si="132"/>
        <v>104</v>
      </c>
      <c r="AD338" s="32">
        <f>104-Z338</f>
        <v>0</v>
      </c>
      <c r="AE338" s="91"/>
      <c r="AF338" s="92"/>
    </row>
    <row r="339" spans="1:32" ht="49.5" customHeight="1">
      <c r="A339" s="34">
        <v>7729314745</v>
      </c>
      <c r="B339" s="34" t="s">
        <v>280</v>
      </c>
      <c r="C339" s="34" t="s">
        <v>62</v>
      </c>
      <c r="D339" s="33"/>
      <c r="E339" s="33"/>
      <c r="F339" s="36" t="s">
        <v>430</v>
      </c>
      <c r="G339" s="36"/>
      <c r="H339" s="26">
        <f>'2023'!H341</f>
        <v>962.69500000000005</v>
      </c>
      <c r="I339" s="26">
        <f>'2023'!I341</f>
        <v>860.71599999999989</v>
      </c>
      <c r="J339" s="26">
        <f>'2023'!J341</f>
        <v>802.74599999999998</v>
      </c>
      <c r="K339" s="26">
        <f>'2023'!K341</f>
        <v>1139.7149999999999</v>
      </c>
      <c r="L339" s="26">
        <f t="shared" si="138"/>
        <v>3765.8720000000003</v>
      </c>
      <c r="M339" s="71">
        <f>'2023'!N341</f>
        <v>99.08</v>
      </c>
      <c r="N339" s="27">
        <v>108.19536000000001</v>
      </c>
      <c r="O339" s="71">
        <f>'2023'!P341</f>
        <v>34.049999999999997</v>
      </c>
      <c r="P339" s="27">
        <v>35.42</v>
      </c>
      <c r="Q339" s="27">
        <f t="shared" si="133"/>
        <v>62604.055850000004</v>
      </c>
      <c r="R339" s="27">
        <f t="shared" si="134"/>
        <v>55972.361479999992</v>
      </c>
      <c r="S339" s="27">
        <f t="shared" si="135"/>
        <v>58420.129138560005</v>
      </c>
      <c r="T339" s="27">
        <f t="shared" si="136"/>
        <v>82943.169422399995</v>
      </c>
      <c r="U339" s="27">
        <f t="shared" si="139"/>
        <v>259939.71589096001</v>
      </c>
      <c r="V339" s="38"/>
      <c r="W339" s="38"/>
      <c r="X339" s="127"/>
      <c r="Y339" s="29">
        <f t="shared" si="131"/>
        <v>109.2</v>
      </c>
      <c r="Z339" s="30">
        <f t="shared" si="132"/>
        <v>104.02349486049928</v>
      </c>
      <c r="AD339" s="32">
        <f t="shared" si="111"/>
        <v>-2.3494860499283732E-2</v>
      </c>
      <c r="AE339" s="91"/>
      <c r="AF339" s="92"/>
    </row>
    <row r="340" spans="1:32" ht="49.5" customHeight="1">
      <c r="A340" s="34">
        <v>7729314745</v>
      </c>
      <c r="B340" s="34" t="s">
        <v>280</v>
      </c>
      <c r="C340" s="34" t="s">
        <v>86</v>
      </c>
      <c r="D340" s="33" t="s">
        <v>87</v>
      </c>
      <c r="E340" s="33"/>
      <c r="F340" s="36" t="s">
        <v>430</v>
      </c>
      <c r="G340" s="36"/>
      <c r="H340" s="26">
        <f>'2023'!H342</f>
        <v>1264.2050000000002</v>
      </c>
      <c r="I340" s="26">
        <f>'2023'!I342</f>
        <v>1250.8629999999998</v>
      </c>
      <c r="J340" s="26">
        <f>'2023'!J342</f>
        <v>1309.518</v>
      </c>
      <c r="K340" s="26">
        <f>'2023'!K342</f>
        <v>1338.3489999999999</v>
      </c>
      <c r="L340" s="26">
        <f t="shared" si="138"/>
        <v>5162.9350000000004</v>
      </c>
      <c r="M340" s="71">
        <f>'2023'!N342</f>
        <v>182.52</v>
      </c>
      <c r="N340" s="27">
        <v>198.75731740000003</v>
      </c>
      <c r="O340" s="71">
        <f>'2023'!P342</f>
        <v>71.41</v>
      </c>
      <c r="P340" s="27">
        <f>O340*1.04</f>
        <v>74.266400000000004</v>
      </c>
      <c r="Q340" s="27">
        <f t="shared" si="133"/>
        <v>140465.81755000004</v>
      </c>
      <c r="R340" s="27">
        <f t="shared" si="134"/>
        <v>138983.38793</v>
      </c>
      <c r="S340" s="27">
        <f t="shared" si="135"/>
        <v>163023.09717181325</v>
      </c>
      <c r="T340" s="27">
        <f t="shared" si="136"/>
        <v>166612.29481137262</v>
      </c>
      <c r="U340" s="27">
        <f t="shared" si="139"/>
        <v>609084.5974631859</v>
      </c>
      <c r="V340" s="38"/>
      <c r="W340" s="38"/>
      <c r="X340" s="127"/>
      <c r="Y340" s="29">
        <f t="shared" si="131"/>
        <v>108.89618529476223</v>
      </c>
      <c r="Z340" s="30">
        <f t="shared" si="132"/>
        <v>104</v>
      </c>
      <c r="AD340" s="32">
        <f t="shared" si="111"/>
        <v>0</v>
      </c>
      <c r="AE340" s="91"/>
      <c r="AF340" s="92"/>
    </row>
    <row r="341" spans="1:32" ht="49.5" customHeight="1">
      <c r="A341" s="34">
        <v>7729314745</v>
      </c>
      <c r="B341" s="34" t="s">
        <v>280</v>
      </c>
      <c r="C341" s="34" t="s">
        <v>97</v>
      </c>
      <c r="D341" s="33" t="s">
        <v>281</v>
      </c>
      <c r="E341" s="33"/>
      <c r="F341" s="36" t="s">
        <v>430</v>
      </c>
      <c r="G341" s="36"/>
      <c r="H341" s="26">
        <f>'2023'!H343</f>
        <v>3708.7469999999998</v>
      </c>
      <c r="I341" s="26">
        <f>'2023'!I343</f>
        <v>3702.4790000000003</v>
      </c>
      <c r="J341" s="26">
        <f>'2023'!J343</f>
        <v>3793.9589999999998</v>
      </c>
      <c r="K341" s="26">
        <f>'2023'!K343</f>
        <v>6098.7929999999997</v>
      </c>
      <c r="L341" s="26">
        <f t="shared" si="138"/>
        <v>17303.978000000003</v>
      </c>
      <c r="M341" s="71">
        <f>'2023'!N343</f>
        <v>68.39</v>
      </c>
      <c r="N341" s="27">
        <v>68.385262573000006</v>
      </c>
      <c r="O341" s="71">
        <f>'2023'!P343</f>
        <v>30.89</v>
      </c>
      <c r="P341" s="27">
        <v>32.119999999999997</v>
      </c>
      <c r="Q341" s="27">
        <f t="shared" si="133"/>
        <v>139078.01249999998</v>
      </c>
      <c r="R341" s="27">
        <f t="shared" si="134"/>
        <v>138842.96250000002</v>
      </c>
      <c r="S341" s="27">
        <f t="shared" si="135"/>
        <v>137588.91932619654</v>
      </c>
      <c r="T341" s="27">
        <f t="shared" si="136"/>
        <v>221174.32952337441</v>
      </c>
      <c r="U341" s="27">
        <f t="shared" si="139"/>
        <v>636684.22384957096</v>
      </c>
      <c r="V341" s="38"/>
      <c r="W341" s="38"/>
      <c r="X341" s="127"/>
      <c r="Y341" s="29">
        <f t="shared" si="131"/>
        <v>99.99307292440416</v>
      </c>
      <c r="Z341" s="30">
        <f t="shared" si="132"/>
        <v>103.98187115571382</v>
      </c>
      <c r="AD341" s="32">
        <f t="shared" si="111"/>
        <v>1.8128844286181334E-2</v>
      </c>
      <c r="AE341" s="91"/>
      <c r="AF341" s="92"/>
    </row>
    <row r="342" spans="1:32" ht="49.5" customHeight="1">
      <c r="A342" s="34">
        <v>7729314745</v>
      </c>
      <c r="B342" s="34" t="s">
        <v>280</v>
      </c>
      <c r="C342" s="34" t="s">
        <v>283</v>
      </c>
      <c r="D342" s="33" t="s">
        <v>284</v>
      </c>
      <c r="E342" s="33"/>
      <c r="F342" s="36" t="s">
        <v>430</v>
      </c>
      <c r="G342" s="36"/>
      <c r="H342" s="26">
        <f>'2023'!H344</f>
        <v>32504</v>
      </c>
      <c r="I342" s="26">
        <f>'2023'!I344</f>
        <v>32864</v>
      </c>
      <c r="J342" s="26">
        <f>'2023'!J344</f>
        <v>33225</v>
      </c>
      <c r="K342" s="26">
        <f>'2023'!K344</f>
        <v>33225</v>
      </c>
      <c r="L342" s="26">
        <f t="shared" si="138"/>
        <v>131818</v>
      </c>
      <c r="M342" s="71">
        <f>'2023'!N344</f>
        <v>43.9</v>
      </c>
      <c r="N342" s="27">
        <v>47.938800000000008</v>
      </c>
      <c r="O342" s="71">
        <f>'2023'!P344</f>
        <v>27.72</v>
      </c>
      <c r="P342" s="27">
        <v>28.82</v>
      </c>
      <c r="Q342" s="27">
        <f t="shared" si="133"/>
        <v>525914.72</v>
      </c>
      <c r="R342" s="27">
        <f t="shared" si="134"/>
        <v>531739.52</v>
      </c>
      <c r="S342" s="27">
        <f t="shared" si="135"/>
        <v>635222.13000000024</v>
      </c>
      <c r="T342" s="27">
        <f t="shared" si="136"/>
        <v>635222.13000000024</v>
      </c>
      <c r="U342" s="27">
        <f t="shared" si="139"/>
        <v>2328098.5000000005</v>
      </c>
      <c r="V342" s="38"/>
      <c r="W342" s="38"/>
      <c r="X342" s="127"/>
      <c r="Y342" s="8">
        <f t="shared" si="131"/>
        <v>109.20000000000003</v>
      </c>
      <c r="Z342" s="8">
        <f t="shared" si="132"/>
        <v>103.96825396825398</v>
      </c>
      <c r="AA342" s="8"/>
      <c r="AD342" s="8">
        <f t="shared" si="111"/>
        <v>3.1746031746024528E-2</v>
      </c>
      <c r="AE342" s="91"/>
      <c r="AF342" s="92"/>
    </row>
    <row r="343" spans="1:32" ht="49.5" customHeight="1">
      <c r="A343" s="34">
        <v>7729314745</v>
      </c>
      <c r="B343" s="34" t="s">
        <v>280</v>
      </c>
      <c r="C343" s="34" t="s">
        <v>170</v>
      </c>
      <c r="D343" s="33" t="s">
        <v>285</v>
      </c>
      <c r="E343" s="33"/>
      <c r="F343" s="36" t="s">
        <v>430</v>
      </c>
      <c r="G343" s="36"/>
      <c r="H343" s="26">
        <f>'2023'!H345</f>
        <v>407.19399999999996</v>
      </c>
      <c r="I343" s="26">
        <f>'2023'!I345</f>
        <v>422.78399999999999</v>
      </c>
      <c r="J343" s="26">
        <f>'2023'!J345</f>
        <v>418.31599999999997</v>
      </c>
      <c r="K343" s="26">
        <f>'2023'!K345</f>
        <v>415.54999999999995</v>
      </c>
      <c r="L343" s="26">
        <f t="shared" si="138"/>
        <v>1663.8439999999998</v>
      </c>
      <c r="M343" s="71">
        <f>'2023'!N345</f>
        <v>43.9</v>
      </c>
      <c r="N343" s="27">
        <v>47.938800000000008</v>
      </c>
      <c r="O343" s="71">
        <f>'2023'!P345</f>
        <v>34.049999999999997</v>
      </c>
      <c r="P343" s="27">
        <f>O343*1.04</f>
        <v>35.411999999999999</v>
      </c>
      <c r="Q343" s="27">
        <f t="shared" si="133"/>
        <v>4010.8609000000001</v>
      </c>
      <c r="R343" s="27">
        <f t="shared" si="134"/>
        <v>4164.4224000000004</v>
      </c>
      <c r="S343" s="27">
        <f t="shared" si="135"/>
        <v>5240.1608688000033</v>
      </c>
      <c r="T343" s="27">
        <f t="shared" si="136"/>
        <v>5205.5117400000026</v>
      </c>
      <c r="U343" s="27">
        <f t="shared" si="139"/>
        <v>18620.955908800006</v>
      </c>
      <c r="V343" s="38"/>
      <c r="W343" s="38"/>
      <c r="X343" s="127"/>
      <c r="Y343" s="29">
        <f t="shared" si="131"/>
        <v>109.20000000000003</v>
      </c>
      <c r="Z343" s="30">
        <f t="shared" si="132"/>
        <v>104</v>
      </c>
      <c r="AD343" s="32">
        <f t="shared" si="111"/>
        <v>0</v>
      </c>
      <c r="AE343" s="91"/>
      <c r="AF343" s="92"/>
    </row>
    <row r="344" spans="1:32" ht="49.5" customHeight="1">
      <c r="A344" s="34">
        <v>7729314745</v>
      </c>
      <c r="B344" s="34" t="s">
        <v>280</v>
      </c>
      <c r="C344" s="34" t="s">
        <v>199</v>
      </c>
      <c r="D344" s="33" t="s">
        <v>286</v>
      </c>
      <c r="E344" s="33"/>
      <c r="F344" s="36" t="s">
        <v>430</v>
      </c>
      <c r="G344" s="36"/>
      <c r="H344" s="26">
        <f>'2023'!H346</f>
        <v>3344.8969999999999</v>
      </c>
      <c r="I344" s="26">
        <f>'2023'!I346</f>
        <v>3439.52</v>
      </c>
      <c r="J344" s="26">
        <f>'2023'!J346</f>
        <v>3200.1950000000002</v>
      </c>
      <c r="K344" s="26">
        <f>'2023'!K346</f>
        <v>3455.2420000000002</v>
      </c>
      <c r="L344" s="26">
        <f t="shared" si="138"/>
        <v>13439.853999999999</v>
      </c>
      <c r="M344" s="71">
        <f>'2023'!N346</f>
        <v>104.72</v>
      </c>
      <c r="N344" s="27">
        <v>104.71770000000001</v>
      </c>
      <c r="O344" s="71">
        <f>'2023'!P346</f>
        <v>22.05</v>
      </c>
      <c r="P344" s="27">
        <f>O344*1.04</f>
        <v>22.932000000000002</v>
      </c>
      <c r="Q344" s="27">
        <f t="shared" si="133"/>
        <v>276522.63498999999</v>
      </c>
      <c r="R344" s="27">
        <f t="shared" si="134"/>
        <v>284345.11839999998</v>
      </c>
      <c r="S344" s="27">
        <f t="shared" si="135"/>
        <v>261730.18821150003</v>
      </c>
      <c r="T344" s="27">
        <f t="shared" si="136"/>
        <v>282589.38563940005</v>
      </c>
      <c r="U344" s="27">
        <f t="shared" si="139"/>
        <v>1105187.3272409001</v>
      </c>
      <c r="V344" s="38"/>
      <c r="W344" s="38"/>
      <c r="X344" s="127"/>
      <c r="Y344" s="29">
        <f t="shared" si="131"/>
        <v>99.997803666921328</v>
      </c>
      <c r="Z344" s="30">
        <f t="shared" si="132"/>
        <v>104</v>
      </c>
      <c r="AD344" s="32">
        <f t="shared" si="111"/>
        <v>0</v>
      </c>
      <c r="AE344" s="91"/>
      <c r="AF344" s="92"/>
    </row>
    <row r="345" spans="1:32" ht="49.5" customHeight="1">
      <c r="A345" s="34">
        <v>7729314745</v>
      </c>
      <c r="B345" s="34" t="s">
        <v>280</v>
      </c>
      <c r="C345" s="34" t="s">
        <v>287</v>
      </c>
      <c r="D345" s="33"/>
      <c r="E345" s="33"/>
      <c r="F345" s="36" t="s">
        <v>430</v>
      </c>
      <c r="G345" s="36" t="s">
        <v>379</v>
      </c>
      <c r="H345" s="26">
        <f>'2023'!H347</f>
        <v>37083.25</v>
      </c>
      <c r="I345" s="26">
        <f>'2023'!I347</f>
        <v>37083.25</v>
      </c>
      <c r="J345" s="26">
        <f>'2023'!J347</f>
        <v>37083.25</v>
      </c>
      <c r="K345" s="26">
        <f>'2023'!K347</f>
        <v>37083.25</v>
      </c>
      <c r="L345" s="26">
        <f t="shared" si="138"/>
        <v>148333</v>
      </c>
      <c r="M345" s="71">
        <f>'2023'!N347</f>
        <v>12.62</v>
      </c>
      <c r="N345" s="27">
        <v>12.623085400000001</v>
      </c>
      <c r="O345" s="71">
        <f>'2023'!P347</f>
        <v>11.13</v>
      </c>
      <c r="P345" s="27">
        <v>11.57</v>
      </c>
      <c r="Q345" s="27">
        <f t="shared" si="133"/>
        <v>55254.042499999945</v>
      </c>
      <c r="R345" s="27">
        <f t="shared" si="134"/>
        <v>55254.042499999945</v>
      </c>
      <c r="S345" s="27">
        <f t="shared" si="135"/>
        <v>39051.82915955002</v>
      </c>
      <c r="T345" s="27">
        <f t="shared" si="136"/>
        <v>39051.82915955002</v>
      </c>
      <c r="U345" s="27">
        <f t="shared" si="139"/>
        <v>188611.74331909994</v>
      </c>
      <c r="V345" s="38"/>
      <c r="W345" s="38"/>
      <c r="X345" s="127"/>
      <c r="Y345" s="29">
        <f t="shared" si="131"/>
        <v>100.02444849445327</v>
      </c>
      <c r="Z345" s="30">
        <f t="shared" si="132"/>
        <v>103.95327942497754</v>
      </c>
      <c r="AA345" s="2" t="s">
        <v>49</v>
      </c>
      <c r="AD345" s="32">
        <f>104-Z345</f>
        <v>4.6720575022462185E-2</v>
      </c>
      <c r="AE345" s="91"/>
      <c r="AF345" s="92"/>
    </row>
    <row r="346" spans="1:32" ht="64.5" customHeight="1">
      <c r="A346" s="34">
        <v>7729314745</v>
      </c>
      <c r="B346" s="34" t="s">
        <v>280</v>
      </c>
      <c r="C346" s="34" t="s">
        <v>62</v>
      </c>
      <c r="D346" s="33"/>
      <c r="E346" s="33"/>
      <c r="F346" s="36" t="s">
        <v>429</v>
      </c>
      <c r="G346" s="36"/>
      <c r="H346" s="26">
        <f>'2023'!H348</f>
        <v>320.07400000000001</v>
      </c>
      <c r="I346" s="26">
        <f>'2023'!I348</f>
        <v>214.702</v>
      </c>
      <c r="J346" s="26">
        <f>'2023'!J348</f>
        <v>79.492999999999995</v>
      </c>
      <c r="K346" s="26">
        <f>'2023'!K348</f>
        <v>438.90600000000001</v>
      </c>
      <c r="L346" s="26">
        <f t="shared" si="138"/>
        <v>1053.175</v>
      </c>
      <c r="M346" s="71">
        <f>M330</f>
        <v>106.69</v>
      </c>
      <c r="N346" s="71">
        <f>N330</f>
        <v>106.68530000000003</v>
      </c>
      <c r="O346" s="71">
        <f>'2023'!P348</f>
        <v>37.53</v>
      </c>
      <c r="P346" s="71">
        <f>P330</f>
        <v>39.031200000000005</v>
      </c>
      <c r="Q346" s="27">
        <f t="shared" si="133"/>
        <v>22136.31784</v>
      </c>
      <c r="R346" s="27">
        <f t="shared" si="134"/>
        <v>14848.790319999998</v>
      </c>
      <c r="S346" s="27">
        <f t="shared" si="135"/>
        <v>5378.0273713000015</v>
      </c>
      <c r="T346" s="27">
        <f t="shared" si="136"/>
        <v>29693.790414600011</v>
      </c>
      <c r="U346" s="27">
        <f t="shared" si="139"/>
        <v>72056.925945900002</v>
      </c>
      <c r="V346" s="38"/>
      <c r="W346" s="38"/>
      <c r="X346" s="127"/>
      <c r="Y346" s="29">
        <f t="shared" si="131"/>
        <v>99.995594713656416</v>
      </c>
      <c r="Z346" s="30">
        <f t="shared" si="132"/>
        <v>104</v>
      </c>
      <c r="AD346" s="32">
        <f t="shared" si="111"/>
        <v>0</v>
      </c>
      <c r="AE346" s="91"/>
      <c r="AF346" s="92"/>
    </row>
    <row r="347" spans="1:32" ht="64.5" customHeight="1">
      <c r="A347" s="34">
        <v>7729314745</v>
      </c>
      <c r="B347" s="34" t="s">
        <v>280</v>
      </c>
      <c r="C347" s="34" t="s">
        <v>86</v>
      </c>
      <c r="D347" s="33" t="s">
        <v>87</v>
      </c>
      <c r="E347" s="33"/>
      <c r="F347" s="36" t="s">
        <v>429</v>
      </c>
      <c r="G347" s="36"/>
      <c r="H347" s="26">
        <f>'2023'!H349</f>
        <v>671.97400000000005</v>
      </c>
      <c r="I347" s="26">
        <f>'2023'!I349</f>
        <v>647.88</v>
      </c>
      <c r="J347" s="26">
        <f>'2023'!J349</f>
        <v>672.22900000000004</v>
      </c>
      <c r="K347" s="26">
        <f>'2023'!K349</f>
        <v>685.03099999999995</v>
      </c>
      <c r="L347" s="26">
        <f t="shared" si="138"/>
        <v>2677.114</v>
      </c>
      <c r="M347" s="71">
        <f>M331</f>
        <v>208.32</v>
      </c>
      <c r="N347" s="71">
        <f>N331</f>
        <v>208.31720000000004</v>
      </c>
      <c r="O347" s="71">
        <f>'2023'!P349</f>
        <v>43.89</v>
      </c>
      <c r="P347" s="71">
        <f>P331</f>
        <v>45.645600000000002</v>
      </c>
      <c r="Q347" s="27">
        <f t="shared" si="133"/>
        <v>110492.68482000001</v>
      </c>
      <c r="R347" s="27">
        <f t="shared" si="134"/>
        <v>106530.9084</v>
      </c>
      <c r="S347" s="27">
        <f t="shared" si="135"/>
        <v>109352.56699640004</v>
      </c>
      <c r="T347" s="27">
        <f t="shared" si="136"/>
        <v>111435.08881960002</v>
      </c>
      <c r="U347" s="27">
        <f t="shared" si="139"/>
        <v>437811.24903600005</v>
      </c>
      <c r="V347" s="38"/>
      <c r="W347" s="38"/>
      <c r="X347" s="127"/>
      <c r="Y347" s="29">
        <f t="shared" si="131"/>
        <v>99.998655913978524</v>
      </c>
      <c r="Z347" s="30">
        <f t="shared" si="132"/>
        <v>104</v>
      </c>
      <c r="AD347" s="32">
        <f t="shared" si="111"/>
        <v>0</v>
      </c>
      <c r="AE347" s="91"/>
      <c r="AF347" s="92"/>
    </row>
    <row r="348" spans="1:32" ht="64.5" customHeight="1">
      <c r="A348" s="34">
        <v>7729314745</v>
      </c>
      <c r="B348" s="34" t="s">
        <v>280</v>
      </c>
      <c r="C348" s="34" t="s">
        <v>75</v>
      </c>
      <c r="D348" s="33"/>
      <c r="E348" s="33"/>
      <c r="F348" s="36" t="s">
        <v>429</v>
      </c>
      <c r="G348" s="36"/>
      <c r="H348" s="26">
        <f>'2023'!H350</f>
        <v>1935</v>
      </c>
      <c r="I348" s="26">
        <f>'2023'!I350</f>
        <v>1956</v>
      </c>
      <c r="J348" s="26">
        <f>'2023'!J350</f>
        <v>1977</v>
      </c>
      <c r="K348" s="26">
        <f>'2023'!K350</f>
        <v>1977</v>
      </c>
      <c r="L348" s="26">
        <f t="shared" si="138"/>
        <v>7845</v>
      </c>
      <c r="M348" s="71">
        <f>'2023'!N350</f>
        <v>56.15</v>
      </c>
      <c r="N348" s="27">
        <v>56.150500000000008</v>
      </c>
      <c r="O348" s="71">
        <f>'2023'!P350</f>
        <v>36.14</v>
      </c>
      <c r="P348" s="27">
        <v>37.585599999999999</v>
      </c>
      <c r="Q348" s="27">
        <f t="shared" si="133"/>
        <v>38719.35</v>
      </c>
      <c r="R348" s="27">
        <f t="shared" si="134"/>
        <v>39139.56</v>
      </c>
      <c r="S348" s="27">
        <f t="shared" si="135"/>
        <v>36702.807300000015</v>
      </c>
      <c r="T348" s="27">
        <f t="shared" si="136"/>
        <v>36702.807300000015</v>
      </c>
      <c r="U348" s="27">
        <f t="shared" si="139"/>
        <v>151264.52460000003</v>
      </c>
      <c r="V348" s="38"/>
      <c r="W348" s="38"/>
      <c r="X348" s="127"/>
      <c r="Y348" s="29">
        <f t="shared" si="131"/>
        <v>100.00089047195016</v>
      </c>
      <c r="Z348" s="30">
        <f t="shared" si="132"/>
        <v>104</v>
      </c>
      <c r="AD348" s="32">
        <f t="shared" si="111"/>
        <v>0</v>
      </c>
      <c r="AE348" s="91"/>
      <c r="AF348" s="92"/>
    </row>
    <row r="349" spans="1:32" ht="64.5" customHeight="1">
      <c r="A349" s="34">
        <v>7729314745</v>
      </c>
      <c r="B349" s="34" t="s">
        <v>280</v>
      </c>
      <c r="C349" s="34" t="s">
        <v>97</v>
      </c>
      <c r="D349" s="33" t="s">
        <v>288</v>
      </c>
      <c r="E349" s="33"/>
      <c r="F349" s="36" t="s">
        <v>429</v>
      </c>
      <c r="G349" s="36"/>
      <c r="H349" s="26">
        <f>'2023'!H351</f>
        <v>1679.788</v>
      </c>
      <c r="I349" s="26">
        <f>'2023'!I351</f>
        <v>1685.7869999999998</v>
      </c>
      <c r="J349" s="26">
        <f>'2023'!J351</f>
        <v>1702.4059999999999</v>
      </c>
      <c r="K349" s="26">
        <f>'2023'!K351</f>
        <v>2967.4309999999996</v>
      </c>
      <c r="L349" s="26">
        <f t="shared" si="138"/>
        <v>8035.4119999999994</v>
      </c>
      <c r="M349" s="71">
        <f>M332</f>
        <v>56.32</v>
      </c>
      <c r="N349" s="71">
        <f>N332</f>
        <v>56.324748698400008</v>
      </c>
      <c r="O349" s="71">
        <f>'2023'!P351</f>
        <v>28.5</v>
      </c>
      <c r="P349" s="71">
        <f>P332</f>
        <v>29.64</v>
      </c>
      <c r="Q349" s="27">
        <f t="shared" si="133"/>
        <v>46731.702160000001</v>
      </c>
      <c r="R349" s="27">
        <f t="shared" si="134"/>
        <v>46898.594339999996</v>
      </c>
      <c r="S349" s="27">
        <f t="shared" si="135"/>
        <v>45428.276292648363</v>
      </c>
      <c r="T349" s="27">
        <f t="shared" si="136"/>
        <v>79185.150514841822</v>
      </c>
      <c r="U349" s="27">
        <f t="shared" si="139"/>
        <v>218243.72330749017</v>
      </c>
      <c r="V349" s="38"/>
      <c r="W349" s="38"/>
      <c r="X349" s="127"/>
      <c r="Y349" s="29">
        <f t="shared" si="131"/>
        <v>100.0084316377841</v>
      </c>
      <c r="Z349" s="30">
        <f t="shared" si="132"/>
        <v>104</v>
      </c>
      <c r="AD349" s="32">
        <f t="shared" si="111"/>
        <v>0</v>
      </c>
      <c r="AE349" s="91"/>
      <c r="AF349" s="92"/>
    </row>
    <row r="350" spans="1:32" ht="64.5" customHeight="1">
      <c r="A350" s="34">
        <v>7729314745</v>
      </c>
      <c r="B350" s="34" t="s">
        <v>280</v>
      </c>
      <c r="C350" s="34" t="s">
        <v>283</v>
      </c>
      <c r="D350" s="33" t="s">
        <v>284</v>
      </c>
      <c r="E350" s="33"/>
      <c r="F350" s="36" t="s">
        <v>429</v>
      </c>
      <c r="G350" s="36" t="s">
        <v>378</v>
      </c>
      <c r="H350" s="26">
        <f>'2023'!H352</f>
        <v>7555.75</v>
      </c>
      <c r="I350" s="26">
        <f>'2023'!I352</f>
        <v>7555.75</v>
      </c>
      <c r="J350" s="26">
        <f>'2023'!J352</f>
        <v>7555.75</v>
      </c>
      <c r="K350" s="26">
        <f>'2023'!K352</f>
        <v>7555.75</v>
      </c>
      <c r="L350" s="26">
        <f t="shared" si="138"/>
        <v>30223</v>
      </c>
      <c r="M350" s="71">
        <v>32.804510567252329</v>
      </c>
      <c r="N350" s="71">
        <v>32.989315821313603</v>
      </c>
      <c r="O350" s="71">
        <f>'2023'!P352</f>
        <v>31.299732952799999</v>
      </c>
      <c r="P350" s="27">
        <f>O350*1.04</f>
        <v>32.551722270912002</v>
      </c>
      <c r="Q350" s="27">
        <f t="shared" si="133"/>
        <v>11369.723460398191</v>
      </c>
      <c r="R350" s="27">
        <f t="shared" si="134"/>
        <v>11369.723460398191</v>
      </c>
      <c r="S350" s="27">
        <f t="shared" si="135"/>
        <v>3306.3474684468993</v>
      </c>
      <c r="T350" s="27">
        <f t="shared" si="136"/>
        <v>3306.3474684468993</v>
      </c>
      <c r="U350" s="27">
        <f t="shared" si="139"/>
        <v>29352.141857690181</v>
      </c>
      <c r="V350" s="38"/>
      <c r="W350" s="38"/>
      <c r="X350" s="127"/>
      <c r="Y350" s="29">
        <f t="shared" si="131"/>
        <v>100.56335318182055</v>
      </c>
      <c r="Z350" s="30">
        <f t="shared" si="132"/>
        <v>104</v>
      </c>
      <c r="AD350" s="32">
        <f t="shared" si="111"/>
        <v>0</v>
      </c>
      <c r="AE350" s="91"/>
      <c r="AF350" s="92"/>
    </row>
    <row r="351" spans="1:32" ht="64.5" customHeight="1">
      <c r="A351" s="34">
        <v>7729314745</v>
      </c>
      <c r="B351" s="34" t="s">
        <v>280</v>
      </c>
      <c r="C351" s="34" t="s">
        <v>287</v>
      </c>
      <c r="D351" s="33"/>
      <c r="E351" s="33"/>
      <c r="F351" s="36" t="s">
        <v>429</v>
      </c>
      <c r="G351" s="36" t="s">
        <v>378</v>
      </c>
      <c r="H351" s="26">
        <f>'2023'!H353</f>
        <v>11874.75</v>
      </c>
      <c r="I351" s="26">
        <f>'2023'!I353</f>
        <v>11874.75</v>
      </c>
      <c r="J351" s="26">
        <f>'2023'!J353</f>
        <v>11874.75</v>
      </c>
      <c r="K351" s="26">
        <f>'2023'!K353</f>
        <v>11874.75</v>
      </c>
      <c r="L351" s="26">
        <f t="shared" si="138"/>
        <v>47499</v>
      </c>
      <c r="M351" s="71">
        <v>184.29</v>
      </c>
      <c r="N351" s="71">
        <v>184.29</v>
      </c>
      <c r="O351" s="71">
        <v>110.197898096</v>
      </c>
      <c r="P351" s="27">
        <v>114.60581401984001</v>
      </c>
      <c r="Q351" s="27">
        <f t="shared" si="133"/>
        <v>879825.18708452384</v>
      </c>
      <c r="R351" s="27">
        <f t="shared" si="134"/>
        <v>879825.18708452384</v>
      </c>
      <c r="S351" s="27">
        <f t="shared" si="135"/>
        <v>827482.28746790474</v>
      </c>
      <c r="T351" s="27">
        <f t="shared" si="136"/>
        <v>827482.28746790474</v>
      </c>
      <c r="U351" s="27">
        <f t="shared" si="139"/>
        <v>3414614.9491048572</v>
      </c>
      <c r="V351" s="38"/>
      <c r="W351" s="38"/>
      <c r="X351" s="127"/>
      <c r="Y351" s="29">
        <f t="shared" si="131"/>
        <v>100</v>
      </c>
      <c r="Z351" s="30">
        <f t="shared" si="132"/>
        <v>104</v>
      </c>
      <c r="AD351" s="32">
        <f t="shared" si="111"/>
        <v>0</v>
      </c>
      <c r="AE351" s="91"/>
      <c r="AF351" s="92"/>
    </row>
    <row r="352" spans="1:32" ht="64.5" customHeight="1">
      <c r="A352" s="34">
        <v>7729314745</v>
      </c>
      <c r="B352" s="34" t="s">
        <v>280</v>
      </c>
      <c r="C352" s="34" t="s">
        <v>199</v>
      </c>
      <c r="D352" s="33" t="s">
        <v>286</v>
      </c>
      <c r="E352" s="33"/>
      <c r="F352" s="36" t="s">
        <v>429</v>
      </c>
      <c r="G352" s="36"/>
      <c r="H352" s="26">
        <f>'2023'!H354</f>
        <v>1375.393</v>
      </c>
      <c r="I352" s="26">
        <f>'2023'!I354</f>
        <v>1153.9479999999999</v>
      </c>
      <c r="J352" s="26">
        <f>'2023'!J354</f>
        <v>767.01900000000001</v>
      </c>
      <c r="K352" s="26">
        <f>'2023'!K354</f>
        <v>1338.114</v>
      </c>
      <c r="L352" s="26">
        <f t="shared" si="138"/>
        <v>4634.4740000000002</v>
      </c>
      <c r="M352" s="71">
        <f>'2023'!N354</f>
        <v>217.78</v>
      </c>
      <c r="N352" s="71">
        <v>227.7742106</v>
      </c>
      <c r="O352" s="71">
        <f>'2023'!P354</f>
        <v>33.049999999999997</v>
      </c>
      <c r="P352" s="27">
        <f>O352*1.04</f>
        <v>34.372</v>
      </c>
      <c r="Q352" s="27">
        <f t="shared" si="133"/>
        <v>254076.34889000002</v>
      </c>
      <c r="R352" s="27">
        <f t="shared" si="134"/>
        <v>213168.81404</v>
      </c>
      <c r="S352" s="27">
        <f t="shared" si="135"/>
        <v>148343.17017220138</v>
      </c>
      <c r="T352" s="27">
        <f t="shared" si="136"/>
        <v>258794.2056348084</v>
      </c>
      <c r="U352" s="27">
        <f t="shared" si="139"/>
        <v>874382.53873700975</v>
      </c>
      <c r="V352" s="38"/>
      <c r="W352" s="38"/>
      <c r="X352" s="127"/>
      <c r="Y352" s="29">
        <f t="shared" si="131"/>
        <v>104.58913150886215</v>
      </c>
      <c r="Z352" s="30">
        <f t="shared" si="132"/>
        <v>104</v>
      </c>
      <c r="AD352" s="32">
        <f t="shared" si="111"/>
        <v>0</v>
      </c>
      <c r="AE352" s="91"/>
      <c r="AF352" s="92"/>
    </row>
    <row r="353" spans="1:30" s="2" customFormat="1" ht="38.25" customHeight="1">
      <c r="A353" s="153" t="s">
        <v>452</v>
      </c>
      <c r="B353" s="154"/>
      <c r="C353" s="154"/>
      <c r="D353" s="154"/>
      <c r="E353" s="154"/>
      <c r="F353" s="154"/>
      <c r="G353" s="154"/>
      <c r="H353" s="178">
        <f>SUM(H329:H352)</f>
        <v>159276.57299999997</v>
      </c>
      <c r="I353" s="178">
        <f>SUM(I329:I352)</f>
        <v>159019.63</v>
      </c>
      <c r="J353" s="178">
        <f>SUM(J329:J352)</f>
        <v>159493.13599999997</v>
      </c>
      <c r="K353" s="178">
        <f>SUM(K329:K352)</f>
        <v>165365.96299999999</v>
      </c>
      <c r="L353" s="178">
        <f>SUM(L329:L352)</f>
        <v>643155.30200000003</v>
      </c>
      <c r="M353" s="178"/>
      <c r="N353" s="178"/>
      <c r="O353" s="178"/>
      <c r="P353" s="178"/>
      <c r="Q353" s="230">
        <f>SUM(Q329:Q352)</f>
        <v>5600450.7838582015</v>
      </c>
      <c r="R353" s="230">
        <f t="shared" ref="R353:U353" si="140">SUM(R329:R352)</f>
        <v>5526528.3903504247</v>
      </c>
      <c r="S353" s="230">
        <f t="shared" si="140"/>
        <v>5447989.3152553588</v>
      </c>
      <c r="T353" s="230">
        <f t="shared" si="140"/>
        <v>5719296.9896233436</v>
      </c>
      <c r="U353" s="230">
        <f t="shared" si="140"/>
        <v>22294265.479087327</v>
      </c>
      <c r="V353" s="230">
        <f>'2023'!W355</f>
        <v>1931548.9939936968</v>
      </c>
      <c r="W353" s="230">
        <f>T353/3</f>
        <v>1906432.3298744478</v>
      </c>
      <c r="X353" s="230">
        <f>U353+V353-W353</f>
        <v>22319382.143206574</v>
      </c>
      <c r="Y353" s="180"/>
      <c r="Z353" s="55"/>
      <c r="AD353" s="32" t="e">
        <f>SUM(AD10:AD352)</f>
        <v>#DIV/0!</v>
      </c>
    </row>
    <row r="354" spans="1:30" s="109" customFormat="1" ht="58.5" customHeight="1">
      <c r="A354" s="181" t="s">
        <v>453</v>
      </c>
      <c r="B354" s="182"/>
      <c r="C354" s="182"/>
      <c r="D354" s="182"/>
      <c r="E354" s="182"/>
      <c r="F354" s="182"/>
      <c r="G354" s="182"/>
      <c r="H354" s="183"/>
      <c r="I354" s="183"/>
      <c r="J354" s="183"/>
      <c r="K354" s="183"/>
      <c r="L354" s="183"/>
      <c r="M354" s="183">
        <f t="shared" ref="M354:X354" si="141">M355+M356</f>
        <v>0</v>
      </c>
      <c r="N354" s="183">
        <f t="shared" si="141"/>
        <v>0</v>
      </c>
      <c r="O354" s="183">
        <f t="shared" si="141"/>
        <v>0</v>
      </c>
      <c r="P354" s="183">
        <f t="shared" si="141"/>
        <v>0</v>
      </c>
      <c r="Q354" s="231">
        <f t="shared" si="141"/>
        <v>677339103.39024198</v>
      </c>
      <c r="R354" s="231">
        <f t="shared" si="141"/>
        <v>665849979.68570328</v>
      </c>
      <c r="S354" s="231">
        <f t="shared" si="141"/>
        <v>695188293.7662195</v>
      </c>
      <c r="T354" s="231">
        <f t="shared" si="141"/>
        <v>726393046.31248617</v>
      </c>
      <c r="U354" s="231">
        <f>U355+U356</f>
        <v>2764770423.1546507</v>
      </c>
      <c r="V354" s="231">
        <f t="shared" si="141"/>
        <v>222907673.6240201</v>
      </c>
      <c r="W354" s="231">
        <f t="shared" si="141"/>
        <v>242131015.43749538</v>
      </c>
      <c r="X354" s="231">
        <f t="shared" si="141"/>
        <v>2745547081.3411756</v>
      </c>
      <c r="Y354" s="185"/>
      <c r="Z354" s="20"/>
      <c r="AD354" s="110"/>
    </row>
    <row r="355" spans="1:30" s="107" customFormat="1" ht="39" customHeight="1">
      <c r="A355" s="167" t="s">
        <v>450</v>
      </c>
      <c r="B355" s="168"/>
      <c r="C355" s="168"/>
      <c r="D355" s="168"/>
      <c r="E355" s="168"/>
      <c r="F355" s="168"/>
      <c r="G355" s="168"/>
      <c r="H355" s="186">
        <f>H325+H353</f>
        <v>18342027.368307881</v>
      </c>
      <c r="I355" s="186">
        <f t="shared" ref="I355:X355" si="142">I325+I353</f>
        <v>18116058.732307866</v>
      </c>
      <c r="J355" s="186">
        <f t="shared" si="142"/>
        <v>17428342.660307862</v>
      </c>
      <c r="K355" s="186">
        <f t="shared" si="142"/>
        <v>18303204.515307862</v>
      </c>
      <c r="L355" s="186">
        <f t="shared" si="142"/>
        <v>73017051.628231481</v>
      </c>
      <c r="M355" s="186">
        <f t="shared" si="142"/>
        <v>0</v>
      </c>
      <c r="N355" s="186">
        <f t="shared" si="142"/>
        <v>0</v>
      </c>
      <c r="O355" s="186">
        <f t="shared" si="142"/>
        <v>0</v>
      </c>
      <c r="P355" s="186">
        <f t="shared" si="142"/>
        <v>0</v>
      </c>
      <c r="Q355" s="232">
        <f t="shared" si="142"/>
        <v>654308505.69897723</v>
      </c>
      <c r="R355" s="232">
        <f t="shared" si="142"/>
        <v>642819381.99443853</v>
      </c>
      <c r="S355" s="232">
        <f t="shared" si="142"/>
        <v>672407689.05903709</v>
      </c>
      <c r="T355" s="232">
        <f t="shared" si="142"/>
        <v>703612441.60530376</v>
      </c>
      <c r="U355" s="232">
        <f>U325+U353</f>
        <v>2673148018.3577566</v>
      </c>
      <c r="V355" s="232">
        <f t="shared" si="142"/>
        <v>214760067.22057316</v>
      </c>
      <c r="W355" s="232">
        <f t="shared" si="142"/>
        <v>234537480.53510126</v>
      </c>
      <c r="X355" s="232">
        <f t="shared" si="142"/>
        <v>2653370605.0432286</v>
      </c>
      <c r="Y355" s="188"/>
      <c r="Z355" s="106"/>
      <c r="AD355" s="108"/>
    </row>
    <row r="356" spans="1:30" s="189" customFormat="1" ht="39" customHeight="1">
      <c r="A356" s="167" t="s">
        <v>431</v>
      </c>
      <c r="B356" s="168"/>
      <c r="C356" s="168"/>
      <c r="D356" s="168"/>
      <c r="E356" s="168"/>
      <c r="F356" s="168"/>
      <c r="G356" s="168"/>
      <c r="H356" s="186">
        <f>H326</f>
        <v>3050.480575</v>
      </c>
      <c r="I356" s="186">
        <f t="shared" ref="I356:X356" si="143">I326</f>
        <v>3050.480575</v>
      </c>
      <c r="J356" s="186">
        <f t="shared" si="143"/>
        <v>3050.480575</v>
      </c>
      <c r="K356" s="186">
        <f t="shared" si="143"/>
        <v>3050.480575</v>
      </c>
      <c r="L356" s="186">
        <f t="shared" si="143"/>
        <v>12201.9223</v>
      </c>
      <c r="M356" s="186">
        <f t="shared" si="143"/>
        <v>0</v>
      </c>
      <c r="N356" s="186">
        <f t="shared" si="143"/>
        <v>0</v>
      </c>
      <c r="O356" s="186">
        <f t="shared" si="143"/>
        <v>0</v>
      </c>
      <c r="P356" s="186">
        <f t="shared" si="143"/>
        <v>0</v>
      </c>
      <c r="Q356" s="232">
        <f t="shared" si="143"/>
        <v>23030597.691264752</v>
      </c>
      <c r="R356" s="232">
        <f t="shared" si="143"/>
        <v>23030597.691264752</v>
      </c>
      <c r="S356" s="232">
        <f t="shared" si="143"/>
        <v>22780604.707182351</v>
      </c>
      <c r="T356" s="232">
        <f t="shared" si="143"/>
        <v>22780604.707182351</v>
      </c>
      <c r="U356" s="232">
        <f>U326</f>
        <v>91622404.796894193</v>
      </c>
      <c r="V356" s="232">
        <f t="shared" si="143"/>
        <v>8147606.4034469323</v>
      </c>
      <c r="W356" s="232">
        <f t="shared" si="143"/>
        <v>7593534.9023941169</v>
      </c>
      <c r="X356" s="232">
        <f t="shared" si="143"/>
        <v>92176476.297947004</v>
      </c>
      <c r="Z356" s="106"/>
      <c r="AA356" s="107"/>
      <c r="AD356" s="108"/>
    </row>
    <row r="357" spans="1:30" s="192" customFormat="1" ht="95.25" hidden="1" customHeight="1">
      <c r="A357" s="190"/>
      <c r="B357" s="191"/>
      <c r="C357" s="191"/>
      <c r="D357" s="191"/>
      <c r="E357" s="191"/>
      <c r="F357" s="191"/>
    </row>
    <row r="358" spans="1:30" s="195" customFormat="1" ht="67.5" hidden="1" customHeight="1">
      <c r="A358" s="193"/>
      <c r="B358" s="194"/>
      <c r="C358" s="194"/>
      <c r="D358" s="194"/>
      <c r="H358" s="196" t="s">
        <v>422</v>
      </c>
      <c r="I358" s="196"/>
      <c r="J358" s="197"/>
      <c r="K358" s="197"/>
      <c r="L358" s="198"/>
      <c r="M358" s="198"/>
      <c r="S358" s="199"/>
      <c r="T358" s="199"/>
      <c r="U358" s="200"/>
    </row>
    <row r="359" spans="1:30" s="195" customFormat="1" ht="98.25" hidden="1" customHeight="1">
      <c r="A359" s="193"/>
      <c r="B359" s="194"/>
      <c r="C359" s="194"/>
      <c r="D359" s="194"/>
      <c r="H359" s="196" t="s">
        <v>455</v>
      </c>
      <c r="I359" s="196"/>
      <c r="J359" s="196"/>
      <c r="K359" s="201"/>
      <c r="L359" s="202"/>
      <c r="M359" s="203" t="s">
        <v>456</v>
      </c>
      <c r="N359" s="203"/>
    </row>
    <row r="360" spans="1:30" s="195" customFormat="1" ht="98.25" hidden="1" customHeight="1">
      <c r="A360" s="193"/>
      <c r="B360" s="194"/>
      <c r="C360" s="194"/>
      <c r="D360" s="194"/>
      <c r="E360" s="204"/>
      <c r="H360" s="205"/>
      <c r="I360" s="206"/>
      <c r="K360" s="203"/>
      <c r="L360" s="207"/>
      <c r="M360" s="203"/>
      <c r="N360" s="203"/>
    </row>
    <row r="361" spans="1:30" s="195" customFormat="1" ht="98.25" hidden="1" customHeight="1">
      <c r="A361" s="193"/>
      <c r="B361" s="194"/>
      <c r="C361" s="194"/>
      <c r="D361" s="194"/>
      <c r="H361" s="205" t="s">
        <v>457</v>
      </c>
      <c r="I361" s="205"/>
      <c r="J361" s="194"/>
      <c r="K361" s="208"/>
      <c r="L361" s="208"/>
      <c r="M361" s="198" t="s">
        <v>458</v>
      </c>
      <c r="N361" s="198"/>
    </row>
    <row r="362" spans="1:30" s="211" customFormat="1" ht="12.75" customHeight="1">
      <c r="A362" s="209"/>
      <c r="B362" s="210"/>
      <c r="C362" s="210"/>
      <c r="D362" s="210"/>
      <c r="E362" s="210"/>
      <c r="F362" s="210"/>
      <c r="H362" s="205"/>
      <c r="I362" s="205"/>
      <c r="K362" s="198"/>
      <c r="L362" s="198"/>
      <c r="M362" s="198"/>
      <c r="N362" s="198"/>
    </row>
    <row r="363" spans="1:30" s="211" customFormat="1" ht="12.75" customHeight="1">
      <c r="A363" s="209"/>
      <c r="B363" s="210"/>
      <c r="C363" s="210"/>
      <c r="D363" s="210"/>
      <c r="E363" s="210"/>
      <c r="F363" s="210"/>
      <c r="H363" s="205"/>
      <c r="I363" s="205"/>
      <c r="J363" s="198"/>
      <c r="K363" s="198"/>
      <c r="L363" s="198"/>
      <c r="M363" s="198"/>
    </row>
    <row r="364" spans="1:30" s="211" customFormat="1" ht="12.75" customHeight="1">
      <c r="A364" s="209"/>
      <c r="B364" s="210"/>
      <c r="C364" s="210"/>
      <c r="D364" s="210"/>
      <c r="E364" s="210"/>
      <c r="F364" s="210"/>
      <c r="H364" s="205"/>
      <c r="I364" s="205"/>
      <c r="J364" s="198"/>
      <c r="K364" s="198"/>
      <c r="L364" s="198"/>
      <c r="M364" s="198"/>
    </row>
  </sheetData>
  <autoFilter ref="A5:AF364"/>
  <mergeCells count="36">
    <mergeCell ref="H1:L1"/>
    <mergeCell ref="V1:X1"/>
    <mergeCell ref="M1:P1"/>
    <mergeCell ref="Q1:U1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Q3:U3"/>
    <mergeCell ref="V3:V4"/>
    <mergeCell ref="W3:W4"/>
    <mergeCell ref="O3:P3"/>
    <mergeCell ref="S358:T358"/>
    <mergeCell ref="AA3:AA4"/>
    <mergeCell ref="AA75:AA76"/>
    <mergeCell ref="A328:C328"/>
    <mergeCell ref="X3:X4"/>
    <mergeCell ref="Y3:Z3"/>
    <mergeCell ref="A7:G7"/>
    <mergeCell ref="A313:G313"/>
    <mergeCell ref="A315:G315"/>
    <mergeCell ref="A322:G322"/>
    <mergeCell ref="A324:G324"/>
    <mergeCell ref="A325:G325"/>
    <mergeCell ref="A326:G326"/>
    <mergeCell ref="A353:G353"/>
    <mergeCell ref="H359:J359"/>
    <mergeCell ref="A354:G354"/>
    <mergeCell ref="A355:G355"/>
    <mergeCell ref="A356:G356"/>
    <mergeCell ref="H358:I358"/>
  </mergeCells>
  <pageMargins left="0.27559055118110237" right="0.15748031496062992" top="0.82677165354330717" bottom="0.70866141732283472" header="0" footer="0.39370078740157483"/>
  <pageSetup paperSize="9" scale="32" fitToWidth="0" fitToHeight="0" orientation="landscape" r:id="rId1"/>
  <headerFoot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371"/>
  <sheetViews>
    <sheetView view="pageBreakPreview" zoomScale="50" zoomScaleNormal="50" zoomScaleSheetLayoutView="5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B1" sqref="B1"/>
    </sheetView>
  </sheetViews>
  <sheetFormatPr defaultColWidth="9.140625" defaultRowHeight="12.75" customHeight="1" outlineLevelCol="1"/>
  <cols>
    <col min="1" max="1" width="22.85546875" style="67" customWidth="1"/>
    <col min="2" max="2" width="46.140625" style="66" customWidth="1"/>
    <col min="3" max="3" width="51.7109375" style="66" customWidth="1"/>
    <col min="4" max="4" width="67.42578125" style="67" customWidth="1"/>
    <col min="5" max="5" width="28.85546875" style="67" customWidth="1"/>
    <col min="6" max="6" width="41" style="67" customWidth="1"/>
    <col min="7" max="7" width="31.85546875" style="67" hidden="1" customWidth="1" outlineLevel="1"/>
    <col min="8" max="8" width="28.7109375" style="68" customWidth="1" collapsed="1"/>
    <col min="9" max="12" width="28.7109375" style="68" customWidth="1"/>
    <col min="13" max="16" width="20.140625" style="8" customWidth="1"/>
    <col min="17" max="21" width="34.85546875" style="7" customWidth="1"/>
    <col min="22" max="24" width="34.85546875" style="8" customWidth="1"/>
    <col min="25" max="25" width="19" style="8" hidden="1" customWidth="1" outlineLevel="1"/>
    <col min="26" max="26" width="21.42578125" style="9" hidden="1" customWidth="1" outlineLevel="1"/>
    <col min="27" max="27" width="88.28515625" style="2" hidden="1" customWidth="1" outlineLevel="1"/>
    <col min="28" max="28" width="9.140625" style="8" collapsed="1"/>
    <col min="29" max="29" width="9.140625" style="8"/>
    <col min="30" max="30" width="15.140625" style="3" hidden="1" customWidth="1"/>
    <col min="31" max="16384" width="9.140625" style="8"/>
  </cols>
  <sheetData>
    <row r="1" spans="1:30" s="3" customFormat="1" ht="202.5" customHeight="1">
      <c r="A1" s="133"/>
      <c r="B1" s="133"/>
      <c r="C1" s="133"/>
      <c r="D1" s="133"/>
      <c r="E1" s="133"/>
      <c r="F1" s="133"/>
      <c r="G1" s="133"/>
      <c r="H1" s="134" t="s">
        <v>419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3"/>
      <c r="Z1" s="1"/>
      <c r="AA1" s="2"/>
    </row>
    <row r="2" spans="1:30" ht="16.5" customHeight="1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6"/>
      <c r="N2" s="6"/>
      <c r="O2" s="6"/>
      <c r="P2" s="6"/>
    </row>
    <row r="3" spans="1:30" s="2" customFormat="1" ht="111" customHeight="1">
      <c r="A3" s="140" t="s">
        <v>0</v>
      </c>
      <c r="B3" s="140" t="s">
        <v>1</v>
      </c>
      <c r="C3" s="140" t="s">
        <v>2</v>
      </c>
      <c r="D3" s="140" t="s">
        <v>3</v>
      </c>
      <c r="E3" s="141" t="s">
        <v>302</v>
      </c>
      <c r="F3" s="142" t="s">
        <v>4</v>
      </c>
      <c r="G3" s="142" t="s">
        <v>5</v>
      </c>
      <c r="H3" s="143" t="s">
        <v>427</v>
      </c>
      <c r="I3" s="143"/>
      <c r="J3" s="143"/>
      <c r="K3" s="143"/>
      <c r="L3" s="144"/>
      <c r="M3" s="140" t="s">
        <v>6</v>
      </c>
      <c r="N3" s="140"/>
      <c r="O3" s="140" t="s">
        <v>7</v>
      </c>
      <c r="P3" s="140"/>
      <c r="Q3" s="145" t="s">
        <v>432</v>
      </c>
      <c r="R3" s="145"/>
      <c r="S3" s="145"/>
      <c r="T3" s="145"/>
      <c r="U3" s="146"/>
      <c r="V3" s="147" t="s">
        <v>417</v>
      </c>
      <c r="W3" s="147" t="s">
        <v>420</v>
      </c>
      <c r="X3" s="147" t="s">
        <v>421</v>
      </c>
      <c r="Y3" s="148" t="s">
        <v>9</v>
      </c>
      <c r="Z3" s="149"/>
      <c r="AA3" s="147" t="s">
        <v>10</v>
      </c>
      <c r="AD3" s="3"/>
    </row>
    <row r="4" spans="1:30" s="10" customFormat="1" ht="39" customHeight="1">
      <c r="A4" s="140"/>
      <c r="B4" s="140"/>
      <c r="C4" s="140"/>
      <c r="D4" s="140"/>
      <c r="E4" s="150"/>
      <c r="F4" s="142"/>
      <c r="G4" s="142"/>
      <c r="H4" s="151" t="s">
        <v>391</v>
      </c>
      <c r="I4" s="151" t="s">
        <v>392</v>
      </c>
      <c r="J4" s="151" t="s">
        <v>395</v>
      </c>
      <c r="K4" s="151" t="s">
        <v>394</v>
      </c>
      <c r="L4" s="151" t="s">
        <v>11</v>
      </c>
      <c r="M4" s="218" t="s">
        <v>12</v>
      </c>
      <c r="N4" s="218" t="s">
        <v>13</v>
      </c>
      <c r="O4" s="173" t="s">
        <v>12</v>
      </c>
      <c r="P4" s="173" t="s">
        <v>13</v>
      </c>
      <c r="Q4" s="151" t="s">
        <v>391</v>
      </c>
      <c r="R4" s="151" t="s">
        <v>392</v>
      </c>
      <c r="S4" s="151" t="s">
        <v>393</v>
      </c>
      <c r="T4" s="151" t="s">
        <v>394</v>
      </c>
      <c r="U4" s="151" t="s">
        <v>11</v>
      </c>
      <c r="V4" s="147"/>
      <c r="W4" s="147"/>
      <c r="X4" s="147"/>
      <c r="Y4" s="152" t="s">
        <v>14</v>
      </c>
      <c r="Z4" s="152" t="s">
        <v>15</v>
      </c>
      <c r="AA4" s="147"/>
      <c r="AD4" s="11"/>
    </row>
    <row r="5" spans="1:30" s="21" customFormat="1" ht="16.5" customHeight="1">
      <c r="A5" s="12"/>
      <c r="B5" s="13"/>
      <c r="C5" s="13"/>
      <c r="D5" s="12"/>
      <c r="E5" s="12"/>
      <c r="F5" s="14"/>
      <c r="G5" s="14"/>
      <c r="H5" s="15"/>
      <c r="I5" s="15"/>
      <c r="J5" s="15"/>
      <c r="K5" s="15"/>
      <c r="L5" s="15"/>
      <c r="M5" s="16"/>
      <c r="N5" s="16"/>
      <c r="O5" s="17"/>
      <c r="P5" s="17"/>
      <c r="Q5" s="15"/>
      <c r="R5" s="15"/>
      <c r="S5" s="15"/>
      <c r="T5" s="15"/>
      <c r="U5" s="15"/>
      <c r="V5" s="18"/>
      <c r="W5" s="18"/>
      <c r="X5" s="18"/>
      <c r="Y5" s="19"/>
      <c r="Z5" s="20"/>
      <c r="AA5" s="10"/>
      <c r="AD5" s="11"/>
    </row>
    <row r="6" spans="1:30" s="158" customFormat="1" ht="36.75" customHeight="1">
      <c r="A6" s="153" t="s">
        <v>16</v>
      </c>
      <c r="B6" s="154"/>
      <c r="C6" s="154"/>
      <c r="D6" s="154"/>
      <c r="E6" s="154"/>
      <c r="F6" s="154"/>
      <c r="G6" s="154"/>
      <c r="H6" s="155"/>
      <c r="I6" s="155"/>
      <c r="J6" s="155"/>
      <c r="K6" s="155"/>
      <c r="L6" s="155"/>
      <c r="M6" s="156"/>
      <c r="N6" s="156"/>
      <c r="O6" s="156"/>
      <c r="P6" s="156"/>
      <c r="Q6" s="155"/>
      <c r="R6" s="155"/>
      <c r="S6" s="155"/>
      <c r="T6" s="155"/>
      <c r="U6" s="155"/>
      <c r="V6" s="156"/>
      <c r="W6" s="156"/>
      <c r="X6" s="157"/>
      <c r="Z6" s="159"/>
      <c r="AA6" s="160"/>
    </row>
    <row r="7" spans="1:30" s="158" customFormat="1" ht="35.25" customHeight="1">
      <c r="A7" s="153" t="s">
        <v>442</v>
      </c>
      <c r="B7" s="154"/>
      <c r="C7" s="154"/>
      <c r="D7" s="154"/>
      <c r="E7" s="154"/>
      <c r="F7" s="154"/>
      <c r="G7" s="154"/>
      <c r="H7" s="161"/>
      <c r="I7" s="161"/>
      <c r="J7" s="161"/>
      <c r="K7" s="161"/>
      <c r="L7" s="161"/>
      <c r="M7" s="162"/>
      <c r="N7" s="162"/>
      <c r="O7" s="162"/>
      <c r="P7" s="162"/>
      <c r="Q7" s="161"/>
      <c r="R7" s="161"/>
      <c r="S7" s="161"/>
      <c r="T7" s="161"/>
      <c r="U7" s="161"/>
      <c r="V7" s="162"/>
      <c r="W7" s="162"/>
      <c r="X7" s="163"/>
      <c r="Z7" s="159"/>
      <c r="AA7" s="160"/>
    </row>
    <row r="8" spans="1:30" s="31" customFormat="1" ht="51" customHeight="1">
      <c r="A8" s="22">
        <v>2907014249</v>
      </c>
      <c r="B8" s="23" t="s">
        <v>18</v>
      </c>
      <c r="C8" s="24" t="s">
        <v>19</v>
      </c>
      <c r="D8" s="22" t="s">
        <v>20</v>
      </c>
      <c r="E8" s="22"/>
      <c r="F8" s="25" t="s">
        <v>21</v>
      </c>
      <c r="G8" s="25"/>
      <c r="H8" s="26">
        <f>'2023'!H10</f>
        <v>30077.203000000001</v>
      </c>
      <c r="I8" s="26">
        <f>'2023'!I10</f>
        <v>29996.364000000001</v>
      </c>
      <c r="J8" s="26">
        <f>'2023'!J10</f>
        <v>37377.607000000004</v>
      </c>
      <c r="K8" s="26">
        <f>'2023'!K10</f>
        <v>29350.527999999998</v>
      </c>
      <c r="L8" s="26">
        <f>H8+I8+J8+K8</f>
        <v>126801.70199999999</v>
      </c>
      <c r="M8" s="27">
        <f>'2024'!N8</f>
        <v>95.63</v>
      </c>
      <c r="N8" s="27">
        <v>103.28040000000001</v>
      </c>
      <c r="O8" s="27">
        <v>36.109951488</v>
      </c>
      <c r="P8" s="27">
        <f t="shared" ref="P8:P25" si="0">O8*1.04</f>
        <v>37.554349547520005</v>
      </c>
      <c r="Q8" s="27">
        <f t="shared" ref="Q8:Q25" si="1">(M8-O8)*H8</f>
        <v>1790196.5816652719</v>
      </c>
      <c r="R8" s="27">
        <f t="shared" ref="R8:R25" si="2">(M8-O8)*I8</f>
        <v>1785385.0404636103</v>
      </c>
      <c r="S8" s="27">
        <f t="shared" ref="S8:S25" si="3">(N8-P8)*J8</f>
        <v>2456682.4834749703</v>
      </c>
      <c r="T8" s="27">
        <f t="shared" ref="T8:T25" si="4">(N8-P8)*K8</f>
        <v>1929094.2841349272</v>
      </c>
      <c r="U8" s="27">
        <f>Q8+R8+S8+T8</f>
        <v>7961358.3897387804</v>
      </c>
      <c r="V8" s="27"/>
      <c r="W8" s="27"/>
      <c r="X8" s="27"/>
      <c r="Y8" s="29">
        <f t="shared" ref="Y8:Y29" si="5">N8/M8*100</f>
        <v>108.00000000000003</v>
      </c>
      <c r="Z8" s="30">
        <f t="shared" ref="Z8:Z29" si="6">P8/O8*100</f>
        <v>104</v>
      </c>
      <c r="AA8" s="29"/>
      <c r="AD8" s="32">
        <f>104-Z8</f>
        <v>0</v>
      </c>
    </row>
    <row r="9" spans="1:30" s="40" customFormat="1" ht="51" customHeight="1">
      <c r="A9" s="33">
        <v>2907010396</v>
      </c>
      <c r="B9" s="34" t="s">
        <v>22</v>
      </c>
      <c r="C9" s="35" t="s">
        <v>19</v>
      </c>
      <c r="D9" s="33" t="s">
        <v>23</v>
      </c>
      <c r="E9" s="33"/>
      <c r="F9" s="36" t="s">
        <v>21</v>
      </c>
      <c r="G9" s="36"/>
      <c r="H9" s="26">
        <f>'2023'!H11</f>
        <v>399.41899999999998</v>
      </c>
      <c r="I9" s="26">
        <f>'2023'!I11</f>
        <v>519.279</v>
      </c>
      <c r="J9" s="26">
        <f>'2023'!J11</f>
        <v>638.31600000000003</v>
      </c>
      <c r="K9" s="26">
        <f>'2023'!K11</f>
        <v>351.08</v>
      </c>
      <c r="L9" s="26">
        <f t="shared" ref="L9:L73" si="7">H9+I9+J9+K9</f>
        <v>1908.0940000000001</v>
      </c>
      <c r="M9" s="27">
        <f>'2024'!N9</f>
        <v>109.12356000000003</v>
      </c>
      <c r="N9" s="27">
        <v>109.12356000000003</v>
      </c>
      <c r="O9" s="38">
        <v>40.043276416000005</v>
      </c>
      <c r="P9" s="27">
        <f t="shared" si="0"/>
        <v>41.645007472640003</v>
      </c>
      <c r="Q9" s="27">
        <f t="shared" si="1"/>
        <v>27591.977788837707</v>
      </c>
      <c r="R9" s="27">
        <f t="shared" si="2"/>
        <v>35871.940579215952</v>
      </c>
      <c r="S9" s="27">
        <f t="shared" si="3"/>
        <v>43072.639735054341</v>
      </c>
      <c r="T9" s="27">
        <f t="shared" si="4"/>
        <v>23690.370221305555</v>
      </c>
      <c r="U9" s="27">
        <f t="shared" ref="U9:U73" si="8">Q9+R9+S9+T9</f>
        <v>130226.92832441354</v>
      </c>
      <c r="V9" s="119"/>
      <c r="W9" s="119"/>
      <c r="X9" s="119"/>
      <c r="Y9" s="29">
        <f t="shared" si="5"/>
        <v>100</v>
      </c>
      <c r="Z9" s="30">
        <f t="shared" si="6"/>
        <v>104</v>
      </c>
      <c r="AA9" s="2"/>
      <c r="AD9" s="32">
        <f t="shared" ref="AD9:AD81" si="9">104-Z9</f>
        <v>0</v>
      </c>
    </row>
    <row r="10" spans="1:30" s="40" customFormat="1" ht="51" customHeight="1">
      <c r="A10" s="33">
        <v>2907017553</v>
      </c>
      <c r="B10" s="34" t="s">
        <v>25</v>
      </c>
      <c r="C10" s="35" t="s">
        <v>19</v>
      </c>
      <c r="D10" s="33" t="s">
        <v>26</v>
      </c>
      <c r="E10" s="33"/>
      <c r="F10" s="36" t="s">
        <v>21</v>
      </c>
      <c r="G10" s="36"/>
      <c r="H10" s="26">
        <f>'2023'!H12</f>
        <v>173781.45499999999</v>
      </c>
      <c r="I10" s="26">
        <f>'2023'!I12</f>
        <v>174307.81599999999</v>
      </c>
      <c r="J10" s="26">
        <f>'2023'!J12</f>
        <v>171022.00899999999</v>
      </c>
      <c r="K10" s="26">
        <f>'2023'!K12</f>
        <v>179597.27600000001</v>
      </c>
      <c r="L10" s="26">
        <f t="shared" si="7"/>
        <v>698708.55599999987</v>
      </c>
      <c r="M10" s="27">
        <f>'2024'!N10</f>
        <v>43.045619689600002</v>
      </c>
      <c r="N10" s="27">
        <v>46.489269264768012</v>
      </c>
      <c r="O10" s="38">
        <v>32.026176</v>
      </c>
      <c r="P10" s="27">
        <f t="shared" si="0"/>
        <v>33.307223040000004</v>
      </c>
      <c r="Q10" s="27">
        <f t="shared" si="1"/>
        <v>1914974.9576692567</v>
      </c>
      <c r="R10" s="27">
        <f t="shared" si="2"/>
        <v>1920775.1630691583</v>
      </c>
      <c r="S10" s="27">
        <f t="shared" si="3"/>
        <v>2254420.0280906903</v>
      </c>
      <c r="T10" s="27">
        <f t="shared" si="4"/>
        <v>2367459.5940744183</v>
      </c>
      <c r="U10" s="27">
        <f t="shared" si="8"/>
        <v>8457629.7429035231</v>
      </c>
      <c r="V10" s="119"/>
      <c r="W10" s="119"/>
      <c r="X10" s="119"/>
      <c r="Y10" s="29">
        <f t="shared" si="5"/>
        <v>108.00000000000003</v>
      </c>
      <c r="Z10" s="30">
        <f t="shared" si="6"/>
        <v>104</v>
      </c>
      <c r="AA10" s="2"/>
      <c r="AD10" s="32">
        <f t="shared" si="9"/>
        <v>0</v>
      </c>
    </row>
    <row r="11" spans="1:30" s="40" customFormat="1" ht="51" customHeight="1">
      <c r="A11" s="33">
        <v>2907017553</v>
      </c>
      <c r="B11" s="34" t="s">
        <v>25</v>
      </c>
      <c r="C11" s="35" t="s">
        <v>19</v>
      </c>
      <c r="D11" s="33" t="s">
        <v>27</v>
      </c>
      <c r="E11" s="33"/>
      <c r="F11" s="36" t="s">
        <v>21</v>
      </c>
      <c r="G11" s="36"/>
      <c r="H11" s="26">
        <f>'2023'!H13</f>
        <v>1464.819</v>
      </c>
      <c r="I11" s="26">
        <f>'2023'!I13</f>
        <v>1766.067</v>
      </c>
      <c r="J11" s="26">
        <f>'2023'!J13</f>
        <v>1827.2359999999999</v>
      </c>
      <c r="K11" s="26">
        <f>'2023'!K13</f>
        <v>1693.7529999999999</v>
      </c>
      <c r="L11" s="26">
        <f t="shared" si="7"/>
        <v>6751.8749999999991</v>
      </c>
      <c r="M11" s="27">
        <f>'2024'!N11</f>
        <v>40.379600000000011</v>
      </c>
      <c r="N11" s="27">
        <v>43.609968000000009</v>
      </c>
      <c r="O11" s="38">
        <v>32.026176</v>
      </c>
      <c r="P11" s="27">
        <f t="shared" si="0"/>
        <v>33.307223040000004</v>
      </c>
      <c r="Q11" s="27">
        <f t="shared" si="1"/>
        <v>12236.254190256015</v>
      </c>
      <c r="R11" s="27">
        <f t="shared" si="2"/>
        <v>14752.70646340802</v>
      </c>
      <c r="S11" s="27">
        <f t="shared" si="3"/>
        <v>18825.546489730568</v>
      </c>
      <c r="T11" s="27">
        <f t="shared" si="4"/>
        <v>17450.305184234887</v>
      </c>
      <c r="U11" s="27">
        <f t="shared" si="8"/>
        <v>63264.812327629486</v>
      </c>
      <c r="V11" s="119"/>
      <c r="W11" s="119"/>
      <c r="X11" s="119"/>
      <c r="Y11" s="29">
        <f t="shared" si="5"/>
        <v>107.99999999999999</v>
      </c>
      <c r="Z11" s="30">
        <f t="shared" si="6"/>
        <v>104</v>
      </c>
      <c r="AA11" s="2"/>
      <c r="AD11" s="32">
        <f t="shared" si="9"/>
        <v>0</v>
      </c>
    </row>
    <row r="12" spans="1:30" s="40" customFormat="1" ht="51" customHeight="1">
      <c r="A12" s="33">
        <v>2907017553</v>
      </c>
      <c r="B12" s="34" t="s">
        <v>25</v>
      </c>
      <c r="C12" s="35" t="s">
        <v>19</v>
      </c>
      <c r="D12" s="33" t="s">
        <v>28</v>
      </c>
      <c r="E12" s="33"/>
      <c r="F12" s="36" t="s">
        <v>21</v>
      </c>
      <c r="G12" s="36"/>
      <c r="H12" s="26">
        <f>'2023'!H14</f>
        <v>687.79</v>
      </c>
      <c r="I12" s="26">
        <f>'2023'!I14</f>
        <v>669.72</v>
      </c>
      <c r="J12" s="26">
        <f>'2023'!J14</f>
        <v>471.5</v>
      </c>
      <c r="K12" s="26">
        <f>'2023'!K14</f>
        <v>624.26</v>
      </c>
      <c r="L12" s="26">
        <f t="shared" si="7"/>
        <v>2453.27</v>
      </c>
      <c r="M12" s="27">
        <f>'2024'!N12</f>
        <v>47.235400000000013</v>
      </c>
      <c r="N12" s="27">
        <v>51.014232000000021</v>
      </c>
      <c r="O12" s="38">
        <v>32.026176</v>
      </c>
      <c r="P12" s="27">
        <f t="shared" si="0"/>
        <v>33.307223040000004</v>
      </c>
      <c r="Q12" s="27">
        <f t="shared" si="1"/>
        <v>10460.752174960009</v>
      </c>
      <c r="R12" s="27">
        <f t="shared" si="2"/>
        <v>10185.921497280009</v>
      </c>
      <c r="S12" s="27">
        <f t="shared" si="3"/>
        <v>8348.8547246400085</v>
      </c>
      <c r="T12" s="27">
        <f t="shared" si="4"/>
        <v>11053.777413369611</v>
      </c>
      <c r="U12" s="27">
        <f t="shared" si="8"/>
        <v>40049.305810249636</v>
      </c>
      <c r="V12" s="119"/>
      <c r="W12" s="119"/>
      <c r="X12" s="119"/>
      <c r="Y12" s="29">
        <f t="shared" si="5"/>
        <v>108</v>
      </c>
      <c r="Z12" s="30">
        <f t="shared" si="6"/>
        <v>104</v>
      </c>
      <c r="AA12" s="2"/>
      <c r="AD12" s="32">
        <f t="shared" si="9"/>
        <v>0</v>
      </c>
    </row>
    <row r="13" spans="1:30" s="40" customFormat="1" ht="51" customHeight="1">
      <c r="A13" s="33">
        <v>2907017553</v>
      </c>
      <c r="B13" s="34" t="s">
        <v>25</v>
      </c>
      <c r="C13" s="35" t="s">
        <v>19</v>
      </c>
      <c r="D13" s="33" t="s">
        <v>29</v>
      </c>
      <c r="E13" s="33"/>
      <c r="F13" s="36" t="s">
        <v>21</v>
      </c>
      <c r="G13" s="36"/>
      <c r="H13" s="26">
        <f>'2023'!H15</f>
        <v>2892.3</v>
      </c>
      <c r="I13" s="26">
        <f>'2023'!I15</f>
        <v>2601.06</v>
      </c>
      <c r="J13" s="26">
        <f>'2023'!J15</f>
        <v>3493.1800000000003</v>
      </c>
      <c r="K13" s="26">
        <f>'2023'!K15</f>
        <v>3704.1499999999996</v>
      </c>
      <c r="L13" s="26">
        <f t="shared" si="7"/>
        <v>12690.69</v>
      </c>
      <c r="M13" s="27">
        <f>'2024'!N13</f>
        <v>42.314800000000005</v>
      </c>
      <c r="N13" s="27">
        <v>45.699984000000015</v>
      </c>
      <c r="O13" s="38">
        <v>32.026176</v>
      </c>
      <c r="P13" s="27">
        <f t="shared" si="0"/>
        <v>33.307223040000004</v>
      </c>
      <c r="Q13" s="27">
        <f t="shared" si="1"/>
        <v>29757.787195200017</v>
      </c>
      <c r="R13" s="27">
        <f t="shared" si="2"/>
        <v>26761.328341440014</v>
      </c>
      <c r="S13" s="27">
        <f t="shared" si="3"/>
        <v>43290.14473025284</v>
      </c>
      <c r="T13" s="27">
        <f t="shared" si="4"/>
        <v>45904.645509984039</v>
      </c>
      <c r="U13" s="27">
        <f t="shared" si="8"/>
        <v>145713.9057768769</v>
      </c>
      <c r="V13" s="119"/>
      <c r="W13" s="119"/>
      <c r="X13" s="119"/>
      <c r="Y13" s="29">
        <f t="shared" si="5"/>
        <v>108.00000000000003</v>
      </c>
      <c r="Z13" s="30">
        <f t="shared" si="6"/>
        <v>104</v>
      </c>
      <c r="AA13" s="2"/>
      <c r="AD13" s="32">
        <f t="shared" si="9"/>
        <v>0</v>
      </c>
    </row>
    <row r="14" spans="1:30" s="40" customFormat="1" ht="51" customHeight="1">
      <c r="A14" s="33">
        <v>2907017553</v>
      </c>
      <c r="B14" s="34" t="s">
        <v>25</v>
      </c>
      <c r="C14" s="35" t="s">
        <v>19</v>
      </c>
      <c r="D14" s="33" t="s">
        <v>30</v>
      </c>
      <c r="E14" s="33"/>
      <c r="F14" s="36" t="s">
        <v>21</v>
      </c>
      <c r="G14" s="36"/>
      <c r="H14" s="26">
        <f>'2023'!H16</f>
        <v>1026.6400000000001</v>
      </c>
      <c r="I14" s="26">
        <f>'2023'!I16</f>
        <v>1326.56</v>
      </c>
      <c r="J14" s="26">
        <f>'2023'!J16</f>
        <v>1178.17</v>
      </c>
      <c r="K14" s="26">
        <f>'2023'!K16</f>
        <v>1073.75</v>
      </c>
      <c r="L14" s="26">
        <f t="shared" si="7"/>
        <v>4605.12</v>
      </c>
      <c r="M14" s="27">
        <f>'2024'!N14</f>
        <v>37.311599999999999</v>
      </c>
      <c r="N14" s="27">
        <v>40.296527999999995</v>
      </c>
      <c r="O14" s="38">
        <v>32.026176</v>
      </c>
      <c r="P14" s="27">
        <f t="shared" si="0"/>
        <v>33.307223040000004</v>
      </c>
      <c r="Q14" s="27">
        <f t="shared" si="1"/>
        <v>5426.2276953599994</v>
      </c>
      <c r="R14" s="27">
        <f t="shared" si="2"/>
        <v>7011.4320614399985</v>
      </c>
      <c r="S14" s="27">
        <f t="shared" si="3"/>
        <v>8234.5894247231899</v>
      </c>
      <c r="T14" s="27">
        <f t="shared" si="4"/>
        <v>7504.7662007999907</v>
      </c>
      <c r="U14" s="27">
        <f t="shared" si="8"/>
        <v>28177.015382323178</v>
      </c>
      <c r="V14" s="119"/>
      <c r="W14" s="119"/>
      <c r="X14" s="119"/>
      <c r="Y14" s="29">
        <f t="shared" si="5"/>
        <v>107.99999999999999</v>
      </c>
      <c r="Z14" s="30">
        <f t="shared" si="6"/>
        <v>104</v>
      </c>
      <c r="AA14" s="2"/>
      <c r="AD14" s="32">
        <f t="shared" si="9"/>
        <v>0</v>
      </c>
    </row>
    <row r="15" spans="1:30" s="40" customFormat="1" ht="51" customHeight="1">
      <c r="A15" s="33">
        <v>2907017553</v>
      </c>
      <c r="B15" s="34" t="s">
        <v>25</v>
      </c>
      <c r="C15" s="35" t="s">
        <v>19</v>
      </c>
      <c r="D15" s="33" t="s">
        <v>31</v>
      </c>
      <c r="E15" s="33"/>
      <c r="F15" s="36" t="s">
        <v>21</v>
      </c>
      <c r="G15" s="36"/>
      <c r="H15" s="26">
        <f>'2023'!H17</f>
        <v>494.07000000000005</v>
      </c>
      <c r="I15" s="26">
        <f>'2023'!I17</f>
        <v>466.74</v>
      </c>
      <c r="J15" s="26">
        <f>'2023'!J17</f>
        <v>541.84</v>
      </c>
      <c r="K15" s="26">
        <f>'2023'!K17</f>
        <v>479.38</v>
      </c>
      <c r="L15" s="26">
        <f t="shared" si="7"/>
        <v>1982.0300000000002</v>
      </c>
      <c r="M15" s="27">
        <f>'2024'!N15</f>
        <v>34.987000000000002</v>
      </c>
      <c r="N15" s="27">
        <v>37.78596000000001</v>
      </c>
      <c r="O15" s="38">
        <v>32.06944</v>
      </c>
      <c r="P15" s="27">
        <f t="shared" si="0"/>
        <v>33.352217600000003</v>
      </c>
      <c r="Q15" s="27">
        <f t="shared" si="1"/>
        <v>1441.4788692000011</v>
      </c>
      <c r="R15" s="27">
        <f t="shared" si="2"/>
        <v>1361.7419544000009</v>
      </c>
      <c r="S15" s="27">
        <f t="shared" si="3"/>
        <v>2402.3789820160041</v>
      </c>
      <c r="T15" s="27">
        <f t="shared" si="4"/>
        <v>2125.4474317120034</v>
      </c>
      <c r="U15" s="27">
        <f t="shared" si="8"/>
        <v>7331.0472373280099</v>
      </c>
      <c r="V15" s="119"/>
      <c r="W15" s="119"/>
      <c r="X15" s="119"/>
      <c r="Y15" s="29">
        <f t="shared" si="5"/>
        <v>108.00000000000003</v>
      </c>
      <c r="Z15" s="30">
        <f t="shared" si="6"/>
        <v>104</v>
      </c>
      <c r="AA15" s="2"/>
      <c r="AD15" s="32">
        <f t="shared" si="9"/>
        <v>0</v>
      </c>
    </row>
    <row r="16" spans="1:30" s="40" customFormat="1" ht="51" customHeight="1">
      <c r="A16" s="33">
        <v>2907017553</v>
      </c>
      <c r="B16" s="34" t="s">
        <v>25</v>
      </c>
      <c r="C16" s="35" t="s">
        <v>19</v>
      </c>
      <c r="D16" s="33" t="s">
        <v>32</v>
      </c>
      <c r="E16" s="33"/>
      <c r="F16" s="36" t="s">
        <v>21</v>
      </c>
      <c r="G16" s="36"/>
      <c r="H16" s="26">
        <f>'2023'!H18</f>
        <v>3429.5299999999997</v>
      </c>
      <c r="I16" s="26">
        <f>'2023'!I18</f>
        <v>3321.72</v>
      </c>
      <c r="J16" s="26">
        <f>'2023'!J18</f>
        <v>3898.41</v>
      </c>
      <c r="K16" s="26">
        <f>'2023'!K18</f>
        <v>3374.3</v>
      </c>
      <c r="L16" s="26">
        <f t="shared" si="7"/>
        <v>14023.96</v>
      </c>
      <c r="M16" s="27">
        <f>'2024'!N16</f>
        <v>65.560800000000015</v>
      </c>
      <c r="N16" s="27">
        <v>70.805664000000021</v>
      </c>
      <c r="O16" s="38">
        <v>31.312320000000003</v>
      </c>
      <c r="P16" s="27">
        <f t="shared" si="0"/>
        <v>32.564812800000006</v>
      </c>
      <c r="Q16" s="27">
        <f t="shared" si="1"/>
        <v>117456.18961440005</v>
      </c>
      <c r="R16" s="27">
        <f t="shared" si="2"/>
        <v>113763.86098560004</v>
      </c>
      <c r="S16" s="27">
        <f t="shared" si="3"/>
        <v>149078.51672659206</v>
      </c>
      <c r="T16" s="27">
        <f t="shared" si="4"/>
        <v>129036.10420416006</v>
      </c>
      <c r="U16" s="27">
        <f t="shared" si="8"/>
        <v>509334.67153075221</v>
      </c>
      <c r="V16" s="119"/>
      <c r="W16" s="119"/>
      <c r="X16" s="119"/>
      <c r="Y16" s="29">
        <f t="shared" si="5"/>
        <v>108</v>
      </c>
      <c r="Z16" s="30">
        <f t="shared" si="6"/>
        <v>104</v>
      </c>
      <c r="AA16" s="2"/>
      <c r="AD16" s="32">
        <f t="shared" si="9"/>
        <v>0</v>
      </c>
    </row>
    <row r="17" spans="1:30" s="40" customFormat="1" ht="51" customHeight="1">
      <c r="A17" s="33">
        <v>2907017553</v>
      </c>
      <c r="B17" s="34" t="s">
        <v>25</v>
      </c>
      <c r="C17" s="35" t="s">
        <v>19</v>
      </c>
      <c r="D17" s="33" t="s">
        <v>33</v>
      </c>
      <c r="E17" s="33"/>
      <c r="F17" s="36" t="s">
        <v>21</v>
      </c>
      <c r="G17" s="36"/>
      <c r="H17" s="26">
        <f>'2023'!H19</f>
        <v>3025.67</v>
      </c>
      <c r="I17" s="26">
        <f>'2023'!I19</f>
        <v>2837.37</v>
      </c>
      <c r="J17" s="26">
        <f>'2023'!J19</f>
        <v>4437.3999999999996</v>
      </c>
      <c r="K17" s="26">
        <f>'2023'!K19</f>
        <v>4452.3999999999996</v>
      </c>
      <c r="L17" s="26">
        <f t="shared" si="7"/>
        <v>14752.839999999998</v>
      </c>
      <c r="M17" s="27">
        <f>'2024'!N17</f>
        <v>64.652200000000022</v>
      </c>
      <c r="N17" s="27">
        <v>69.824376000000029</v>
      </c>
      <c r="O17" s="38">
        <v>40.235520000000001</v>
      </c>
      <c r="P17" s="27">
        <f t="shared" si="0"/>
        <v>41.844940800000003</v>
      </c>
      <c r="Q17" s="27">
        <f t="shared" si="1"/>
        <v>73876.816175600063</v>
      </c>
      <c r="R17" s="27">
        <f t="shared" si="2"/>
        <v>69279.15533160005</v>
      </c>
      <c r="S17" s="27">
        <f t="shared" si="3"/>
        <v>124155.9457564801</v>
      </c>
      <c r="T17" s="27">
        <f t="shared" si="4"/>
        <v>124575.63728448011</v>
      </c>
      <c r="U17" s="27">
        <f t="shared" si="8"/>
        <v>391887.55454816029</v>
      </c>
      <c r="V17" s="119"/>
      <c r="W17" s="119"/>
      <c r="X17" s="119"/>
      <c r="Y17" s="29">
        <f t="shared" si="5"/>
        <v>108</v>
      </c>
      <c r="Z17" s="30">
        <f t="shared" si="6"/>
        <v>104</v>
      </c>
      <c r="AA17" s="2"/>
      <c r="AD17" s="32">
        <f t="shared" si="9"/>
        <v>0</v>
      </c>
    </row>
    <row r="18" spans="1:30" s="40" customFormat="1" ht="51" customHeight="1">
      <c r="A18" s="33">
        <v>2907017553</v>
      </c>
      <c r="B18" s="34" t="s">
        <v>25</v>
      </c>
      <c r="C18" s="35" t="s">
        <v>19</v>
      </c>
      <c r="D18" s="33" t="s">
        <v>34</v>
      </c>
      <c r="E18" s="33"/>
      <c r="F18" s="36" t="s">
        <v>21</v>
      </c>
      <c r="G18" s="36"/>
      <c r="H18" s="26">
        <f>'2023'!H20</f>
        <v>1259.3400000000001</v>
      </c>
      <c r="I18" s="26">
        <f>'2023'!I20</f>
        <v>1217.83</v>
      </c>
      <c r="J18" s="26">
        <f>'2023'!J20</f>
        <v>1405.3899999999999</v>
      </c>
      <c r="K18" s="26">
        <f>'2023'!K20</f>
        <v>1128.3899999999999</v>
      </c>
      <c r="L18" s="26">
        <f t="shared" si="7"/>
        <v>5010.95</v>
      </c>
      <c r="M18" s="27">
        <f>'2024'!N18</f>
        <v>40.320600000000013</v>
      </c>
      <c r="N18" s="27">
        <v>43.54624800000002</v>
      </c>
      <c r="O18" s="38">
        <v>22.562176000000001</v>
      </c>
      <c r="P18" s="27">
        <f t="shared" si="0"/>
        <v>23.464663040000001</v>
      </c>
      <c r="Q18" s="27">
        <f t="shared" si="1"/>
        <v>22363.893680160018</v>
      </c>
      <c r="R18" s="27">
        <f t="shared" si="2"/>
        <v>21626.741499920012</v>
      </c>
      <c r="S18" s="27">
        <f t="shared" si="3"/>
        <v>28222.458686934424</v>
      </c>
      <c r="T18" s="27">
        <f t="shared" si="4"/>
        <v>22659.859653014417</v>
      </c>
      <c r="U18" s="27">
        <f t="shared" si="8"/>
        <v>94872.953520028866</v>
      </c>
      <c r="V18" s="119"/>
      <c r="W18" s="119"/>
      <c r="X18" s="119"/>
      <c r="Y18" s="29">
        <f t="shared" si="5"/>
        <v>108</v>
      </c>
      <c r="Z18" s="30">
        <f t="shared" si="6"/>
        <v>104</v>
      </c>
      <c r="AA18" s="2"/>
      <c r="AD18" s="32">
        <f t="shared" si="9"/>
        <v>0</v>
      </c>
    </row>
    <row r="19" spans="1:30" s="40" customFormat="1" ht="51" customHeight="1">
      <c r="A19" s="33">
        <v>2907017553</v>
      </c>
      <c r="B19" s="34" t="s">
        <v>25</v>
      </c>
      <c r="C19" s="35" t="s">
        <v>19</v>
      </c>
      <c r="D19" s="33" t="s">
        <v>35</v>
      </c>
      <c r="E19" s="33"/>
      <c r="F19" s="36" t="s">
        <v>21</v>
      </c>
      <c r="G19" s="36"/>
      <c r="H19" s="26">
        <f>'2023'!H21</f>
        <v>378.90999999999997</v>
      </c>
      <c r="I19" s="26">
        <f>'2023'!I21</f>
        <v>395.35</v>
      </c>
      <c r="J19" s="26">
        <f>'2023'!J21</f>
        <v>408.57000000000005</v>
      </c>
      <c r="K19" s="26">
        <f>'2023'!K21</f>
        <v>364.38</v>
      </c>
      <c r="L19" s="26">
        <f t="shared" si="7"/>
        <v>1547.21</v>
      </c>
      <c r="M19" s="27">
        <f>'2024'!N19</f>
        <v>60.463200000000008</v>
      </c>
      <c r="N19" s="27">
        <v>65.300256000000019</v>
      </c>
      <c r="O19" s="38">
        <v>43.369888639999999</v>
      </c>
      <c r="P19" s="27">
        <f t="shared" si="0"/>
        <v>45.1046841856</v>
      </c>
      <c r="Q19" s="27">
        <f t="shared" si="1"/>
        <v>6476.8266074176026</v>
      </c>
      <c r="R19" s="27">
        <f t="shared" si="2"/>
        <v>6757.8406461760042</v>
      </c>
      <c r="S19" s="27">
        <f t="shared" si="3"/>
        <v>8251.3047762094175</v>
      </c>
      <c r="T19" s="27">
        <f t="shared" si="4"/>
        <v>7358.8624577310784</v>
      </c>
      <c r="U19" s="27">
        <f t="shared" si="8"/>
        <v>28844.834487534099</v>
      </c>
      <c r="V19" s="119"/>
      <c r="W19" s="119"/>
      <c r="X19" s="119"/>
      <c r="Y19" s="29">
        <f t="shared" si="5"/>
        <v>108</v>
      </c>
      <c r="Z19" s="30">
        <f t="shared" si="6"/>
        <v>104</v>
      </c>
      <c r="AA19" s="2"/>
      <c r="AD19" s="32">
        <f t="shared" si="9"/>
        <v>0</v>
      </c>
    </row>
    <row r="20" spans="1:30" s="40" customFormat="1" ht="51" customHeight="1">
      <c r="A20" s="33">
        <v>2907017553</v>
      </c>
      <c r="B20" s="34" t="s">
        <v>25</v>
      </c>
      <c r="C20" s="35" t="s">
        <v>19</v>
      </c>
      <c r="D20" s="33" t="s">
        <v>36</v>
      </c>
      <c r="E20" s="33"/>
      <c r="F20" s="36" t="s">
        <v>21</v>
      </c>
      <c r="G20" s="36"/>
      <c r="H20" s="26">
        <f>'2023'!H22</f>
        <v>515.11</v>
      </c>
      <c r="I20" s="26">
        <f>'2023'!I22</f>
        <v>514.55999999999995</v>
      </c>
      <c r="J20" s="26">
        <f>'2023'!J22</f>
        <v>587.68999999999994</v>
      </c>
      <c r="K20" s="26">
        <f>'2023'!K22</f>
        <v>569.27</v>
      </c>
      <c r="L20" s="26">
        <f t="shared" si="7"/>
        <v>2186.63</v>
      </c>
      <c r="M20" s="27">
        <f>'2024'!N20</f>
        <v>67.885400000000004</v>
      </c>
      <c r="N20" s="27">
        <v>73.316232000000014</v>
      </c>
      <c r="O20" s="38">
        <v>32.026176</v>
      </c>
      <c r="P20" s="27">
        <f t="shared" si="0"/>
        <v>33.307223040000004</v>
      </c>
      <c r="Q20" s="27">
        <f t="shared" si="1"/>
        <v>18471.444874640001</v>
      </c>
      <c r="R20" s="27">
        <f t="shared" si="2"/>
        <v>18451.722301440001</v>
      </c>
      <c r="S20" s="27">
        <f t="shared" si="3"/>
        <v>23512.894475702404</v>
      </c>
      <c r="T20" s="27">
        <f t="shared" si="4"/>
        <v>22775.928530659206</v>
      </c>
      <c r="U20" s="27">
        <f t="shared" si="8"/>
        <v>83211.990182441616</v>
      </c>
      <c r="V20" s="119"/>
      <c r="W20" s="119"/>
      <c r="X20" s="119"/>
      <c r="Y20" s="29">
        <f t="shared" si="5"/>
        <v>108</v>
      </c>
      <c r="Z20" s="30">
        <f t="shared" si="6"/>
        <v>104</v>
      </c>
      <c r="AA20" s="2"/>
      <c r="AD20" s="32">
        <f t="shared" si="9"/>
        <v>0</v>
      </c>
    </row>
    <row r="21" spans="1:30" s="40" customFormat="1" ht="51" customHeight="1">
      <c r="A21" s="33">
        <v>2907017553</v>
      </c>
      <c r="B21" s="34" t="s">
        <v>25</v>
      </c>
      <c r="C21" s="35" t="s">
        <v>19</v>
      </c>
      <c r="D21" s="33" t="s">
        <v>37</v>
      </c>
      <c r="E21" s="33"/>
      <c r="F21" s="36" t="s">
        <v>21</v>
      </c>
      <c r="G21" s="36"/>
      <c r="H21" s="26">
        <f>'2023'!H23</f>
        <v>553.57000000000005</v>
      </c>
      <c r="I21" s="26">
        <f>'2023'!I23</f>
        <v>594.54999999999995</v>
      </c>
      <c r="J21" s="26">
        <f>'2023'!J23</f>
        <v>690.17</v>
      </c>
      <c r="K21" s="26">
        <f>'2023'!K23</f>
        <v>526.29</v>
      </c>
      <c r="L21" s="26">
        <f t="shared" si="7"/>
        <v>2364.58</v>
      </c>
      <c r="M21" s="27">
        <f>'2024'!N21</f>
        <v>67.779200000000003</v>
      </c>
      <c r="N21" s="27">
        <v>73.201536000000004</v>
      </c>
      <c r="O21" s="38">
        <v>47.233472000000006</v>
      </c>
      <c r="P21" s="27">
        <f t="shared" si="0"/>
        <v>49.12281088000001</v>
      </c>
      <c r="Q21" s="27">
        <f t="shared" si="1"/>
        <v>11373.49864896</v>
      </c>
      <c r="R21" s="27">
        <f t="shared" si="2"/>
        <v>12215.462582399998</v>
      </c>
      <c r="S21" s="27">
        <f t="shared" si="3"/>
        <v>16618.413716070394</v>
      </c>
      <c r="T21" s="27">
        <f t="shared" si="4"/>
        <v>12672.392243404796</v>
      </c>
      <c r="U21" s="27">
        <f t="shared" si="8"/>
        <v>52879.767190835191</v>
      </c>
      <c r="V21" s="119"/>
      <c r="W21" s="119"/>
      <c r="X21" s="119"/>
      <c r="Y21" s="29">
        <f t="shared" si="5"/>
        <v>108</v>
      </c>
      <c r="Z21" s="30">
        <f t="shared" si="6"/>
        <v>104</v>
      </c>
      <c r="AA21" s="2"/>
      <c r="AD21" s="32">
        <f t="shared" si="9"/>
        <v>0</v>
      </c>
    </row>
    <row r="22" spans="1:30" s="40" customFormat="1" ht="51" customHeight="1">
      <c r="A22" s="33">
        <v>2907017553</v>
      </c>
      <c r="B22" s="34" t="s">
        <v>25</v>
      </c>
      <c r="C22" s="35" t="s">
        <v>19</v>
      </c>
      <c r="D22" s="33" t="s">
        <v>38</v>
      </c>
      <c r="E22" s="33"/>
      <c r="F22" s="36" t="s">
        <v>21</v>
      </c>
      <c r="G22" s="36"/>
      <c r="H22" s="26">
        <f>'2023'!H24</f>
        <v>730.38000000000011</v>
      </c>
      <c r="I22" s="26">
        <f>'2023'!I24</f>
        <v>723.25</v>
      </c>
      <c r="J22" s="26">
        <f>'2023'!J24</f>
        <v>754.61</v>
      </c>
      <c r="K22" s="26">
        <f>'2023'!K24</f>
        <v>786.62999999999988</v>
      </c>
      <c r="L22" s="26">
        <f t="shared" si="7"/>
        <v>2994.87</v>
      </c>
      <c r="M22" s="27">
        <f>'2024'!N22</f>
        <v>60.357000000000006</v>
      </c>
      <c r="N22" s="27">
        <v>65.185560000000009</v>
      </c>
      <c r="O22" s="38">
        <v>49.385855999999997</v>
      </c>
      <c r="P22" s="27">
        <f t="shared" si="0"/>
        <v>51.361290239999995</v>
      </c>
      <c r="Q22" s="27">
        <f t="shared" si="1"/>
        <v>8013.1041547200084</v>
      </c>
      <c r="R22" s="27">
        <f t="shared" si="2"/>
        <v>7934.8798980000065</v>
      </c>
      <c r="S22" s="27">
        <f t="shared" si="3"/>
        <v>10431.932203593611</v>
      </c>
      <c r="T22" s="27">
        <f t="shared" si="4"/>
        <v>10874.58532130881</v>
      </c>
      <c r="U22" s="27">
        <f t="shared" si="8"/>
        <v>37254.501577622439</v>
      </c>
      <c r="V22" s="119"/>
      <c r="W22" s="119"/>
      <c r="X22" s="119"/>
      <c r="Y22" s="29">
        <f t="shared" si="5"/>
        <v>108</v>
      </c>
      <c r="Z22" s="30">
        <f t="shared" si="6"/>
        <v>104</v>
      </c>
      <c r="AA22" s="2"/>
      <c r="AD22" s="32">
        <f t="shared" si="9"/>
        <v>0</v>
      </c>
    </row>
    <row r="23" spans="1:30" s="40" customFormat="1" ht="51" customHeight="1">
      <c r="A23" s="33">
        <v>2907017553</v>
      </c>
      <c r="B23" s="34" t="s">
        <v>25</v>
      </c>
      <c r="C23" s="35" t="s">
        <v>19</v>
      </c>
      <c r="D23" s="33" t="s">
        <v>39</v>
      </c>
      <c r="E23" s="33"/>
      <c r="F23" s="36" t="s">
        <v>21</v>
      </c>
      <c r="G23" s="36"/>
      <c r="H23" s="26">
        <f>'2023'!H25</f>
        <v>35.07</v>
      </c>
      <c r="I23" s="26">
        <f>'2023'!I25</f>
        <v>35.07</v>
      </c>
      <c r="J23" s="26">
        <f>'2023'!J25</f>
        <v>35.07</v>
      </c>
      <c r="K23" s="26">
        <f>'2023'!K25</f>
        <v>35.07</v>
      </c>
      <c r="L23" s="26">
        <f t="shared" si="7"/>
        <v>140.28</v>
      </c>
      <c r="M23" s="27">
        <f>'2024'!N23</f>
        <v>51.21200000000001</v>
      </c>
      <c r="N23" s="27">
        <v>55.30896000000002</v>
      </c>
      <c r="O23" s="38">
        <v>41.364602240000004</v>
      </c>
      <c r="P23" s="27">
        <f t="shared" si="0"/>
        <v>43.019186329600004</v>
      </c>
      <c r="Q23" s="27">
        <f t="shared" si="1"/>
        <v>345.34823944320027</v>
      </c>
      <c r="R23" s="27">
        <f t="shared" si="2"/>
        <v>345.34823944320027</v>
      </c>
      <c r="S23" s="27">
        <f t="shared" si="3"/>
        <v>431.00236262092858</v>
      </c>
      <c r="T23" s="27">
        <f t="shared" si="4"/>
        <v>431.00236262092858</v>
      </c>
      <c r="U23" s="27">
        <f t="shared" si="8"/>
        <v>1552.7012041282578</v>
      </c>
      <c r="V23" s="119"/>
      <c r="W23" s="119"/>
      <c r="X23" s="119"/>
      <c r="Y23" s="29">
        <f t="shared" si="5"/>
        <v>108</v>
      </c>
      <c r="Z23" s="30">
        <f t="shared" si="6"/>
        <v>104</v>
      </c>
      <c r="AA23" s="2"/>
      <c r="AD23" s="32">
        <f t="shared" si="9"/>
        <v>0</v>
      </c>
    </row>
    <row r="24" spans="1:30" s="40" customFormat="1" ht="51" customHeight="1">
      <c r="A24" s="33">
        <v>2907017553</v>
      </c>
      <c r="B24" s="34" t="s">
        <v>25</v>
      </c>
      <c r="C24" s="35" t="s">
        <v>19</v>
      </c>
      <c r="D24" s="33" t="s">
        <v>40</v>
      </c>
      <c r="E24" s="33"/>
      <c r="F24" s="36" t="s">
        <v>21</v>
      </c>
      <c r="G24" s="36"/>
      <c r="H24" s="26">
        <f>'2023'!H26</f>
        <v>379.04</v>
      </c>
      <c r="I24" s="26">
        <f>'2023'!I26</f>
        <v>363.5</v>
      </c>
      <c r="J24" s="26">
        <f>'2023'!J26</f>
        <v>453.49</v>
      </c>
      <c r="K24" s="26">
        <f>'2023'!K26</f>
        <v>375.04</v>
      </c>
      <c r="L24" s="26">
        <f t="shared" si="7"/>
        <v>1571.07</v>
      </c>
      <c r="M24" s="27">
        <f>'2024'!N24</f>
        <v>62.233200000000018</v>
      </c>
      <c r="N24" s="27">
        <v>67.21185600000004</v>
      </c>
      <c r="O24" s="38">
        <v>40.235520000000001</v>
      </c>
      <c r="P24" s="27">
        <f t="shared" si="0"/>
        <v>41.844940800000003</v>
      </c>
      <c r="Q24" s="27">
        <f t="shared" si="1"/>
        <v>8338.0006272000064</v>
      </c>
      <c r="R24" s="27">
        <f t="shared" si="2"/>
        <v>7996.1566800000064</v>
      </c>
      <c r="S24" s="27">
        <f t="shared" si="3"/>
        <v>11503.642374048017</v>
      </c>
      <c r="T24" s="27">
        <f t="shared" si="4"/>
        <v>9513.6078766080136</v>
      </c>
      <c r="U24" s="27">
        <f t="shared" si="8"/>
        <v>37351.407557856044</v>
      </c>
      <c r="V24" s="119"/>
      <c r="W24" s="119"/>
      <c r="X24" s="119"/>
      <c r="Y24" s="29">
        <f t="shared" si="5"/>
        <v>108.00000000000003</v>
      </c>
      <c r="Z24" s="30">
        <f t="shared" si="6"/>
        <v>104</v>
      </c>
      <c r="AA24" s="2"/>
      <c r="AD24" s="32">
        <f t="shared" si="9"/>
        <v>0</v>
      </c>
    </row>
    <row r="25" spans="1:30" s="40" customFormat="1" ht="51" customHeight="1">
      <c r="A25" s="33">
        <v>2907017553</v>
      </c>
      <c r="B25" s="34" t="s">
        <v>25</v>
      </c>
      <c r="C25" s="35" t="s">
        <v>19</v>
      </c>
      <c r="D25" s="33" t="s">
        <v>41</v>
      </c>
      <c r="E25" s="33"/>
      <c r="F25" s="36" t="s">
        <v>21</v>
      </c>
      <c r="G25" s="36"/>
      <c r="H25" s="26">
        <f>'2023'!H27</f>
        <v>210.91000000000003</v>
      </c>
      <c r="I25" s="26">
        <f>'2023'!I27</f>
        <v>281</v>
      </c>
      <c r="J25" s="26">
        <f>'2023'!J27</f>
        <v>216.15999999999997</v>
      </c>
      <c r="K25" s="26">
        <f>'2023'!K27</f>
        <v>217.38</v>
      </c>
      <c r="L25" s="26">
        <f t="shared" si="7"/>
        <v>925.44999999999993</v>
      </c>
      <c r="M25" s="27">
        <f>'2024'!N25</f>
        <v>61.206600000000002</v>
      </c>
      <c r="N25" s="27">
        <v>66.103127999999998</v>
      </c>
      <c r="O25" s="38">
        <v>52.02496</v>
      </c>
      <c r="P25" s="27">
        <f t="shared" si="0"/>
        <v>54.105958399999999</v>
      </c>
      <c r="Q25" s="27">
        <f t="shared" si="1"/>
        <v>1936.4996924000006</v>
      </c>
      <c r="R25" s="27">
        <f t="shared" si="2"/>
        <v>2580.0408400000006</v>
      </c>
      <c r="S25" s="27">
        <f t="shared" si="3"/>
        <v>2593.3081807359995</v>
      </c>
      <c r="T25" s="27">
        <f t="shared" si="4"/>
        <v>2607.944727648</v>
      </c>
      <c r="U25" s="27">
        <f t="shared" si="8"/>
        <v>9717.7934407840003</v>
      </c>
      <c r="V25" s="119"/>
      <c r="W25" s="119"/>
      <c r="X25" s="119"/>
      <c r="Y25" s="29">
        <f t="shared" si="5"/>
        <v>107.99999999999999</v>
      </c>
      <c r="Z25" s="30">
        <f t="shared" si="6"/>
        <v>104</v>
      </c>
      <c r="AA25" s="2"/>
      <c r="AD25" s="32">
        <f t="shared" si="9"/>
        <v>0</v>
      </c>
    </row>
    <row r="26" spans="1:30" s="40" customFormat="1" ht="15" customHeight="1">
      <c r="A26" s="33"/>
      <c r="B26" s="34"/>
      <c r="C26" s="35"/>
      <c r="D26" s="33"/>
      <c r="E26" s="33"/>
      <c r="F26" s="36"/>
      <c r="G26" s="36"/>
      <c r="H26" s="26"/>
      <c r="I26" s="26"/>
      <c r="J26" s="26"/>
      <c r="K26" s="26"/>
      <c r="L26" s="37"/>
      <c r="M26" s="41"/>
      <c r="N26" s="41"/>
      <c r="O26" s="41"/>
      <c r="P26" s="41"/>
      <c r="Q26" s="27"/>
      <c r="R26" s="27"/>
      <c r="S26" s="27"/>
      <c r="T26" s="27"/>
      <c r="U26" s="27"/>
      <c r="V26" s="119"/>
      <c r="W26" s="119"/>
      <c r="X26" s="119"/>
      <c r="Y26" s="29" t="e">
        <f t="shared" si="5"/>
        <v>#DIV/0!</v>
      </c>
      <c r="Z26" s="30" t="e">
        <f t="shared" si="6"/>
        <v>#DIV/0!</v>
      </c>
      <c r="AA26" s="2"/>
      <c r="AD26" s="32" t="e">
        <f t="shared" si="9"/>
        <v>#DIV/0!</v>
      </c>
    </row>
    <row r="27" spans="1:30" s="40" customFormat="1" ht="51.75" customHeight="1">
      <c r="A27" s="33">
        <v>2908004701</v>
      </c>
      <c r="B27" s="34" t="s">
        <v>43</v>
      </c>
      <c r="C27" s="35" t="s">
        <v>303</v>
      </c>
      <c r="D27" s="33" t="s">
        <v>304</v>
      </c>
      <c r="E27" s="33"/>
      <c r="F27" s="36" t="s">
        <v>21</v>
      </c>
      <c r="G27" s="36"/>
      <c r="H27" s="26">
        <f>'2023'!H29</f>
        <v>10455.674999999999</v>
      </c>
      <c r="I27" s="26">
        <f>'2023'!I29</f>
        <v>9691.4269999999997</v>
      </c>
      <c r="J27" s="26">
        <f>'2023'!J29</f>
        <v>10461.446</v>
      </c>
      <c r="K27" s="26">
        <f>'2023'!K29</f>
        <v>10173.184000000001</v>
      </c>
      <c r="L27" s="26">
        <f t="shared" si="7"/>
        <v>40781.732000000004</v>
      </c>
      <c r="M27" s="38">
        <f>'2024'!N27</f>
        <v>82.375800000000027</v>
      </c>
      <c r="N27" s="27">
        <v>88.965864000000039</v>
      </c>
      <c r="O27" s="38">
        <f>'2024'!P27</f>
        <v>44.622613335039993</v>
      </c>
      <c r="P27" s="27">
        <v>46.407517868441595</v>
      </c>
      <c r="Q27" s="27">
        <f>(M27-O27)*H27</f>
        <v>394735.04998315597</v>
      </c>
      <c r="R27" s="27">
        <f t="shared" ref="R27:S29" si="10">(M27-O27)*I27</f>
        <v>365882.25258083362</v>
      </c>
      <c r="S27" s="27">
        <f t="shared" si="10"/>
        <v>445221.83990460756</v>
      </c>
      <c r="T27" s="27">
        <f>(N27-P27)*K27</f>
        <v>432953.88593203231</v>
      </c>
      <c r="U27" s="27">
        <f t="shared" si="8"/>
        <v>1638793.0284006293</v>
      </c>
      <c r="V27" s="119"/>
      <c r="W27" s="119"/>
      <c r="X27" s="119"/>
      <c r="Y27" s="29">
        <f t="shared" si="5"/>
        <v>108</v>
      </c>
      <c r="Z27" s="30">
        <f t="shared" si="6"/>
        <v>104</v>
      </c>
      <c r="AA27" s="2"/>
      <c r="AD27" s="32">
        <f t="shared" si="9"/>
        <v>0</v>
      </c>
    </row>
    <row r="28" spans="1:30" s="40" customFormat="1" ht="51.75" customHeight="1">
      <c r="A28" s="33">
        <v>2908004701</v>
      </c>
      <c r="B28" s="34" t="s">
        <v>43</v>
      </c>
      <c r="C28" s="35" t="s">
        <v>303</v>
      </c>
      <c r="D28" s="33" t="s">
        <v>305</v>
      </c>
      <c r="E28" s="33"/>
      <c r="F28" s="36" t="s">
        <v>21</v>
      </c>
      <c r="G28" s="36"/>
      <c r="H28" s="26">
        <f>'2023'!H30</f>
        <v>9684.8859999999986</v>
      </c>
      <c r="I28" s="26">
        <f>'2023'!I30</f>
        <v>9255.1990000000005</v>
      </c>
      <c r="J28" s="26">
        <f>'2023'!J30</f>
        <v>10721.526000000002</v>
      </c>
      <c r="K28" s="26">
        <f>'2023'!K30</f>
        <v>10001.27</v>
      </c>
      <c r="L28" s="26">
        <f t="shared" si="7"/>
        <v>39662.881000000001</v>
      </c>
      <c r="M28" s="38">
        <f>'2024'!N28</f>
        <v>159.63947999999999</v>
      </c>
      <c r="N28" s="27">
        <v>159.63947999999999</v>
      </c>
      <c r="O28" s="38">
        <f>'2024'!P28</f>
        <v>44.622613335039993</v>
      </c>
      <c r="P28" s="27">
        <v>46.407517868441595</v>
      </c>
      <c r="Q28" s="27">
        <f>(M28-O28)*H28</f>
        <v>1113925.2417273375</v>
      </c>
      <c r="R28" s="27">
        <f t="shared" si="10"/>
        <v>1064503.9893406711</v>
      </c>
      <c r="S28" s="27">
        <f t="shared" si="10"/>
        <v>1214019.4260245189</v>
      </c>
      <c r="T28" s="27">
        <f>(N28-P28)*K28</f>
        <v>1132463.425907491</v>
      </c>
      <c r="U28" s="27">
        <f t="shared" si="8"/>
        <v>4524912.0830000183</v>
      </c>
      <c r="V28" s="119"/>
      <c r="W28" s="119"/>
      <c r="X28" s="119"/>
      <c r="Y28" s="29">
        <f t="shared" si="5"/>
        <v>100</v>
      </c>
      <c r="Z28" s="30">
        <f t="shared" si="6"/>
        <v>104</v>
      </c>
      <c r="AA28" s="2"/>
      <c r="AD28" s="32">
        <f t="shared" si="9"/>
        <v>0</v>
      </c>
    </row>
    <row r="29" spans="1:30" s="40" customFormat="1" ht="51.75" customHeight="1">
      <c r="A29" s="33" t="s">
        <v>45</v>
      </c>
      <c r="B29" s="34" t="s">
        <v>46</v>
      </c>
      <c r="C29" s="35" t="s">
        <v>303</v>
      </c>
      <c r="D29" s="33" t="s">
        <v>47</v>
      </c>
      <c r="E29" s="33"/>
      <c r="F29" s="36" t="s">
        <v>21</v>
      </c>
      <c r="G29" s="36"/>
      <c r="H29" s="26">
        <f>'2023'!H31</f>
        <v>3324.259</v>
      </c>
      <c r="I29" s="26">
        <f>'2023'!I31</f>
        <v>3279.3380000000002</v>
      </c>
      <c r="J29" s="26">
        <f>'2023'!J31</f>
        <v>3176.9130000000005</v>
      </c>
      <c r="K29" s="26">
        <f>'2023'!K31</f>
        <v>2921.5050000000001</v>
      </c>
      <c r="L29" s="26">
        <f t="shared" si="7"/>
        <v>12702.014999999999</v>
      </c>
      <c r="M29" s="38">
        <f>'2024'!N29</f>
        <v>63.831038000000007</v>
      </c>
      <c r="N29" s="27">
        <v>68.937521040000007</v>
      </c>
      <c r="O29" s="38">
        <f>'2024'!P29</f>
        <v>42.820544000000012</v>
      </c>
      <c r="P29" s="27">
        <v>44.533365760000017</v>
      </c>
      <c r="Q29" s="27">
        <f>(M29-O29)*H29</f>
        <v>69844.323773945987</v>
      </c>
      <c r="R29" s="27">
        <f t="shared" si="10"/>
        <v>68900.511372971989</v>
      </c>
      <c r="S29" s="27">
        <f t="shared" si="10"/>
        <v>77529.878163050627</v>
      </c>
      <c r="T29" s="27">
        <f>(N29-P29)*K29</f>
        <v>71296.86167129637</v>
      </c>
      <c r="U29" s="27">
        <f t="shared" si="8"/>
        <v>287571.57498126494</v>
      </c>
      <c r="V29" s="119"/>
      <c r="W29" s="119"/>
      <c r="X29" s="119"/>
      <c r="Y29" s="29">
        <f t="shared" si="5"/>
        <v>108</v>
      </c>
      <c r="Z29" s="30">
        <f t="shared" si="6"/>
        <v>104</v>
      </c>
      <c r="AA29" s="2"/>
      <c r="AD29" s="32">
        <f t="shared" si="9"/>
        <v>0</v>
      </c>
    </row>
    <row r="30" spans="1:30" s="40" customFormat="1" ht="15" customHeight="1">
      <c r="A30" s="33"/>
      <c r="B30" s="34"/>
      <c r="C30" s="35"/>
      <c r="D30" s="33"/>
      <c r="E30" s="33"/>
      <c r="F30" s="36"/>
      <c r="G30" s="36"/>
      <c r="H30" s="26"/>
      <c r="I30" s="26"/>
      <c r="J30" s="26"/>
      <c r="K30" s="26"/>
      <c r="L30" s="37"/>
      <c r="M30" s="41"/>
      <c r="N30" s="41"/>
      <c r="O30" s="41"/>
      <c r="P30" s="41"/>
      <c r="Q30" s="27"/>
      <c r="R30" s="27"/>
      <c r="S30" s="27"/>
      <c r="T30" s="27"/>
      <c r="U30" s="27"/>
      <c r="V30" s="119"/>
      <c r="W30" s="119"/>
      <c r="X30" s="119"/>
      <c r="Y30" s="29"/>
      <c r="Z30" s="30"/>
      <c r="AA30" s="2"/>
      <c r="AD30" s="32"/>
    </row>
    <row r="31" spans="1:30" s="40" customFormat="1" ht="60.75" customHeight="1">
      <c r="A31" s="33">
        <v>2901284489</v>
      </c>
      <c r="B31" s="34" t="s">
        <v>115</v>
      </c>
      <c r="C31" s="35" t="s">
        <v>306</v>
      </c>
      <c r="D31" s="33" t="s">
        <v>376</v>
      </c>
      <c r="E31" s="33"/>
      <c r="F31" s="36" t="s">
        <v>21</v>
      </c>
      <c r="G31" s="36"/>
      <c r="H31" s="26">
        <f>'2023'!H33</f>
        <v>22500</v>
      </c>
      <c r="I31" s="26">
        <f>'2023'!I33</f>
        <v>22500</v>
      </c>
      <c r="J31" s="26">
        <f>'2023'!J33</f>
        <v>22500</v>
      </c>
      <c r="K31" s="26">
        <f>'2023'!K33</f>
        <v>22500</v>
      </c>
      <c r="L31" s="26">
        <f t="shared" si="7"/>
        <v>90000</v>
      </c>
      <c r="M31" s="38">
        <f>'2024'!N31</f>
        <v>71.409116000000012</v>
      </c>
      <c r="N31" s="27">
        <v>77.121845280000031</v>
      </c>
      <c r="O31" s="38">
        <f>'2024'!P31</f>
        <v>51.344799999999999</v>
      </c>
      <c r="P31" s="38">
        <f>O31*1.04</f>
        <v>53.398592000000001</v>
      </c>
      <c r="Q31" s="27">
        <f>(M31-O31)*H31</f>
        <v>451447.11000000028</v>
      </c>
      <c r="R31" s="27">
        <f t="shared" ref="R31:S35" si="11">(M31-O31)*I31</f>
        <v>451447.11000000028</v>
      </c>
      <c r="S31" s="27">
        <f t="shared" si="11"/>
        <v>533773.19880000071</v>
      </c>
      <c r="T31" s="27">
        <f>(N31-P31)*K31</f>
        <v>533773.19880000071</v>
      </c>
      <c r="U31" s="27">
        <f t="shared" si="8"/>
        <v>1970440.6176000019</v>
      </c>
      <c r="V31" s="119"/>
      <c r="W31" s="119"/>
      <c r="X31" s="119"/>
      <c r="Y31" s="29"/>
      <c r="Z31" s="30"/>
      <c r="AA31" s="2"/>
      <c r="AD31" s="32"/>
    </row>
    <row r="32" spans="1:30" s="40" customFormat="1" ht="50.25" customHeight="1">
      <c r="A32" s="33">
        <v>2909002440</v>
      </c>
      <c r="B32" s="34" t="s">
        <v>48</v>
      </c>
      <c r="C32" s="35" t="s">
        <v>306</v>
      </c>
      <c r="D32" s="33" t="s">
        <v>307</v>
      </c>
      <c r="E32" s="33"/>
      <c r="F32" s="36" t="s">
        <v>21</v>
      </c>
      <c r="G32" s="36"/>
      <c r="H32" s="26">
        <f>'2023'!H34</f>
        <v>3119</v>
      </c>
      <c r="I32" s="26">
        <f>'2023'!I34</f>
        <v>3119</v>
      </c>
      <c r="J32" s="26">
        <f>'2023'!J34</f>
        <v>3119</v>
      </c>
      <c r="K32" s="26">
        <f>'2023'!K34</f>
        <v>3119</v>
      </c>
      <c r="L32" s="26">
        <f t="shared" si="7"/>
        <v>12476</v>
      </c>
      <c r="M32" s="38">
        <f>'2024'!N32</f>
        <v>51.088476800000002</v>
      </c>
      <c r="N32" s="27">
        <v>54.585171072000016</v>
      </c>
      <c r="O32" s="38">
        <f>'2024'!P32</f>
        <v>46.18</v>
      </c>
      <c r="P32" s="38">
        <f>O32*1.04</f>
        <v>48.027200000000001</v>
      </c>
      <c r="Q32" s="27">
        <f>(M32-O32)*H32</f>
        <v>15309.539139200007</v>
      </c>
      <c r="R32" s="27">
        <f t="shared" si="11"/>
        <v>15309.539139200007</v>
      </c>
      <c r="S32" s="27">
        <f t="shared" si="11"/>
        <v>20454.311773568046</v>
      </c>
      <c r="T32" s="27">
        <f>(N32-P32)*K32</f>
        <v>20454.311773568046</v>
      </c>
      <c r="U32" s="27">
        <f t="shared" si="8"/>
        <v>71527.701825536104</v>
      </c>
      <c r="V32" s="119"/>
      <c r="W32" s="119"/>
      <c r="X32" s="119"/>
      <c r="Y32" s="29">
        <f>N32/M32*100</f>
        <v>106.84438936335643</v>
      </c>
      <c r="Z32" s="30">
        <f>P32/O32*100</f>
        <v>104</v>
      </c>
      <c r="AA32" s="2" t="s">
        <v>49</v>
      </c>
      <c r="AD32" s="32">
        <f t="shared" si="9"/>
        <v>0</v>
      </c>
    </row>
    <row r="33" spans="1:30" s="40" customFormat="1" ht="49.5" customHeight="1">
      <c r="A33" s="33">
        <v>2909003034</v>
      </c>
      <c r="B33" s="34" t="s">
        <v>50</v>
      </c>
      <c r="C33" s="35" t="s">
        <v>306</v>
      </c>
      <c r="D33" s="33" t="s">
        <v>51</v>
      </c>
      <c r="E33" s="33"/>
      <c r="F33" s="36" t="s">
        <v>21</v>
      </c>
      <c r="G33" s="36"/>
      <c r="H33" s="26">
        <f>'2023'!H35</f>
        <v>1451</v>
      </c>
      <c r="I33" s="26">
        <f>'2023'!I35</f>
        <v>1451</v>
      </c>
      <c r="J33" s="26">
        <f>'2023'!J35</f>
        <v>1451</v>
      </c>
      <c r="K33" s="26">
        <f>'2023'!K35</f>
        <v>1451</v>
      </c>
      <c r="L33" s="26">
        <f t="shared" si="7"/>
        <v>5804</v>
      </c>
      <c r="M33" s="38">
        <f>'2024'!N33</f>
        <v>42.37</v>
      </c>
      <c r="N33" s="27">
        <v>45.763704000000004</v>
      </c>
      <c r="O33" s="38">
        <f>'2024'!P33</f>
        <v>38.844000000000001</v>
      </c>
      <c r="P33" s="38">
        <v>40.39</v>
      </c>
      <c r="Q33" s="27">
        <f>(M33-O33)*H33</f>
        <v>5116.2259999999942</v>
      </c>
      <c r="R33" s="27">
        <f t="shared" si="11"/>
        <v>5116.2259999999942</v>
      </c>
      <c r="S33" s="27">
        <f t="shared" si="11"/>
        <v>7797.2445040000048</v>
      </c>
      <c r="T33" s="27">
        <f>(N33-P33)*K33</f>
        <v>7797.2445040000048</v>
      </c>
      <c r="U33" s="27">
        <f t="shared" si="8"/>
        <v>25826.941007999998</v>
      </c>
      <c r="V33" s="119"/>
      <c r="W33" s="119"/>
      <c r="X33" s="119"/>
      <c r="Y33" s="29">
        <f>N33/M33*100</f>
        <v>108.00968609865474</v>
      </c>
      <c r="Z33" s="30">
        <f>P33/O33*100</f>
        <v>103.98002265472144</v>
      </c>
      <c r="AA33" s="2"/>
      <c r="AD33" s="32">
        <f t="shared" si="9"/>
        <v>1.9977345278562098E-2</v>
      </c>
    </row>
    <row r="34" spans="1:30" s="40" customFormat="1" ht="49.5" customHeight="1">
      <c r="A34" s="33">
        <v>2909003115</v>
      </c>
      <c r="B34" s="34" t="s">
        <v>53</v>
      </c>
      <c r="C34" s="35" t="s">
        <v>306</v>
      </c>
      <c r="D34" s="33" t="s">
        <v>54</v>
      </c>
      <c r="E34" s="33"/>
      <c r="F34" s="36" t="s">
        <v>21</v>
      </c>
      <c r="G34" s="36"/>
      <c r="H34" s="26">
        <f>'2023'!H36</f>
        <v>2530.6799999999998</v>
      </c>
      <c r="I34" s="26">
        <f>'2023'!I36</f>
        <v>2816.0430000000001</v>
      </c>
      <c r="J34" s="26">
        <f>'2023'!J36</f>
        <v>3104.43</v>
      </c>
      <c r="K34" s="26">
        <f>'2023'!K36</f>
        <v>2631.49</v>
      </c>
      <c r="L34" s="26">
        <f t="shared" si="7"/>
        <v>11082.643</v>
      </c>
      <c r="M34" s="38">
        <f>'2024'!N34</f>
        <v>51.23</v>
      </c>
      <c r="N34" s="27">
        <v>55.324836000000019</v>
      </c>
      <c r="O34" s="38">
        <f>'2024'!P34</f>
        <v>46.18</v>
      </c>
      <c r="P34" s="38">
        <f>O34*1.04</f>
        <v>48.027200000000001</v>
      </c>
      <c r="Q34" s="27">
        <f>(M34-O34)*H34</f>
        <v>12779.933999999992</v>
      </c>
      <c r="R34" s="27">
        <f t="shared" si="11"/>
        <v>14221.017149999992</v>
      </c>
      <c r="S34" s="27">
        <f t="shared" si="11"/>
        <v>22655.000127480056</v>
      </c>
      <c r="T34" s="27">
        <f>(N34-P34)*K34</f>
        <v>19203.656157640045</v>
      </c>
      <c r="U34" s="27">
        <f t="shared" si="8"/>
        <v>68859.60743512008</v>
      </c>
      <c r="V34" s="119"/>
      <c r="W34" s="119"/>
      <c r="X34" s="119"/>
      <c r="Y34" s="29">
        <f>N34/M34*100</f>
        <v>107.99304313878591</v>
      </c>
      <c r="Z34" s="30">
        <f>P34/O34*100</f>
        <v>104</v>
      </c>
      <c r="AA34" s="2"/>
      <c r="AD34" s="32">
        <f t="shared" si="9"/>
        <v>0</v>
      </c>
    </row>
    <row r="35" spans="1:30" s="40" customFormat="1" ht="51" customHeight="1">
      <c r="A35" s="33">
        <v>2909003115</v>
      </c>
      <c r="B35" s="34" t="s">
        <v>53</v>
      </c>
      <c r="C35" s="35" t="s">
        <v>306</v>
      </c>
      <c r="D35" s="33" t="s">
        <v>55</v>
      </c>
      <c r="E35" s="33"/>
      <c r="F35" s="36" t="s">
        <v>21</v>
      </c>
      <c r="G35" s="36"/>
      <c r="H35" s="26">
        <f>'2023'!H37</f>
        <v>21467.5</v>
      </c>
      <c r="I35" s="26">
        <f>'2023'!I37</f>
        <v>21467.5</v>
      </c>
      <c r="J35" s="26">
        <f>'2023'!J37</f>
        <v>21467.5</v>
      </c>
      <c r="K35" s="26">
        <f>'2023'!K37</f>
        <v>21467.5</v>
      </c>
      <c r="L35" s="26">
        <f t="shared" si="7"/>
        <v>85870</v>
      </c>
      <c r="M35" s="38">
        <f>'2024'!N35</f>
        <v>63.5</v>
      </c>
      <c r="N35" s="27">
        <v>68.581512000000032</v>
      </c>
      <c r="O35" s="38">
        <f>'2024'!P35</f>
        <v>59.186399999999999</v>
      </c>
      <c r="P35" s="38">
        <f>O35*1.04</f>
        <v>61.553856000000003</v>
      </c>
      <c r="Q35" s="27">
        <f>(M35-O35)*H35</f>
        <v>92602.208000000028</v>
      </c>
      <c r="R35" s="27">
        <f t="shared" si="11"/>
        <v>92602.208000000028</v>
      </c>
      <c r="S35" s="27">
        <f t="shared" si="11"/>
        <v>150866.20518000063</v>
      </c>
      <c r="T35" s="27">
        <f>(N35-P35)*K35</f>
        <v>150866.20518000063</v>
      </c>
      <c r="U35" s="27">
        <f t="shared" si="8"/>
        <v>486936.82636000135</v>
      </c>
      <c r="V35" s="119"/>
      <c r="W35" s="119"/>
      <c r="X35" s="119"/>
      <c r="Y35" s="29">
        <f>N35/M35*100</f>
        <v>108.00238110236226</v>
      </c>
      <c r="Z35" s="30">
        <f>P35/O35*100</f>
        <v>104</v>
      </c>
      <c r="AA35" s="2"/>
      <c r="AD35" s="32">
        <f t="shared" si="9"/>
        <v>0</v>
      </c>
    </row>
    <row r="36" spans="1:30" s="40" customFormat="1" ht="15" customHeight="1">
      <c r="A36" s="33"/>
      <c r="B36" s="34"/>
      <c r="C36" s="35"/>
      <c r="D36" s="33"/>
      <c r="E36" s="33"/>
      <c r="F36" s="36"/>
      <c r="G36" s="36"/>
      <c r="H36" s="26"/>
      <c r="I36" s="26"/>
      <c r="J36" s="26"/>
      <c r="K36" s="26"/>
      <c r="L36" s="37"/>
      <c r="M36" s="41"/>
      <c r="N36" s="41"/>
      <c r="O36" s="41"/>
      <c r="P36" s="41"/>
      <c r="Q36" s="27"/>
      <c r="R36" s="27"/>
      <c r="S36" s="27"/>
      <c r="T36" s="27"/>
      <c r="U36" s="27"/>
      <c r="V36" s="119"/>
      <c r="W36" s="119"/>
      <c r="X36" s="119"/>
      <c r="Y36" s="29"/>
      <c r="Z36" s="30"/>
      <c r="AA36" s="2"/>
      <c r="AD36" s="32"/>
    </row>
    <row r="37" spans="1:30" s="40" customFormat="1" ht="49.5" customHeight="1">
      <c r="A37" s="33">
        <v>2910005156</v>
      </c>
      <c r="B37" s="34" t="s">
        <v>56</v>
      </c>
      <c r="C37" s="35" t="s">
        <v>298</v>
      </c>
      <c r="D37" s="33" t="s">
        <v>299</v>
      </c>
      <c r="E37" s="33"/>
      <c r="F37" s="36" t="s">
        <v>21</v>
      </c>
      <c r="G37" s="36"/>
      <c r="H37" s="26">
        <f>'2023'!H39</f>
        <v>559.42100000000005</v>
      </c>
      <c r="I37" s="26">
        <f>'2023'!I39</f>
        <v>457.339</v>
      </c>
      <c r="J37" s="26">
        <f>'2023'!J39</f>
        <v>578.351</v>
      </c>
      <c r="K37" s="26">
        <f>'2023'!K39</f>
        <v>556.68299999999999</v>
      </c>
      <c r="L37" s="26">
        <f t="shared" si="7"/>
        <v>2151.7939999999999</v>
      </c>
      <c r="M37" s="38">
        <f>'2024'!N37</f>
        <v>271.45</v>
      </c>
      <c r="N37" s="27">
        <v>293.16103200000009</v>
      </c>
      <c r="O37" s="38">
        <f>'2024'!P37</f>
        <v>69.222400000000007</v>
      </c>
      <c r="P37" s="27">
        <f>O37*1.04</f>
        <v>71.991296000000006</v>
      </c>
      <c r="Q37" s="27">
        <f>(M37-O37)*H37</f>
        <v>113130.36621960001</v>
      </c>
      <c r="R37" s="27">
        <f t="shared" ref="R37:S41" si="12">(M37-O37)*I37</f>
        <v>92486.568356399992</v>
      </c>
      <c r="S37" s="27">
        <f t="shared" si="12"/>
        <v>127913.73798533605</v>
      </c>
      <c r="T37" s="27">
        <f>(N37-P37)*K37</f>
        <v>123121.43214568804</v>
      </c>
      <c r="U37" s="27">
        <f t="shared" si="8"/>
        <v>456652.10470702412</v>
      </c>
      <c r="V37" s="119"/>
      <c r="W37" s="119"/>
      <c r="X37" s="119"/>
      <c r="Y37" s="29">
        <f t="shared" ref="Y37:Y57" si="13">N37/M37*100</f>
        <v>107.99816982869777</v>
      </c>
      <c r="Z37" s="30">
        <f t="shared" ref="Z37:Z57" si="14">P37/O37*100</f>
        <v>104</v>
      </c>
      <c r="AA37" s="2"/>
      <c r="AD37" s="32">
        <f t="shared" si="9"/>
        <v>0</v>
      </c>
    </row>
    <row r="38" spans="1:30" s="40" customFormat="1" ht="49.5" customHeight="1">
      <c r="A38" s="33">
        <v>2910005156</v>
      </c>
      <c r="B38" s="34" t="s">
        <v>56</v>
      </c>
      <c r="C38" s="35" t="s">
        <v>298</v>
      </c>
      <c r="D38" s="33" t="s">
        <v>300</v>
      </c>
      <c r="E38" s="33"/>
      <c r="F38" s="36" t="s">
        <v>21</v>
      </c>
      <c r="G38" s="36"/>
      <c r="H38" s="26">
        <f>'2023'!H40</f>
        <v>273.21100000000001</v>
      </c>
      <c r="I38" s="26">
        <f>'2023'!I40</f>
        <v>307.11099999999999</v>
      </c>
      <c r="J38" s="26">
        <f>'2023'!J40</f>
        <v>365.20400000000001</v>
      </c>
      <c r="K38" s="26">
        <f>'2023'!K40</f>
        <v>255.37700000000001</v>
      </c>
      <c r="L38" s="26">
        <f t="shared" si="7"/>
        <v>1200.903</v>
      </c>
      <c r="M38" s="38">
        <f>'2024'!N38</f>
        <v>253.63</v>
      </c>
      <c r="N38" s="27">
        <v>273.92018400000006</v>
      </c>
      <c r="O38" s="38">
        <f>'2024'!P38</f>
        <v>32.29</v>
      </c>
      <c r="P38" s="27">
        <f>O38*1.04</f>
        <v>33.581600000000002</v>
      </c>
      <c r="Q38" s="27">
        <f>(M38-O38)*H38</f>
        <v>60472.52274</v>
      </c>
      <c r="R38" s="27">
        <f t="shared" si="12"/>
        <v>67975.948739999993</v>
      </c>
      <c r="S38" s="27">
        <f t="shared" si="12"/>
        <v>87772.612231136023</v>
      </c>
      <c r="T38" s="27">
        <f>(N38-P38)*K38</f>
        <v>61376.946566168015</v>
      </c>
      <c r="U38" s="27">
        <f t="shared" si="8"/>
        <v>277598.030277304</v>
      </c>
      <c r="V38" s="119"/>
      <c r="W38" s="119"/>
      <c r="X38" s="119"/>
      <c r="Y38" s="29">
        <f t="shared" si="13"/>
        <v>107.99991483657298</v>
      </c>
      <c r="Z38" s="30">
        <f t="shared" si="14"/>
        <v>104</v>
      </c>
      <c r="AA38" s="2"/>
      <c r="AD38" s="32">
        <f t="shared" si="9"/>
        <v>0</v>
      </c>
    </row>
    <row r="39" spans="1:30" s="40" customFormat="1" ht="49.5" customHeight="1">
      <c r="A39" s="33">
        <v>2910005156</v>
      </c>
      <c r="B39" s="34" t="s">
        <v>56</v>
      </c>
      <c r="C39" s="35" t="s">
        <v>298</v>
      </c>
      <c r="D39" s="33" t="s">
        <v>301</v>
      </c>
      <c r="E39" s="33"/>
      <c r="F39" s="36" t="s">
        <v>21</v>
      </c>
      <c r="G39" s="36"/>
      <c r="H39" s="26">
        <f>'2023'!H41</f>
        <v>2044.883</v>
      </c>
      <c r="I39" s="26">
        <f>'2023'!I41</f>
        <v>2060.6880000000001</v>
      </c>
      <c r="J39" s="26">
        <f>'2023'!J41</f>
        <v>2142.7689999999998</v>
      </c>
      <c r="K39" s="26">
        <f>'2023'!K41</f>
        <v>1927.5629999999999</v>
      </c>
      <c r="L39" s="26">
        <f t="shared" si="7"/>
        <v>8175.9030000000002</v>
      </c>
      <c r="M39" s="38">
        <f>'2024'!N39</f>
        <v>191.49</v>
      </c>
      <c r="N39" s="27">
        <v>206.81449200000003</v>
      </c>
      <c r="O39" s="38">
        <f>'2024'!P39</f>
        <v>71.926400000000001</v>
      </c>
      <c r="P39" s="27">
        <f>O39*1.04</f>
        <v>74.803455999999997</v>
      </c>
      <c r="Q39" s="27">
        <f>(M39-O39)*H39</f>
        <v>244493.57305880002</v>
      </c>
      <c r="R39" s="27">
        <f t="shared" si="12"/>
        <v>246383.27575680002</v>
      </c>
      <c r="S39" s="27">
        <f t="shared" si="12"/>
        <v>282869.1555986841</v>
      </c>
      <c r="T39" s="27">
        <f>(N39-P39)*K39</f>
        <v>254459.58858526807</v>
      </c>
      <c r="U39" s="27">
        <f t="shared" si="8"/>
        <v>1028205.5929995521</v>
      </c>
      <c r="V39" s="119"/>
      <c r="W39" s="119"/>
      <c r="X39" s="119"/>
      <c r="Y39" s="29">
        <f t="shared" si="13"/>
        <v>108.00276359078805</v>
      </c>
      <c r="Z39" s="30">
        <f t="shared" si="14"/>
        <v>104</v>
      </c>
      <c r="AA39" s="2"/>
      <c r="AD39" s="32">
        <f t="shared" si="9"/>
        <v>0</v>
      </c>
    </row>
    <row r="40" spans="1:30" s="40" customFormat="1" ht="49.5" customHeight="1">
      <c r="A40" s="33">
        <v>2922008546</v>
      </c>
      <c r="B40" s="34" t="s">
        <v>59</v>
      </c>
      <c r="C40" s="35" t="s">
        <v>298</v>
      </c>
      <c r="D40" s="33" t="s">
        <v>308</v>
      </c>
      <c r="E40" s="33"/>
      <c r="F40" s="36" t="s">
        <v>21</v>
      </c>
      <c r="G40" s="36"/>
      <c r="H40" s="26">
        <f>'2023'!H42</f>
        <v>7966.72</v>
      </c>
      <c r="I40" s="26">
        <f>'2023'!I42</f>
        <v>5301.76</v>
      </c>
      <c r="J40" s="26">
        <f>'2023'!J42</f>
        <v>7014.75</v>
      </c>
      <c r="K40" s="26">
        <f>'2023'!K42</f>
        <v>6684.8499999999995</v>
      </c>
      <c r="L40" s="26">
        <f t="shared" si="7"/>
        <v>26968.079999999998</v>
      </c>
      <c r="M40" s="38">
        <f>'2024'!N40</f>
        <v>85.97</v>
      </c>
      <c r="N40" s="27">
        <v>92.849112000000019</v>
      </c>
      <c r="O40" s="38">
        <f>'2024'!P40</f>
        <v>26.530400000000004</v>
      </c>
      <c r="P40" s="27">
        <f>O40*1.04</f>
        <v>27.591616000000005</v>
      </c>
      <c r="Q40" s="27">
        <f>(M40-O40)*H40</f>
        <v>473538.650112</v>
      </c>
      <c r="R40" s="27">
        <f t="shared" si="12"/>
        <v>315134.49369600002</v>
      </c>
      <c r="S40" s="27">
        <f t="shared" si="12"/>
        <v>457765.02006600011</v>
      </c>
      <c r="T40" s="27">
        <f>(N40-P40)*K40</f>
        <v>436236.57213560009</v>
      </c>
      <c r="U40" s="27">
        <f t="shared" si="8"/>
        <v>1682674.7360096001</v>
      </c>
      <c r="V40" s="119"/>
      <c r="W40" s="119"/>
      <c r="X40" s="119"/>
      <c r="Y40" s="29">
        <f t="shared" si="13"/>
        <v>108.00175875305342</v>
      </c>
      <c r="Z40" s="30">
        <f t="shared" si="14"/>
        <v>104</v>
      </c>
      <c r="AA40" s="2"/>
      <c r="AD40" s="32">
        <f t="shared" si="9"/>
        <v>0</v>
      </c>
    </row>
    <row r="41" spans="1:30" s="40" customFormat="1" ht="49.5" customHeight="1">
      <c r="A41" s="33">
        <v>2910005090</v>
      </c>
      <c r="B41" s="34" t="s">
        <v>57</v>
      </c>
      <c r="C41" s="35" t="s">
        <v>298</v>
      </c>
      <c r="D41" s="33" t="s">
        <v>309</v>
      </c>
      <c r="E41" s="33"/>
      <c r="F41" s="36" t="s">
        <v>21</v>
      </c>
      <c r="G41" s="36"/>
      <c r="H41" s="26">
        <f>'2023'!H43</f>
        <v>579.54899999999998</v>
      </c>
      <c r="I41" s="26">
        <f>'2023'!I43</f>
        <v>674.46500000000003</v>
      </c>
      <c r="J41" s="26">
        <f>'2023'!J43</f>
        <v>706.42500000000007</v>
      </c>
      <c r="K41" s="26">
        <f>'2023'!K43</f>
        <v>561.08400000000006</v>
      </c>
      <c r="L41" s="26">
        <f t="shared" si="7"/>
        <v>2521.5230000000001</v>
      </c>
      <c r="M41" s="38">
        <f>'2024'!N41</f>
        <v>91.53</v>
      </c>
      <c r="N41" s="27">
        <v>98.855208000000005</v>
      </c>
      <c r="O41" s="38">
        <f>'2024'!P41</f>
        <v>54.319200000000002</v>
      </c>
      <c r="P41" s="27">
        <f>O41*1.04</f>
        <v>56.491968000000007</v>
      </c>
      <c r="Q41" s="27">
        <f>(M41-O41)*H41</f>
        <v>21565.481929199999</v>
      </c>
      <c r="R41" s="27">
        <f t="shared" si="12"/>
        <v>25097.382222</v>
      </c>
      <c r="S41" s="27">
        <f t="shared" si="12"/>
        <v>29926.451817000001</v>
      </c>
      <c r="T41" s="27">
        <f>(N41-P41)*K41</f>
        <v>23769.336152160002</v>
      </c>
      <c r="U41" s="27">
        <f t="shared" si="8"/>
        <v>100358.65212036001</v>
      </c>
      <c r="V41" s="119"/>
      <c r="W41" s="119"/>
      <c r="X41" s="119"/>
      <c r="Y41" s="29">
        <f t="shared" si="13"/>
        <v>108.00306784660766</v>
      </c>
      <c r="Z41" s="30">
        <f t="shared" si="14"/>
        <v>104</v>
      </c>
      <c r="AA41" s="2"/>
      <c r="AD41" s="32">
        <f t="shared" si="9"/>
        <v>0</v>
      </c>
    </row>
    <row r="42" spans="1:30" s="40" customFormat="1" ht="15" customHeight="1">
      <c r="A42" s="33"/>
      <c r="B42" s="34"/>
      <c r="C42" s="35"/>
      <c r="D42" s="33"/>
      <c r="E42" s="33"/>
      <c r="F42" s="36"/>
      <c r="G42" s="36"/>
      <c r="H42" s="26"/>
      <c r="I42" s="26"/>
      <c r="J42" s="26"/>
      <c r="K42" s="26"/>
      <c r="L42" s="37"/>
      <c r="M42" s="41"/>
      <c r="N42" s="41"/>
      <c r="O42" s="41"/>
      <c r="P42" s="41"/>
      <c r="Q42" s="27"/>
      <c r="R42" s="27"/>
      <c r="S42" s="27"/>
      <c r="T42" s="27"/>
      <c r="U42" s="27"/>
      <c r="V42" s="119"/>
      <c r="W42" s="119"/>
      <c r="X42" s="119"/>
      <c r="Y42" s="29" t="e">
        <f t="shared" si="13"/>
        <v>#DIV/0!</v>
      </c>
      <c r="Z42" s="30" t="e">
        <f t="shared" si="14"/>
        <v>#DIV/0!</v>
      </c>
      <c r="AA42" s="2"/>
      <c r="AD42" s="32" t="e">
        <f t="shared" si="9"/>
        <v>#DIV/0!</v>
      </c>
    </row>
    <row r="43" spans="1:30" s="40" customFormat="1" ht="51.75" customHeight="1">
      <c r="A43" s="33">
        <v>7708503727</v>
      </c>
      <c r="B43" s="34" t="s">
        <v>61</v>
      </c>
      <c r="C43" s="35" t="s">
        <v>62</v>
      </c>
      <c r="D43" s="33" t="s">
        <v>63</v>
      </c>
      <c r="E43" s="33"/>
      <c r="F43" s="36" t="s">
        <v>21</v>
      </c>
      <c r="G43" s="36"/>
      <c r="H43" s="26">
        <f>'2023'!H45</f>
        <v>786.79</v>
      </c>
      <c r="I43" s="26">
        <f>'2023'!I45</f>
        <v>871.79</v>
      </c>
      <c r="J43" s="26">
        <f>'2023'!J45</f>
        <v>259.84199999999998</v>
      </c>
      <c r="K43" s="26">
        <f>'2023'!K45</f>
        <v>785.76800000000003</v>
      </c>
      <c r="L43" s="26">
        <f t="shared" si="7"/>
        <v>2704.19</v>
      </c>
      <c r="M43" s="38">
        <f>'2024'!N43</f>
        <v>54.992384506</v>
      </c>
      <c r="N43" s="27">
        <v>59.391775266480003</v>
      </c>
      <c r="O43" s="38">
        <f>'2024'!P43</f>
        <v>39.028951936000006</v>
      </c>
      <c r="P43" s="27">
        <v>40.590110013440004</v>
      </c>
      <c r="Q43" s="27">
        <f>(M43-O43)*H43</f>
        <v>12559.869111750295</v>
      </c>
      <c r="R43" s="27">
        <f t="shared" ref="R43:S45" si="15">(M43-O43)*I43</f>
        <v>13916.760880200294</v>
      </c>
      <c r="S43" s="27">
        <f t="shared" si="15"/>
        <v>4885.4623026804193</v>
      </c>
      <c r="T43" s="27">
        <f>(N43-P43)*K43</f>
        <v>14773.746902550734</v>
      </c>
      <c r="U43" s="27">
        <f t="shared" si="8"/>
        <v>46135.839197181747</v>
      </c>
      <c r="V43" s="119"/>
      <c r="W43" s="119"/>
      <c r="X43" s="119"/>
      <c r="Y43" s="29">
        <f t="shared" si="13"/>
        <v>108</v>
      </c>
      <c r="Z43" s="30">
        <f t="shared" si="14"/>
        <v>104</v>
      </c>
      <c r="AA43" s="2"/>
      <c r="AD43" s="32">
        <f t="shared" si="9"/>
        <v>0</v>
      </c>
    </row>
    <row r="44" spans="1:30" s="40" customFormat="1" ht="72.75" customHeight="1">
      <c r="A44" s="33">
        <v>2901243725</v>
      </c>
      <c r="B44" s="34" t="s">
        <v>65</v>
      </c>
      <c r="C44" s="34" t="s">
        <v>66</v>
      </c>
      <c r="D44" s="42"/>
      <c r="E44" s="42"/>
      <c r="F44" s="36" t="s">
        <v>21</v>
      </c>
      <c r="G44" s="36"/>
      <c r="H44" s="26">
        <f>'2023'!H46</f>
        <v>213710.30900000001</v>
      </c>
      <c r="I44" s="26">
        <f>'2023'!I46</f>
        <v>207351.625</v>
      </c>
      <c r="J44" s="26">
        <f>'2023'!J46</f>
        <v>208513.883</v>
      </c>
      <c r="K44" s="26">
        <f>'2023'!K46</f>
        <v>204169.28400000001</v>
      </c>
      <c r="L44" s="26">
        <f t="shared" si="7"/>
        <v>833745.10100000002</v>
      </c>
      <c r="M44" s="38">
        <v>361.20540966334778</v>
      </c>
      <c r="N44" s="27">
        <v>390.10184243641567</v>
      </c>
      <c r="O44" s="38">
        <f>'2024'!P44</f>
        <v>39.028951936000006</v>
      </c>
      <c r="P44" s="27">
        <f>O44*1.04</f>
        <v>40.590110013440004</v>
      </c>
      <c r="Q44" s="27">
        <f>(M44-O44)*H44</f>
        <v>68852430.333436936</v>
      </c>
      <c r="R44" s="27">
        <f t="shared" si="15"/>
        <v>66803812.04650937</v>
      </c>
      <c r="S44" s="27">
        <f t="shared" si="15"/>
        <v>72878048.481571659</v>
      </c>
      <c r="T44" s="27">
        <f>(N44-P44)*K44</f>
        <v>71359560.158398539</v>
      </c>
      <c r="U44" s="27">
        <f t="shared" si="8"/>
        <v>279893851.01991653</v>
      </c>
      <c r="V44" s="119"/>
      <c r="W44" s="119"/>
      <c r="X44" s="119"/>
      <c r="Y44" s="29">
        <f t="shared" si="13"/>
        <v>108</v>
      </c>
      <c r="Z44" s="30">
        <f t="shared" si="14"/>
        <v>104</v>
      </c>
      <c r="AA44" s="2"/>
      <c r="AD44" s="32">
        <f t="shared" si="9"/>
        <v>0</v>
      </c>
    </row>
    <row r="45" spans="1:30" s="40" customFormat="1" ht="72.75" customHeight="1">
      <c r="A45" s="33">
        <v>7726747370</v>
      </c>
      <c r="B45" s="34" t="s">
        <v>68</v>
      </c>
      <c r="C45" s="34" t="s">
        <v>66</v>
      </c>
      <c r="D45" s="33"/>
      <c r="E45" s="33"/>
      <c r="F45" s="36" t="s">
        <v>21</v>
      </c>
      <c r="G45" s="36"/>
      <c r="H45" s="26">
        <f>'2023'!H47</f>
        <v>3707766.75</v>
      </c>
      <c r="I45" s="26">
        <f>'2023'!I47</f>
        <v>3656160.5200000005</v>
      </c>
      <c r="J45" s="26">
        <f>'2023'!J47</f>
        <v>3436458.22</v>
      </c>
      <c r="K45" s="26">
        <f>'2023'!K47</f>
        <v>3832078.22</v>
      </c>
      <c r="L45" s="26">
        <f t="shared" si="7"/>
        <v>14632463.710000001</v>
      </c>
      <c r="M45" s="38">
        <v>84.579452199363999</v>
      </c>
      <c r="N45" s="27">
        <v>90.943640368622169</v>
      </c>
      <c r="O45" s="38">
        <f>'2024'!P45</f>
        <v>39.028951936000006</v>
      </c>
      <c r="P45" s="27">
        <f>O45*1.04</f>
        <v>40.590110013440004</v>
      </c>
      <c r="Q45" s="27">
        <f>(M45-O45)*H45</f>
        <v>168890630.32236725</v>
      </c>
      <c r="R45" s="27">
        <f t="shared" si="15"/>
        <v>166539940.72916105</v>
      </c>
      <c r="S45" s="27">
        <f t="shared" si="15"/>
        <v>173037803.29508528</v>
      </c>
      <c r="T45" s="27">
        <f>(N45-P45)*K45</f>
        <v>192958666.97420245</v>
      </c>
      <c r="U45" s="27">
        <f t="shared" si="8"/>
        <v>701427041.32081604</v>
      </c>
      <c r="V45" s="119"/>
      <c r="W45" s="119"/>
      <c r="X45" s="119"/>
      <c r="Y45" s="29">
        <f t="shared" si="13"/>
        <v>107.52450861736136</v>
      </c>
      <c r="Z45" s="30">
        <f t="shared" si="14"/>
        <v>104</v>
      </c>
      <c r="AA45" s="2"/>
      <c r="AD45" s="32">
        <f t="shared" si="9"/>
        <v>0</v>
      </c>
    </row>
    <row r="46" spans="1:30" s="40" customFormat="1" ht="15" customHeight="1">
      <c r="A46" s="33"/>
      <c r="B46" s="34"/>
      <c r="C46" s="35"/>
      <c r="D46" s="33"/>
      <c r="E46" s="33"/>
      <c r="F46" s="36"/>
      <c r="G46" s="36"/>
      <c r="H46" s="26"/>
      <c r="I46" s="26"/>
      <c r="J46" s="26"/>
      <c r="K46" s="26"/>
      <c r="L46" s="37"/>
      <c r="M46" s="41"/>
      <c r="N46" s="41"/>
      <c r="O46" s="41"/>
      <c r="P46" s="41"/>
      <c r="Q46" s="27"/>
      <c r="R46" s="27"/>
      <c r="S46" s="27"/>
      <c r="T46" s="27"/>
      <c r="U46" s="27"/>
      <c r="V46" s="119"/>
      <c r="W46" s="119"/>
      <c r="X46" s="119"/>
      <c r="Y46" s="29" t="e">
        <f t="shared" si="13"/>
        <v>#DIV/0!</v>
      </c>
      <c r="Z46" s="30" t="e">
        <f t="shared" si="14"/>
        <v>#DIV/0!</v>
      </c>
      <c r="AA46" s="2"/>
      <c r="AD46" s="32" t="e">
        <f t="shared" si="9"/>
        <v>#DIV/0!</v>
      </c>
    </row>
    <row r="47" spans="1:30" s="40" customFormat="1" ht="45.75" customHeight="1">
      <c r="A47" s="33">
        <v>2903011092</v>
      </c>
      <c r="B47" s="34" t="s">
        <v>70</v>
      </c>
      <c r="C47" s="35" t="s">
        <v>71</v>
      </c>
      <c r="D47" s="33" t="s">
        <v>63</v>
      </c>
      <c r="E47" s="33"/>
      <c r="F47" s="36" t="s">
        <v>21</v>
      </c>
      <c r="G47" s="36"/>
      <c r="H47" s="26">
        <f>'2023'!H49</f>
        <v>333454.59999999998</v>
      </c>
      <c r="I47" s="26">
        <f>'2023'!I49</f>
        <v>302738.8</v>
      </c>
      <c r="J47" s="26">
        <f>'2023'!J49</f>
        <v>289830.08</v>
      </c>
      <c r="K47" s="26">
        <f>'2023'!K49</f>
        <v>305615.04000000004</v>
      </c>
      <c r="L47" s="26">
        <f t="shared" si="7"/>
        <v>1231638.52</v>
      </c>
      <c r="M47" s="38">
        <f>'2024'!N47</f>
        <v>82.97</v>
      </c>
      <c r="N47" s="27">
        <v>89.607599999999991</v>
      </c>
      <c r="O47" s="38">
        <v>46.433087999999998</v>
      </c>
      <c r="P47" s="27">
        <f>O47*1.04</f>
        <v>48.290411519999999</v>
      </c>
      <c r="Q47" s="27">
        <f>(M47-O47)*H47</f>
        <v>12183401.3761952</v>
      </c>
      <c r="R47" s="27">
        <f>(M47-O47)*I47</f>
        <v>11061140.8945856</v>
      </c>
      <c r="S47" s="27">
        <f>(N47-P47)*J47</f>
        <v>11974964.042533476</v>
      </c>
      <c r="T47" s="27">
        <f>(N47-P47)*K47</f>
        <v>12627154.210002739</v>
      </c>
      <c r="U47" s="27">
        <f t="shared" si="8"/>
        <v>47846660.523317009</v>
      </c>
      <c r="V47" s="119"/>
      <c r="W47" s="119"/>
      <c r="X47" s="119"/>
      <c r="Y47" s="29">
        <f t="shared" si="13"/>
        <v>107.99999999999999</v>
      </c>
      <c r="Z47" s="30">
        <f t="shared" si="14"/>
        <v>104</v>
      </c>
      <c r="AA47" s="2"/>
      <c r="AD47" s="32">
        <f t="shared" si="9"/>
        <v>0</v>
      </c>
    </row>
    <row r="48" spans="1:30" s="40" customFormat="1" ht="15" customHeight="1">
      <c r="A48" s="33"/>
      <c r="B48" s="34"/>
      <c r="C48" s="35"/>
      <c r="D48" s="33"/>
      <c r="E48" s="33"/>
      <c r="F48" s="36"/>
      <c r="G48" s="36"/>
      <c r="H48" s="26"/>
      <c r="I48" s="26"/>
      <c r="J48" s="26"/>
      <c r="K48" s="26"/>
      <c r="L48" s="37"/>
      <c r="M48" s="41"/>
      <c r="N48" s="41"/>
      <c r="O48" s="41"/>
      <c r="P48" s="41"/>
      <c r="Q48" s="27"/>
      <c r="R48" s="27"/>
      <c r="S48" s="27"/>
      <c r="T48" s="27"/>
      <c r="U48" s="27"/>
      <c r="V48" s="119"/>
      <c r="W48" s="119"/>
      <c r="X48" s="119"/>
      <c r="Y48" s="29" t="e">
        <f t="shared" si="13"/>
        <v>#DIV/0!</v>
      </c>
      <c r="Z48" s="30" t="e">
        <f t="shared" si="14"/>
        <v>#DIV/0!</v>
      </c>
      <c r="AA48" s="2"/>
      <c r="AD48" s="32" t="e">
        <f t="shared" si="9"/>
        <v>#DIV/0!</v>
      </c>
    </row>
    <row r="49" spans="1:30" s="40" customFormat="1" ht="51" customHeight="1">
      <c r="A49" s="33">
        <v>2905001195</v>
      </c>
      <c r="B49" s="34" t="s">
        <v>72</v>
      </c>
      <c r="C49" s="35" t="s">
        <v>73</v>
      </c>
      <c r="D49" s="33"/>
      <c r="E49" s="33"/>
      <c r="F49" s="36" t="s">
        <v>21</v>
      </c>
      <c r="G49" s="36"/>
      <c r="H49" s="26">
        <f>'2023'!H51</f>
        <v>314236.375</v>
      </c>
      <c r="I49" s="26">
        <f>'2023'!I51</f>
        <v>314236.375</v>
      </c>
      <c r="J49" s="26">
        <f>'2023'!J51</f>
        <v>314236.375</v>
      </c>
      <c r="K49" s="26">
        <f>'2023'!K51</f>
        <v>314236.375</v>
      </c>
      <c r="L49" s="26">
        <f t="shared" si="7"/>
        <v>1256945.5</v>
      </c>
      <c r="M49" s="38">
        <f>'2024'!N49</f>
        <v>39.54</v>
      </c>
      <c r="N49" s="27">
        <v>42.7</v>
      </c>
      <c r="O49" s="38">
        <f>'2024'!P49</f>
        <v>28.069599999999998</v>
      </c>
      <c r="P49" s="27">
        <f>O49*1.04</f>
        <v>29.192383999999997</v>
      </c>
      <c r="Q49" s="27">
        <f>(M49-O49)*H49</f>
        <v>3604416.9158000005</v>
      </c>
      <c r="R49" s="27">
        <f>(M49-O49)*I49</f>
        <v>3604416.9158000005</v>
      </c>
      <c r="S49" s="27">
        <f>(N49-P49)*J49</f>
        <v>4244584.2867320022</v>
      </c>
      <c r="T49" s="27">
        <f>(N49-P49)*K49</f>
        <v>4244584.2867320022</v>
      </c>
      <c r="U49" s="27">
        <f t="shared" si="8"/>
        <v>15698002.405064005</v>
      </c>
      <c r="V49" s="119"/>
      <c r="W49" s="119"/>
      <c r="X49" s="119"/>
      <c r="Y49" s="29">
        <f t="shared" si="13"/>
        <v>107.99190692969145</v>
      </c>
      <c r="Z49" s="30">
        <f t="shared" si="14"/>
        <v>104</v>
      </c>
      <c r="AA49" s="2"/>
      <c r="AD49" s="32">
        <f t="shared" si="9"/>
        <v>0</v>
      </c>
    </row>
    <row r="50" spans="1:30" s="40" customFormat="1" ht="15" customHeight="1">
      <c r="A50" s="33"/>
      <c r="B50" s="34"/>
      <c r="C50" s="35"/>
      <c r="D50" s="33"/>
      <c r="E50" s="33"/>
      <c r="F50" s="36"/>
      <c r="G50" s="36"/>
      <c r="H50" s="26"/>
      <c r="I50" s="26"/>
      <c r="J50" s="26"/>
      <c r="K50" s="26"/>
      <c r="L50" s="37"/>
      <c r="M50" s="41"/>
      <c r="N50" s="41"/>
      <c r="O50" s="41"/>
      <c r="P50" s="41"/>
      <c r="Q50" s="27"/>
      <c r="R50" s="27"/>
      <c r="S50" s="27"/>
      <c r="T50" s="27"/>
      <c r="U50" s="27"/>
      <c r="V50" s="119"/>
      <c r="W50" s="119"/>
      <c r="X50" s="119"/>
      <c r="Y50" s="29" t="e">
        <f t="shared" si="13"/>
        <v>#DIV/0!</v>
      </c>
      <c r="Z50" s="30" t="e">
        <f t="shared" si="14"/>
        <v>#DIV/0!</v>
      </c>
      <c r="AA50" s="2"/>
      <c r="AD50" s="32" t="e">
        <f t="shared" si="9"/>
        <v>#DIV/0!</v>
      </c>
    </row>
    <row r="51" spans="1:30" s="40" customFormat="1" ht="51" customHeight="1">
      <c r="A51" s="33">
        <v>2904002069</v>
      </c>
      <c r="B51" s="34" t="s">
        <v>77</v>
      </c>
      <c r="C51" s="35" t="s">
        <v>75</v>
      </c>
      <c r="D51" s="33" t="s">
        <v>63</v>
      </c>
      <c r="E51" s="33"/>
      <c r="F51" s="36" t="s">
        <v>21</v>
      </c>
      <c r="G51" s="36"/>
      <c r="H51" s="26">
        <f>'2023'!H53</f>
        <v>619485.255</v>
      </c>
      <c r="I51" s="26">
        <f>'2023'!I53</f>
        <v>618288.47600000002</v>
      </c>
      <c r="J51" s="26">
        <f>'2023'!J53</f>
        <v>584787.076</v>
      </c>
      <c r="K51" s="26">
        <f>'2023'!K53</f>
        <v>609914.78</v>
      </c>
      <c r="L51" s="26">
        <f t="shared" si="7"/>
        <v>2432475.5870000003</v>
      </c>
      <c r="M51" s="38">
        <v>58.84</v>
      </c>
      <c r="N51" s="27">
        <v>63.55</v>
      </c>
      <c r="O51" s="38">
        <v>37.590000000000003</v>
      </c>
      <c r="P51" s="27">
        <v>39.090000000000003</v>
      </c>
      <c r="Q51" s="27">
        <f>(M51-O51)*H51</f>
        <v>13164061.668749999</v>
      </c>
      <c r="R51" s="27">
        <f>(M51-O51)*I51</f>
        <v>13138630.115</v>
      </c>
      <c r="S51" s="27">
        <f>(N51-P51)*J51</f>
        <v>14303891.878959997</v>
      </c>
      <c r="T51" s="27">
        <f>(N51-P51)*K51</f>
        <v>14918515.518799996</v>
      </c>
      <c r="U51" s="27">
        <f t="shared" si="8"/>
        <v>55525099.181509994</v>
      </c>
      <c r="V51" s="119"/>
      <c r="W51" s="119"/>
      <c r="X51" s="119"/>
      <c r="Y51" s="29">
        <f t="shared" si="13"/>
        <v>108.00475866757307</v>
      </c>
      <c r="Z51" s="30">
        <f t="shared" si="14"/>
        <v>103.99042298483639</v>
      </c>
      <c r="AA51" s="2"/>
      <c r="AD51" s="32">
        <f t="shared" si="9"/>
        <v>9.5770151636145329E-3</v>
      </c>
    </row>
    <row r="52" spans="1:30" s="40" customFormat="1" ht="58.5" customHeight="1">
      <c r="A52" s="33">
        <v>7708503727</v>
      </c>
      <c r="B52" s="34" t="s">
        <v>74</v>
      </c>
      <c r="C52" s="35" t="s">
        <v>75</v>
      </c>
      <c r="D52" s="33" t="s">
        <v>63</v>
      </c>
      <c r="E52" s="33"/>
      <c r="F52" s="36" t="s">
        <v>21</v>
      </c>
      <c r="G52" s="36"/>
      <c r="H52" s="26">
        <f>'2023'!H54</f>
        <v>84489.909</v>
      </c>
      <c r="I52" s="26">
        <f>'2023'!I54</f>
        <v>85028.68299999999</v>
      </c>
      <c r="J52" s="26">
        <f>'2023'!J54</f>
        <v>87119.528999999995</v>
      </c>
      <c r="K52" s="26">
        <f>'2023'!K54</f>
        <v>78858.16</v>
      </c>
      <c r="L52" s="26">
        <f t="shared" si="7"/>
        <v>335496.28099999996</v>
      </c>
      <c r="M52" s="38">
        <f>'2024'!N52</f>
        <v>62.85441500000001</v>
      </c>
      <c r="N52" s="27">
        <v>67.882768200000015</v>
      </c>
      <c r="O52" s="38">
        <f>'2024'!P52</f>
        <v>37.585599999999999</v>
      </c>
      <c r="P52" s="27">
        <v>39.089024000000002</v>
      </c>
      <c r="Q52" s="27">
        <f>(M52-O52)*H52</f>
        <v>2134959.8798878361</v>
      </c>
      <c r="R52" s="27">
        <f>(M52-O52)*I52</f>
        <v>2148574.0604206459</v>
      </c>
      <c r="S52" s="27">
        <f>(N52-P52)*J52</f>
        <v>2508497.4328504829</v>
      </c>
      <c r="T52" s="27">
        <f>(N52-P52)*K52</f>
        <v>2270621.6871226733</v>
      </c>
      <c r="U52" s="27">
        <f t="shared" si="8"/>
        <v>9062653.0602816381</v>
      </c>
      <c r="V52" s="119"/>
      <c r="W52" s="119"/>
      <c r="X52" s="119"/>
      <c r="Y52" s="29">
        <f t="shared" si="13"/>
        <v>108</v>
      </c>
      <c r="Z52" s="30">
        <f t="shared" si="14"/>
        <v>104</v>
      </c>
      <c r="AA52" s="2"/>
      <c r="AD52" s="32">
        <f t="shared" si="9"/>
        <v>0</v>
      </c>
    </row>
    <row r="53" spans="1:30" s="40" customFormat="1" ht="15" customHeight="1">
      <c r="A53" s="33"/>
      <c r="B53" s="34"/>
      <c r="C53" s="35"/>
      <c r="D53" s="33"/>
      <c r="E53" s="33"/>
      <c r="F53" s="36"/>
      <c r="G53" s="36"/>
      <c r="H53" s="26"/>
      <c r="I53" s="26"/>
      <c r="J53" s="26"/>
      <c r="K53" s="26"/>
      <c r="L53" s="37"/>
      <c r="M53" s="41"/>
      <c r="N53" s="41"/>
      <c r="O53" s="41"/>
      <c r="P53" s="41"/>
      <c r="Q53" s="27"/>
      <c r="R53" s="27"/>
      <c r="S53" s="27"/>
      <c r="T53" s="27"/>
      <c r="U53" s="27"/>
      <c r="V53" s="119"/>
      <c r="W53" s="119"/>
      <c r="X53" s="119"/>
      <c r="Y53" s="29" t="e">
        <f t="shared" si="13"/>
        <v>#DIV/0!</v>
      </c>
      <c r="Z53" s="30" t="e">
        <f t="shared" si="14"/>
        <v>#DIV/0!</v>
      </c>
      <c r="AA53" s="2"/>
      <c r="AD53" s="32" t="e">
        <f t="shared" si="9"/>
        <v>#DIV/0!</v>
      </c>
    </row>
    <row r="54" spans="1:30" s="40" customFormat="1" ht="48" customHeight="1">
      <c r="A54" s="33">
        <v>2911005590</v>
      </c>
      <c r="B54" s="34" t="s">
        <v>78</v>
      </c>
      <c r="C54" s="35" t="s">
        <v>311</v>
      </c>
      <c r="D54" s="33" t="s">
        <v>80</v>
      </c>
      <c r="E54" s="33"/>
      <c r="F54" s="36" t="s">
        <v>21</v>
      </c>
      <c r="G54" s="36"/>
      <c r="H54" s="26">
        <f>'2023'!H56</f>
        <v>24924.713000000003</v>
      </c>
      <c r="I54" s="26">
        <f>'2023'!I56</f>
        <v>25054.510000000002</v>
      </c>
      <c r="J54" s="26">
        <f>'2023'!J56</f>
        <v>25326.057000000001</v>
      </c>
      <c r="K54" s="26">
        <f>'2023'!K56</f>
        <v>24049.828999999998</v>
      </c>
      <c r="L54" s="26">
        <f t="shared" si="7"/>
        <v>99355.108999999997</v>
      </c>
      <c r="M54" s="38">
        <f>'2024'!N54</f>
        <v>96.524800000000013</v>
      </c>
      <c r="N54" s="27">
        <v>104.24678400000003</v>
      </c>
      <c r="O54" s="38">
        <f>'2024'!P54</f>
        <v>62.732800000000005</v>
      </c>
      <c r="P54" s="27">
        <v>65.242112000000006</v>
      </c>
      <c r="Q54" s="27">
        <f t="shared" ref="Q54:Q59" si="16">(M54-O54)*H54</f>
        <v>842255.90169600036</v>
      </c>
      <c r="R54" s="27">
        <f t="shared" ref="R54:S59" si="17">(M54-O54)*I54</f>
        <v>846642.0019200003</v>
      </c>
      <c r="S54" s="27">
        <f t="shared" si="17"/>
        <v>987834.54633830476</v>
      </c>
      <c r="T54" s="27">
        <f t="shared" ref="T54:T59" si="18">(N54-P54)*K54</f>
        <v>938055.69180108863</v>
      </c>
      <c r="U54" s="27">
        <f t="shared" si="8"/>
        <v>3614788.1417553937</v>
      </c>
      <c r="V54" s="119"/>
      <c r="W54" s="119"/>
      <c r="X54" s="119"/>
      <c r="Y54" s="29">
        <f t="shared" si="13"/>
        <v>108.00000000000003</v>
      </c>
      <c r="Z54" s="30">
        <f t="shared" si="14"/>
        <v>104</v>
      </c>
      <c r="AA54" s="2"/>
      <c r="AD54" s="32">
        <f t="shared" si="9"/>
        <v>0</v>
      </c>
    </row>
    <row r="55" spans="1:30" s="40" customFormat="1" ht="72" customHeight="1">
      <c r="A55" s="33">
        <v>2911004356</v>
      </c>
      <c r="B55" s="34" t="s">
        <v>312</v>
      </c>
      <c r="C55" s="35" t="s">
        <v>311</v>
      </c>
      <c r="D55" s="33" t="s">
        <v>313</v>
      </c>
      <c r="E55" s="33"/>
      <c r="F55" s="36" t="s">
        <v>21</v>
      </c>
      <c r="G55" s="36"/>
      <c r="H55" s="26">
        <f>'2023'!H57</f>
        <v>142.5</v>
      </c>
      <c r="I55" s="26">
        <f>'2023'!I57</f>
        <v>142.5</v>
      </c>
      <c r="J55" s="26">
        <f>'2023'!J57</f>
        <v>141.10499999999999</v>
      </c>
      <c r="K55" s="26">
        <f>'2023'!K57</f>
        <v>109.52</v>
      </c>
      <c r="L55" s="26">
        <f t="shared" si="7"/>
        <v>535.625</v>
      </c>
      <c r="M55" s="38">
        <f>'2024'!N55</f>
        <v>170.40380000000002</v>
      </c>
      <c r="N55" s="27">
        <v>184.03610400000005</v>
      </c>
      <c r="O55" s="38">
        <f>'2024'!P55</f>
        <v>130.87360000000001</v>
      </c>
      <c r="P55" s="27">
        <v>136.10854400000002</v>
      </c>
      <c r="Q55" s="27">
        <f t="shared" si="16"/>
        <v>5633.0535000000009</v>
      </c>
      <c r="R55" s="27">
        <f t="shared" si="17"/>
        <v>5633.0535000000009</v>
      </c>
      <c r="S55" s="27">
        <f t="shared" si="17"/>
        <v>6762.8183538000039</v>
      </c>
      <c r="T55" s="27">
        <f t="shared" si="18"/>
        <v>5249.0263712000033</v>
      </c>
      <c r="U55" s="27">
        <f t="shared" si="8"/>
        <v>23277.951725000006</v>
      </c>
      <c r="V55" s="119"/>
      <c r="W55" s="119"/>
      <c r="X55" s="119"/>
      <c r="Y55" s="29">
        <f t="shared" si="13"/>
        <v>108.00000000000003</v>
      </c>
      <c r="Z55" s="30">
        <f t="shared" si="14"/>
        <v>104</v>
      </c>
      <c r="AA55" s="2"/>
      <c r="AD55" s="32">
        <f t="shared" si="9"/>
        <v>0</v>
      </c>
    </row>
    <row r="56" spans="1:30" s="40" customFormat="1" ht="72" customHeight="1">
      <c r="A56" s="33">
        <v>2911004405</v>
      </c>
      <c r="B56" s="34" t="s">
        <v>314</v>
      </c>
      <c r="C56" s="35" t="s">
        <v>311</v>
      </c>
      <c r="D56" s="33" t="s">
        <v>81</v>
      </c>
      <c r="E56" s="33"/>
      <c r="F56" s="36" t="s">
        <v>21</v>
      </c>
      <c r="G56" s="36"/>
      <c r="H56" s="26">
        <f>'2023'!H58</f>
        <v>1160.1669999999999</v>
      </c>
      <c r="I56" s="26">
        <f>'2023'!I58</f>
        <v>1355.413</v>
      </c>
      <c r="J56" s="26">
        <f>'2023'!J58</f>
        <v>1531.2930000000001</v>
      </c>
      <c r="K56" s="26">
        <f>'2023'!K58</f>
        <v>1072.366</v>
      </c>
      <c r="L56" s="26">
        <f t="shared" si="7"/>
        <v>5119.2389999999996</v>
      </c>
      <c r="M56" s="38">
        <f>'2024'!N56</f>
        <v>155.11860000000001</v>
      </c>
      <c r="N56" s="27">
        <v>155.11860000000001</v>
      </c>
      <c r="O56" s="38">
        <f>'2024'!P56</f>
        <v>115.7312</v>
      </c>
      <c r="P56" s="27">
        <v>120.36044800000001</v>
      </c>
      <c r="Q56" s="27">
        <f t="shared" si="16"/>
        <v>45695.961695800012</v>
      </c>
      <c r="R56" s="27">
        <f t="shared" si="17"/>
        <v>53386.193996200018</v>
      </c>
      <c r="S56" s="27">
        <f t="shared" si="17"/>
        <v>53224.914850536021</v>
      </c>
      <c r="T56" s="27">
        <f t="shared" si="18"/>
        <v>37273.46042763201</v>
      </c>
      <c r="U56" s="27">
        <f t="shared" si="8"/>
        <v>189580.53097016804</v>
      </c>
      <c r="V56" s="119"/>
      <c r="W56" s="119"/>
      <c r="X56" s="119"/>
      <c r="Y56" s="29">
        <f t="shared" si="13"/>
        <v>100</v>
      </c>
      <c r="Z56" s="30">
        <f t="shared" si="14"/>
        <v>104</v>
      </c>
      <c r="AA56" s="2"/>
      <c r="AD56" s="32">
        <f t="shared" si="9"/>
        <v>0</v>
      </c>
    </row>
    <row r="57" spans="1:30" s="40" customFormat="1" ht="72" customHeight="1">
      <c r="A57" s="33">
        <v>2911004331</v>
      </c>
      <c r="B57" s="34" t="s">
        <v>315</v>
      </c>
      <c r="C57" s="35" t="s">
        <v>311</v>
      </c>
      <c r="D57" s="33" t="s">
        <v>316</v>
      </c>
      <c r="E57" s="33"/>
      <c r="F57" s="36" t="s">
        <v>21</v>
      </c>
      <c r="G57" s="36"/>
      <c r="H57" s="26">
        <f>'2023'!H59</f>
        <v>2876.25</v>
      </c>
      <c r="I57" s="26">
        <f>'2023'!I59</f>
        <v>2876.25</v>
      </c>
      <c r="J57" s="26">
        <f>'2023'!J59</f>
        <v>2836</v>
      </c>
      <c r="K57" s="26">
        <f>'2023'!K59</f>
        <v>2697.42</v>
      </c>
      <c r="L57" s="26">
        <f t="shared" si="7"/>
        <v>11285.92</v>
      </c>
      <c r="M57" s="38">
        <f>'2024'!N57</f>
        <v>118.22420000000002</v>
      </c>
      <c r="N57" s="27">
        <v>127.68213600000004</v>
      </c>
      <c r="O57" s="38">
        <f>'2024'!P57</f>
        <v>99.507200000000012</v>
      </c>
      <c r="P57" s="27">
        <v>103.48748800000001</v>
      </c>
      <c r="Q57" s="27">
        <f t="shared" si="16"/>
        <v>53834.771250000034</v>
      </c>
      <c r="R57" s="27">
        <f t="shared" si="17"/>
        <v>53834.771250000034</v>
      </c>
      <c r="S57" s="27">
        <f t="shared" si="17"/>
        <v>68616.02172800008</v>
      </c>
      <c r="T57" s="27">
        <f t="shared" si="18"/>
        <v>65263.127408160079</v>
      </c>
      <c r="U57" s="27">
        <f t="shared" si="8"/>
        <v>241548.69163616022</v>
      </c>
      <c r="V57" s="119"/>
      <c r="W57" s="119"/>
      <c r="X57" s="119"/>
      <c r="Y57" s="29">
        <f t="shared" si="13"/>
        <v>108</v>
      </c>
      <c r="Z57" s="30">
        <f t="shared" si="14"/>
        <v>104</v>
      </c>
      <c r="AA57" s="2"/>
      <c r="AD57" s="32">
        <f t="shared" si="9"/>
        <v>0</v>
      </c>
    </row>
    <row r="58" spans="1:30" s="40" customFormat="1" ht="72" customHeight="1">
      <c r="A58" s="33">
        <v>2911004420</v>
      </c>
      <c r="B58" s="34" t="s">
        <v>317</v>
      </c>
      <c r="C58" s="35" t="s">
        <v>311</v>
      </c>
      <c r="D58" s="33" t="s">
        <v>318</v>
      </c>
      <c r="E58" s="33"/>
      <c r="F58" s="36" t="s">
        <v>21</v>
      </c>
      <c r="G58" s="36"/>
      <c r="H58" s="26">
        <f>'2023'!H60</f>
        <v>1796</v>
      </c>
      <c r="I58" s="26">
        <f>'2023'!I60</f>
        <v>1796</v>
      </c>
      <c r="J58" s="26">
        <f>'2023'!J60</f>
        <v>1796</v>
      </c>
      <c r="K58" s="26">
        <f>'2023'!K60</f>
        <v>1796</v>
      </c>
      <c r="L58" s="26">
        <f t="shared" si="7"/>
        <v>7184</v>
      </c>
      <c r="M58" s="38">
        <f>'2024'!N58</f>
        <v>164.66267999999999</v>
      </c>
      <c r="N58" s="27">
        <v>164.66267999999999</v>
      </c>
      <c r="O58" s="38">
        <f>'2024'!P58</f>
        <v>126.54720000000002</v>
      </c>
      <c r="P58" s="27">
        <v>131.60908800000001</v>
      </c>
      <c r="Q58" s="27">
        <f t="shared" si="16"/>
        <v>68455.402079999956</v>
      </c>
      <c r="R58" s="27">
        <f t="shared" si="17"/>
        <v>68455.402079999956</v>
      </c>
      <c r="S58" s="27">
        <f t="shared" si="17"/>
        <v>59364.251231999966</v>
      </c>
      <c r="T58" s="27">
        <f t="shared" si="18"/>
        <v>59364.251231999966</v>
      </c>
      <c r="U58" s="27">
        <f t="shared" si="8"/>
        <v>255639.30662399984</v>
      </c>
      <c r="V58" s="119"/>
      <c r="W58" s="119"/>
      <c r="X58" s="119"/>
      <c r="Y58" s="29"/>
      <c r="Z58" s="30"/>
      <c r="AA58" s="2"/>
      <c r="AD58" s="32"/>
    </row>
    <row r="59" spans="1:30" s="40" customFormat="1" ht="72" customHeight="1">
      <c r="A59" s="33">
        <v>2911004363</v>
      </c>
      <c r="B59" s="34" t="s">
        <v>82</v>
      </c>
      <c r="C59" s="35" t="s">
        <v>79</v>
      </c>
      <c r="D59" s="33" t="s">
        <v>83</v>
      </c>
      <c r="E59" s="33"/>
      <c r="F59" s="36" t="s">
        <v>21</v>
      </c>
      <c r="G59" s="36" t="s">
        <v>408</v>
      </c>
      <c r="H59" s="26">
        <f>'2023'!H61</f>
        <v>504.5</v>
      </c>
      <c r="I59" s="26">
        <f>'2023'!I61</f>
        <v>504.5</v>
      </c>
      <c r="J59" s="26">
        <f>'2023'!J61</f>
        <v>504.5</v>
      </c>
      <c r="K59" s="26">
        <f>'2023'!K61</f>
        <v>504.5</v>
      </c>
      <c r="L59" s="26">
        <f t="shared" si="7"/>
        <v>2018</v>
      </c>
      <c r="M59" s="38">
        <f>'2024'!N59</f>
        <v>171.95347360000002</v>
      </c>
      <c r="N59" s="27">
        <v>179.31180294400005</v>
      </c>
      <c r="O59" s="38">
        <f>'2024'!P59</f>
        <v>126.54720000000002</v>
      </c>
      <c r="P59" s="27">
        <v>131.60908800000001</v>
      </c>
      <c r="Q59" s="27">
        <f t="shared" si="16"/>
        <v>22907.465031200001</v>
      </c>
      <c r="R59" s="27">
        <f t="shared" si="17"/>
        <v>22907.465031200001</v>
      </c>
      <c r="S59" s="27">
        <f t="shared" si="17"/>
        <v>24066.019689248016</v>
      </c>
      <c r="T59" s="27">
        <f t="shared" si="18"/>
        <v>24066.019689248016</v>
      </c>
      <c r="U59" s="27">
        <f t="shared" si="8"/>
        <v>93946.969440896035</v>
      </c>
      <c r="V59" s="119"/>
      <c r="W59" s="119"/>
      <c r="X59" s="119"/>
      <c r="Y59" s="29">
        <f t="shared" ref="Y59:Y66" si="19">N59/M59*100</f>
        <v>104.27925600451495</v>
      </c>
      <c r="Z59" s="30">
        <f t="shared" ref="Z59:Z66" si="20">P59/O59*100</f>
        <v>104</v>
      </c>
      <c r="AA59" s="2"/>
      <c r="AD59" s="32">
        <f>104-Z59</f>
        <v>0</v>
      </c>
    </row>
    <row r="60" spans="1:30" s="40" customFormat="1" ht="15" customHeight="1">
      <c r="A60" s="33"/>
      <c r="B60" s="34"/>
      <c r="C60" s="35"/>
      <c r="D60" s="33"/>
      <c r="E60" s="33"/>
      <c r="F60" s="36"/>
      <c r="G60" s="36"/>
      <c r="H60" s="26"/>
      <c r="I60" s="26"/>
      <c r="J60" s="26"/>
      <c r="K60" s="26"/>
      <c r="L60" s="37"/>
      <c r="M60" s="41"/>
      <c r="N60" s="41"/>
      <c r="O60" s="41"/>
      <c r="P60" s="41"/>
      <c r="Q60" s="27"/>
      <c r="R60" s="27"/>
      <c r="S60" s="27"/>
      <c r="T60" s="27"/>
      <c r="U60" s="27"/>
      <c r="V60" s="119"/>
      <c r="W60" s="119"/>
      <c r="X60" s="119"/>
      <c r="Y60" s="29" t="e">
        <f t="shared" si="19"/>
        <v>#DIV/0!</v>
      </c>
      <c r="Z60" s="30" t="e">
        <f t="shared" si="20"/>
        <v>#DIV/0!</v>
      </c>
      <c r="AA60" s="2"/>
      <c r="AD60" s="32" t="e">
        <f t="shared" si="9"/>
        <v>#DIV/0!</v>
      </c>
    </row>
    <row r="61" spans="1:30" s="40" customFormat="1" ht="51" customHeight="1">
      <c r="A61" s="33">
        <v>7708503727</v>
      </c>
      <c r="B61" s="34" t="s">
        <v>61</v>
      </c>
      <c r="C61" s="35" t="s">
        <v>86</v>
      </c>
      <c r="D61" s="33" t="s">
        <v>87</v>
      </c>
      <c r="E61" s="33"/>
      <c r="F61" s="36" t="s">
        <v>21</v>
      </c>
      <c r="G61" s="36"/>
      <c r="H61" s="26">
        <f>'2023'!H63</f>
        <v>5793.0060000000003</v>
      </c>
      <c r="I61" s="26">
        <f>'2023'!I63</f>
        <v>5723.3730000000005</v>
      </c>
      <c r="J61" s="26">
        <f>'2023'!J63</f>
        <v>5815.1939999999995</v>
      </c>
      <c r="K61" s="26">
        <f>'2023'!K63</f>
        <v>5693.1859999999997</v>
      </c>
      <c r="L61" s="26">
        <f t="shared" si="7"/>
        <v>23024.758999999998</v>
      </c>
      <c r="M61" s="38">
        <f>'2024'!N61</f>
        <v>54.992384506</v>
      </c>
      <c r="N61" s="27">
        <v>59.391775266480003</v>
      </c>
      <c r="O61" s="38">
        <f>'2024'!P61</f>
        <v>45.644601600000001</v>
      </c>
      <c r="P61" s="27">
        <v>47.470385664000005</v>
      </c>
      <c r="Q61" s="27">
        <f t="shared" ref="Q61:Q69" si="21">(M61-O61)*H61</f>
        <v>54151.762461155435</v>
      </c>
      <c r="R61" s="27">
        <f t="shared" ref="R61:R69" si="22">(M61-O61)*I61</f>
        <v>53500.848294061936</v>
      </c>
      <c r="S61" s="27">
        <f t="shared" ref="S61:S69" si="23">(N61-P61)*J61</f>
        <v>69325.193288004069</v>
      </c>
      <c r="T61" s="27">
        <f t="shared" ref="T61:T69" si="24">(N61-P61)*K61</f>
        <v>67870.688385384681</v>
      </c>
      <c r="U61" s="27">
        <f t="shared" si="8"/>
        <v>244848.49242860614</v>
      </c>
      <c r="V61" s="119"/>
      <c r="W61" s="119"/>
      <c r="X61" s="119"/>
      <c r="Y61" s="29">
        <f t="shared" si="19"/>
        <v>108</v>
      </c>
      <c r="Z61" s="30">
        <f t="shared" si="20"/>
        <v>104</v>
      </c>
      <c r="AA61" s="2"/>
      <c r="AD61" s="32">
        <f t="shared" si="9"/>
        <v>0</v>
      </c>
    </row>
    <row r="62" spans="1:30" s="40" customFormat="1" ht="51" customHeight="1">
      <c r="A62" s="33">
        <v>2912006998</v>
      </c>
      <c r="B62" s="34" t="s">
        <v>85</v>
      </c>
      <c r="C62" s="35" t="s">
        <v>86</v>
      </c>
      <c r="D62" s="33" t="s">
        <v>87</v>
      </c>
      <c r="E62" s="33"/>
      <c r="F62" s="36" t="s">
        <v>21</v>
      </c>
      <c r="G62" s="36"/>
      <c r="H62" s="26">
        <f>'2023'!H64</f>
        <v>40933.187000000005</v>
      </c>
      <c r="I62" s="26">
        <f>'2023'!I64</f>
        <v>40925.372000000003</v>
      </c>
      <c r="J62" s="26">
        <f>'2023'!J64</f>
        <v>37909.815000000002</v>
      </c>
      <c r="K62" s="26">
        <f>'2023'!K64</f>
        <v>39247.715000000004</v>
      </c>
      <c r="L62" s="26">
        <f t="shared" si="7"/>
        <v>159016.08900000001</v>
      </c>
      <c r="M62" s="38">
        <f>'2024'!N62</f>
        <v>61.899898181465936</v>
      </c>
      <c r="N62" s="27">
        <v>66.851890035983217</v>
      </c>
      <c r="O62" s="38">
        <f>'2024'!P62</f>
        <v>53.160640000000001</v>
      </c>
      <c r="P62" s="27">
        <v>55.287065600000005</v>
      </c>
      <c r="Q62" s="27">
        <f t="shared" si="21"/>
        <v>357725.68938322511</v>
      </c>
      <c r="R62" s="27">
        <f t="shared" si="22"/>
        <v>357657.39208053693</v>
      </c>
      <c r="S62" s="27">
        <f t="shared" si="23"/>
        <v>438420.35487560293</v>
      </c>
      <c r="T62" s="27">
        <f t="shared" si="24"/>
        <v>453892.9334885049</v>
      </c>
      <c r="U62" s="27">
        <f t="shared" si="8"/>
        <v>1607696.36982787</v>
      </c>
      <c r="V62" s="119"/>
      <c r="W62" s="119"/>
      <c r="X62" s="119"/>
      <c r="Y62" s="29">
        <f t="shared" si="19"/>
        <v>108</v>
      </c>
      <c r="Z62" s="30">
        <f t="shared" si="20"/>
        <v>104</v>
      </c>
      <c r="AA62" s="2"/>
      <c r="AD62" s="32">
        <f t="shared" si="9"/>
        <v>0</v>
      </c>
    </row>
    <row r="63" spans="1:30" s="40" customFormat="1" ht="51" customHeight="1">
      <c r="A63" s="33">
        <v>2912005994</v>
      </c>
      <c r="B63" s="34" t="s">
        <v>92</v>
      </c>
      <c r="C63" s="35" t="s">
        <v>86</v>
      </c>
      <c r="D63" s="33" t="s">
        <v>93</v>
      </c>
      <c r="E63" s="33"/>
      <c r="F63" s="36" t="s">
        <v>21</v>
      </c>
      <c r="G63" s="36"/>
      <c r="H63" s="26">
        <f>'2023'!H65</f>
        <v>733</v>
      </c>
      <c r="I63" s="26">
        <f>'2023'!I65</f>
        <v>761.5</v>
      </c>
      <c r="J63" s="26">
        <f>'2023'!J65</f>
        <v>796.65</v>
      </c>
      <c r="K63" s="26">
        <f>'2023'!K65</f>
        <v>791.56999999999994</v>
      </c>
      <c r="L63" s="26">
        <f t="shared" si="7"/>
        <v>3082.7200000000003</v>
      </c>
      <c r="M63" s="38">
        <f>'2024'!N63</f>
        <v>99.897974640263598</v>
      </c>
      <c r="N63" s="27">
        <v>107.88981261148469</v>
      </c>
      <c r="O63" s="38">
        <f>'2024'!P63</f>
        <v>63.814399999999999</v>
      </c>
      <c r="P63" s="27">
        <v>66.366976000000008</v>
      </c>
      <c r="Q63" s="27">
        <f t="shared" si="21"/>
        <v>26449.26021131322</v>
      </c>
      <c r="R63" s="27">
        <f t="shared" si="22"/>
        <v>27477.642088560729</v>
      </c>
      <c r="S63" s="27">
        <f t="shared" si="23"/>
        <v>33079.16778653927</v>
      </c>
      <c r="T63" s="27">
        <f t="shared" si="24"/>
        <v>32868.231776552922</v>
      </c>
      <c r="U63" s="27">
        <f t="shared" si="8"/>
        <v>119874.30186296615</v>
      </c>
      <c r="V63" s="119"/>
      <c r="W63" s="119"/>
      <c r="X63" s="119"/>
      <c r="Y63" s="29">
        <f t="shared" si="19"/>
        <v>108</v>
      </c>
      <c r="Z63" s="30">
        <f t="shared" si="20"/>
        <v>104</v>
      </c>
      <c r="AA63" s="2"/>
      <c r="AD63" s="32">
        <f t="shared" si="9"/>
        <v>0</v>
      </c>
    </row>
    <row r="64" spans="1:30" s="40" customFormat="1" ht="51" customHeight="1">
      <c r="A64" s="33">
        <v>2912005994</v>
      </c>
      <c r="B64" s="34" t="s">
        <v>92</v>
      </c>
      <c r="C64" s="35" t="s">
        <v>86</v>
      </c>
      <c r="D64" s="33" t="s">
        <v>95</v>
      </c>
      <c r="E64" s="33"/>
      <c r="F64" s="36" t="s">
        <v>21</v>
      </c>
      <c r="G64" s="36"/>
      <c r="H64" s="26">
        <f>'2023'!H66</f>
        <v>968</v>
      </c>
      <c r="I64" s="26">
        <f>'2023'!I66</f>
        <v>954.2700000000001</v>
      </c>
      <c r="J64" s="26">
        <f>'2023'!J66</f>
        <v>955.61999999999989</v>
      </c>
      <c r="K64" s="26">
        <f>'2023'!K66</f>
        <v>978.08</v>
      </c>
      <c r="L64" s="26">
        <f t="shared" si="7"/>
        <v>3855.97</v>
      </c>
      <c r="M64" s="38">
        <f>'2024'!N64</f>
        <v>138.73160473246094</v>
      </c>
      <c r="N64" s="27">
        <v>149.83013311105782</v>
      </c>
      <c r="O64" s="38">
        <f>'2024'!P64</f>
        <v>68.140799999999999</v>
      </c>
      <c r="P64" s="27">
        <v>70.866432000000003</v>
      </c>
      <c r="Q64" s="27">
        <f t="shared" si="21"/>
        <v>68331.898981022183</v>
      </c>
      <c r="R64" s="27">
        <f t="shared" si="22"/>
        <v>67362.6872320455</v>
      </c>
      <c r="S64" s="27">
        <f t="shared" si="23"/>
        <v>75459.292055749058</v>
      </c>
      <c r="T64" s="27">
        <f t="shared" si="24"/>
        <v>77232.816782703434</v>
      </c>
      <c r="U64" s="27">
        <f t="shared" si="8"/>
        <v>288386.69505152019</v>
      </c>
      <c r="V64" s="119"/>
      <c r="W64" s="119"/>
      <c r="X64" s="119"/>
      <c r="Y64" s="29">
        <f t="shared" si="19"/>
        <v>108</v>
      </c>
      <c r="Z64" s="30">
        <f t="shared" si="20"/>
        <v>104</v>
      </c>
      <c r="AA64" s="2"/>
      <c r="AD64" s="32">
        <f t="shared" si="9"/>
        <v>0</v>
      </c>
    </row>
    <row r="65" spans="1:30" s="40" customFormat="1" ht="51" customHeight="1">
      <c r="A65" s="33">
        <v>2912005994</v>
      </c>
      <c r="B65" s="34" t="s">
        <v>92</v>
      </c>
      <c r="C65" s="35" t="s">
        <v>86</v>
      </c>
      <c r="D65" s="33" t="s">
        <v>94</v>
      </c>
      <c r="E65" s="33"/>
      <c r="F65" s="36" t="s">
        <v>21</v>
      </c>
      <c r="G65" s="36"/>
      <c r="H65" s="26">
        <f>'2023'!H67</f>
        <v>102</v>
      </c>
      <c r="I65" s="26">
        <f>'2023'!I67</f>
        <v>104.31</v>
      </c>
      <c r="J65" s="26">
        <f>'2023'!J67</f>
        <v>168.29000000000002</v>
      </c>
      <c r="K65" s="26">
        <f>'2023'!K67</f>
        <v>195.29999999999998</v>
      </c>
      <c r="L65" s="26">
        <f t="shared" si="7"/>
        <v>569.9</v>
      </c>
      <c r="M65" s="38">
        <f>'2024'!N65</f>
        <v>138.73160473246094</v>
      </c>
      <c r="N65" s="27">
        <v>149.83013311105782</v>
      </c>
      <c r="O65" s="38">
        <f>'2024'!P65</f>
        <v>80.03840000000001</v>
      </c>
      <c r="P65" s="27">
        <v>83.239936000000014</v>
      </c>
      <c r="Q65" s="27">
        <f t="shared" si="21"/>
        <v>5986.7068827110143</v>
      </c>
      <c r="R65" s="27">
        <f t="shared" si="22"/>
        <v>6122.2881856429995</v>
      </c>
      <c r="S65" s="27">
        <f t="shared" si="23"/>
        <v>11206.464271819919</v>
      </c>
      <c r="T65" s="27">
        <f t="shared" si="24"/>
        <v>13005.065495789588</v>
      </c>
      <c r="U65" s="27">
        <f t="shared" si="8"/>
        <v>36320.524835963522</v>
      </c>
      <c r="V65" s="119"/>
      <c r="W65" s="119"/>
      <c r="X65" s="119"/>
      <c r="Y65" s="29">
        <f t="shared" si="19"/>
        <v>108</v>
      </c>
      <c r="Z65" s="30">
        <f t="shared" si="20"/>
        <v>104</v>
      </c>
      <c r="AA65" s="2"/>
      <c r="AD65" s="32">
        <f t="shared" si="9"/>
        <v>0</v>
      </c>
    </row>
    <row r="66" spans="1:30" s="40" customFormat="1" ht="51" customHeight="1">
      <c r="A66" s="33">
        <v>2912005994</v>
      </c>
      <c r="B66" s="34" t="s">
        <v>92</v>
      </c>
      <c r="C66" s="35" t="s">
        <v>86</v>
      </c>
      <c r="D66" s="33" t="s">
        <v>96</v>
      </c>
      <c r="E66" s="33"/>
      <c r="F66" s="36" t="s">
        <v>21</v>
      </c>
      <c r="G66" s="36"/>
      <c r="H66" s="26">
        <f>'2023'!H68</f>
        <v>447</v>
      </c>
      <c r="I66" s="26">
        <f>'2023'!I68</f>
        <v>383.64</v>
      </c>
      <c r="J66" s="26">
        <f>'2023'!J68</f>
        <v>376.73</v>
      </c>
      <c r="K66" s="26">
        <f>'2023'!K68</f>
        <v>333.58000000000004</v>
      </c>
      <c r="L66" s="26">
        <f t="shared" si="7"/>
        <v>1540.9499999999998</v>
      </c>
      <c r="M66" s="38">
        <f>'2024'!N66</f>
        <v>149.88822216028171</v>
      </c>
      <c r="N66" s="27">
        <v>161.87927993310427</v>
      </c>
      <c r="O66" s="38">
        <f>'2024'!P66</f>
        <v>63.814399999999999</v>
      </c>
      <c r="P66" s="27">
        <v>66.366976000000008</v>
      </c>
      <c r="Q66" s="27">
        <f t="shared" si="21"/>
        <v>38474.998505645926</v>
      </c>
      <c r="R66" s="27">
        <f t="shared" si="22"/>
        <v>33021.36113357047</v>
      </c>
      <c r="S66" s="27">
        <f t="shared" si="23"/>
        <v>35982.350260718369</v>
      </c>
      <c r="T66" s="27">
        <f t="shared" si="24"/>
        <v>31860.994346004925</v>
      </c>
      <c r="U66" s="27">
        <f t="shared" si="8"/>
        <v>139339.70424593968</v>
      </c>
      <c r="V66" s="119"/>
      <c r="W66" s="119"/>
      <c r="X66" s="119"/>
      <c r="Y66" s="29">
        <f t="shared" si="19"/>
        <v>108</v>
      </c>
      <c r="Z66" s="30">
        <f t="shared" si="20"/>
        <v>104</v>
      </c>
      <c r="AA66" s="2"/>
      <c r="AD66" s="32">
        <f t="shared" si="9"/>
        <v>0</v>
      </c>
    </row>
    <row r="67" spans="1:30" s="40" customFormat="1" ht="51" customHeight="1">
      <c r="A67" s="33">
        <v>2912005994</v>
      </c>
      <c r="B67" s="34" t="s">
        <v>92</v>
      </c>
      <c r="C67" s="35" t="s">
        <v>86</v>
      </c>
      <c r="D67" s="33" t="s">
        <v>435</v>
      </c>
      <c r="E67" s="33"/>
      <c r="F67" s="36" t="s">
        <v>428</v>
      </c>
      <c r="G67" s="36" t="s">
        <v>440</v>
      </c>
      <c r="H67" s="37">
        <f>3740/4</f>
        <v>935</v>
      </c>
      <c r="I67" s="37">
        <f t="shared" ref="I67:K67" si="25">3740/4</f>
        <v>935</v>
      </c>
      <c r="J67" s="37">
        <f t="shared" si="25"/>
        <v>935</v>
      </c>
      <c r="K67" s="37">
        <f t="shared" si="25"/>
        <v>935</v>
      </c>
      <c r="L67" s="37">
        <f t="shared" si="7"/>
        <v>3740</v>
      </c>
      <c r="M67" s="38">
        <f>'2024'!N67</f>
        <v>105.47213608299113</v>
      </c>
      <c r="N67" s="38">
        <v>113.90990696963043</v>
      </c>
      <c r="O67" s="38">
        <f>'2024'!P67</f>
        <v>60.850816000000002</v>
      </c>
      <c r="P67" s="38">
        <v>63.284848640000007</v>
      </c>
      <c r="Q67" s="38">
        <f t="shared" si="21"/>
        <v>41720.934277596702</v>
      </c>
      <c r="R67" s="38">
        <f t="shared" si="22"/>
        <v>41720.934277596702</v>
      </c>
      <c r="S67" s="38">
        <f t="shared" si="23"/>
        <v>47334.429538204444</v>
      </c>
      <c r="T67" s="38">
        <f t="shared" si="24"/>
        <v>47334.429538204444</v>
      </c>
      <c r="U67" s="120">
        <f t="shared" si="8"/>
        <v>178110.72763160229</v>
      </c>
      <c r="V67" s="121"/>
      <c r="W67" s="119"/>
      <c r="X67" s="119"/>
      <c r="Y67" s="29"/>
      <c r="Z67" s="30"/>
      <c r="AA67" s="2"/>
      <c r="AD67" s="32"/>
    </row>
    <row r="68" spans="1:30" s="40" customFormat="1" ht="51" customHeight="1">
      <c r="A68" s="33">
        <v>2912006155</v>
      </c>
      <c r="B68" s="34" t="s">
        <v>89</v>
      </c>
      <c r="C68" s="35" t="s">
        <v>86</v>
      </c>
      <c r="D68" s="33" t="s">
        <v>90</v>
      </c>
      <c r="E68" s="33"/>
      <c r="F68" s="36" t="s">
        <v>21</v>
      </c>
      <c r="G68" s="36"/>
      <c r="H68" s="26">
        <f>'2023'!H70</f>
        <v>8058.1259999999993</v>
      </c>
      <c r="I68" s="26">
        <f>'2023'!I70</f>
        <v>8800</v>
      </c>
      <c r="J68" s="26">
        <f>'2023'!J70</f>
        <v>9343.3639999999996</v>
      </c>
      <c r="K68" s="26">
        <f>'2023'!K70</f>
        <v>9337.7920000000013</v>
      </c>
      <c r="L68" s="26">
        <f t="shared" si="7"/>
        <v>35539.281999999999</v>
      </c>
      <c r="M68" s="38">
        <f>'2024'!N68</f>
        <v>82.268179999999987</v>
      </c>
      <c r="N68" s="27">
        <v>87.249927200000016</v>
      </c>
      <c r="O68" s="38">
        <f>'2024'!P68</f>
        <v>59.488000000000007</v>
      </c>
      <c r="P68" s="27">
        <v>61.867520000000006</v>
      </c>
      <c r="Q68" s="27">
        <f t="shared" si="21"/>
        <v>183565.56074267984</v>
      </c>
      <c r="R68" s="27">
        <f t="shared" si="22"/>
        <v>200465.58399999983</v>
      </c>
      <c r="S68" s="27">
        <f t="shared" si="23"/>
        <v>237157.06966582089</v>
      </c>
      <c r="T68" s="27">
        <f t="shared" si="24"/>
        <v>237015.63889290253</v>
      </c>
      <c r="U68" s="27">
        <f t="shared" si="8"/>
        <v>858203.85330140311</v>
      </c>
      <c r="V68" s="119"/>
      <c r="W68" s="119"/>
      <c r="X68" s="119"/>
      <c r="Y68" s="29">
        <f t="shared" ref="Y68:Y99" si="26">N68/M68*100</f>
        <v>106.0554970342118</v>
      </c>
      <c r="Z68" s="30">
        <f t="shared" ref="Z68:Z99" si="27">P68/O68*100</f>
        <v>104</v>
      </c>
      <c r="AA68" s="2"/>
      <c r="AD68" s="32">
        <f t="shared" si="9"/>
        <v>0</v>
      </c>
    </row>
    <row r="69" spans="1:30" s="40" customFormat="1" ht="51" customHeight="1">
      <c r="A69" s="33">
        <v>2912006155</v>
      </c>
      <c r="B69" s="34" t="s">
        <v>89</v>
      </c>
      <c r="C69" s="35" t="s">
        <v>86</v>
      </c>
      <c r="D69" s="33" t="s">
        <v>91</v>
      </c>
      <c r="E69" s="33"/>
      <c r="F69" s="36" t="s">
        <v>21</v>
      </c>
      <c r="G69" s="36"/>
      <c r="H69" s="26">
        <f>'2023'!H71</f>
        <v>728.58699999999999</v>
      </c>
      <c r="I69" s="26">
        <f>'2023'!I71</f>
        <v>446.39699999999999</v>
      </c>
      <c r="J69" s="26">
        <f>'2023'!J71</f>
        <v>450.79600000000005</v>
      </c>
      <c r="K69" s="26">
        <f>'2023'!K71</f>
        <v>347.99600000000004</v>
      </c>
      <c r="L69" s="26">
        <f t="shared" si="7"/>
        <v>1973.7760000000001</v>
      </c>
      <c r="M69" s="38">
        <f>'2024'!N69</f>
        <v>216.68586720000002</v>
      </c>
      <c r="N69" s="27">
        <v>222.60916268800003</v>
      </c>
      <c r="O69" s="38">
        <f>'2024'!P69</f>
        <v>68.140799999999999</v>
      </c>
      <c r="P69" s="27">
        <v>70.866432000000003</v>
      </c>
      <c r="Q69" s="27">
        <f t="shared" si="21"/>
        <v>108228.0048760464</v>
      </c>
      <c r="R69" s="27">
        <f t="shared" si="22"/>
        <v>66310.072362878404</v>
      </c>
      <c r="S69" s="27">
        <f t="shared" si="23"/>
        <v>68405.016023227668</v>
      </c>
      <c r="T69" s="27">
        <f t="shared" si="24"/>
        <v>52805.863308501263</v>
      </c>
      <c r="U69" s="27">
        <f t="shared" si="8"/>
        <v>295748.95657065371</v>
      </c>
      <c r="V69" s="119"/>
      <c r="W69" s="119"/>
      <c r="X69" s="119"/>
      <c r="Y69" s="29">
        <f t="shared" si="26"/>
        <v>102.73358644222645</v>
      </c>
      <c r="Z69" s="30">
        <f t="shared" si="27"/>
        <v>104</v>
      </c>
      <c r="AA69" s="2"/>
      <c r="AD69" s="32">
        <f t="shared" si="9"/>
        <v>0</v>
      </c>
    </row>
    <row r="70" spans="1:30" s="40" customFormat="1" ht="15" customHeight="1">
      <c r="A70" s="33"/>
      <c r="B70" s="34"/>
      <c r="C70" s="35"/>
      <c r="D70" s="33"/>
      <c r="E70" s="33"/>
      <c r="F70" s="36"/>
      <c r="G70" s="36"/>
      <c r="H70" s="26"/>
      <c r="I70" s="26"/>
      <c r="J70" s="26"/>
      <c r="K70" s="26"/>
      <c r="L70" s="37"/>
      <c r="M70" s="41"/>
      <c r="N70" s="41"/>
      <c r="O70" s="41"/>
      <c r="P70" s="41"/>
      <c r="Q70" s="27"/>
      <c r="R70" s="27"/>
      <c r="S70" s="27"/>
      <c r="T70" s="27"/>
      <c r="U70" s="27"/>
      <c r="V70" s="119"/>
      <c r="W70" s="119"/>
      <c r="X70" s="119"/>
      <c r="Y70" s="29" t="e">
        <f t="shared" si="26"/>
        <v>#DIV/0!</v>
      </c>
      <c r="Z70" s="30" t="e">
        <f t="shared" si="27"/>
        <v>#DIV/0!</v>
      </c>
      <c r="AA70" s="2"/>
      <c r="AD70" s="32" t="e">
        <f t="shared" si="9"/>
        <v>#DIV/0!</v>
      </c>
    </row>
    <row r="71" spans="1:30" s="40" customFormat="1" ht="51.75" customHeight="1">
      <c r="A71" s="33">
        <v>2901302219</v>
      </c>
      <c r="B71" s="34" t="s">
        <v>120</v>
      </c>
      <c r="C71" s="35" t="s">
        <v>97</v>
      </c>
      <c r="D71" s="33" t="s">
        <v>319</v>
      </c>
      <c r="E71" s="33" t="s">
        <v>320</v>
      </c>
      <c r="F71" s="36" t="s">
        <v>21</v>
      </c>
      <c r="G71" s="36" t="s">
        <v>384</v>
      </c>
      <c r="H71" s="26">
        <f>'2023'!H73</f>
        <v>9114.387999999999</v>
      </c>
      <c r="I71" s="26">
        <f>'2023'!I73</f>
        <v>10851.897000000001</v>
      </c>
      <c r="J71" s="26">
        <f>'2023'!J73</f>
        <v>9760.9390000000003</v>
      </c>
      <c r="K71" s="26">
        <f>'2023'!K73</f>
        <v>8430.5240000000013</v>
      </c>
      <c r="L71" s="26">
        <f t="shared" si="7"/>
        <v>38157.748000000007</v>
      </c>
      <c r="M71" s="38">
        <v>210.29</v>
      </c>
      <c r="N71" s="27">
        <v>227.11</v>
      </c>
      <c r="O71" s="38">
        <v>70.75</v>
      </c>
      <c r="P71" s="27">
        <v>73.58</v>
      </c>
      <c r="Q71" s="27">
        <f t="shared" ref="Q71:Q76" si="28">(M71-O71)*H71</f>
        <v>1271821.7015199999</v>
      </c>
      <c r="R71" s="27">
        <f t="shared" ref="R71:S76" si="29">(M71-O71)*I71</f>
        <v>1514273.70738</v>
      </c>
      <c r="S71" s="27">
        <f t="shared" si="29"/>
        <v>1498596.9646700004</v>
      </c>
      <c r="T71" s="27">
        <f t="shared" ref="T71:T76" si="30">(N71-P71)*K71</f>
        <v>1294338.3497200005</v>
      </c>
      <c r="U71" s="27">
        <f t="shared" si="8"/>
        <v>5579030.723290001</v>
      </c>
      <c r="V71" s="119"/>
      <c r="W71" s="119"/>
      <c r="X71" s="119"/>
      <c r="Y71" s="29">
        <f t="shared" si="26"/>
        <v>107.99847829188265</v>
      </c>
      <c r="Z71" s="30">
        <f t="shared" si="27"/>
        <v>104</v>
      </c>
      <c r="AA71" s="2"/>
      <c r="AD71" s="32">
        <f t="shared" si="9"/>
        <v>0</v>
      </c>
    </row>
    <row r="72" spans="1:30" s="40" customFormat="1" ht="51.75" customHeight="1">
      <c r="A72" s="33">
        <v>2901302219</v>
      </c>
      <c r="B72" s="34" t="s">
        <v>120</v>
      </c>
      <c r="C72" s="35" t="s">
        <v>97</v>
      </c>
      <c r="D72" s="33" t="s">
        <v>319</v>
      </c>
      <c r="E72" s="33" t="s">
        <v>321</v>
      </c>
      <c r="F72" s="36" t="s">
        <v>21</v>
      </c>
      <c r="G72" s="36" t="s">
        <v>384</v>
      </c>
      <c r="H72" s="26">
        <f>'2023'!H74</f>
        <v>1684.596</v>
      </c>
      <c r="I72" s="26">
        <f>'2023'!I74</f>
        <v>1661.3069999999998</v>
      </c>
      <c r="J72" s="26">
        <f>'2023'!J74</f>
        <v>1867.1320000000001</v>
      </c>
      <c r="K72" s="26">
        <f>'2023'!K74</f>
        <v>1407.6510000000001</v>
      </c>
      <c r="L72" s="26">
        <f t="shared" si="7"/>
        <v>6620.6859999999997</v>
      </c>
      <c r="M72" s="38">
        <v>210.29</v>
      </c>
      <c r="N72" s="27">
        <v>227.11</v>
      </c>
      <c r="O72" s="38">
        <v>83.98</v>
      </c>
      <c r="P72" s="27">
        <v>87.33</v>
      </c>
      <c r="Q72" s="27">
        <f t="shared" si="28"/>
        <v>212781.32075999997</v>
      </c>
      <c r="R72" s="27">
        <f t="shared" si="29"/>
        <v>209839.68716999996</v>
      </c>
      <c r="S72" s="27">
        <f t="shared" si="29"/>
        <v>260987.71096000005</v>
      </c>
      <c r="T72" s="27">
        <f t="shared" si="30"/>
        <v>196761.45678000004</v>
      </c>
      <c r="U72" s="27">
        <f t="shared" si="8"/>
        <v>880370.17567000003</v>
      </c>
      <c r="V72" s="119"/>
      <c r="W72" s="119"/>
      <c r="X72" s="119"/>
      <c r="Y72" s="29">
        <f t="shared" si="26"/>
        <v>107.99847829188265</v>
      </c>
      <c r="Z72" s="30">
        <f t="shared" si="27"/>
        <v>103.98904501071684</v>
      </c>
      <c r="AA72" s="2"/>
      <c r="AD72" s="32">
        <f t="shared" si="9"/>
        <v>1.0954989283163741E-2</v>
      </c>
    </row>
    <row r="73" spans="1:30" s="40" customFormat="1" ht="51.75" customHeight="1">
      <c r="A73" s="33">
        <v>2901302219</v>
      </c>
      <c r="B73" s="34" t="s">
        <v>120</v>
      </c>
      <c r="C73" s="35" t="s">
        <v>97</v>
      </c>
      <c r="D73" s="33" t="s">
        <v>104</v>
      </c>
      <c r="E73" s="33"/>
      <c r="F73" s="36" t="s">
        <v>21</v>
      </c>
      <c r="G73" s="36" t="s">
        <v>385</v>
      </c>
      <c r="H73" s="26">
        <f>'2023'!H75</f>
        <v>9222.8070000000007</v>
      </c>
      <c r="I73" s="26">
        <f>'2023'!I75</f>
        <v>9328.4599999999991</v>
      </c>
      <c r="J73" s="26">
        <f>'2023'!J75</f>
        <v>10804.179</v>
      </c>
      <c r="K73" s="26">
        <f>'2023'!K75</f>
        <v>8156.5599999999995</v>
      </c>
      <c r="L73" s="26">
        <f t="shared" si="7"/>
        <v>37512.006000000001</v>
      </c>
      <c r="M73" s="38">
        <v>175.26</v>
      </c>
      <c r="N73" s="27">
        <v>175.26</v>
      </c>
      <c r="O73" s="38">
        <v>92.83</v>
      </c>
      <c r="P73" s="27">
        <v>96.55</v>
      </c>
      <c r="Q73" s="27">
        <f t="shared" si="28"/>
        <v>760235.98100999999</v>
      </c>
      <c r="R73" s="27">
        <f t="shared" si="29"/>
        <v>768944.95779999986</v>
      </c>
      <c r="S73" s="27">
        <f t="shared" si="29"/>
        <v>850396.92908999999</v>
      </c>
      <c r="T73" s="27">
        <f t="shared" si="30"/>
        <v>642002.83759999985</v>
      </c>
      <c r="U73" s="27">
        <f t="shared" si="8"/>
        <v>3021580.7054999997</v>
      </c>
      <c r="V73" s="119"/>
      <c r="W73" s="119"/>
      <c r="X73" s="119"/>
      <c r="Y73" s="29">
        <f t="shared" si="26"/>
        <v>100</v>
      </c>
      <c r="Z73" s="30">
        <f t="shared" si="27"/>
        <v>104.00732521814069</v>
      </c>
      <c r="AA73" s="2"/>
      <c r="AD73" s="32">
        <f t="shared" si="9"/>
        <v>-7.3252181406928685E-3</v>
      </c>
    </row>
    <row r="74" spans="1:30" s="40" customFormat="1" ht="51.75" customHeight="1">
      <c r="A74" s="33">
        <v>2901302219</v>
      </c>
      <c r="B74" s="34" t="s">
        <v>120</v>
      </c>
      <c r="C74" s="35" t="s">
        <v>97</v>
      </c>
      <c r="D74" s="33" t="s">
        <v>98</v>
      </c>
      <c r="E74" s="33"/>
      <c r="F74" s="36" t="s">
        <v>21</v>
      </c>
      <c r="G74" s="36"/>
      <c r="H74" s="26">
        <f>'2023'!H76</f>
        <v>824.81100000000015</v>
      </c>
      <c r="I74" s="26">
        <f>'2023'!I76</f>
        <v>1089.5</v>
      </c>
      <c r="J74" s="26">
        <f>'2023'!J76</f>
        <v>1089.5</v>
      </c>
      <c r="K74" s="26">
        <f>'2023'!K76</f>
        <v>1089.5</v>
      </c>
      <c r="L74" s="26">
        <f t="shared" ref="L74:L138" si="31">H74+I74+J74+K74</f>
        <v>4093.3110000000001</v>
      </c>
      <c r="M74" s="38">
        <v>445.98</v>
      </c>
      <c r="N74" s="27">
        <v>445.98</v>
      </c>
      <c r="O74" s="38">
        <v>84.72</v>
      </c>
      <c r="P74" s="27">
        <v>88.11</v>
      </c>
      <c r="Q74" s="27">
        <f t="shared" si="28"/>
        <v>297971.22186000005</v>
      </c>
      <c r="R74" s="27">
        <f t="shared" si="29"/>
        <v>393592.77</v>
      </c>
      <c r="S74" s="27">
        <f t="shared" si="29"/>
        <v>389899.36499999999</v>
      </c>
      <c r="T74" s="27">
        <f t="shared" si="30"/>
        <v>389899.36499999999</v>
      </c>
      <c r="U74" s="27">
        <f t="shared" ref="U74:U138" si="32">Q74+R74+S74+T74</f>
        <v>1471362.7218600002</v>
      </c>
      <c r="V74" s="119"/>
      <c r="W74" s="119"/>
      <c r="X74" s="119"/>
      <c r="Y74" s="29">
        <f t="shared" si="26"/>
        <v>100</v>
      </c>
      <c r="Z74" s="30">
        <f t="shared" si="27"/>
        <v>104.0014164305949</v>
      </c>
      <c r="AA74" s="2"/>
      <c r="AD74" s="32">
        <f t="shared" si="9"/>
        <v>-1.4164305949009304E-3</v>
      </c>
    </row>
    <row r="75" spans="1:30" s="79" customFormat="1" ht="51.75" customHeight="1">
      <c r="A75" s="73">
        <v>2904028490</v>
      </c>
      <c r="B75" s="74" t="s">
        <v>103</v>
      </c>
      <c r="C75" s="75" t="s">
        <v>97</v>
      </c>
      <c r="D75" s="73" t="s">
        <v>98</v>
      </c>
      <c r="E75" s="73" t="s">
        <v>322</v>
      </c>
      <c r="F75" s="76" t="s">
        <v>21</v>
      </c>
      <c r="G75" s="36"/>
      <c r="H75" s="26">
        <f>'2023'!H77</f>
        <v>23297.888999999999</v>
      </c>
      <c r="I75" s="26">
        <f>'2023'!I77</f>
        <v>23810.504000000001</v>
      </c>
      <c r="J75" s="26">
        <f>'2023'!J77</f>
        <v>20387</v>
      </c>
      <c r="K75" s="26">
        <f>'2023'!K77</f>
        <v>20387</v>
      </c>
      <c r="L75" s="26">
        <f t="shared" si="31"/>
        <v>87882.392999999996</v>
      </c>
      <c r="M75" s="70">
        <v>56.98</v>
      </c>
      <c r="N75" s="45">
        <v>61.53</v>
      </c>
      <c r="O75" s="70">
        <v>55.16</v>
      </c>
      <c r="P75" s="45">
        <v>57.37</v>
      </c>
      <c r="Q75" s="27">
        <f t="shared" si="28"/>
        <v>42402.157980000004</v>
      </c>
      <c r="R75" s="27">
        <f t="shared" si="29"/>
        <v>43335.117280000006</v>
      </c>
      <c r="S75" s="27">
        <f t="shared" si="29"/>
        <v>84809.920000000071</v>
      </c>
      <c r="T75" s="27">
        <f t="shared" si="30"/>
        <v>84809.920000000071</v>
      </c>
      <c r="U75" s="27">
        <f t="shared" si="32"/>
        <v>255357.11526000014</v>
      </c>
      <c r="V75" s="122"/>
      <c r="W75" s="122"/>
      <c r="X75" s="122"/>
      <c r="Y75" s="43">
        <f t="shared" si="26"/>
        <v>107.985257985258</v>
      </c>
      <c r="Z75" s="44">
        <f t="shared" si="27"/>
        <v>104.00652646845541</v>
      </c>
      <c r="AA75" s="138" t="s">
        <v>105</v>
      </c>
      <c r="AD75" s="32">
        <f t="shared" si="9"/>
        <v>-6.5264684554051655E-3</v>
      </c>
    </row>
    <row r="76" spans="1:30" s="100" customFormat="1" ht="63" customHeight="1">
      <c r="A76" s="97">
        <v>2904028490</v>
      </c>
      <c r="B76" s="98" t="s">
        <v>103</v>
      </c>
      <c r="C76" s="111" t="s">
        <v>97</v>
      </c>
      <c r="D76" s="73" t="s">
        <v>98</v>
      </c>
      <c r="E76" s="73" t="s">
        <v>323</v>
      </c>
      <c r="F76" s="99" t="s">
        <v>21</v>
      </c>
      <c r="G76" s="99"/>
      <c r="H76" s="26">
        <f>'2023'!H78</f>
        <v>5326.3770000000004</v>
      </c>
      <c r="I76" s="26">
        <f>'2023'!I78</f>
        <v>5679.57</v>
      </c>
      <c r="J76" s="26">
        <f>'2023'!J78</f>
        <v>6427.3</v>
      </c>
      <c r="K76" s="26">
        <f>'2023'!K78</f>
        <v>5296.54</v>
      </c>
      <c r="L76" s="26">
        <f t="shared" si="31"/>
        <v>22729.787</v>
      </c>
      <c r="M76" s="70">
        <v>164.47</v>
      </c>
      <c r="N76" s="45">
        <v>177.63</v>
      </c>
      <c r="O76" s="70">
        <v>55.16</v>
      </c>
      <c r="P76" s="45">
        <v>57.37</v>
      </c>
      <c r="Q76" s="27">
        <f t="shared" si="28"/>
        <v>582226.26987000008</v>
      </c>
      <c r="R76" s="27">
        <f t="shared" si="29"/>
        <v>620833.79669999995</v>
      </c>
      <c r="S76" s="27">
        <f t="shared" si="29"/>
        <v>772947.098</v>
      </c>
      <c r="T76" s="27">
        <f t="shared" si="30"/>
        <v>636961.90039999993</v>
      </c>
      <c r="U76" s="27">
        <f t="shared" si="32"/>
        <v>2612969.0649699997</v>
      </c>
      <c r="V76" s="128"/>
      <c r="W76" s="128"/>
      <c r="X76" s="128"/>
      <c r="Y76" s="29">
        <f t="shared" si="26"/>
        <v>108.0014592326868</v>
      </c>
      <c r="Z76" s="30">
        <f t="shared" si="27"/>
        <v>104.00652646845541</v>
      </c>
      <c r="AA76" s="138"/>
      <c r="AD76" s="32">
        <f t="shared" si="9"/>
        <v>-6.5264684554051655E-3</v>
      </c>
    </row>
    <row r="77" spans="1:30" s="40" customFormat="1" ht="15.75" customHeight="1">
      <c r="A77" s="33"/>
      <c r="B77" s="34"/>
      <c r="C77" s="35"/>
      <c r="D77" s="33"/>
      <c r="E77" s="33"/>
      <c r="F77" s="36"/>
      <c r="G77" s="36"/>
      <c r="H77" s="26"/>
      <c r="I77" s="26"/>
      <c r="J77" s="26"/>
      <c r="K77" s="26"/>
      <c r="L77" s="37"/>
      <c r="M77" s="41"/>
      <c r="N77" s="41"/>
      <c r="O77" s="41"/>
      <c r="P77" s="41"/>
      <c r="Q77" s="27"/>
      <c r="R77" s="27"/>
      <c r="S77" s="27"/>
      <c r="T77" s="27"/>
      <c r="U77" s="27"/>
      <c r="V77" s="119"/>
      <c r="W77" s="119"/>
      <c r="X77" s="119"/>
      <c r="Y77" s="29" t="e">
        <f t="shared" si="26"/>
        <v>#DIV/0!</v>
      </c>
      <c r="Z77" s="30" t="e">
        <f t="shared" si="27"/>
        <v>#DIV/0!</v>
      </c>
      <c r="AA77" s="2"/>
      <c r="AD77" s="32" t="e">
        <f t="shared" si="9"/>
        <v>#DIV/0!</v>
      </c>
    </row>
    <row r="78" spans="1:30" s="40" customFormat="1" ht="51.75" customHeight="1">
      <c r="A78" s="33">
        <v>2914003174</v>
      </c>
      <c r="B78" s="34" t="s">
        <v>106</v>
      </c>
      <c r="C78" s="35" t="s">
        <v>107</v>
      </c>
      <c r="D78" s="33" t="s">
        <v>108</v>
      </c>
      <c r="E78" s="33"/>
      <c r="F78" s="36" t="s">
        <v>21</v>
      </c>
      <c r="G78" s="36"/>
      <c r="H78" s="26">
        <f>'2023'!H80</f>
        <v>2943.3609999999999</v>
      </c>
      <c r="I78" s="26">
        <f>'2023'!I80</f>
        <v>2900.75</v>
      </c>
      <c r="J78" s="26">
        <f>'2023'!J80</f>
        <v>2960.0120000000002</v>
      </c>
      <c r="K78" s="26">
        <f>'2023'!K80</f>
        <v>2894.9989999999998</v>
      </c>
      <c r="L78" s="26">
        <f t="shared" si="31"/>
        <v>11699.121999999999</v>
      </c>
      <c r="M78" s="38">
        <f>'2024'!N78</f>
        <v>78.210400000000021</v>
      </c>
      <c r="N78" s="27">
        <v>84.467232000000024</v>
      </c>
      <c r="O78" s="38">
        <f>'2024'!P78</f>
        <v>30.176639999999999</v>
      </c>
      <c r="P78" s="27">
        <v>31.383705599999999</v>
      </c>
      <c r="Q78" s="27">
        <f t="shared" ref="Q78:Q85" si="33">(M78-O78)*H78</f>
        <v>141380.69586736005</v>
      </c>
      <c r="R78" s="27">
        <f t="shared" ref="R78:S85" si="34">(M78-O78)*I78</f>
        <v>139333.92932000005</v>
      </c>
      <c r="S78" s="27">
        <f t="shared" si="34"/>
        <v>157127.87514631689</v>
      </c>
      <c r="T78" s="27">
        <f t="shared" ref="T78:T85" si="35">(N78-P78)*K78</f>
        <v>153676.75584447366</v>
      </c>
      <c r="U78" s="27">
        <f t="shared" si="32"/>
        <v>591519.25617815065</v>
      </c>
      <c r="V78" s="119"/>
      <c r="W78" s="119"/>
      <c r="X78" s="119"/>
      <c r="Y78" s="29">
        <f t="shared" si="26"/>
        <v>108</v>
      </c>
      <c r="Z78" s="30">
        <f t="shared" si="27"/>
        <v>104</v>
      </c>
      <c r="AA78" s="2"/>
      <c r="AD78" s="32">
        <f t="shared" si="9"/>
        <v>0</v>
      </c>
    </row>
    <row r="79" spans="1:30" s="40" customFormat="1" ht="51.75" customHeight="1">
      <c r="A79" s="33">
        <v>2904025965</v>
      </c>
      <c r="B79" s="34" t="s">
        <v>277</v>
      </c>
      <c r="C79" s="35" t="s">
        <v>107</v>
      </c>
      <c r="D79" s="33" t="s">
        <v>110</v>
      </c>
      <c r="E79" s="33"/>
      <c r="F79" s="36" t="s">
        <v>21</v>
      </c>
      <c r="G79" s="36"/>
      <c r="H79" s="26">
        <f>'2023'!H81</f>
        <v>6201.5</v>
      </c>
      <c r="I79" s="26">
        <f>'2023'!I81</f>
        <v>6201.5</v>
      </c>
      <c r="J79" s="26">
        <f>'2023'!J81</f>
        <v>6468.5</v>
      </c>
      <c r="K79" s="26">
        <f>'2023'!K81</f>
        <v>6468.5</v>
      </c>
      <c r="L79" s="26">
        <f t="shared" si="31"/>
        <v>25340</v>
      </c>
      <c r="M79" s="38">
        <f>'2024'!N79</f>
        <v>85.323241760000016</v>
      </c>
      <c r="N79" s="27">
        <v>92.149101100800024</v>
      </c>
      <c r="O79" s="38">
        <f>'2024'!P79</f>
        <v>26.607360000000003</v>
      </c>
      <c r="P79" s="27">
        <v>27.671654400000005</v>
      </c>
      <c r="Q79" s="27">
        <f t="shared" si="33"/>
        <v>364126.54073464009</v>
      </c>
      <c r="R79" s="27">
        <f t="shared" si="34"/>
        <v>364126.54073464009</v>
      </c>
      <c r="S79" s="27">
        <f t="shared" si="34"/>
        <v>417072.36398412491</v>
      </c>
      <c r="T79" s="27">
        <f t="shared" si="35"/>
        <v>417072.36398412491</v>
      </c>
      <c r="U79" s="27">
        <f t="shared" si="32"/>
        <v>1562397.8094375301</v>
      </c>
      <c r="V79" s="119"/>
      <c r="W79" s="119"/>
      <c r="X79" s="119"/>
      <c r="Y79" s="29">
        <f t="shared" si="26"/>
        <v>108</v>
      </c>
      <c r="Z79" s="30">
        <f t="shared" si="27"/>
        <v>104</v>
      </c>
      <c r="AA79" s="2"/>
      <c r="AD79" s="32">
        <f t="shared" si="9"/>
        <v>0</v>
      </c>
    </row>
    <row r="80" spans="1:30" s="40" customFormat="1" ht="51.75" customHeight="1">
      <c r="A80" s="33">
        <v>2914000511</v>
      </c>
      <c r="B80" s="34" t="s">
        <v>109</v>
      </c>
      <c r="C80" s="35" t="s">
        <v>107</v>
      </c>
      <c r="D80" s="33" t="s">
        <v>108</v>
      </c>
      <c r="E80" s="33"/>
      <c r="F80" s="36" t="s">
        <v>21</v>
      </c>
      <c r="G80" s="36"/>
      <c r="H80" s="26">
        <f>'2023'!H82</f>
        <v>125</v>
      </c>
      <c r="I80" s="26">
        <f>'2023'!I82</f>
        <v>125</v>
      </c>
      <c r="J80" s="26">
        <f>'2023'!J82</f>
        <v>125</v>
      </c>
      <c r="K80" s="26">
        <f>'2023'!K82</f>
        <v>125</v>
      </c>
      <c r="L80" s="26">
        <f t="shared" si="31"/>
        <v>500</v>
      </c>
      <c r="M80" s="38">
        <f>'2024'!N80</f>
        <v>45.296159999999993</v>
      </c>
      <c r="N80" s="27">
        <v>45.296159999999993</v>
      </c>
      <c r="O80" s="38">
        <f>'2024'!P80</f>
        <v>30.176639999999999</v>
      </c>
      <c r="P80" s="27">
        <v>31.383705599999999</v>
      </c>
      <c r="Q80" s="27">
        <f t="shared" si="33"/>
        <v>1889.9399999999994</v>
      </c>
      <c r="R80" s="27">
        <f t="shared" si="34"/>
        <v>1889.9399999999994</v>
      </c>
      <c r="S80" s="27">
        <f t="shared" si="34"/>
        <v>1739.0567999999994</v>
      </c>
      <c r="T80" s="27">
        <f t="shared" si="35"/>
        <v>1739.0567999999994</v>
      </c>
      <c r="U80" s="27">
        <f t="shared" si="32"/>
        <v>7257.9935999999971</v>
      </c>
      <c r="V80" s="119"/>
      <c r="W80" s="119"/>
      <c r="X80" s="119"/>
      <c r="Y80" s="29">
        <f t="shared" si="26"/>
        <v>100</v>
      </c>
      <c r="Z80" s="30">
        <f t="shared" si="27"/>
        <v>104</v>
      </c>
      <c r="AA80" s="2"/>
      <c r="AD80" s="32">
        <f>104-Z80</f>
        <v>0</v>
      </c>
    </row>
    <row r="81" spans="1:30" s="40" customFormat="1" ht="15" customHeight="1">
      <c r="A81" s="33"/>
      <c r="B81" s="34"/>
      <c r="C81" s="35"/>
      <c r="D81" s="33"/>
      <c r="E81" s="33"/>
      <c r="F81" s="36"/>
      <c r="G81" s="36"/>
      <c r="H81" s="26"/>
      <c r="I81" s="26"/>
      <c r="J81" s="26"/>
      <c r="K81" s="26"/>
      <c r="L81" s="37"/>
      <c r="M81" s="41"/>
      <c r="N81" s="41"/>
      <c r="O81" s="41"/>
      <c r="P81" s="41"/>
      <c r="Q81" s="27"/>
      <c r="R81" s="27"/>
      <c r="S81" s="27"/>
      <c r="T81" s="27"/>
      <c r="U81" s="27"/>
      <c r="V81" s="119"/>
      <c r="W81" s="119"/>
      <c r="X81" s="119"/>
      <c r="Y81" s="29" t="e">
        <f t="shared" si="26"/>
        <v>#DIV/0!</v>
      </c>
      <c r="Z81" s="30" t="e">
        <f t="shared" si="27"/>
        <v>#DIV/0!</v>
      </c>
      <c r="AA81" s="2"/>
      <c r="AD81" s="32" t="e">
        <f t="shared" si="9"/>
        <v>#DIV/0!</v>
      </c>
    </row>
    <row r="82" spans="1:30" s="40" customFormat="1" ht="51" customHeight="1">
      <c r="A82" s="33" t="s">
        <v>111</v>
      </c>
      <c r="B82" s="34" t="s">
        <v>112</v>
      </c>
      <c r="C82" s="35" t="s">
        <v>113</v>
      </c>
      <c r="D82" s="33" t="s">
        <v>114</v>
      </c>
      <c r="E82" s="33"/>
      <c r="F82" s="36" t="s">
        <v>21</v>
      </c>
      <c r="G82" s="36"/>
      <c r="H82" s="26">
        <f>'2023'!H84</f>
        <v>1301.58</v>
      </c>
      <c r="I82" s="26">
        <f>'2023'!I84</f>
        <v>1286.53</v>
      </c>
      <c r="J82" s="26">
        <f>'2023'!J84</f>
        <v>1397.96</v>
      </c>
      <c r="K82" s="26">
        <f>'2023'!K84</f>
        <v>1243.92</v>
      </c>
      <c r="L82" s="26">
        <f t="shared" si="31"/>
        <v>5229.99</v>
      </c>
      <c r="M82" s="38">
        <v>182.97</v>
      </c>
      <c r="N82" s="27">
        <v>182.97</v>
      </c>
      <c r="O82" s="38">
        <f>'2024'!P82</f>
        <v>45.458400000000005</v>
      </c>
      <c r="P82" s="27">
        <f>O82*1.04</f>
        <v>47.276736000000007</v>
      </c>
      <c r="Q82" s="27">
        <f t="shared" si="33"/>
        <v>178982.34832799996</v>
      </c>
      <c r="R82" s="27">
        <f t="shared" si="34"/>
        <v>176912.79874799997</v>
      </c>
      <c r="S82" s="27">
        <f t="shared" si="34"/>
        <v>189693.75534144</v>
      </c>
      <c r="T82" s="27">
        <f t="shared" si="35"/>
        <v>168791.56495488001</v>
      </c>
      <c r="U82" s="27">
        <f t="shared" si="32"/>
        <v>714380.46737232001</v>
      </c>
      <c r="V82" s="119"/>
      <c r="W82" s="119"/>
      <c r="X82" s="119"/>
      <c r="Y82" s="29">
        <f t="shared" si="26"/>
        <v>100</v>
      </c>
      <c r="Z82" s="30">
        <f t="shared" si="27"/>
        <v>104</v>
      </c>
      <c r="AA82" s="2"/>
      <c r="AD82" s="32">
        <f t="shared" ref="AD82:AD146" si="36">104-Z82</f>
        <v>0</v>
      </c>
    </row>
    <row r="83" spans="1:30" s="40" customFormat="1" ht="51" customHeight="1">
      <c r="A83" s="33">
        <v>2901284489</v>
      </c>
      <c r="B83" s="34" t="s">
        <v>115</v>
      </c>
      <c r="C83" s="35" t="s">
        <v>113</v>
      </c>
      <c r="D83" s="33" t="s">
        <v>324</v>
      </c>
      <c r="E83" s="33"/>
      <c r="F83" s="36" t="s">
        <v>21</v>
      </c>
      <c r="G83" s="36" t="s">
        <v>325</v>
      </c>
      <c r="H83" s="26">
        <f>'2023'!H85</f>
        <v>8116.0299999999988</v>
      </c>
      <c r="I83" s="26">
        <f>'2023'!I85</f>
        <v>8590.4089999999997</v>
      </c>
      <c r="J83" s="26">
        <f>'2023'!J85</f>
        <v>6967.2349999999997</v>
      </c>
      <c r="K83" s="26">
        <f>'2023'!K85</f>
        <v>6433.5360000000001</v>
      </c>
      <c r="L83" s="26">
        <f t="shared" si="31"/>
        <v>30107.21</v>
      </c>
      <c r="M83" s="38">
        <f>'2024'!N83</f>
        <v>207.58</v>
      </c>
      <c r="N83" s="27">
        <v>224.19</v>
      </c>
      <c r="O83" s="38">
        <f>'2024'!P83</f>
        <v>41.2256</v>
      </c>
      <c r="P83" s="27">
        <f>O83*1.04</f>
        <v>42.874624000000004</v>
      </c>
      <c r="Q83" s="27">
        <f t="shared" si="33"/>
        <v>1350137.3010319998</v>
      </c>
      <c r="R83" s="27">
        <f t="shared" si="34"/>
        <v>1429052.3349495998</v>
      </c>
      <c r="S83" s="27">
        <f t="shared" si="34"/>
        <v>1263266.8337053598</v>
      </c>
      <c r="T83" s="27">
        <f t="shared" si="35"/>
        <v>1166498.9988495358</v>
      </c>
      <c r="U83" s="27">
        <f t="shared" si="32"/>
        <v>5208955.4685364962</v>
      </c>
      <c r="V83" s="119"/>
      <c r="W83" s="119"/>
      <c r="X83" s="119"/>
      <c r="Y83" s="29">
        <f t="shared" si="26"/>
        <v>108.00173427112438</v>
      </c>
      <c r="Z83" s="30">
        <f t="shared" si="27"/>
        <v>104</v>
      </c>
      <c r="AA83" s="2"/>
      <c r="AD83" s="32">
        <f t="shared" si="36"/>
        <v>0</v>
      </c>
    </row>
    <row r="84" spans="1:30" s="40" customFormat="1" ht="51" customHeight="1">
      <c r="A84" s="33">
        <v>7736186950</v>
      </c>
      <c r="B84" s="34" t="s">
        <v>117</v>
      </c>
      <c r="C84" s="35" t="s">
        <v>113</v>
      </c>
      <c r="D84" s="33" t="s">
        <v>118</v>
      </c>
      <c r="E84" s="33"/>
      <c r="F84" s="36" t="s">
        <v>21</v>
      </c>
      <c r="G84" s="36"/>
      <c r="H84" s="26">
        <f>'2023'!H86</f>
        <v>16699.669999999998</v>
      </c>
      <c r="I84" s="26">
        <f>'2023'!I86</f>
        <v>16630.146000000001</v>
      </c>
      <c r="J84" s="26">
        <f>'2023'!J86</f>
        <v>16464.810000000001</v>
      </c>
      <c r="K84" s="26">
        <f>'2023'!K86</f>
        <v>16245.277</v>
      </c>
      <c r="L84" s="26">
        <f t="shared" si="31"/>
        <v>66039.903000000006</v>
      </c>
      <c r="M84" s="38">
        <f>'2024'!N84</f>
        <v>71.23</v>
      </c>
      <c r="N84" s="27">
        <v>76.930000000000007</v>
      </c>
      <c r="O84" s="38">
        <f>'2024'!P84</f>
        <v>24.876800000000003</v>
      </c>
      <c r="P84" s="27">
        <f>O84*1.04</f>
        <v>25.871872000000003</v>
      </c>
      <c r="Q84" s="27">
        <f t="shared" si="33"/>
        <v>774083.14344399993</v>
      </c>
      <c r="R84" s="27">
        <f t="shared" si="34"/>
        <v>770860.48356720002</v>
      </c>
      <c r="S84" s="27">
        <f t="shared" si="34"/>
        <v>840662.37647568015</v>
      </c>
      <c r="T84" s="27">
        <f t="shared" si="35"/>
        <v>829453.43246145605</v>
      </c>
      <c r="U84" s="27">
        <f t="shared" si="32"/>
        <v>3215059.435948336</v>
      </c>
      <c r="V84" s="119"/>
      <c r="W84" s="119"/>
      <c r="X84" s="119"/>
      <c r="Y84" s="29">
        <f t="shared" si="26"/>
        <v>108.00224624455987</v>
      </c>
      <c r="Z84" s="30">
        <f t="shared" si="27"/>
        <v>104</v>
      </c>
      <c r="AA84" s="2"/>
      <c r="AD84" s="32">
        <f t="shared" si="36"/>
        <v>0</v>
      </c>
    </row>
    <row r="85" spans="1:30" s="40" customFormat="1" ht="51" customHeight="1">
      <c r="A85" s="33">
        <v>2915004011</v>
      </c>
      <c r="B85" s="34" t="s">
        <v>119</v>
      </c>
      <c r="C85" s="35" t="s">
        <v>113</v>
      </c>
      <c r="D85" s="33" t="s">
        <v>118</v>
      </c>
      <c r="E85" s="33"/>
      <c r="F85" s="36" t="s">
        <v>21</v>
      </c>
      <c r="G85" s="36" t="s">
        <v>413</v>
      </c>
      <c r="H85" s="26">
        <f>'2023'!H87</f>
        <v>5372.25</v>
      </c>
      <c r="I85" s="26">
        <f>'2023'!I87</f>
        <v>5372.25</v>
      </c>
      <c r="J85" s="26">
        <f>'2023'!J87</f>
        <v>5372.25</v>
      </c>
      <c r="K85" s="26">
        <f>'2023'!K87</f>
        <v>5372.25</v>
      </c>
      <c r="L85" s="26">
        <f t="shared" si="31"/>
        <v>21489</v>
      </c>
      <c r="M85" s="38">
        <f>'2024'!N85</f>
        <v>118.26</v>
      </c>
      <c r="N85" s="27">
        <v>140</v>
      </c>
      <c r="O85" s="38">
        <f>'2024'!P85</f>
        <v>40.04</v>
      </c>
      <c r="P85" s="27">
        <f>O85*1.04</f>
        <v>41.641600000000004</v>
      </c>
      <c r="Q85" s="27">
        <f t="shared" si="33"/>
        <v>420217.39500000002</v>
      </c>
      <c r="R85" s="27">
        <f t="shared" si="34"/>
        <v>420217.39500000002</v>
      </c>
      <c r="S85" s="27">
        <f t="shared" si="34"/>
        <v>528405.91439999989</v>
      </c>
      <c r="T85" s="27">
        <f t="shared" si="35"/>
        <v>528405.91439999989</v>
      </c>
      <c r="U85" s="27">
        <f t="shared" si="32"/>
        <v>1897246.6187999998</v>
      </c>
      <c r="V85" s="119"/>
      <c r="W85" s="119"/>
      <c r="X85" s="119"/>
      <c r="Y85" s="29">
        <f t="shared" si="26"/>
        <v>118.38322340605446</v>
      </c>
      <c r="Z85" s="30">
        <f t="shared" si="27"/>
        <v>104</v>
      </c>
      <c r="AA85" s="2"/>
      <c r="AD85" s="32">
        <f t="shared" si="36"/>
        <v>0</v>
      </c>
    </row>
    <row r="86" spans="1:30" s="40" customFormat="1" ht="15" customHeight="1">
      <c r="A86" s="33"/>
      <c r="B86" s="34"/>
      <c r="C86" s="35"/>
      <c r="D86" s="33"/>
      <c r="E86" s="33"/>
      <c r="F86" s="36"/>
      <c r="G86" s="36"/>
      <c r="H86" s="26"/>
      <c r="I86" s="26"/>
      <c r="J86" s="26"/>
      <c r="K86" s="26"/>
      <c r="L86" s="37"/>
      <c r="M86" s="41"/>
      <c r="N86" s="41"/>
      <c r="O86" s="41"/>
      <c r="P86" s="41"/>
      <c r="Q86" s="27"/>
      <c r="R86" s="27"/>
      <c r="S86" s="27"/>
      <c r="T86" s="27"/>
      <c r="U86" s="27"/>
      <c r="V86" s="119"/>
      <c r="W86" s="119"/>
      <c r="X86" s="119"/>
      <c r="Y86" s="29" t="e">
        <f t="shared" si="26"/>
        <v>#DIV/0!</v>
      </c>
      <c r="Z86" s="30" t="e">
        <f t="shared" si="27"/>
        <v>#DIV/0!</v>
      </c>
      <c r="AA86" s="2"/>
      <c r="AD86" s="32" t="e">
        <f t="shared" si="36"/>
        <v>#DIV/0!</v>
      </c>
    </row>
    <row r="87" spans="1:30" s="40" customFormat="1" ht="51" customHeight="1">
      <c r="A87" s="33">
        <v>2901302219</v>
      </c>
      <c r="B87" s="34" t="s">
        <v>120</v>
      </c>
      <c r="C87" s="35" t="s">
        <v>121</v>
      </c>
      <c r="D87" s="33" t="s">
        <v>63</v>
      </c>
      <c r="E87" s="33"/>
      <c r="F87" s="36" t="s">
        <v>21</v>
      </c>
      <c r="G87" s="36" t="s">
        <v>101</v>
      </c>
      <c r="H87" s="26">
        <f>'2023'!H89</f>
        <v>20623.195</v>
      </c>
      <c r="I87" s="26">
        <f>'2023'!I89</f>
        <v>18691.107</v>
      </c>
      <c r="J87" s="26">
        <f>'2023'!J89</f>
        <v>20529.962</v>
      </c>
      <c r="K87" s="26">
        <f>'2023'!K89</f>
        <v>19135.057000000001</v>
      </c>
      <c r="L87" s="26">
        <f t="shared" si="31"/>
        <v>78979.320999999996</v>
      </c>
      <c r="M87" s="38">
        <v>219.64</v>
      </c>
      <c r="N87" s="27">
        <v>219.64</v>
      </c>
      <c r="O87" s="38">
        <v>67.09</v>
      </c>
      <c r="P87" s="27">
        <v>69.78</v>
      </c>
      <c r="Q87" s="27">
        <f>(M87-O87)*H87</f>
        <v>3146068.3972499995</v>
      </c>
      <c r="R87" s="27">
        <f>(M87-O87)*I87</f>
        <v>2851328.3728499995</v>
      </c>
      <c r="S87" s="27">
        <f>(N87-P87)*J87</f>
        <v>3076620.1053199996</v>
      </c>
      <c r="T87" s="27">
        <f>(N87-P87)*K87</f>
        <v>2867579.6420199997</v>
      </c>
      <c r="U87" s="27">
        <f t="shared" si="32"/>
        <v>11941596.517439999</v>
      </c>
      <c r="V87" s="119"/>
      <c r="W87" s="119"/>
      <c r="X87" s="119"/>
      <c r="Y87" s="29">
        <f t="shared" si="26"/>
        <v>100</v>
      </c>
      <c r="Z87" s="30">
        <f t="shared" si="27"/>
        <v>104.00953942465345</v>
      </c>
      <c r="AA87" s="2"/>
      <c r="AD87" s="32">
        <f t="shared" si="36"/>
        <v>-9.5394246534539207E-3</v>
      </c>
    </row>
    <row r="88" spans="1:30" s="40" customFormat="1" ht="15" customHeight="1">
      <c r="A88" s="33"/>
      <c r="B88" s="34"/>
      <c r="C88" s="35"/>
      <c r="D88" s="33"/>
      <c r="E88" s="33"/>
      <c r="F88" s="36"/>
      <c r="G88" s="36"/>
      <c r="H88" s="26"/>
      <c r="I88" s="26"/>
      <c r="J88" s="26"/>
      <c r="K88" s="26"/>
      <c r="L88" s="37"/>
      <c r="M88" s="41"/>
      <c r="N88" s="41"/>
      <c r="O88" s="41"/>
      <c r="P88" s="41"/>
      <c r="Q88" s="27"/>
      <c r="R88" s="27"/>
      <c r="S88" s="27"/>
      <c r="T88" s="27"/>
      <c r="U88" s="27"/>
      <c r="V88" s="119"/>
      <c r="W88" s="119"/>
      <c r="X88" s="119"/>
      <c r="Y88" s="29" t="e">
        <f t="shared" si="26"/>
        <v>#DIV/0!</v>
      </c>
      <c r="Z88" s="30" t="e">
        <f t="shared" si="27"/>
        <v>#DIV/0!</v>
      </c>
      <c r="AA88" s="2"/>
      <c r="AD88" s="32" t="e">
        <f t="shared" si="36"/>
        <v>#DIV/0!</v>
      </c>
    </row>
    <row r="89" spans="1:30" s="40" customFormat="1" ht="51" customHeight="1">
      <c r="A89" s="33">
        <v>2917125967</v>
      </c>
      <c r="B89" s="34" t="s">
        <v>122</v>
      </c>
      <c r="C89" s="35" t="s">
        <v>123</v>
      </c>
      <c r="D89" s="33" t="s">
        <v>124</v>
      </c>
      <c r="E89" s="33"/>
      <c r="F89" s="36" t="s">
        <v>21</v>
      </c>
      <c r="G89" s="36" t="s">
        <v>414</v>
      </c>
      <c r="H89" s="26">
        <f>'2023'!H91</f>
        <v>1860</v>
      </c>
      <c r="I89" s="26">
        <f>'2023'!I91</f>
        <v>1860</v>
      </c>
      <c r="J89" s="26">
        <f>'2023'!J91</f>
        <v>1860</v>
      </c>
      <c r="K89" s="26">
        <f>'2023'!K91</f>
        <v>1860</v>
      </c>
      <c r="L89" s="26">
        <f t="shared" si="31"/>
        <v>7440</v>
      </c>
      <c r="M89" s="38">
        <f>'2024'!N89</f>
        <v>49.765300000000003</v>
      </c>
      <c r="N89" s="27">
        <v>53.746524000000001</v>
      </c>
      <c r="O89" s="38">
        <f>'2024'!P89</f>
        <v>46.584512000000004</v>
      </c>
      <c r="P89" s="38">
        <v>48.447892480000007</v>
      </c>
      <c r="Q89" s="27">
        <f>(M89-O89)*H89</f>
        <v>5916.2656799999995</v>
      </c>
      <c r="R89" s="27">
        <f>(M89-O89)*I89</f>
        <v>5916.2656799999995</v>
      </c>
      <c r="S89" s="27">
        <f>(N89-P89)*J89</f>
        <v>9855.454627199988</v>
      </c>
      <c r="T89" s="27">
        <f>(N89-P89)*K89</f>
        <v>9855.454627199988</v>
      </c>
      <c r="U89" s="27">
        <f t="shared" si="32"/>
        <v>31543.440614399973</v>
      </c>
      <c r="V89" s="119"/>
      <c r="W89" s="119"/>
      <c r="X89" s="119"/>
      <c r="Y89" s="29">
        <f t="shared" si="26"/>
        <v>107.99999999999999</v>
      </c>
      <c r="Z89" s="30">
        <f t="shared" si="27"/>
        <v>104</v>
      </c>
      <c r="AA89" s="2"/>
      <c r="AD89" s="32">
        <f t="shared" si="36"/>
        <v>0</v>
      </c>
    </row>
    <row r="90" spans="1:30" s="40" customFormat="1" ht="93" customHeight="1">
      <c r="A90" s="33">
        <v>2901302219</v>
      </c>
      <c r="B90" s="34" t="s">
        <v>120</v>
      </c>
      <c r="C90" s="35" t="s">
        <v>123</v>
      </c>
      <c r="D90" s="33" t="s">
        <v>326</v>
      </c>
      <c r="E90" s="33"/>
      <c r="F90" s="36" t="s">
        <v>21</v>
      </c>
      <c r="G90" s="36" t="s">
        <v>125</v>
      </c>
      <c r="H90" s="26">
        <f>'2023'!H92</f>
        <v>19766.213</v>
      </c>
      <c r="I90" s="26">
        <f>'2023'!I92</f>
        <v>19812.165000000001</v>
      </c>
      <c r="J90" s="26">
        <f>'2023'!J92</f>
        <v>21614.526999999998</v>
      </c>
      <c r="K90" s="26">
        <f>'2023'!K92</f>
        <v>20295</v>
      </c>
      <c r="L90" s="26">
        <f t="shared" si="31"/>
        <v>81487.904999999999</v>
      </c>
      <c r="M90" s="38">
        <v>248.12</v>
      </c>
      <c r="N90" s="27">
        <v>248.12</v>
      </c>
      <c r="O90" s="38">
        <v>68.95</v>
      </c>
      <c r="P90" s="27">
        <v>71.709999999999994</v>
      </c>
      <c r="Q90" s="27">
        <f>(M90-O90)*H90</f>
        <v>3541512.3832100001</v>
      </c>
      <c r="R90" s="27">
        <f>(M90-O90)*I90</f>
        <v>3549745.6030500005</v>
      </c>
      <c r="S90" s="27">
        <f>(N90-P90)*J90</f>
        <v>3813018.7080700002</v>
      </c>
      <c r="T90" s="27">
        <f>(N90-P90)*K90</f>
        <v>3580240.9500000007</v>
      </c>
      <c r="U90" s="27">
        <f t="shared" si="32"/>
        <v>14484517.644330002</v>
      </c>
      <c r="V90" s="119"/>
      <c r="W90" s="119"/>
      <c r="X90" s="119"/>
      <c r="Y90" s="29">
        <f t="shared" si="26"/>
        <v>100</v>
      </c>
      <c r="Z90" s="30">
        <f t="shared" si="27"/>
        <v>104.00290065264683</v>
      </c>
      <c r="AA90" s="2"/>
      <c r="AD90" s="32">
        <f t="shared" si="36"/>
        <v>-2.9006526468293714E-3</v>
      </c>
    </row>
    <row r="91" spans="1:30" s="40" customFormat="1" ht="15" customHeight="1">
      <c r="A91" s="33"/>
      <c r="B91" s="34"/>
      <c r="C91" s="35"/>
      <c r="D91" s="33"/>
      <c r="E91" s="33"/>
      <c r="F91" s="36"/>
      <c r="G91" s="36"/>
      <c r="H91" s="26"/>
      <c r="I91" s="26"/>
      <c r="J91" s="26"/>
      <c r="K91" s="26"/>
      <c r="L91" s="37"/>
      <c r="M91" s="41"/>
      <c r="N91" s="41"/>
      <c r="O91" s="41"/>
      <c r="P91" s="41"/>
      <c r="Q91" s="27"/>
      <c r="R91" s="27"/>
      <c r="S91" s="27"/>
      <c r="T91" s="27"/>
      <c r="U91" s="27"/>
      <c r="V91" s="119"/>
      <c r="W91" s="119"/>
      <c r="X91" s="119"/>
      <c r="Y91" s="29" t="e">
        <f t="shared" si="26"/>
        <v>#DIV/0!</v>
      </c>
      <c r="Z91" s="30" t="e">
        <f t="shared" si="27"/>
        <v>#DIV/0!</v>
      </c>
      <c r="AA91" s="2"/>
      <c r="AD91" s="32" t="e">
        <f t="shared" si="36"/>
        <v>#DIV/0!</v>
      </c>
    </row>
    <row r="92" spans="1:30" s="49" customFormat="1" ht="51.75" customHeight="1">
      <c r="A92" s="50">
        <v>2925003747</v>
      </c>
      <c r="B92" s="51" t="s">
        <v>126</v>
      </c>
      <c r="C92" s="52" t="s">
        <v>127</v>
      </c>
      <c r="D92" s="50"/>
      <c r="E92" s="50"/>
      <c r="F92" s="46" t="s">
        <v>21</v>
      </c>
      <c r="G92" s="46" t="s">
        <v>327</v>
      </c>
      <c r="H92" s="26">
        <f>'2024'!H92</f>
        <v>396985.25</v>
      </c>
      <c r="I92" s="26">
        <f>'2024'!I92</f>
        <v>396985.25</v>
      </c>
      <c r="J92" s="26">
        <f>'2024'!J92</f>
        <v>396985.25</v>
      </c>
      <c r="K92" s="26">
        <f>'2024'!K92</f>
        <v>396985.25</v>
      </c>
      <c r="L92" s="26">
        <f t="shared" si="31"/>
        <v>1587941</v>
      </c>
      <c r="M92" s="38">
        <f>'2024'!N92</f>
        <v>32.989315821313603</v>
      </c>
      <c r="N92" s="27">
        <v>35.436263622794975</v>
      </c>
      <c r="O92" s="38">
        <f>'2024'!P92</f>
        <v>32.551722270912002</v>
      </c>
      <c r="P92" s="27">
        <f>O92*1.04</f>
        <v>33.853791161748482</v>
      </c>
      <c r="Q92" s="27">
        <f>(M92-O92)*H92</f>
        <v>173718.18500456729</v>
      </c>
      <c r="R92" s="27">
        <f>(M92-O92)*I92</f>
        <v>173718.18500456729</v>
      </c>
      <c r="S92" s="27">
        <f>(N92-P92)*J92</f>
        <v>628218.22556665714</v>
      </c>
      <c r="T92" s="27">
        <f>(N92-P92)*K92</f>
        <v>628218.22556665714</v>
      </c>
      <c r="U92" s="27">
        <f t="shared" si="32"/>
        <v>1603872.821142449</v>
      </c>
      <c r="V92" s="123"/>
      <c r="W92" s="123"/>
      <c r="X92" s="123"/>
      <c r="Y92" s="43">
        <f t="shared" si="26"/>
        <v>107.41739481574959</v>
      </c>
      <c r="Z92" s="44">
        <f t="shared" si="27"/>
        <v>104</v>
      </c>
      <c r="AA92" s="48"/>
      <c r="AD92" s="32">
        <f t="shared" si="36"/>
        <v>0</v>
      </c>
    </row>
    <row r="93" spans="1:30" s="40" customFormat="1" ht="15" customHeight="1">
      <c r="A93" s="33"/>
      <c r="B93" s="34"/>
      <c r="C93" s="35"/>
      <c r="D93" s="33"/>
      <c r="E93" s="33"/>
      <c r="F93" s="36"/>
      <c r="G93" s="36"/>
      <c r="H93" s="26"/>
      <c r="I93" s="26"/>
      <c r="J93" s="26"/>
      <c r="K93" s="26"/>
      <c r="L93" s="37"/>
      <c r="M93" s="41"/>
      <c r="N93" s="41"/>
      <c r="O93" s="41"/>
      <c r="P93" s="41"/>
      <c r="Q93" s="27"/>
      <c r="R93" s="27"/>
      <c r="S93" s="27"/>
      <c r="T93" s="27"/>
      <c r="U93" s="27"/>
      <c r="V93" s="119"/>
      <c r="W93" s="119"/>
      <c r="X93" s="119"/>
      <c r="Y93" s="29" t="e">
        <f t="shared" si="26"/>
        <v>#DIV/0!</v>
      </c>
      <c r="Z93" s="30" t="e">
        <f t="shared" si="27"/>
        <v>#DIV/0!</v>
      </c>
      <c r="AA93" s="2"/>
      <c r="AD93" s="32" t="e">
        <f t="shared" si="36"/>
        <v>#DIV/0!</v>
      </c>
    </row>
    <row r="94" spans="1:30" s="40" customFormat="1" ht="66.75" customHeight="1">
      <c r="A94" s="33">
        <v>2918002171</v>
      </c>
      <c r="B94" s="34" t="s">
        <v>128</v>
      </c>
      <c r="C94" s="35" t="s">
        <v>129</v>
      </c>
      <c r="D94" s="33" t="s">
        <v>328</v>
      </c>
      <c r="E94" s="33" t="s">
        <v>329</v>
      </c>
      <c r="F94" s="36" t="s">
        <v>21</v>
      </c>
      <c r="G94" s="36"/>
      <c r="H94" s="26">
        <f>'2023'!H96</f>
        <v>999.56600000000003</v>
      </c>
      <c r="I94" s="26">
        <f>'2023'!I96</f>
        <v>957.02400000000011</v>
      </c>
      <c r="J94" s="26">
        <f>'2023'!J96</f>
        <v>974.33500000000004</v>
      </c>
      <c r="K94" s="26">
        <f>'2023'!K96</f>
        <v>919.13900000000001</v>
      </c>
      <c r="L94" s="26">
        <f t="shared" si="31"/>
        <v>3850.0640000000003</v>
      </c>
      <c r="M94" s="38">
        <f>'2024'!N94</f>
        <v>337.11571558600008</v>
      </c>
      <c r="N94" s="27">
        <v>364.08497283288011</v>
      </c>
      <c r="O94" s="38">
        <f>'2024'!P94</f>
        <v>87.609600000000015</v>
      </c>
      <c r="P94" s="27">
        <v>91.113984000000016</v>
      </c>
      <c r="Q94" s="27">
        <f t="shared" ref="Q94:Q99" si="37">(M94-O94)*H94</f>
        <v>249397.82993183576</v>
      </c>
      <c r="R94" s="27">
        <f t="shared" ref="R94:S99" si="38">(M94-O94)*I94</f>
        <v>238783.34076257618</v>
      </c>
      <c r="S94" s="27">
        <f t="shared" si="38"/>
        <v>265965.18840448424</v>
      </c>
      <c r="T94" s="27">
        <f t="shared" ref="T94:T99" si="39">(N94-P94)*K94</f>
        <v>250898.28170486458</v>
      </c>
      <c r="U94" s="27">
        <f t="shared" si="32"/>
        <v>1005044.6408037607</v>
      </c>
      <c r="V94" s="119"/>
      <c r="W94" s="119"/>
      <c r="X94" s="119"/>
      <c r="Y94" s="29">
        <f t="shared" si="26"/>
        <v>108</v>
      </c>
      <c r="Z94" s="30">
        <f t="shared" si="27"/>
        <v>104</v>
      </c>
      <c r="AA94" s="2"/>
      <c r="AD94" s="32">
        <f t="shared" si="36"/>
        <v>0</v>
      </c>
    </row>
    <row r="95" spans="1:30" s="40" customFormat="1" ht="51.75" customHeight="1">
      <c r="A95" s="33">
        <v>2918002171</v>
      </c>
      <c r="B95" s="34" t="s">
        <v>128</v>
      </c>
      <c r="C95" s="35" t="s">
        <v>129</v>
      </c>
      <c r="D95" s="33" t="s">
        <v>328</v>
      </c>
      <c r="E95" s="33" t="s">
        <v>330</v>
      </c>
      <c r="F95" s="36" t="s">
        <v>21</v>
      </c>
      <c r="G95" s="36"/>
      <c r="H95" s="26">
        <f>'2023'!H97</f>
        <v>176.625</v>
      </c>
      <c r="I95" s="26">
        <f>'2023'!I97</f>
        <v>174.60300000000001</v>
      </c>
      <c r="J95" s="26">
        <f>'2023'!J97</f>
        <v>172.77699999999999</v>
      </c>
      <c r="K95" s="26">
        <f>'2023'!K97</f>
        <v>161.89699999999999</v>
      </c>
      <c r="L95" s="26">
        <f t="shared" si="31"/>
        <v>685.90200000000004</v>
      </c>
      <c r="M95" s="38">
        <f>'2024'!N95</f>
        <v>337.11571558600008</v>
      </c>
      <c r="N95" s="27">
        <v>364.08497283288011</v>
      </c>
      <c r="O95" s="38">
        <f>'2024'!P95</f>
        <v>83.283200000000008</v>
      </c>
      <c r="P95" s="27">
        <v>86.614528000000007</v>
      </c>
      <c r="Q95" s="27">
        <f t="shared" si="37"/>
        <v>44833.168065377256</v>
      </c>
      <c r="R95" s="27">
        <f t="shared" si="38"/>
        <v>44319.918718862369</v>
      </c>
      <c r="S95" s="27">
        <f t="shared" si="38"/>
        <v>47940.511046890519</v>
      </c>
      <c r="T95" s="27">
        <f t="shared" si="39"/>
        <v>44921.63260710879</v>
      </c>
      <c r="U95" s="27">
        <f t="shared" si="32"/>
        <v>182015.23043823894</v>
      </c>
      <c r="V95" s="119"/>
      <c r="W95" s="119"/>
      <c r="X95" s="119"/>
      <c r="Y95" s="29">
        <f t="shared" si="26"/>
        <v>108</v>
      </c>
      <c r="Z95" s="30">
        <f t="shared" si="27"/>
        <v>104</v>
      </c>
      <c r="AA95" s="2"/>
      <c r="AD95" s="32">
        <f t="shared" si="36"/>
        <v>0</v>
      </c>
    </row>
    <row r="96" spans="1:30" s="40" customFormat="1" ht="48" customHeight="1">
      <c r="A96" s="33">
        <v>2918002171</v>
      </c>
      <c r="B96" s="34" t="s">
        <v>128</v>
      </c>
      <c r="C96" s="35" t="s">
        <v>129</v>
      </c>
      <c r="D96" s="33" t="s">
        <v>328</v>
      </c>
      <c r="E96" s="33" t="s">
        <v>331</v>
      </c>
      <c r="F96" s="36" t="s">
        <v>21</v>
      </c>
      <c r="G96" s="36"/>
      <c r="H96" s="26">
        <f>'2023'!H98</f>
        <v>610.34699999999998</v>
      </c>
      <c r="I96" s="26">
        <f>'2023'!I98</f>
        <v>597.375</v>
      </c>
      <c r="J96" s="26">
        <f>'2023'!J98</f>
        <v>578.67200000000003</v>
      </c>
      <c r="K96" s="26">
        <f>'2023'!K98</f>
        <v>556.83100000000002</v>
      </c>
      <c r="L96" s="26">
        <f t="shared" si="31"/>
        <v>2343.2249999999999</v>
      </c>
      <c r="M96" s="38">
        <f>'2024'!N96</f>
        <v>337.11571558600008</v>
      </c>
      <c r="N96" s="27">
        <v>364.08497283288011</v>
      </c>
      <c r="O96" s="38">
        <f>'2024'!P96</f>
        <v>26.282880000000002</v>
      </c>
      <c r="P96" s="27">
        <v>27.334195200000003</v>
      </c>
      <c r="Q96" s="27">
        <f t="shared" si="37"/>
        <v>189715.8887014084</v>
      </c>
      <c r="R96" s="27">
        <f t="shared" si="38"/>
        <v>185683.76515818681</v>
      </c>
      <c r="S96" s="27">
        <f t="shared" si="38"/>
        <v>194868.24599437401</v>
      </c>
      <c r="T96" s="27">
        <f t="shared" si="39"/>
        <v>187513.27226009427</v>
      </c>
      <c r="U96" s="27">
        <f t="shared" si="32"/>
        <v>757781.17211406352</v>
      </c>
      <c r="V96" s="119"/>
      <c r="W96" s="119"/>
      <c r="X96" s="119"/>
      <c r="Y96" s="29">
        <f t="shared" si="26"/>
        <v>108</v>
      </c>
      <c r="Z96" s="30">
        <f t="shared" si="27"/>
        <v>104</v>
      </c>
      <c r="AA96" s="2"/>
      <c r="AD96" s="32">
        <f t="shared" si="36"/>
        <v>0</v>
      </c>
    </row>
    <row r="97" spans="1:30" s="40" customFormat="1" ht="51.75" customHeight="1">
      <c r="A97" s="33">
        <v>2918002171</v>
      </c>
      <c r="B97" s="34" t="s">
        <v>128</v>
      </c>
      <c r="C97" s="35" t="s">
        <v>129</v>
      </c>
      <c r="D97" s="33" t="s">
        <v>132</v>
      </c>
      <c r="E97" s="33"/>
      <c r="F97" s="36" t="s">
        <v>21</v>
      </c>
      <c r="G97" s="36" t="s">
        <v>407</v>
      </c>
      <c r="H97" s="26">
        <f>'2023'!H99</f>
        <v>3416</v>
      </c>
      <c r="I97" s="26">
        <f>'2023'!I99</f>
        <v>3447.3609999999999</v>
      </c>
      <c r="J97" s="26">
        <f>'2023'!J99</f>
        <v>3394.25</v>
      </c>
      <c r="K97" s="26">
        <f>'2023'!K99</f>
        <v>2392.0280000000002</v>
      </c>
      <c r="L97" s="26">
        <f t="shared" si="31"/>
        <v>12649.639000000001</v>
      </c>
      <c r="M97" s="38">
        <f>'2024'!N97</f>
        <v>101.72780000000002</v>
      </c>
      <c r="N97" s="27">
        <v>109.86602400000002</v>
      </c>
      <c r="O97" s="38">
        <f>'2024'!P97</f>
        <v>47.557952</v>
      </c>
      <c r="P97" s="27">
        <v>49.460270080000001</v>
      </c>
      <c r="Q97" s="27">
        <f t="shared" si="37"/>
        <v>185044.20076800007</v>
      </c>
      <c r="R97" s="27">
        <f t="shared" si="38"/>
        <v>186743.02137112804</v>
      </c>
      <c r="S97" s="27">
        <f t="shared" si="38"/>
        <v>205032.23024296007</v>
      </c>
      <c r="T97" s="27">
        <f t="shared" si="39"/>
        <v>144492.25473774984</v>
      </c>
      <c r="U97" s="27">
        <f t="shared" si="32"/>
        <v>721311.70711983799</v>
      </c>
      <c r="V97" s="119"/>
      <c r="W97" s="119"/>
      <c r="X97" s="119"/>
      <c r="Y97" s="29">
        <f t="shared" si="26"/>
        <v>108</v>
      </c>
      <c r="Z97" s="30">
        <f t="shared" si="27"/>
        <v>104</v>
      </c>
      <c r="AA97" s="2"/>
      <c r="AD97" s="32">
        <f t="shared" si="36"/>
        <v>0</v>
      </c>
    </row>
    <row r="98" spans="1:30" s="40" customFormat="1" ht="51.75" customHeight="1">
      <c r="A98" s="33">
        <v>2918012010</v>
      </c>
      <c r="B98" s="34" t="s">
        <v>131</v>
      </c>
      <c r="C98" s="35" t="s">
        <v>129</v>
      </c>
      <c r="D98" s="33" t="s">
        <v>130</v>
      </c>
      <c r="E98" s="33"/>
      <c r="F98" s="36" t="s">
        <v>21</v>
      </c>
      <c r="G98" s="36"/>
      <c r="H98" s="26">
        <f>'2023'!H100</f>
        <v>95821.563999999998</v>
      </c>
      <c r="I98" s="26">
        <f>'2023'!I100</f>
        <v>89847.9</v>
      </c>
      <c r="J98" s="26">
        <f>'2023'!J100</f>
        <v>99068.733999999997</v>
      </c>
      <c r="K98" s="26">
        <f>'2023'!K100</f>
        <v>93994.226999999999</v>
      </c>
      <c r="L98" s="26">
        <f t="shared" si="31"/>
        <v>378732.42499999999</v>
      </c>
      <c r="M98" s="38">
        <f>'2024'!N98</f>
        <v>98.436191000000008</v>
      </c>
      <c r="N98" s="27">
        <v>106.31108628000001</v>
      </c>
      <c r="O98" s="38">
        <f>'2024'!P98</f>
        <v>56.459520000000005</v>
      </c>
      <c r="P98" s="27">
        <v>58.71790080000001</v>
      </c>
      <c r="Q98" s="27">
        <f t="shared" si="37"/>
        <v>4022270.2667334443</v>
      </c>
      <c r="R98" s="27">
        <f t="shared" si="38"/>
        <v>3771515.7383408998</v>
      </c>
      <c r="S98" s="27">
        <f t="shared" si="38"/>
        <v>4714996.6325307824</v>
      </c>
      <c r="T98" s="27">
        <f t="shared" si="39"/>
        <v>4473484.6796602244</v>
      </c>
      <c r="U98" s="27">
        <f t="shared" si="32"/>
        <v>16982267.31726535</v>
      </c>
      <c r="V98" s="119"/>
      <c r="W98" s="119"/>
      <c r="X98" s="119"/>
      <c r="Y98" s="29">
        <f t="shared" si="26"/>
        <v>108</v>
      </c>
      <c r="Z98" s="30">
        <f t="shared" si="27"/>
        <v>104</v>
      </c>
      <c r="AA98" s="2"/>
      <c r="AD98" s="32">
        <f t="shared" si="36"/>
        <v>0</v>
      </c>
    </row>
    <row r="99" spans="1:30" s="40" customFormat="1" ht="51.75" customHeight="1">
      <c r="A99" s="33">
        <v>7708503727</v>
      </c>
      <c r="B99" s="34" t="s">
        <v>61</v>
      </c>
      <c r="C99" s="35" t="s">
        <v>129</v>
      </c>
      <c r="D99" s="33" t="s">
        <v>130</v>
      </c>
      <c r="E99" s="33"/>
      <c r="F99" s="36" t="s">
        <v>21</v>
      </c>
      <c r="G99" s="36"/>
      <c r="H99" s="26">
        <f>'2023'!H101</f>
        <v>3841.7190000000001</v>
      </c>
      <c r="I99" s="26">
        <f>'2023'!I101</f>
        <v>2841.4500000000003</v>
      </c>
      <c r="J99" s="26">
        <f>'2023'!J101</f>
        <v>2804.681</v>
      </c>
      <c r="K99" s="26">
        <f>'2023'!K101</f>
        <v>3247.4890000000005</v>
      </c>
      <c r="L99" s="26">
        <f t="shared" si="31"/>
        <v>12735.339</v>
      </c>
      <c r="M99" s="38">
        <f>'2024'!N99</f>
        <v>54.992384506</v>
      </c>
      <c r="N99" s="27">
        <v>59.391775266480003</v>
      </c>
      <c r="O99" s="38">
        <f>'2024'!P99</f>
        <v>47.049600000000005</v>
      </c>
      <c r="P99" s="27">
        <v>48.931584000000008</v>
      </c>
      <c r="Q99" s="27">
        <f t="shared" si="37"/>
        <v>30513.946149605796</v>
      </c>
      <c r="R99" s="27">
        <f t="shared" si="38"/>
        <v>22569.025034573689</v>
      </c>
      <c r="S99" s="27">
        <f t="shared" si="38"/>
        <v>29337.49970146238</v>
      </c>
      <c r="T99" s="27">
        <f t="shared" si="39"/>
        <v>33969.356075789859</v>
      </c>
      <c r="U99" s="27">
        <f t="shared" si="32"/>
        <v>116389.82696143174</v>
      </c>
      <c r="V99" s="119"/>
      <c r="W99" s="119"/>
      <c r="X99" s="119"/>
      <c r="Y99" s="29">
        <f t="shared" si="26"/>
        <v>108</v>
      </c>
      <c r="Z99" s="30">
        <f t="shared" si="27"/>
        <v>104</v>
      </c>
      <c r="AA99" s="112" t="s">
        <v>133</v>
      </c>
      <c r="AD99" s="32">
        <f t="shared" si="36"/>
        <v>0</v>
      </c>
    </row>
    <row r="100" spans="1:30" s="40" customFormat="1" ht="15" customHeight="1">
      <c r="A100" s="33"/>
      <c r="B100" s="34"/>
      <c r="C100" s="35"/>
      <c r="D100" s="33"/>
      <c r="E100" s="33"/>
      <c r="F100" s="36"/>
      <c r="G100" s="36"/>
      <c r="H100" s="26"/>
      <c r="I100" s="26"/>
      <c r="J100" s="26"/>
      <c r="K100" s="26"/>
      <c r="L100" s="37"/>
      <c r="M100" s="41"/>
      <c r="N100" s="41"/>
      <c r="O100" s="41"/>
      <c r="P100" s="41"/>
      <c r="Q100" s="27"/>
      <c r="R100" s="27"/>
      <c r="S100" s="27"/>
      <c r="T100" s="27"/>
      <c r="U100" s="27"/>
      <c r="V100" s="119"/>
      <c r="W100" s="119"/>
      <c r="X100" s="119"/>
      <c r="Y100" s="29" t="e">
        <f t="shared" ref="Y100:Y126" si="40">N100/M100*100</f>
        <v>#DIV/0!</v>
      </c>
      <c r="Z100" s="30" t="e">
        <f t="shared" ref="Z100:Z126" si="41">P100/O100*100</f>
        <v>#DIV/0!</v>
      </c>
      <c r="AA100" s="2"/>
      <c r="AD100" s="32" t="e">
        <f t="shared" si="36"/>
        <v>#DIV/0!</v>
      </c>
    </row>
    <row r="101" spans="1:30" s="40" customFormat="1" ht="51" customHeight="1">
      <c r="A101" s="33">
        <v>7708503727</v>
      </c>
      <c r="B101" s="34" t="s">
        <v>61</v>
      </c>
      <c r="C101" s="35" t="s">
        <v>134</v>
      </c>
      <c r="D101" s="33" t="s">
        <v>135</v>
      </c>
      <c r="E101" s="33"/>
      <c r="F101" s="36" t="s">
        <v>21</v>
      </c>
      <c r="G101" s="36"/>
      <c r="H101" s="26">
        <f>'2023'!H103</f>
        <v>8511.5819999999985</v>
      </c>
      <c r="I101" s="26">
        <f>'2023'!I103</f>
        <v>8909.42</v>
      </c>
      <c r="J101" s="26">
        <f>'2023'!J103</f>
        <v>8819.9140000000007</v>
      </c>
      <c r="K101" s="26">
        <f>'2023'!K103</f>
        <v>8490.76</v>
      </c>
      <c r="L101" s="26">
        <f t="shared" si="31"/>
        <v>34731.675999999999</v>
      </c>
      <c r="M101" s="38">
        <f>'2024'!N101</f>
        <v>54.992384506</v>
      </c>
      <c r="N101" s="27">
        <v>59.391775266480003</v>
      </c>
      <c r="O101" s="38">
        <f>'2024'!P101</f>
        <v>47.049600000000005</v>
      </c>
      <c r="P101" s="27">
        <v>48.931584000000008</v>
      </c>
      <c r="Q101" s="27">
        <f t="shared" ref="Q101:Q108" si="42">(M101-O101)*H101</f>
        <v>67605.661631148439</v>
      </c>
      <c r="R101" s="27">
        <f t="shared" ref="R101:S108" si="43">(M101-O101)*I101</f>
        <v>70765.603133446479</v>
      </c>
      <c r="S101" s="27">
        <f t="shared" si="43"/>
        <v>92257.987393904652</v>
      </c>
      <c r="T101" s="27">
        <f t="shared" ref="T101:T108" si="44">(N101-P101)*K101</f>
        <v>88814.973597777687</v>
      </c>
      <c r="U101" s="27">
        <f t="shared" si="32"/>
        <v>319444.22575627721</v>
      </c>
      <c r="V101" s="119"/>
      <c r="W101" s="119"/>
      <c r="X101" s="119"/>
      <c r="Y101" s="29">
        <f t="shared" si="40"/>
        <v>108</v>
      </c>
      <c r="Z101" s="30">
        <f t="shared" si="41"/>
        <v>104</v>
      </c>
      <c r="AA101" s="2"/>
      <c r="AD101" s="32">
        <f t="shared" si="36"/>
        <v>0</v>
      </c>
    </row>
    <row r="102" spans="1:30" s="40" customFormat="1" ht="51" customHeight="1">
      <c r="A102" s="33">
        <v>2906008059</v>
      </c>
      <c r="B102" s="34" t="s">
        <v>137</v>
      </c>
      <c r="C102" s="35" t="s">
        <v>134</v>
      </c>
      <c r="D102" s="33" t="s">
        <v>138</v>
      </c>
      <c r="E102" s="33"/>
      <c r="F102" s="36" t="s">
        <v>21</v>
      </c>
      <c r="G102" s="36"/>
      <c r="H102" s="26">
        <f>'2023'!H104</f>
        <v>123931.12400000001</v>
      </c>
      <c r="I102" s="26">
        <f>'2023'!I104</f>
        <v>124007.5</v>
      </c>
      <c r="J102" s="26">
        <f>'2023'!J104</f>
        <v>123270.46699999999</v>
      </c>
      <c r="K102" s="26">
        <f>'2023'!K104</f>
        <v>120203.095</v>
      </c>
      <c r="L102" s="26">
        <f t="shared" si="31"/>
        <v>491412.18599999999</v>
      </c>
      <c r="M102" s="38">
        <f>'2024'!N102</f>
        <v>84.57</v>
      </c>
      <c r="N102" s="27">
        <v>91.335599999999999</v>
      </c>
      <c r="O102" s="38">
        <f>'2024'!P102</f>
        <v>46.433520640000012</v>
      </c>
      <c r="P102" s="27">
        <v>48.290861465600017</v>
      </c>
      <c r="Q102" s="27">
        <f t="shared" si="42"/>
        <v>4726296.7524875989</v>
      </c>
      <c r="R102" s="27">
        <f t="shared" si="43"/>
        <v>4729209.4642351978</v>
      </c>
      <c r="S102" s="27">
        <f t="shared" si="43"/>
        <v>5306145.0210283808</v>
      </c>
      <c r="T102" s="27">
        <f t="shared" si="44"/>
        <v>5174110.795300642</v>
      </c>
      <c r="U102" s="27">
        <f t="shared" si="32"/>
        <v>19935762.033051819</v>
      </c>
      <c r="V102" s="119"/>
      <c r="W102" s="119"/>
      <c r="X102" s="119"/>
      <c r="Y102" s="29">
        <f t="shared" si="40"/>
        <v>108</v>
      </c>
      <c r="Z102" s="30">
        <f t="shared" si="41"/>
        <v>104</v>
      </c>
      <c r="AA102" s="2"/>
      <c r="AD102" s="32">
        <f t="shared" si="36"/>
        <v>0</v>
      </c>
    </row>
    <row r="103" spans="1:30" s="40" customFormat="1" ht="54.75" customHeight="1">
      <c r="A103" s="33">
        <v>2906008154</v>
      </c>
      <c r="B103" s="34" t="s">
        <v>140</v>
      </c>
      <c r="C103" s="35" t="s">
        <v>134</v>
      </c>
      <c r="D103" s="33" t="s">
        <v>332</v>
      </c>
      <c r="E103" s="33" t="s">
        <v>333</v>
      </c>
      <c r="F103" s="36" t="s">
        <v>21</v>
      </c>
      <c r="G103" s="36"/>
      <c r="H103" s="26">
        <f>'2023'!H105</f>
        <v>5167.5879999999997</v>
      </c>
      <c r="I103" s="26">
        <f>'2023'!I105</f>
        <v>5138.97</v>
      </c>
      <c r="J103" s="26">
        <f>'2023'!J105</f>
        <v>5138.0680000000002</v>
      </c>
      <c r="K103" s="26">
        <f>'2023'!K105</f>
        <v>4987.3710000000001</v>
      </c>
      <c r="L103" s="26">
        <f t="shared" si="31"/>
        <v>20431.996999999999</v>
      </c>
      <c r="M103" s="38">
        <v>128.18</v>
      </c>
      <c r="N103" s="27">
        <v>138.44</v>
      </c>
      <c r="O103" s="38">
        <v>46.51</v>
      </c>
      <c r="P103" s="27">
        <v>48.37</v>
      </c>
      <c r="Q103" s="27">
        <f t="shared" si="42"/>
        <v>422036.91196000006</v>
      </c>
      <c r="R103" s="27">
        <f t="shared" si="43"/>
        <v>419699.6799000001</v>
      </c>
      <c r="S103" s="27">
        <f t="shared" si="43"/>
        <v>462785.78476000001</v>
      </c>
      <c r="T103" s="27">
        <f t="shared" si="44"/>
        <v>449212.50597</v>
      </c>
      <c r="U103" s="27">
        <f t="shared" si="32"/>
        <v>1753734.8825900003</v>
      </c>
      <c r="V103" s="119"/>
      <c r="W103" s="119"/>
      <c r="X103" s="119"/>
      <c r="Y103" s="29">
        <f t="shared" si="40"/>
        <v>108.00436885629583</v>
      </c>
      <c r="Z103" s="30">
        <f t="shared" si="41"/>
        <v>103.99913996989893</v>
      </c>
      <c r="AA103" s="2"/>
      <c r="AD103" s="32">
        <f t="shared" si="36"/>
        <v>8.6003010106594502E-4</v>
      </c>
    </row>
    <row r="104" spans="1:30" s="40" customFormat="1" ht="78.75" customHeight="1">
      <c r="A104" s="33">
        <v>2906008154</v>
      </c>
      <c r="B104" s="34" t="s">
        <v>140</v>
      </c>
      <c r="C104" s="35" t="s">
        <v>134</v>
      </c>
      <c r="D104" s="33" t="s">
        <v>334</v>
      </c>
      <c r="E104" s="33" t="s">
        <v>335</v>
      </c>
      <c r="F104" s="36" t="s">
        <v>21</v>
      </c>
      <c r="G104" s="36"/>
      <c r="H104" s="26">
        <f>'2023'!H106</f>
        <v>4080.4459999999999</v>
      </c>
      <c r="I104" s="26">
        <f>'2023'!I106</f>
        <v>3998.1759999999999</v>
      </c>
      <c r="J104" s="26">
        <f>'2023'!J106</f>
        <v>4081.8609999999999</v>
      </c>
      <c r="K104" s="26">
        <f>'2023'!K106</f>
        <v>3906.6189999999997</v>
      </c>
      <c r="L104" s="26">
        <f t="shared" si="31"/>
        <v>16067.101999999999</v>
      </c>
      <c r="M104" s="38">
        <v>125.93</v>
      </c>
      <c r="N104" s="27">
        <v>125.93</v>
      </c>
      <c r="O104" s="38">
        <v>88.27</v>
      </c>
      <c r="P104" s="27">
        <v>91.8</v>
      </c>
      <c r="Q104" s="27">
        <f t="shared" si="42"/>
        <v>153669.59636000005</v>
      </c>
      <c r="R104" s="27">
        <f t="shared" si="43"/>
        <v>150571.30816000004</v>
      </c>
      <c r="S104" s="27">
        <f t="shared" si="43"/>
        <v>139313.91593000005</v>
      </c>
      <c r="T104" s="27">
        <f t="shared" si="44"/>
        <v>133332.90647000002</v>
      </c>
      <c r="U104" s="27">
        <f t="shared" si="32"/>
        <v>576887.72692000016</v>
      </c>
      <c r="V104" s="119"/>
      <c r="W104" s="119"/>
      <c r="X104" s="119"/>
      <c r="Y104" s="29">
        <f t="shared" si="40"/>
        <v>100</v>
      </c>
      <c r="Z104" s="30">
        <f t="shared" si="41"/>
        <v>103.99909368981535</v>
      </c>
      <c r="AA104" s="2"/>
      <c r="AD104" s="32">
        <f t="shared" si="36"/>
        <v>9.0631018464648605E-4</v>
      </c>
    </row>
    <row r="105" spans="1:30" s="40" customFormat="1" ht="51" customHeight="1">
      <c r="A105" s="33">
        <v>2906008154</v>
      </c>
      <c r="B105" s="34" t="s">
        <v>140</v>
      </c>
      <c r="C105" s="35" t="s">
        <v>134</v>
      </c>
      <c r="D105" s="33" t="s">
        <v>336</v>
      </c>
      <c r="E105" s="33" t="s">
        <v>337</v>
      </c>
      <c r="F105" s="36" t="s">
        <v>21</v>
      </c>
      <c r="G105" s="36"/>
      <c r="H105" s="26">
        <f>'2023'!H107</f>
        <v>1019.28</v>
      </c>
      <c r="I105" s="26">
        <f>'2023'!I107</f>
        <v>1060.048</v>
      </c>
      <c r="J105" s="26">
        <f>'2023'!J107</f>
        <v>1003.929</v>
      </c>
      <c r="K105" s="26">
        <f>'2023'!K107</f>
        <v>978.96100000000001</v>
      </c>
      <c r="L105" s="26">
        <f t="shared" si="31"/>
        <v>4062.2179999999998</v>
      </c>
      <c r="M105" s="38">
        <v>139.55000000000001</v>
      </c>
      <c r="N105" s="27">
        <v>150.71</v>
      </c>
      <c r="O105" s="38">
        <v>88.27</v>
      </c>
      <c r="P105" s="27">
        <v>91.8</v>
      </c>
      <c r="Q105" s="27">
        <f t="shared" si="42"/>
        <v>52268.678400000012</v>
      </c>
      <c r="R105" s="27">
        <f t="shared" si="43"/>
        <v>54359.261440000017</v>
      </c>
      <c r="S105" s="27">
        <f t="shared" si="43"/>
        <v>59141.45739000001</v>
      </c>
      <c r="T105" s="27">
        <f t="shared" si="44"/>
        <v>57670.592510000009</v>
      </c>
      <c r="U105" s="27">
        <f t="shared" si="32"/>
        <v>223439.98974000008</v>
      </c>
      <c r="V105" s="119"/>
      <c r="W105" s="119"/>
      <c r="X105" s="119"/>
      <c r="Y105" s="29">
        <f t="shared" si="40"/>
        <v>107.99713364385524</v>
      </c>
      <c r="Z105" s="30">
        <f t="shared" si="41"/>
        <v>103.99909368981535</v>
      </c>
      <c r="AA105" s="2"/>
      <c r="AD105" s="32">
        <f t="shared" si="36"/>
        <v>9.0631018464648605E-4</v>
      </c>
    </row>
    <row r="106" spans="1:30" s="40" customFormat="1" ht="51" customHeight="1">
      <c r="A106" s="33">
        <v>2906008154</v>
      </c>
      <c r="B106" s="34" t="s">
        <v>140</v>
      </c>
      <c r="C106" s="35" t="s">
        <v>134</v>
      </c>
      <c r="D106" s="33" t="s">
        <v>338</v>
      </c>
      <c r="E106" s="33" t="s">
        <v>339</v>
      </c>
      <c r="F106" s="36" t="s">
        <v>21</v>
      </c>
      <c r="G106" s="36"/>
      <c r="H106" s="26">
        <f>'2023'!H108</f>
        <v>1401.346</v>
      </c>
      <c r="I106" s="26">
        <f>'2023'!I108</f>
        <v>1426.5129999999999</v>
      </c>
      <c r="J106" s="26">
        <f>'2023'!J108</f>
        <v>1364.653</v>
      </c>
      <c r="K106" s="26">
        <f>'2023'!K108</f>
        <v>1271.7550000000001</v>
      </c>
      <c r="L106" s="26">
        <f t="shared" si="31"/>
        <v>5464.2669999999998</v>
      </c>
      <c r="M106" s="38">
        <v>90.69</v>
      </c>
      <c r="N106" s="27">
        <v>97.95</v>
      </c>
      <c r="O106" s="38">
        <v>33.53</v>
      </c>
      <c r="P106" s="27">
        <v>34.869999999999997</v>
      </c>
      <c r="Q106" s="27">
        <f t="shared" si="42"/>
        <v>80100.937359999996</v>
      </c>
      <c r="R106" s="27">
        <f t="shared" si="43"/>
        <v>81539.483079999991</v>
      </c>
      <c r="S106" s="27">
        <f t="shared" si="43"/>
        <v>86082.31124000001</v>
      </c>
      <c r="T106" s="27">
        <f t="shared" si="44"/>
        <v>80222.305400000012</v>
      </c>
      <c r="U106" s="27">
        <f t="shared" si="32"/>
        <v>327945.03708000004</v>
      </c>
      <c r="V106" s="119"/>
      <c r="W106" s="119"/>
      <c r="X106" s="119"/>
      <c r="Y106" s="29">
        <f t="shared" si="40"/>
        <v>108.00529275554085</v>
      </c>
      <c r="Z106" s="30">
        <f t="shared" si="41"/>
        <v>103.99642111541903</v>
      </c>
      <c r="AA106" s="2"/>
      <c r="AD106" s="32">
        <f t="shared" si="36"/>
        <v>3.5788845809747727E-3</v>
      </c>
    </row>
    <row r="107" spans="1:30" s="40" customFormat="1" ht="51" customHeight="1">
      <c r="A107" s="33">
        <v>2906007552</v>
      </c>
      <c r="B107" s="34" t="s">
        <v>139</v>
      </c>
      <c r="C107" s="35" t="s">
        <v>134</v>
      </c>
      <c r="D107" s="33" t="s">
        <v>340</v>
      </c>
      <c r="E107" s="33" t="s">
        <v>341</v>
      </c>
      <c r="F107" s="36" t="s">
        <v>21</v>
      </c>
      <c r="G107" s="36"/>
      <c r="H107" s="26">
        <f>'2023'!H109</f>
        <v>3888.6109999999999</v>
      </c>
      <c r="I107" s="26">
        <f>'2023'!I109</f>
        <v>3974.5540000000001</v>
      </c>
      <c r="J107" s="26">
        <f>'2023'!J109</f>
        <v>3725.9790000000003</v>
      </c>
      <c r="K107" s="26">
        <f>'2023'!K109</f>
        <v>3973.5209999999997</v>
      </c>
      <c r="L107" s="26">
        <f t="shared" si="31"/>
        <v>15562.665000000001</v>
      </c>
      <c r="M107" s="38">
        <v>134.05000000000001</v>
      </c>
      <c r="N107" s="27">
        <v>144.77000000000001</v>
      </c>
      <c r="O107" s="38">
        <v>42.18</v>
      </c>
      <c r="P107" s="27">
        <v>43.87</v>
      </c>
      <c r="Q107" s="27">
        <f t="shared" si="42"/>
        <v>357246.69257000001</v>
      </c>
      <c r="R107" s="27">
        <f t="shared" si="43"/>
        <v>365142.27598000003</v>
      </c>
      <c r="S107" s="27">
        <f t="shared" si="43"/>
        <v>375951.28110000002</v>
      </c>
      <c r="T107" s="27">
        <f t="shared" si="44"/>
        <v>400928.26889999997</v>
      </c>
      <c r="U107" s="27">
        <f t="shared" si="32"/>
        <v>1499268.5185500002</v>
      </c>
      <c r="V107" s="119"/>
      <c r="W107" s="119"/>
      <c r="X107" s="119"/>
      <c r="Y107" s="29">
        <f t="shared" si="40"/>
        <v>107.9970160387915</v>
      </c>
      <c r="Z107" s="30">
        <f t="shared" si="41"/>
        <v>104.00663821716454</v>
      </c>
      <c r="AA107" s="2"/>
      <c r="AD107" s="32">
        <f t="shared" si="36"/>
        <v>-6.6382171645358312E-3</v>
      </c>
    </row>
    <row r="108" spans="1:30" s="40" customFormat="1" ht="51" customHeight="1">
      <c r="A108" s="33">
        <v>2906007552</v>
      </c>
      <c r="B108" s="34" t="s">
        <v>139</v>
      </c>
      <c r="C108" s="35" t="s">
        <v>134</v>
      </c>
      <c r="D108" s="33" t="s">
        <v>340</v>
      </c>
      <c r="E108" s="33" t="s">
        <v>342</v>
      </c>
      <c r="F108" s="36" t="s">
        <v>21</v>
      </c>
      <c r="G108" s="36"/>
      <c r="H108" s="26">
        <f>'2023'!H110</f>
        <v>3068.5539999999996</v>
      </c>
      <c r="I108" s="26">
        <f>'2023'!I110</f>
        <v>3322.558</v>
      </c>
      <c r="J108" s="26">
        <f>'2023'!J110</f>
        <v>2998.5499999999997</v>
      </c>
      <c r="K108" s="26">
        <f>'2023'!K110</f>
        <v>3195.5969999999998</v>
      </c>
      <c r="L108" s="26">
        <f t="shared" si="31"/>
        <v>12585.258999999998</v>
      </c>
      <c r="M108" s="38">
        <v>71.900000000000006</v>
      </c>
      <c r="N108" s="27">
        <v>71.900000000000006</v>
      </c>
      <c r="O108" s="38">
        <v>42.18</v>
      </c>
      <c r="P108" s="27">
        <v>43.87</v>
      </c>
      <c r="Q108" s="27">
        <f t="shared" si="42"/>
        <v>91197.424880000006</v>
      </c>
      <c r="R108" s="27">
        <f t="shared" si="43"/>
        <v>98746.42376000002</v>
      </c>
      <c r="S108" s="27">
        <f t="shared" si="43"/>
        <v>84049.356500000024</v>
      </c>
      <c r="T108" s="27">
        <f t="shared" si="44"/>
        <v>89572.583910000016</v>
      </c>
      <c r="U108" s="27">
        <f t="shared" si="32"/>
        <v>363565.78905000014</v>
      </c>
      <c r="V108" s="119"/>
      <c r="W108" s="119"/>
      <c r="X108" s="119"/>
      <c r="Y108" s="29">
        <f t="shared" si="40"/>
        <v>100</v>
      </c>
      <c r="Z108" s="30">
        <f t="shared" si="41"/>
        <v>104.00663821716454</v>
      </c>
      <c r="AA108" s="2"/>
      <c r="AD108" s="32">
        <f t="shared" si="36"/>
        <v>-6.6382171645358312E-3</v>
      </c>
    </row>
    <row r="109" spans="1:30" s="40" customFormat="1" ht="15" customHeight="1">
      <c r="A109" s="33"/>
      <c r="B109" s="34"/>
      <c r="C109" s="35"/>
      <c r="D109" s="33"/>
      <c r="E109" s="33"/>
      <c r="F109" s="36"/>
      <c r="G109" s="36"/>
      <c r="H109" s="26"/>
      <c r="I109" s="26"/>
      <c r="J109" s="26"/>
      <c r="K109" s="26"/>
      <c r="L109" s="37"/>
      <c r="M109" s="41"/>
      <c r="N109" s="41"/>
      <c r="O109" s="41"/>
      <c r="P109" s="41"/>
      <c r="Q109" s="27"/>
      <c r="R109" s="27"/>
      <c r="S109" s="27"/>
      <c r="T109" s="27"/>
      <c r="U109" s="27"/>
      <c r="V109" s="119"/>
      <c r="W109" s="119"/>
      <c r="X109" s="119"/>
      <c r="Y109" s="29" t="e">
        <f t="shared" si="40"/>
        <v>#DIV/0!</v>
      </c>
      <c r="Z109" s="30" t="e">
        <f t="shared" si="41"/>
        <v>#DIV/0!</v>
      </c>
      <c r="AA109" s="2"/>
      <c r="AD109" s="32" t="e">
        <f t="shared" si="36"/>
        <v>#DIV/0!</v>
      </c>
    </row>
    <row r="110" spans="1:30" s="40" customFormat="1" ht="51" customHeight="1">
      <c r="A110" s="33">
        <v>2901280678</v>
      </c>
      <c r="B110" s="34" t="s">
        <v>141</v>
      </c>
      <c r="C110" s="35" t="s">
        <v>142</v>
      </c>
      <c r="D110" s="33" t="s">
        <v>143</v>
      </c>
      <c r="E110" s="33"/>
      <c r="F110" s="36" t="s">
        <v>21</v>
      </c>
      <c r="G110" s="36"/>
      <c r="H110" s="26">
        <f>'2023'!H112</f>
        <v>635.91399999999999</v>
      </c>
      <c r="I110" s="26">
        <f>'2023'!I112</f>
        <v>593.803</v>
      </c>
      <c r="J110" s="26">
        <f>'2023'!J112</f>
        <v>686.99300000000005</v>
      </c>
      <c r="K110" s="26">
        <f>'2023'!K112</f>
        <v>633.85</v>
      </c>
      <c r="L110" s="26">
        <f t="shared" si="31"/>
        <v>2550.56</v>
      </c>
      <c r="M110" s="38">
        <f>'2024'!N110</f>
        <v>342.14558560000006</v>
      </c>
      <c r="N110" s="27">
        <v>365.79196742400001</v>
      </c>
      <c r="O110" s="38">
        <f>'2024'!P110</f>
        <v>89.231999999999999</v>
      </c>
      <c r="P110" s="38">
        <f t="shared" ref="P110:P116" si="45">O110*1.04</f>
        <v>92.801280000000006</v>
      </c>
      <c r="Q110" s="27">
        <f t="shared" ref="Q110:Q116" si="46">(M110-O110)*H110</f>
        <v>160831.28987323845</v>
      </c>
      <c r="R110" s="27">
        <f t="shared" ref="R110:S116" si="47">(M110-O110)*I110</f>
        <v>150180.84587003684</v>
      </c>
      <c r="S110" s="27">
        <f t="shared" si="47"/>
        <v>187542.69132547604</v>
      </c>
      <c r="T110" s="27">
        <f t="shared" ref="T110:T116" si="48">(N110-P110)*K110</f>
        <v>173035.1472237024</v>
      </c>
      <c r="U110" s="27">
        <f t="shared" si="32"/>
        <v>671589.97429245373</v>
      </c>
      <c r="V110" s="119"/>
      <c r="W110" s="119"/>
      <c r="X110" s="119"/>
      <c r="Y110" s="29">
        <f t="shared" si="40"/>
        <v>106.91120470911022</v>
      </c>
      <c r="Z110" s="30">
        <f t="shared" si="41"/>
        <v>104</v>
      </c>
      <c r="AA110" s="2"/>
      <c r="AD110" s="32">
        <f t="shared" si="36"/>
        <v>0</v>
      </c>
    </row>
    <row r="111" spans="1:30" s="40" customFormat="1" ht="51" customHeight="1">
      <c r="A111" s="33">
        <v>2919000794</v>
      </c>
      <c r="B111" s="34" t="s">
        <v>152</v>
      </c>
      <c r="C111" s="35" t="s">
        <v>142</v>
      </c>
      <c r="D111" s="33" t="s">
        <v>153</v>
      </c>
      <c r="E111" s="33"/>
      <c r="F111" s="36" t="s">
        <v>21</v>
      </c>
      <c r="G111" s="36"/>
      <c r="H111" s="26">
        <f>'2023'!H113</f>
        <v>8324.1970000000001</v>
      </c>
      <c r="I111" s="26">
        <f>'2023'!I113</f>
        <v>8290.5960000000014</v>
      </c>
      <c r="J111" s="26">
        <f>'2023'!J113</f>
        <v>8436.4519999999993</v>
      </c>
      <c r="K111" s="26">
        <f>'2023'!K113</f>
        <v>8231.018</v>
      </c>
      <c r="L111" s="26">
        <f t="shared" si="31"/>
        <v>33282.263000000006</v>
      </c>
      <c r="M111" s="38">
        <f>'2024'!N111</f>
        <v>169.90358300000003</v>
      </c>
      <c r="N111" s="27">
        <v>178.05346331999999</v>
      </c>
      <c r="O111" s="38">
        <f>'2024'!P111</f>
        <v>116.0224</v>
      </c>
      <c r="P111" s="38">
        <f t="shared" si="45"/>
        <v>120.663296</v>
      </c>
      <c r="Q111" s="27">
        <f t="shared" si="46"/>
        <v>448517.58188505116</v>
      </c>
      <c r="R111" s="27">
        <f t="shared" si="47"/>
        <v>446707.12025506824</v>
      </c>
      <c r="S111" s="27">
        <f t="shared" si="47"/>
        <v>484169.39186714852</v>
      </c>
      <c r="T111" s="27">
        <f t="shared" si="48"/>
        <v>472379.5002339317</v>
      </c>
      <c r="U111" s="27">
        <f t="shared" si="32"/>
        <v>1851773.5942411995</v>
      </c>
      <c r="V111" s="119"/>
      <c r="W111" s="119"/>
      <c r="X111" s="119"/>
      <c r="Y111" s="29">
        <f t="shared" si="40"/>
        <v>104.79676777622751</v>
      </c>
      <c r="Z111" s="30">
        <f t="shared" si="41"/>
        <v>104</v>
      </c>
      <c r="AA111" s="2"/>
      <c r="AD111" s="32">
        <f t="shared" si="36"/>
        <v>0</v>
      </c>
    </row>
    <row r="112" spans="1:30" s="40" customFormat="1" ht="51" customHeight="1">
      <c r="A112" s="33">
        <v>2919000794</v>
      </c>
      <c r="B112" s="34" t="s">
        <v>152</v>
      </c>
      <c r="C112" s="35" t="s">
        <v>142</v>
      </c>
      <c r="D112" s="33" t="s">
        <v>154</v>
      </c>
      <c r="E112" s="33"/>
      <c r="F112" s="36" t="s">
        <v>21</v>
      </c>
      <c r="G112" s="36"/>
      <c r="H112" s="26">
        <f>'2023'!H114</f>
        <v>19479.953000000001</v>
      </c>
      <c r="I112" s="26">
        <f>'2023'!I114</f>
        <v>18795.073999999997</v>
      </c>
      <c r="J112" s="26">
        <f>'2023'!J114</f>
        <v>18011.317999999999</v>
      </c>
      <c r="K112" s="26">
        <f>'2023'!K114</f>
        <v>16455.407999999999</v>
      </c>
      <c r="L112" s="26">
        <f t="shared" si="31"/>
        <v>72741.752999999997</v>
      </c>
      <c r="M112" s="38">
        <f>'2024'!N112</f>
        <v>116.85</v>
      </c>
      <c r="N112" s="27">
        <v>126.19562400000005</v>
      </c>
      <c r="O112" s="38">
        <f>'2024'!P112</f>
        <v>77.875199999999992</v>
      </c>
      <c r="P112" s="38">
        <f t="shared" si="45"/>
        <v>80.990207999999996</v>
      </c>
      <c r="Q112" s="27">
        <f t="shared" si="46"/>
        <v>759227.27218440012</v>
      </c>
      <c r="R112" s="27">
        <f t="shared" si="47"/>
        <v>732534.25013519987</v>
      </c>
      <c r="S112" s="27">
        <f t="shared" si="47"/>
        <v>814209.122898289</v>
      </c>
      <c r="T112" s="27">
        <f t="shared" si="48"/>
        <v>743873.56408972887</v>
      </c>
      <c r="U112" s="27">
        <f t="shared" si="32"/>
        <v>3049844.209307618</v>
      </c>
      <c r="V112" s="119"/>
      <c r="W112" s="119"/>
      <c r="X112" s="119"/>
      <c r="Y112" s="29">
        <f t="shared" si="40"/>
        <v>107.99796662387682</v>
      </c>
      <c r="Z112" s="30">
        <f t="shared" si="41"/>
        <v>104</v>
      </c>
      <c r="AA112" s="2"/>
      <c r="AD112" s="32">
        <f t="shared" si="36"/>
        <v>0</v>
      </c>
    </row>
    <row r="113" spans="1:30" s="40" customFormat="1" ht="51" customHeight="1">
      <c r="A113" s="33">
        <v>2919006299</v>
      </c>
      <c r="B113" s="34" t="s">
        <v>148</v>
      </c>
      <c r="C113" s="35" t="s">
        <v>142</v>
      </c>
      <c r="D113" s="33" t="s">
        <v>149</v>
      </c>
      <c r="E113" s="33"/>
      <c r="F113" s="36" t="s">
        <v>21</v>
      </c>
      <c r="G113" s="36"/>
      <c r="H113" s="26">
        <f>'2023'!H115</f>
        <v>8636.2000000000007</v>
      </c>
      <c r="I113" s="26">
        <f>'2023'!I115</f>
        <v>8725.7000000000007</v>
      </c>
      <c r="J113" s="26">
        <f>'2023'!J115</f>
        <v>7408</v>
      </c>
      <c r="K113" s="26">
        <f>'2023'!K115</f>
        <v>9617.2000000000007</v>
      </c>
      <c r="L113" s="26">
        <f t="shared" si="31"/>
        <v>34387.100000000006</v>
      </c>
      <c r="M113" s="38">
        <f>'2024'!N113</f>
        <v>185.17711100000002</v>
      </c>
      <c r="N113" s="27">
        <v>192.66072444000002</v>
      </c>
      <c r="O113" s="38">
        <f>'2024'!P113</f>
        <v>67.059200000000004</v>
      </c>
      <c r="P113" s="38">
        <f t="shared" si="45"/>
        <v>69.741568000000001</v>
      </c>
      <c r="Q113" s="27">
        <f t="shared" si="46"/>
        <v>1020089.9029782002</v>
      </c>
      <c r="R113" s="27">
        <f t="shared" si="47"/>
        <v>1030661.4560127002</v>
      </c>
      <c r="S113" s="27">
        <f t="shared" si="47"/>
        <v>910585.11090752017</v>
      </c>
      <c r="T113" s="27">
        <f t="shared" si="48"/>
        <v>1182138.1113147682</v>
      </c>
      <c r="U113" s="27">
        <f t="shared" si="32"/>
        <v>4143474.5812131884</v>
      </c>
      <c r="V113" s="119"/>
      <c r="W113" s="119"/>
      <c r="X113" s="119"/>
      <c r="Y113" s="29">
        <f t="shared" si="40"/>
        <v>104.04132746190213</v>
      </c>
      <c r="Z113" s="30">
        <f t="shared" si="41"/>
        <v>104</v>
      </c>
      <c r="AA113" s="2"/>
      <c r="AD113" s="32">
        <f t="shared" si="36"/>
        <v>0</v>
      </c>
    </row>
    <row r="114" spans="1:30" s="40" customFormat="1" ht="51" customHeight="1">
      <c r="A114" s="33">
        <v>2919007479</v>
      </c>
      <c r="B114" s="35" t="s">
        <v>155</v>
      </c>
      <c r="C114" s="35" t="s">
        <v>142</v>
      </c>
      <c r="D114" s="33" t="s">
        <v>156</v>
      </c>
      <c r="E114" s="33"/>
      <c r="F114" s="36" t="s">
        <v>21</v>
      </c>
      <c r="G114" s="36"/>
      <c r="H114" s="26">
        <f>'2023'!H116</f>
        <v>6764</v>
      </c>
      <c r="I114" s="26">
        <f>'2023'!I116</f>
        <v>6764</v>
      </c>
      <c r="J114" s="26">
        <f>'2023'!J116</f>
        <v>6764</v>
      </c>
      <c r="K114" s="26">
        <f>'2023'!K116</f>
        <v>6764</v>
      </c>
      <c r="L114" s="26">
        <f t="shared" si="31"/>
        <v>27056</v>
      </c>
      <c r="M114" s="38">
        <f>'2024'!N114</f>
        <v>74.3</v>
      </c>
      <c r="N114" s="27">
        <v>80.245080000000016</v>
      </c>
      <c r="O114" s="38">
        <f>'2024'!P114</f>
        <v>70.304000000000002</v>
      </c>
      <c r="P114" s="38">
        <f t="shared" si="45"/>
        <v>73.116160000000008</v>
      </c>
      <c r="Q114" s="27">
        <f t="shared" si="46"/>
        <v>27028.943999999967</v>
      </c>
      <c r="R114" s="27">
        <f t="shared" si="47"/>
        <v>27028.943999999967</v>
      </c>
      <c r="S114" s="27">
        <f t="shared" si="47"/>
        <v>48220.014880000053</v>
      </c>
      <c r="T114" s="27">
        <f t="shared" si="48"/>
        <v>48220.014880000053</v>
      </c>
      <c r="U114" s="27">
        <f t="shared" si="32"/>
        <v>150497.91776000004</v>
      </c>
      <c r="V114" s="119"/>
      <c r="W114" s="119"/>
      <c r="X114" s="119"/>
      <c r="Y114" s="29">
        <f t="shared" si="40"/>
        <v>108.00145356662183</v>
      </c>
      <c r="Z114" s="30">
        <f t="shared" si="41"/>
        <v>104</v>
      </c>
      <c r="AA114" s="2"/>
      <c r="AD114" s="32">
        <f t="shared" si="36"/>
        <v>0</v>
      </c>
    </row>
    <row r="115" spans="1:30" s="40" customFormat="1" ht="51" customHeight="1">
      <c r="A115" s="33">
        <v>2919000794</v>
      </c>
      <c r="B115" s="34" t="s">
        <v>152</v>
      </c>
      <c r="C115" s="35" t="s">
        <v>142</v>
      </c>
      <c r="D115" s="33" t="s">
        <v>150</v>
      </c>
      <c r="E115" s="33"/>
      <c r="F115" s="36" t="s">
        <v>21</v>
      </c>
      <c r="G115" s="36" t="s">
        <v>415</v>
      </c>
      <c r="H115" s="26">
        <f>'2023'!H117</f>
        <v>765.9</v>
      </c>
      <c r="I115" s="26">
        <f>'2023'!I117</f>
        <v>688.5</v>
      </c>
      <c r="J115" s="26">
        <f>'2023'!J117</f>
        <v>722</v>
      </c>
      <c r="K115" s="26">
        <f>'2023'!K117</f>
        <v>627.79999999999995</v>
      </c>
      <c r="L115" s="37">
        <f t="shared" si="31"/>
        <v>2804.2</v>
      </c>
      <c r="M115" s="38">
        <f>'2024'!N115</f>
        <v>512.29</v>
      </c>
      <c r="N115" s="27">
        <v>553.26801599999999</v>
      </c>
      <c r="O115" s="38">
        <f>'2024'!P115</f>
        <v>116.0224</v>
      </c>
      <c r="P115" s="38">
        <f t="shared" si="45"/>
        <v>120.663296</v>
      </c>
      <c r="Q115" s="27">
        <f t="shared" si="46"/>
        <v>303501.35483999999</v>
      </c>
      <c r="R115" s="27">
        <f t="shared" si="47"/>
        <v>272830.2426</v>
      </c>
      <c r="S115" s="27">
        <f t="shared" si="47"/>
        <v>312340.60784000001</v>
      </c>
      <c r="T115" s="27">
        <f t="shared" si="48"/>
        <v>271589.24321599997</v>
      </c>
      <c r="U115" s="27">
        <f t="shared" si="32"/>
        <v>1160261.4484959999</v>
      </c>
      <c r="V115" s="119"/>
      <c r="W115" s="119"/>
      <c r="X115" s="119"/>
      <c r="Y115" s="29">
        <f t="shared" si="40"/>
        <v>107.99898807316168</v>
      </c>
      <c r="Z115" s="30">
        <f t="shared" si="41"/>
        <v>104</v>
      </c>
      <c r="AA115" s="2"/>
      <c r="AD115" s="32">
        <f>104-Z115</f>
        <v>0</v>
      </c>
    </row>
    <row r="116" spans="1:30" s="40" customFormat="1" ht="51" customHeight="1">
      <c r="A116" s="33" t="s">
        <v>144</v>
      </c>
      <c r="B116" s="34" t="s">
        <v>145</v>
      </c>
      <c r="C116" s="35" t="s">
        <v>142</v>
      </c>
      <c r="D116" s="33" t="s">
        <v>146</v>
      </c>
      <c r="E116" s="33"/>
      <c r="F116" s="36" t="s">
        <v>21</v>
      </c>
      <c r="G116" s="36"/>
      <c r="H116" s="26">
        <f>'2023'!H118</f>
        <v>9807</v>
      </c>
      <c r="I116" s="26">
        <f>'2023'!I118</f>
        <v>9807</v>
      </c>
      <c r="J116" s="26">
        <f>'2023'!J118</f>
        <v>11386.948</v>
      </c>
      <c r="K116" s="26">
        <f>'2023'!K118</f>
        <v>9074.732</v>
      </c>
      <c r="L116" s="26">
        <f t="shared" si="31"/>
        <v>40075.68</v>
      </c>
      <c r="M116" s="38">
        <f>'2024'!N116</f>
        <v>80.81</v>
      </c>
      <c r="N116" s="27">
        <v>87.270912000000024</v>
      </c>
      <c r="O116" s="38">
        <f>'2024'!P116</f>
        <v>74.068799999999996</v>
      </c>
      <c r="P116" s="38">
        <f t="shared" si="45"/>
        <v>77.031552000000005</v>
      </c>
      <c r="Q116" s="27">
        <f t="shared" si="46"/>
        <v>66110.948400000067</v>
      </c>
      <c r="R116" s="27">
        <f t="shared" si="47"/>
        <v>66110.948400000067</v>
      </c>
      <c r="S116" s="27">
        <f t="shared" si="47"/>
        <v>116595.05987328022</v>
      </c>
      <c r="T116" s="27">
        <f t="shared" si="48"/>
        <v>92919.447851520177</v>
      </c>
      <c r="U116" s="27">
        <f t="shared" si="32"/>
        <v>341736.40452480048</v>
      </c>
      <c r="V116" s="119"/>
      <c r="W116" s="119"/>
      <c r="X116" s="119"/>
      <c r="Y116" s="29">
        <f t="shared" si="40"/>
        <v>107.99518871426805</v>
      </c>
      <c r="Z116" s="30">
        <f t="shared" si="41"/>
        <v>104</v>
      </c>
      <c r="AA116" s="2"/>
      <c r="AD116" s="32">
        <f>104-Z116</f>
        <v>0</v>
      </c>
    </row>
    <row r="117" spans="1:30" s="40" customFormat="1" ht="15" customHeight="1">
      <c r="A117" s="33"/>
      <c r="B117" s="34"/>
      <c r="C117" s="35"/>
      <c r="D117" s="33"/>
      <c r="E117" s="33"/>
      <c r="F117" s="36"/>
      <c r="G117" s="36"/>
      <c r="H117" s="26"/>
      <c r="I117" s="26"/>
      <c r="J117" s="26"/>
      <c r="K117" s="26"/>
      <c r="L117" s="37"/>
      <c r="M117" s="41"/>
      <c r="N117" s="41"/>
      <c r="O117" s="41"/>
      <c r="P117" s="41"/>
      <c r="Q117" s="27"/>
      <c r="R117" s="27"/>
      <c r="S117" s="27"/>
      <c r="T117" s="27"/>
      <c r="U117" s="27"/>
      <c r="V117" s="119"/>
      <c r="W117" s="119"/>
      <c r="X117" s="119"/>
      <c r="Y117" s="29" t="e">
        <f t="shared" si="40"/>
        <v>#DIV/0!</v>
      </c>
      <c r="Z117" s="30" t="e">
        <f t="shared" si="41"/>
        <v>#DIV/0!</v>
      </c>
      <c r="AA117" s="2"/>
      <c r="AD117" s="32" t="e">
        <f t="shared" si="36"/>
        <v>#DIV/0!</v>
      </c>
    </row>
    <row r="118" spans="1:30" s="40" customFormat="1" ht="51.75" customHeight="1">
      <c r="A118" s="33">
        <v>2920011448</v>
      </c>
      <c r="B118" s="34" t="s">
        <v>164</v>
      </c>
      <c r="C118" s="35" t="s">
        <v>343</v>
      </c>
      <c r="D118" s="33" t="s">
        <v>296</v>
      </c>
      <c r="E118" s="33"/>
      <c r="F118" s="36" t="s">
        <v>21</v>
      </c>
      <c r="G118" s="36"/>
      <c r="H118" s="26">
        <f>'2023'!H120</f>
        <v>5140.393</v>
      </c>
      <c r="I118" s="26">
        <f>'2023'!I120</f>
        <v>5089.1109999999999</v>
      </c>
      <c r="J118" s="26">
        <f>'2023'!J120</f>
        <v>5056.5739999999996</v>
      </c>
      <c r="K118" s="26">
        <f>'2023'!K120</f>
        <v>5045.4930000000004</v>
      </c>
      <c r="L118" s="26">
        <f t="shared" si="31"/>
        <v>20331.571000000004</v>
      </c>
      <c r="M118" s="38">
        <f>'2024'!N118</f>
        <v>144.20049999999998</v>
      </c>
      <c r="N118" s="27">
        <v>155.73653999999999</v>
      </c>
      <c r="O118" s="38">
        <f>'2024'!P118</f>
        <v>93.558400000000006</v>
      </c>
      <c r="P118" s="27">
        <v>97.300736000000015</v>
      </c>
      <c r="Q118" s="27">
        <f t="shared" ref="Q118:Q126" si="49">(M118-O118)*H118</f>
        <v>260320.29634529984</v>
      </c>
      <c r="R118" s="27">
        <f t="shared" ref="R118:R126" si="50">(M118-O118)*I118</f>
        <v>257723.26817309984</v>
      </c>
      <c r="S118" s="27">
        <f t="shared" ref="S118:S126" si="51">(N118-P118)*J118</f>
        <v>295484.96717549587</v>
      </c>
      <c r="T118" s="27">
        <f t="shared" ref="T118:T126" si="52">(N118-P118)*K118</f>
        <v>294837.44003137189</v>
      </c>
      <c r="U118" s="27">
        <f t="shared" si="32"/>
        <v>1108365.9717252674</v>
      </c>
      <c r="V118" s="119"/>
      <c r="W118" s="119"/>
      <c r="X118" s="119"/>
      <c r="Y118" s="29">
        <f t="shared" si="40"/>
        <v>108</v>
      </c>
      <c r="Z118" s="30">
        <f t="shared" si="41"/>
        <v>104</v>
      </c>
      <c r="AA118" s="2"/>
      <c r="AD118" s="32">
        <f t="shared" si="36"/>
        <v>0</v>
      </c>
    </row>
    <row r="119" spans="1:30" s="40" customFormat="1" ht="51.75" customHeight="1">
      <c r="A119" s="33">
        <v>2920011448</v>
      </c>
      <c r="B119" s="34" t="s">
        <v>164</v>
      </c>
      <c r="C119" s="35" t="s">
        <v>343</v>
      </c>
      <c r="D119" s="33" t="s">
        <v>297</v>
      </c>
      <c r="E119" s="33"/>
      <c r="F119" s="36" t="s">
        <v>21</v>
      </c>
      <c r="G119" s="36"/>
      <c r="H119" s="26">
        <f>'2023'!H121</f>
        <v>567.74</v>
      </c>
      <c r="I119" s="26">
        <f>'2023'!I121</f>
        <v>427.01</v>
      </c>
      <c r="J119" s="26">
        <f>'2023'!J121</f>
        <v>559.73</v>
      </c>
      <c r="K119" s="26">
        <f>'2023'!K121</f>
        <v>442.76300000000003</v>
      </c>
      <c r="L119" s="26">
        <f t="shared" si="31"/>
        <v>1997.2429999999999</v>
      </c>
      <c r="M119" s="38">
        <f>'2024'!N119</f>
        <v>262.20338419999996</v>
      </c>
      <c r="N119" s="27">
        <v>262.20338419999996</v>
      </c>
      <c r="O119" s="38">
        <f>'2024'!P119</f>
        <v>84.905600000000007</v>
      </c>
      <c r="P119" s="27">
        <v>88.301824000000011</v>
      </c>
      <c r="Q119" s="27">
        <f t="shared" si="49"/>
        <v>100659.04400170798</v>
      </c>
      <c r="R119" s="27">
        <f t="shared" si="50"/>
        <v>75707.926831241988</v>
      </c>
      <c r="S119" s="27">
        <f t="shared" si="51"/>
        <v>97337.920290745969</v>
      </c>
      <c r="T119" s="27">
        <f t="shared" si="52"/>
        <v>76997.176498832589</v>
      </c>
      <c r="U119" s="27">
        <f t="shared" si="32"/>
        <v>350702.06762252853</v>
      </c>
      <c r="V119" s="119"/>
      <c r="W119" s="119"/>
      <c r="X119" s="119"/>
      <c r="Y119" s="29">
        <f t="shared" si="40"/>
        <v>100</v>
      </c>
      <c r="Z119" s="30">
        <f t="shared" si="41"/>
        <v>104</v>
      </c>
      <c r="AA119" s="2"/>
      <c r="AD119" s="32">
        <f t="shared" si="36"/>
        <v>0</v>
      </c>
    </row>
    <row r="120" spans="1:30" s="40" customFormat="1" ht="51.75" customHeight="1">
      <c r="A120" s="33">
        <v>2920016774</v>
      </c>
      <c r="B120" s="34" t="s">
        <v>167</v>
      </c>
      <c r="C120" s="35" t="s">
        <v>343</v>
      </c>
      <c r="D120" s="33" t="s">
        <v>344</v>
      </c>
      <c r="E120" s="33"/>
      <c r="F120" s="36" t="s">
        <v>21</v>
      </c>
      <c r="G120" s="36"/>
      <c r="H120" s="26">
        <f>'2023'!H122</f>
        <v>65979.013999999996</v>
      </c>
      <c r="I120" s="26">
        <f>'2023'!I122</f>
        <v>59227.919000000002</v>
      </c>
      <c r="J120" s="26">
        <f>'2023'!J122</f>
        <v>53821.607000000004</v>
      </c>
      <c r="K120" s="26">
        <f>'2023'!K122</f>
        <v>60989.759999999995</v>
      </c>
      <c r="L120" s="26">
        <f t="shared" si="31"/>
        <v>240018.3</v>
      </c>
      <c r="M120" s="38">
        <v>47.21</v>
      </c>
      <c r="N120" s="27">
        <v>50.986800000000009</v>
      </c>
      <c r="O120" s="38">
        <v>36.7744</v>
      </c>
      <c r="P120" s="27">
        <v>38.245376</v>
      </c>
      <c r="Q120" s="27">
        <f t="shared" si="49"/>
        <v>688530.59849840007</v>
      </c>
      <c r="R120" s="27">
        <f t="shared" si="50"/>
        <v>618078.87151640002</v>
      </c>
      <c r="S120" s="27">
        <f t="shared" si="51"/>
        <v>685763.91514836857</v>
      </c>
      <c r="T120" s="27">
        <f t="shared" si="52"/>
        <v>777096.39181824052</v>
      </c>
      <c r="U120" s="27">
        <f t="shared" si="32"/>
        <v>2769469.7769814092</v>
      </c>
      <c r="V120" s="119"/>
      <c r="W120" s="119"/>
      <c r="X120" s="119"/>
      <c r="Y120" s="29">
        <f t="shared" si="40"/>
        <v>108</v>
      </c>
      <c r="Z120" s="30">
        <f t="shared" si="41"/>
        <v>104</v>
      </c>
      <c r="AA120" s="2"/>
      <c r="AD120" s="32">
        <f t="shared" si="36"/>
        <v>0</v>
      </c>
    </row>
    <row r="121" spans="1:30" s="40" customFormat="1" ht="51.75" customHeight="1">
      <c r="A121" s="33">
        <v>2920016125</v>
      </c>
      <c r="B121" s="34" t="s">
        <v>161</v>
      </c>
      <c r="C121" s="35" t="s">
        <v>343</v>
      </c>
      <c r="D121" s="33" t="s">
        <v>345</v>
      </c>
      <c r="E121" s="33"/>
      <c r="F121" s="36" t="s">
        <v>21</v>
      </c>
      <c r="G121" s="36"/>
      <c r="H121" s="26">
        <f>'2023'!H123</f>
        <v>1260</v>
      </c>
      <c r="I121" s="26">
        <f>'2023'!I123</f>
        <v>1260</v>
      </c>
      <c r="J121" s="26">
        <f>'2023'!J123</f>
        <v>1260</v>
      </c>
      <c r="K121" s="26">
        <f>'2023'!K123</f>
        <v>1260</v>
      </c>
      <c r="L121" s="26">
        <f t="shared" si="31"/>
        <v>5040</v>
      </c>
      <c r="M121" s="38">
        <f>'2024'!N121</f>
        <v>227.09150000000008</v>
      </c>
      <c r="N121" s="27">
        <v>245.2588200000001</v>
      </c>
      <c r="O121" s="38">
        <f>'2024'!P121</f>
        <v>104.91520000000001</v>
      </c>
      <c r="P121" s="27">
        <v>109.11180800000001</v>
      </c>
      <c r="Q121" s="27">
        <f t="shared" si="49"/>
        <v>153942.13800000009</v>
      </c>
      <c r="R121" s="27">
        <f t="shared" si="50"/>
        <v>153942.13800000009</v>
      </c>
      <c r="S121" s="27">
        <f t="shared" si="51"/>
        <v>171545.23512000008</v>
      </c>
      <c r="T121" s="27">
        <f t="shared" si="52"/>
        <v>171545.23512000008</v>
      </c>
      <c r="U121" s="27">
        <f t="shared" si="32"/>
        <v>650974.74624000036</v>
      </c>
      <c r="V121" s="119"/>
      <c r="W121" s="119"/>
      <c r="X121" s="119"/>
      <c r="Y121" s="29">
        <f t="shared" si="40"/>
        <v>108</v>
      </c>
      <c r="Z121" s="30">
        <f t="shared" si="41"/>
        <v>104</v>
      </c>
      <c r="AA121" s="2"/>
      <c r="AD121" s="32">
        <f t="shared" si="36"/>
        <v>0</v>
      </c>
    </row>
    <row r="122" spans="1:30" s="40" customFormat="1" ht="51.75" customHeight="1">
      <c r="A122" s="33">
        <v>2920015308</v>
      </c>
      <c r="B122" s="34" t="s">
        <v>163</v>
      </c>
      <c r="C122" s="35" t="s">
        <v>343</v>
      </c>
      <c r="D122" s="33" t="s">
        <v>346</v>
      </c>
      <c r="E122" s="33"/>
      <c r="F122" s="36" t="s">
        <v>21</v>
      </c>
      <c r="G122" s="36"/>
      <c r="H122" s="26">
        <f>'2023'!H124</f>
        <v>69503.254000000001</v>
      </c>
      <c r="I122" s="26">
        <f>'2023'!I124</f>
        <v>65422.506999999998</v>
      </c>
      <c r="J122" s="26">
        <f>'2023'!J124</f>
        <v>68792.967999999993</v>
      </c>
      <c r="K122" s="26">
        <f>'2023'!K124</f>
        <v>68808.898000000001</v>
      </c>
      <c r="L122" s="26">
        <f t="shared" si="31"/>
        <v>272527.62699999998</v>
      </c>
      <c r="M122" s="38">
        <f>'2024'!N122</f>
        <v>85.729181230000023</v>
      </c>
      <c r="N122" s="27">
        <v>92.587515728400035</v>
      </c>
      <c r="O122" s="38">
        <f>'2024'!P122</f>
        <v>53.804842041600011</v>
      </c>
      <c r="P122" s="27">
        <v>55.957035723264013</v>
      </c>
      <c r="Q122" s="27">
        <f t="shared" si="49"/>
        <v>2218845.4553935197</v>
      </c>
      <c r="R122" s="27">
        <f t="shared" si="50"/>
        <v>2088570.304023474</v>
      </c>
      <c r="S122" s="27">
        <f t="shared" si="51"/>
        <v>2519919.4388179621</v>
      </c>
      <c r="T122" s="27">
        <f t="shared" si="52"/>
        <v>2520502.962364444</v>
      </c>
      <c r="U122" s="27">
        <f t="shared" si="32"/>
        <v>9347838.1605993994</v>
      </c>
      <c r="V122" s="119"/>
      <c r="W122" s="119"/>
      <c r="X122" s="119"/>
      <c r="Y122" s="29">
        <f t="shared" si="40"/>
        <v>108</v>
      </c>
      <c r="Z122" s="30">
        <f t="shared" si="41"/>
        <v>104</v>
      </c>
      <c r="AA122" s="2"/>
      <c r="AD122" s="32">
        <f t="shared" si="36"/>
        <v>0</v>
      </c>
    </row>
    <row r="123" spans="1:30" s="40" customFormat="1" ht="51.75" customHeight="1">
      <c r="A123" s="33">
        <v>2920016929</v>
      </c>
      <c r="B123" s="34" t="s">
        <v>158</v>
      </c>
      <c r="C123" s="35" t="s">
        <v>343</v>
      </c>
      <c r="D123" s="33" t="s">
        <v>347</v>
      </c>
      <c r="E123" s="33"/>
      <c r="F123" s="36" t="s">
        <v>21</v>
      </c>
      <c r="G123" s="36"/>
      <c r="H123" s="26">
        <f>'2023'!H125</f>
        <v>8290.14</v>
      </c>
      <c r="I123" s="26">
        <f>'2023'!I125</f>
        <v>7183.5830000000005</v>
      </c>
      <c r="J123" s="26">
        <f>'2023'!J125</f>
        <v>7926.9400000000005</v>
      </c>
      <c r="K123" s="26">
        <f>'2023'!K125</f>
        <v>7769.7430000000004</v>
      </c>
      <c r="L123" s="26">
        <f t="shared" si="31"/>
        <v>31170.406000000003</v>
      </c>
      <c r="M123" s="38">
        <v>125.94</v>
      </c>
      <c r="N123" s="27">
        <v>125.94</v>
      </c>
      <c r="O123" s="38">
        <v>36.770000000000003</v>
      </c>
      <c r="P123" s="27">
        <v>38.25</v>
      </c>
      <c r="Q123" s="27">
        <f t="shared" si="49"/>
        <v>739231.78379999986</v>
      </c>
      <c r="R123" s="27">
        <f t="shared" si="50"/>
        <v>640560.09610999993</v>
      </c>
      <c r="S123" s="27">
        <f t="shared" si="51"/>
        <v>695113.36860000005</v>
      </c>
      <c r="T123" s="27">
        <f t="shared" si="52"/>
        <v>681328.76367000001</v>
      </c>
      <c r="U123" s="27">
        <f t="shared" si="32"/>
        <v>2756234.0121799996</v>
      </c>
      <c r="V123" s="119"/>
      <c r="W123" s="119"/>
      <c r="X123" s="119"/>
      <c r="Y123" s="29">
        <f t="shared" si="40"/>
        <v>100</v>
      </c>
      <c r="Z123" s="30">
        <f t="shared" si="41"/>
        <v>104.0250203970628</v>
      </c>
      <c r="AA123" s="2"/>
      <c r="AD123" s="32">
        <f>104-Z123</f>
        <v>-2.5020397062803568E-2</v>
      </c>
    </row>
    <row r="124" spans="1:30" s="40" customFormat="1" ht="51.75" customHeight="1">
      <c r="A124" s="33">
        <v>2920016929</v>
      </c>
      <c r="B124" s="34" t="s">
        <v>158</v>
      </c>
      <c r="C124" s="35" t="s">
        <v>343</v>
      </c>
      <c r="D124" s="33" t="s">
        <v>348</v>
      </c>
      <c r="E124" s="33"/>
      <c r="F124" s="36" t="s">
        <v>21</v>
      </c>
      <c r="G124" s="36"/>
      <c r="H124" s="26">
        <f>'2023'!H126</f>
        <v>16693.326000000001</v>
      </c>
      <c r="I124" s="26">
        <f>'2023'!I126</f>
        <v>22685.004000000001</v>
      </c>
      <c r="J124" s="26">
        <f>'2023'!J126</f>
        <v>18912.190999999999</v>
      </c>
      <c r="K124" s="26">
        <f>'2023'!K126</f>
        <v>17541.462</v>
      </c>
      <c r="L124" s="26">
        <f t="shared" si="31"/>
        <v>75831.983000000007</v>
      </c>
      <c r="M124" s="38">
        <v>116.49</v>
      </c>
      <c r="N124" s="27">
        <v>125.81</v>
      </c>
      <c r="O124" s="38">
        <v>41.14</v>
      </c>
      <c r="P124" s="27">
        <v>42.79</v>
      </c>
      <c r="Q124" s="27">
        <f t="shared" si="49"/>
        <v>1257842.1140999999</v>
      </c>
      <c r="R124" s="27">
        <f t="shared" si="50"/>
        <v>1709315.0514</v>
      </c>
      <c r="S124" s="27">
        <f t="shared" si="51"/>
        <v>1570090.0968200001</v>
      </c>
      <c r="T124" s="27">
        <f t="shared" si="52"/>
        <v>1456292.1752400002</v>
      </c>
      <c r="U124" s="27">
        <f t="shared" si="32"/>
        <v>5993539.4375600014</v>
      </c>
      <c r="V124" s="119"/>
      <c r="W124" s="119"/>
      <c r="X124" s="119"/>
      <c r="Y124" s="29">
        <f t="shared" si="40"/>
        <v>108.00068675422784</v>
      </c>
      <c r="Z124" s="30">
        <f t="shared" si="41"/>
        <v>104.01069518716577</v>
      </c>
      <c r="AA124" s="2"/>
      <c r="AD124" s="32">
        <f t="shared" si="36"/>
        <v>-1.0695187165765674E-2</v>
      </c>
    </row>
    <row r="125" spans="1:30" s="40" customFormat="1" ht="51.75" customHeight="1">
      <c r="A125" s="33">
        <v>7708503727</v>
      </c>
      <c r="B125" s="34" t="s">
        <v>61</v>
      </c>
      <c r="C125" s="35" t="s">
        <v>343</v>
      </c>
      <c r="D125" s="33" t="s">
        <v>349</v>
      </c>
      <c r="E125" s="33"/>
      <c r="F125" s="36" t="s">
        <v>21</v>
      </c>
      <c r="G125" s="36"/>
      <c r="H125" s="26">
        <f>'2023'!H127</f>
        <v>2566.4410000000003</v>
      </c>
      <c r="I125" s="26">
        <f>'2023'!I127</f>
        <v>2520.5920000000001</v>
      </c>
      <c r="J125" s="26">
        <f>'2023'!J127</f>
        <v>2236.6819999999998</v>
      </c>
      <c r="K125" s="26">
        <f>'2023'!K127</f>
        <v>2924.0709999999999</v>
      </c>
      <c r="L125" s="26">
        <f t="shared" si="31"/>
        <v>10247.786</v>
      </c>
      <c r="M125" s="38">
        <f>'2024'!N125</f>
        <v>54.992384506</v>
      </c>
      <c r="N125" s="27">
        <v>59.391775266480003</v>
      </c>
      <c r="O125" s="38">
        <f>'2024'!P125</f>
        <v>34.286720000000003</v>
      </c>
      <c r="P125" s="27">
        <v>35.658188800000005</v>
      </c>
      <c r="Q125" s="27">
        <f t="shared" si="49"/>
        <v>53139.866320443143</v>
      </c>
      <c r="R125" s="27">
        <f t="shared" si="50"/>
        <v>52190.532308507551</v>
      </c>
      <c r="S125" s="27">
        <f t="shared" si="51"/>
        <v>53084.485645019413</v>
      </c>
      <c r="T125" s="27">
        <f t="shared" si="52"/>
        <v>69398.691912626629</v>
      </c>
      <c r="U125" s="27">
        <f t="shared" si="32"/>
        <v>227813.57618659677</v>
      </c>
      <c r="V125" s="119"/>
      <c r="W125" s="119"/>
      <c r="X125" s="119"/>
      <c r="Y125" s="29">
        <f t="shared" si="40"/>
        <v>108</v>
      </c>
      <c r="Z125" s="30">
        <f t="shared" si="41"/>
        <v>104</v>
      </c>
      <c r="AA125" s="2"/>
      <c r="AD125" s="32">
        <f t="shared" si="36"/>
        <v>0</v>
      </c>
    </row>
    <row r="126" spans="1:30" s="40" customFormat="1" ht="51.75" customHeight="1">
      <c r="A126" s="33">
        <v>2920011448</v>
      </c>
      <c r="B126" s="34" t="s">
        <v>164</v>
      </c>
      <c r="C126" s="35" t="s">
        <v>343</v>
      </c>
      <c r="D126" s="33" t="s">
        <v>350</v>
      </c>
      <c r="E126" s="33"/>
      <c r="F126" s="36" t="s">
        <v>21</v>
      </c>
      <c r="G126" s="36" t="s">
        <v>411</v>
      </c>
      <c r="H126" s="26">
        <f>'2023'!H128</f>
        <v>60</v>
      </c>
      <c r="I126" s="26">
        <f>'2023'!I128</f>
        <v>60</v>
      </c>
      <c r="J126" s="26">
        <f>'2023'!J128</f>
        <v>60</v>
      </c>
      <c r="K126" s="26">
        <f>'2023'!K128</f>
        <v>60</v>
      </c>
      <c r="L126" s="26">
        <f t="shared" si="31"/>
        <v>240</v>
      </c>
      <c r="M126" s="38">
        <f>'2024'!N126</f>
        <v>235.79070000000004</v>
      </c>
      <c r="N126" s="27">
        <v>254.65395600000008</v>
      </c>
      <c r="O126" s="38">
        <f>'2024'!P126</f>
        <v>84.905600000000007</v>
      </c>
      <c r="P126" s="27">
        <v>88.301824000000011</v>
      </c>
      <c r="Q126" s="27">
        <f t="shared" si="49"/>
        <v>9053.1060000000016</v>
      </c>
      <c r="R126" s="27">
        <f t="shared" si="50"/>
        <v>9053.1060000000016</v>
      </c>
      <c r="S126" s="27">
        <f t="shared" si="51"/>
        <v>9981.1279200000045</v>
      </c>
      <c r="T126" s="27">
        <f t="shared" si="52"/>
        <v>9981.1279200000045</v>
      </c>
      <c r="U126" s="27">
        <f t="shared" si="32"/>
        <v>38068.467840000012</v>
      </c>
      <c r="V126" s="119"/>
      <c r="W126" s="119"/>
      <c r="X126" s="119"/>
      <c r="Y126" s="29">
        <f t="shared" si="40"/>
        <v>108</v>
      </c>
      <c r="Z126" s="30">
        <f t="shared" si="41"/>
        <v>104</v>
      </c>
      <c r="AA126" s="2"/>
      <c r="AD126" s="32">
        <f t="shared" si="36"/>
        <v>0</v>
      </c>
    </row>
    <row r="127" spans="1:30" s="96" customFormat="1" ht="52.5" customHeight="1">
      <c r="A127" s="33">
        <f>'2024'!A127</f>
        <v>2924005075</v>
      </c>
      <c r="B127" s="34" t="str">
        <f>'2024'!B127</f>
        <v>ООО "УК "Уютный город"</v>
      </c>
      <c r="C127" s="33" t="str">
        <f>'2024'!C127</f>
        <v>Плесецкий муниципальный округ</v>
      </c>
      <c r="D127" s="33" t="str">
        <f>'2024'!D127</f>
        <v>рп. Савинский</v>
      </c>
      <c r="E127" s="33"/>
      <c r="F127" s="33" t="str">
        <f>'2024'!F127</f>
        <v>ХОЛОДНАЯ ВОДА, м3</v>
      </c>
      <c r="G127" s="33">
        <f>'2024'!G127</f>
        <v>0</v>
      </c>
      <c r="H127" s="113">
        <f>'2024'!H127</f>
        <v>20.596307870370374</v>
      </c>
      <c r="I127" s="113">
        <f>'2024'!I127</f>
        <v>20.596307870370374</v>
      </c>
      <c r="J127" s="113">
        <f>'2024'!J127</f>
        <v>20.596307870370374</v>
      </c>
      <c r="K127" s="113">
        <f>'2024'!K127</f>
        <v>20.596307870370374</v>
      </c>
      <c r="L127" s="118">
        <f t="shared" si="31"/>
        <v>82.385231481481497</v>
      </c>
      <c r="M127" s="38">
        <f>'2024'!N127</f>
        <v>21.283447328600005</v>
      </c>
      <c r="N127" s="27">
        <v>22.986123114888009</v>
      </c>
      <c r="O127" s="38">
        <f>'2024'!P127</f>
        <v>19.508624263232001</v>
      </c>
      <c r="P127" s="27">
        <v>20.288969233761282</v>
      </c>
      <c r="Q127" s="27"/>
      <c r="R127" s="27"/>
      <c r="S127" s="27"/>
      <c r="T127" s="27"/>
      <c r="U127" s="27"/>
      <c r="V127" s="119"/>
      <c r="W127" s="119"/>
      <c r="X127" s="119"/>
      <c r="Y127" s="114"/>
      <c r="Z127" s="115"/>
      <c r="AA127" s="116"/>
      <c r="AD127" s="117"/>
    </row>
    <row r="128" spans="1:30" s="40" customFormat="1" ht="52.5" customHeight="1">
      <c r="A128" s="33">
        <f>'2023'!A130</f>
        <v>2920017016</v>
      </c>
      <c r="B128" s="34" t="str">
        <f>'2024'!B128</f>
        <v>ООО "ПРУК АО"</v>
      </c>
      <c r="C128" s="35" t="s">
        <v>343</v>
      </c>
      <c r="D128" s="33" t="s">
        <v>165</v>
      </c>
      <c r="E128" s="33"/>
      <c r="F128" s="36" t="s">
        <v>21</v>
      </c>
      <c r="G128" s="36" t="s">
        <v>398</v>
      </c>
      <c r="H128" s="26">
        <f>'2024'!H128</f>
        <v>41552.25</v>
      </c>
      <c r="I128" s="26">
        <f>'2024'!I128</f>
        <v>41552.25</v>
      </c>
      <c r="J128" s="26">
        <f>'2024'!J128</f>
        <v>41552.25</v>
      </c>
      <c r="K128" s="26">
        <f>'2024'!K128</f>
        <v>41552.25</v>
      </c>
      <c r="L128" s="26">
        <f t="shared" si="31"/>
        <v>166209</v>
      </c>
      <c r="M128" s="38">
        <f>'2024'!N128</f>
        <v>38.47</v>
      </c>
      <c r="N128" s="38">
        <v>41.55</v>
      </c>
      <c r="O128" s="38">
        <f>'2024'!P128</f>
        <v>35.26</v>
      </c>
      <c r="P128" s="38">
        <v>36.67</v>
      </c>
      <c r="Q128" s="27">
        <f>(M128-O128)*H128</f>
        <v>133382.72250000003</v>
      </c>
      <c r="R128" s="27">
        <f>(M128-O128)*I128</f>
        <v>133382.72250000003</v>
      </c>
      <c r="S128" s="27">
        <f>(N128-P128)*J128</f>
        <v>202774.97999999981</v>
      </c>
      <c r="T128" s="27">
        <f>(N128-P128)*K128</f>
        <v>202774.97999999981</v>
      </c>
      <c r="U128" s="27">
        <f t="shared" si="32"/>
        <v>672315.40499999968</v>
      </c>
      <c r="V128" s="119"/>
      <c r="W128" s="119"/>
      <c r="X128" s="119"/>
      <c r="Y128" s="29">
        <f t="shared" ref="Y128:Y159" si="53">N128/M128*100</f>
        <v>108.00623862750194</v>
      </c>
      <c r="Z128" s="30">
        <f t="shared" ref="Z128:Z159" si="54">P128/O128*100</f>
        <v>103.99886557005107</v>
      </c>
      <c r="AA128" s="2"/>
      <c r="AD128" s="32">
        <f>104-Z128</f>
        <v>1.1344299489337573E-3</v>
      </c>
    </row>
    <row r="129" spans="1:30" s="40" customFormat="1" ht="15" customHeight="1">
      <c r="A129" s="33"/>
      <c r="B129" s="34"/>
      <c r="C129" s="35"/>
      <c r="D129" s="33"/>
      <c r="E129" s="33"/>
      <c r="F129" s="36"/>
      <c r="G129" s="36"/>
      <c r="H129" s="26"/>
      <c r="I129" s="26"/>
      <c r="J129" s="26"/>
      <c r="K129" s="26"/>
      <c r="L129" s="37"/>
      <c r="M129" s="41"/>
      <c r="N129" s="41"/>
      <c r="O129" s="41"/>
      <c r="P129" s="41"/>
      <c r="Q129" s="27"/>
      <c r="R129" s="27"/>
      <c r="S129" s="27"/>
      <c r="T129" s="27"/>
      <c r="U129" s="27"/>
      <c r="V129" s="119"/>
      <c r="W129" s="119"/>
      <c r="X129" s="119"/>
      <c r="Y129" s="29" t="e">
        <f t="shared" si="53"/>
        <v>#DIV/0!</v>
      </c>
      <c r="Z129" s="30" t="e">
        <f t="shared" si="54"/>
        <v>#DIV/0!</v>
      </c>
      <c r="AA129" s="2"/>
      <c r="AD129" s="32" t="e">
        <f t="shared" si="36"/>
        <v>#DIV/0!</v>
      </c>
    </row>
    <row r="130" spans="1:30" s="40" customFormat="1" ht="65.25" customHeight="1">
      <c r="A130" s="33">
        <v>2921127389</v>
      </c>
      <c r="B130" s="34" t="s">
        <v>195</v>
      </c>
      <c r="C130" s="35" t="s">
        <v>170</v>
      </c>
      <c r="D130" s="33" t="s">
        <v>351</v>
      </c>
      <c r="E130" s="33" t="s">
        <v>352</v>
      </c>
      <c r="F130" s="36" t="s">
        <v>21</v>
      </c>
      <c r="G130" s="36"/>
      <c r="H130" s="26">
        <f>'2023'!H132</f>
        <v>13140.509999999998</v>
      </c>
      <c r="I130" s="26">
        <f>'2023'!I132</f>
        <v>12835.63</v>
      </c>
      <c r="J130" s="26">
        <f>'2023'!J132</f>
        <v>9723.84</v>
      </c>
      <c r="K130" s="26">
        <f>'2023'!K132</f>
        <v>9077.11</v>
      </c>
      <c r="L130" s="26">
        <f t="shared" si="31"/>
        <v>44777.09</v>
      </c>
      <c r="M130" s="38">
        <v>161.51</v>
      </c>
      <c r="N130" s="27">
        <v>174.43</v>
      </c>
      <c r="O130" s="38">
        <v>27.2</v>
      </c>
      <c r="P130" s="27">
        <v>28.29</v>
      </c>
      <c r="Q130" s="27">
        <f t="shared" ref="Q130:Q149" si="55">(M130-O130)*H130</f>
        <v>1764901.8980999999</v>
      </c>
      <c r="R130" s="27">
        <f t="shared" ref="R130:R149" si="56">(M130-O130)*I130</f>
        <v>1723953.4652999998</v>
      </c>
      <c r="S130" s="27">
        <f t="shared" ref="S130:S149" si="57">(N130-P130)*J130</f>
        <v>1421041.9776000001</v>
      </c>
      <c r="T130" s="27">
        <f t="shared" ref="T130:T149" si="58">(N130-P130)*K130</f>
        <v>1326528.8554000002</v>
      </c>
      <c r="U130" s="27">
        <f t="shared" si="32"/>
        <v>6236426.1963999998</v>
      </c>
      <c r="V130" s="119"/>
      <c r="W130" s="119"/>
      <c r="X130" s="119"/>
      <c r="Y130" s="29">
        <f t="shared" si="53"/>
        <v>107.99950467463316</v>
      </c>
      <c r="Z130" s="30">
        <f t="shared" si="54"/>
        <v>104.00735294117646</v>
      </c>
      <c r="AA130" s="2"/>
      <c r="AD130" s="32">
        <f t="shared" si="36"/>
        <v>-7.3529411764639008E-3</v>
      </c>
    </row>
    <row r="131" spans="1:30" s="40" customFormat="1" ht="51" customHeight="1">
      <c r="A131" s="33">
        <v>2901165080</v>
      </c>
      <c r="B131" s="34" t="s">
        <v>433</v>
      </c>
      <c r="C131" s="35" t="s">
        <v>170</v>
      </c>
      <c r="D131" s="33" t="s">
        <v>353</v>
      </c>
      <c r="E131" s="33" t="s">
        <v>354</v>
      </c>
      <c r="F131" s="36" t="s">
        <v>21</v>
      </c>
      <c r="G131" s="36"/>
      <c r="H131" s="26">
        <f>'2023'!H133</f>
        <v>3769.56</v>
      </c>
      <c r="I131" s="26">
        <f>'2023'!I133</f>
        <v>3843.34</v>
      </c>
      <c r="J131" s="26">
        <f>'2023'!J133</f>
        <v>3640.47</v>
      </c>
      <c r="K131" s="26">
        <f>'2023'!K133</f>
        <v>3789.71</v>
      </c>
      <c r="L131" s="26">
        <f t="shared" si="31"/>
        <v>15043.079999999998</v>
      </c>
      <c r="M131" s="38">
        <f>'2024'!N131</f>
        <v>189.91030000000003</v>
      </c>
      <c r="N131" s="27">
        <v>205.10312400000007</v>
      </c>
      <c r="O131" s="38">
        <v>36.958272000000001</v>
      </c>
      <c r="P131" s="27">
        <f>O131*1.04</f>
        <v>38.436602880000002</v>
      </c>
      <c r="Q131" s="27">
        <f t="shared" si="55"/>
        <v>576561.84666768019</v>
      </c>
      <c r="R131" s="27">
        <f t="shared" si="56"/>
        <v>587846.64729352016</v>
      </c>
      <c r="S131" s="27">
        <f t="shared" si="57"/>
        <v>606744.47014172655</v>
      </c>
      <c r="T131" s="27">
        <f t="shared" si="58"/>
        <v>631617.78175367543</v>
      </c>
      <c r="U131" s="27">
        <f t="shared" si="32"/>
        <v>2402770.7458566022</v>
      </c>
      <c r="V131" s="119"/>
      <c r="W131" s="119"/>
      <c r="X131" s="119"/>
      <c r="Y131" s="29">
        <f t="shared" si="53"/>
        <v>108</v>
      </c>
      <c r="Z131" s="30">
        <f t="shared" si="54"/>
        <v>104</v>
      </c>
      <c r="AA131" s="2"/>
      <c r="AD131" s="32">
        <f t="shared" si="36"/>
        <v>0</v>
      </c>
    </row>
    <row r="132" spans="1:30" s="40" customFormat="1" ht="49.5" customHeight="1">
      <c r="A132" s="33">
        <v>2921128103</v>
      </c>
      <c r="B132" s="34" t="s">
        <v>183</v>
      </c>
      <c r="C132" s="35" t="s">
        <v>170</v>
      </c>
      <c r="D132" s="33" t="s">
        <v>285</v>
      </c>
      <c r="E132" s="33" t="s">
        <v>355</v>
      </c>
      <c r="F132" s="36" t="s">
        <v>21</v>
      </c>
      <c r="G132" s="36"/>
      <c r="H132" s="26">
        <f>'2023'!H134</f>
        <v>7583.8</v>
      </c>
      <c r="I132" s="26">
        <f>'2023'!I134</f>
        <v>7604.8670000000002</v>
      </c>
      <c r="J132" s="26">
        <f>'2023'!J134</f>
        <v>6918.6569999999992</v>
      </c>
      <c r="K132" s="26">
        <f>'2023'!K134</f>
        <v>7862.9030000000002</v>
      </c>
      <c r="L132" s="26">
        <f t="shared" si="31"/>
        <v>29970.226999999999</v>
      </c>
      <c r="M132" s="38">
        <v>139.01</v>
      </c>
      <c r="N132" s="27">
        <v>150.13</v>
      </c>
      <c r="O132" s="38">
        <v>44.65</v>
      </c>
      <c r="P132" s="27">
        <v>46.43</v>
      </c>
      <c r="Q132" s="27">
        <f t="shared" si="55"/>
        <v>715607.3679999999</v>
      </c>
      <c r="R132" s="27">
        <f t="shared" si="56"/>
        <v>717595.25011999987</v>
      </c>
      <c r="S132" s="27">
        <f t="shared" si="57"/>
        <v>717464.73089999985</v>
      </c>
      <c r="T132" s="27">
        <f t="shared" si="58"/>
        <v>815383.04109999991</v>
      </c>
      <c r="U132" s="27">
        <f t="shared" si="32"/>
        <v>2966050.3901199996</v>
      </c>
      <c r="V132" s="119"/>
      <c r="W132" s="119"/>
      <c r="X132" s="119"/>
      <c r="Y132" s="29">
        <f t="shared" si="53"/>
        <v>107.9994245018344</v>
      </c>
      <c r="Z132" s="30">
        <f t="shared" si="54"/>
        <v>103.98656215005599</v>
      </c>
      <c r="AA132" s="2"/>
      <c r="AD132" s="32">
        <f t="shared" si="36"/>
        <v>1.3437849944011759E-2</v>
      </c>
    </row>
    <row r="133" spans="1:30" s="40" customFormat="1" ht="49.5" customHeight="1">
      <c r="A133" s="33">
        <v>2921128103</v>
      </c>
      <c r="B133" s="34" t="s">
        <v>183</v>
      </c>
      <c r="C133" s="35" t="s">
        <v>170</v>
      </c>
      <c r="D133" s="33" t="s">
        <v>285</v>
      </c>
      <c r="E133" s="33" t="s">
        <v>356</v>
      </c>
      <c r="F133" s="36" t="s">
        <v>21</v>
      </c>
      <c r="G133" s="36"/>
      <c r="H133" s="26">
        <f>'2023'!H135</f>
        <v>565.79999999999995</v>
      </c>
      <c r="I133" s="26">
        <f>'2023'!I135</f>
        <v>666.4</v>
      </c>
      <c r="J133" s="26">
        <f>'2023'!J135</f>
        <v>687</v>
      </c>
      <c r="K133" s="26">
        <f>'2023'!K135</f>
        <v>566</v>
      </c>
      <c r="L133" s="26">
        <f t="shared" si="31"/>
        <v>2485.1999999999998</v>
      </c>
      <c r="M133" s="38">
        <v>612.23</v>
      </c>
      <c r="N133" s="27">
        <v>661.21</v>
      </c>
      <c r="O133" s="38">
        <v>44.65</v>
      </c>
      <c r="P133" s="27">
        <v>46.43</v>
      </c>
      <c r="Q133" s="27">
        <f t="shared" si="55"/>
        <v>321136.76400000002</v>
      </c>
      <c r="R133" s="27">
        <f t="shared" si="56"/>
        <v>378235.31200000003</v>
      </c>
      <c r="S133" s="27">
        <f t="shared" si="57"/>
        <v>422353.86000000004</v>
      </c>
      <c r="T133" s="27">
        <f t="shared" si="58"/>
        <v>347965.48000000004</v>
      </c>
      <c r="U133" s="27">
        <f t="shared" si="32"/>
        <v>1469691.4160000002</v>
      </c>
      <c r="V133" s="119"/>
      <c r="W133" s="119"/>
      <c r="X133" s="119"/>
      <c r="Y133" s="29">
        <f t="shared" si="53"/>
        <v>108.0002613396926</v>
      </c>
      <c r="Z133" s="30">
        <f t="shared" si="54"/>
        <v>103.98656215005599</v>
      </c>
      <c r="AA133" s="2"/>
      <c r="AD133" s="32">
        <f t="shared" si="36"/>
        <v>1.3437849944011759E-2</v>
      </c>
    </row>
    <row r="134" spans="1:30" s="40" customFormat="1" ht="49.5" customHeight="1">
      <c r="A134" s="33">
        <v>2921128103</v>
      </c>
      <c r="B134" s="34" t="s">
        <v>183</v>
      </c>
      <c r="C134" s="35" t="s">
        <v>170</v>
      </c>
      <c r="D134" s="33" t="s">
        <v>285</v>
      </c>
      <c r="E134" s="33" t="s">
        <v>357</v>
      </c>
      <c r="F134" s="36" t="s">
        <v>21</v>
      </c>
      <c r="G134" s="36"/>
      <c r="H134" s="26">
        <f>'2023'!H136</f>
        <v>4891.8980000000001</v>
      </c>
      <c r="I134" s="26">
        <f>'2023'!I136</f>
        <v>5373.3389999999999</v>
      </c>
      <c r="J134" s="26">
        <f>'2023'!J136</f>
        <v>5595.277</v>
      </c>
      <c r="K134" s="26">
        <f>'2023'!K136</f>
        <v>4572.5379999999996</v>
      </c>
      <c r="L134" s="26">
        <f t="shared" si="31"/>
        <v>20433.052</v>
      </c>
      <c r="M134" s="38">
        <v>163.13999999999999</v>
      </c>
      <c r="N134" s="27">
        <v>176.19</v>
      </c>
      <c r="O134" s="38">
        <v>38.94</v>
      </c>
      <c r="P134" s="27">
        <v>40.5</v>
      </c>
      <c r="Q134" s="27">
        <f t="shared" si="55"/>
        <v>607573.73159999994</v>
      </c>
      <c r="R134" s="27">
        <f t="shared" si="56"/>
        <v>667368.7037999999</v>
      </c>
      <c r="S134" s="27">
        <f t="shared" si="57"/>
        <v>759223.13613</v>
      </c>
      <c r="T134" s="27">
        <f t="shared" si="58"/>
        <v>620447.68121999991</v>
      </c>
      <c r="U134" s="27">
        <f t="shared" si="32"/>
        <v>2654613.25275</v>
      </c>
      <c r="V134" s="119"/>
      <c r="W134" s="119"/>
      <c r="X134" s="119"/>
      <c r="Y134" s="29">
        <f t="shared" si="53"/>
        <v>107.99926443545422</v>
      </c>
      <c r="Z134" s="30">
        <f t="shared" si="54"/>
        <v>104.00616332819723</v>
      </c>
      <c r="AA134" s="2"/>
      <c r="AD134" s="32">
        <f t="shared" si="36"/>
        <v>-6.1633281972319764E-3</v>
      </c>
    </row>
    <row r="135" spans="1:30" s="40" customFormat="1" ht="49.5" customHeight="1">
      <c r="A135" s="33">
        <v>2921128103</v>
      </c>
      <c r="B135" s="34" t="s">
        <v>183</v>
      </c>
      <c r="C135" s="35" t="s">
        <v>170</v>
      </c>
      <c r="D135" s="33" t="s">
        <v>187</v>
      </c>
      <c r="E135" s="33"/>
      <c r="F135" s="36" t="s">
        <v>21</v>
      </c>
      <c r="G135" s="36"/>
      <c r="H135" s="26">
        <f>'2023'!H137</f>
        <v>9995.17</v>
      </c>
      <c r="I135" s="26">
        <f>'2023'!I137</f>
        <v>10826.48</v>
      </c>
      <c r="J135" s="26">
        <f>'2023'!J137</f>
        <v>10965.89</v>
      </c>
      <c r="K135" s="26">
        <f>'2023'!K137</f>
        <v>10476</v>
      </c>
      <c r="L135" s="26">
        <f t="shared" si="31"/>
        <v>42263.54</v>
      </c>
      <c r="M135" s="38">
        <v>89.63</v>
      </c>
      <c r="N135" s="27">
        <v>97.9</v>
      </c>
      <c r="O135" s="38">
        <v>24.88</v>
      </c>
      <c r="P135" s="27">
        <v>25.87</v>
      </c>
      <c r="Q135" s="27">
        <f t="shared" si="55"/>
        <v>647187.25749999995</v>
      </c>
      <c r="R135" s="27">
        <f t="shared" si="56"/>
        <v>701014.58</v>
      </c>
      <c r="S135" s="27">
        <f t="shared" si="57"/>
        <v>789873.05669999996</v>
      </c>
      <c r="T135" s="27">
        <f t="shared" si="58"/>
        <v>754586.28</v>
      </c>
      <c r="U135" s="27">
        <f t="shared" si="32"/>
        <v>2892661.1742000002</v>
      </c>
      <c r="V135" s="119"/>
      <c r="W135" s="119"/>
      <c r="X135" s="119"/>
      <c r="Y135" s="29">
        <f t="shared" si="53"/>
        <v>109.22682137677117</v>
      </c>
      <c r="Z135" s="30">
        <f t="shared" si="54"/>
        <v>103.97909967845661</v>
      </c>
      <c r="AA135" s="2"/>
      <c r="AD135" s="32">
        <f t="shared" si="36"/>
        <v>2.0900321543393829E-2</v>
      </c>
    </row>
    <row r="136" spans="1:30" s="40" customFormat="1" ht="51" customHeight="1">
      <c r="A136" s="33">
        <v>2921127533</v>
      </c>
      <c r="B136" s="34" t="s">
        <v>186</v>
      </c>
      <c r="C136" s="35" t="s">
        <v>170</v>
      </c>
      <c r="D136" s="33" t="s">
        <v>187</v>
      </c>
      <c r="E136" s="33"/>
      <c r="F136" s="36" t="s">
        <v>21</v>
      </c>
      <c r="G136" s="36"/>
      <c r="H136" s="26">
        <f>'2023'!H138</f>
        <v>3859.3220000000001</v>
      </c>
      <c r="I136" s="26">
        <f>'2023'!I138</f>
        <v>3910.192</v>
      </c>
      <c r="J136" s="26">
        <f>'2023'!J138</f>
        <v>3271.0010000000002</v>
      </c>
      <c r="K136" s="26">
        <f>'2023'!K138</f>
        <v>3793.761</v>
      </c>
      <c r="L136" s="26">
        <f t="shared" si="31"/>
        <v>14834.276</v>
      </c>
      <c r="M136" s="38">
        <v>439.48</v>
      </c>
      <c r="N136" s="27">
        <v>474.64</v>
      </c>
      <c r="O136" s="38">
        <v>32.880000000000003</v>
      </c>
      <c r="P136" s="27">
        <v>34.200000000000003</v>
      </c>
      <c r="Q136" s="27">
        <f t="shared" si="55"/>
        <v>1569200.3252000001</v>
      </c>
      <c r="R136" s="27">
        <f t="shared" si="56"/>
        <v>1589884.0672000002</v>
      </c>
      <c r="S136" s="27">
        <f t="shared" si="57"/>
        <v>1440679.68044</v>
      </c>
      <c r="T136" s="27">
        <f t="shared" si="58"/>
        <v>1670924.0948399999</v>
      </c>
      <c r="U136" s="27">
        <f t="shared" si="32"/>
        <v>6270688.1676800009</v>
      </c>
      <c r="V136" s="119"/>
      <c r="W136" s="119"/>
      <c r="X136" s="119"/>
      <c r="Y136" s="29">
        <f t="shared" si="53"/>
        <v>108.00036406662419</v>
      </c>
      <c r="Z136" s="30">
        <f t="shared" si="54"/>
        <v>104.01459854014598</v>
      </c>
      <c r="AA136" s="2"/>
      <c r="AD136" s="32">
        <f t="shared" si="36"/>
        <v>-1.4598540145982497E-2</v>
      </c>
    </row>
    <row r="137" spans="1:30" s="40" customFormat="1" ht="51" customHeight="1">
      <c r="A137" s="33">
        <v>2921127290</v>
      </c>
      <c r="B137" s="34" t="s">
        <v>169</v>
      </c>
      <c r="C137" s="35" t="s">
        <v>170</v>
      </c>
      <c r="D137" s="33" t="s">
        <v>358</v>
      </c>
      <c r="E137" s="33" t="s">
        <v>359</v>
      </c>
      <c r="F137" s="36" t="s">
        <v>21</v>
      </c>
      <c r="G137" s="36"/>
      <c r="H137" s="26">
        <f>'2023'!H139</f>
        <v>873</v>
      </c>
      <c r="I137" s="26">
        <f>'2023'!I139</f>
        <v>842</v>
      </c>
      <c r="J137" s="26">
        <f>'2023'!J139</f>
        <v>842</v>
      </c>
      <c r="K137" s="26">
        <f>'2023'!K139</f>
        <v>869</v>
      </c>
      <c r="L137" s="26">
        <f t="shared" si="31"/>
        <v>3426</v>
      </c>
      <c r="M137" s="38">
        <f>'2024'!N137</f>
        <v>440.06525870321082</v>
      </c>
      <c r="N137" s="27">
        <v>475.27047939946772</v>
      </c>
      <c r="O137" s="38">
        <f>'2024'!P137</f>
        <v>29.527680000000004</v>
      </c>
      <c r="P137" s="27">
        <v>30.708787200000003</v>
      </c>
      <c r="Q137" s="27">
        <f t="shared" si="55"/>
        <v>358399.30620790302</v>
      </c>
      <c r="R137" s="27">
        <f t="shared" si="56"/>
        <v>345672.6412681035</v>
      </c>
      <c r="S137" s="27">
        <f t="shared" si="57"/>
        <v>374320.94483195181</v>
      </c>
      <c r="T137" s="27">
        <f t="shared" si="58"/>
        <v>386324.11052133742</v>
      </c>
      <c r="U137" s="27">
        <f t="shared" si="32"/>
        <v>1464717.0028292958</v>
      </c>
      <c r="V137" s="119"/>
      <c r="W137" s="119"/>
      <c r="X137" s="119"/>
      <c r="Y137" s="29">
        <f t="shared" si="53"/>
        <v>108</v>
      </c>
      <c r="Z137" s="30">
        <f t="shared" si="54"/>
        <v>104</v>
      </c>
      <c r="AA137" s="2"/>
      <c r="AD137" s="32">
        <f t="shared" si="36"/>
        <v>0</v>
      </c>
    </row>
    <row r="138" spans="1:30" s="49" customFormat="1" ht="51" customHeight="1">
      <c r="A138" s="50">
        <v>2921127290</v>
      </c>
      <c r="B138" s="51" t="s">
        <v>169</v>
      </c>
      <c r="C138" s="52" t="s">
        <v>170</v>
      </c>
      <c r="D138" s="50" t="s">
        <v>358</v>
      </c>
      <c r="E138" s="50" t="s">
        <v>360</v>
      </c>
      <c r="F138" s="46" t="s">
        <v>21</v>
      </c>
      <c r="G138" s="46"/>
      <c r="H138" s="26">
        <f>'2023'!H140</f>
        <v>4661</v>
      </c>
      <c r="I138" s="26">
        <f>'2023'!I140</f>
        <v>4585</v>
      </c>
      <c r="J138" s="26">
        <f>'2023'!J140</f>
        <v>4688</v>
      </c>
      <c r="K138" s="26">
        <f>'2023'!K140</f>
        <v>4670</v>
      </c>
      <c r="L138" s="26">
        <f t="shared" si="31"/>
        <v>18604</v>
      </c>
      <c r="M138" s="38">
        <f>'2024'!N138</f>
        <v>216.46116061351103</v>
      </c>
      <c r="N138" s="27">
        <v>233.77805346259191</v>
      </c>
      <c r="O138" s="38">
        <f>'2024'!P138</f>
        <v>39.378330368000007</v>
      </c>
      <c r="P138" s="27">
        <v>40.953463582720012</v>
      </c>
      <c r="Q138" s="27">
        <f t="shared" si="55"/>
        <v>825383.07177432685</v>
      </c>
      <c r="R138" s="27">
        <f t="shared" si="56"/>
        <v>811924.77667566808</v>
      </c>
      <c r="S138" s="27">
        <f t="shared" si="57"/>
        <v>903961.67735683941</v>
      </c>
      <c r="T138" s="27">
        <f t="shared" si="58"/>
        <v>900490.8347390017</v>
      </c>
      <c r="U138" s="27">
        <f t="shared" si="32"/>
        <v>3441760.3605458355</v>
      </c>
      <c r="V138" s="123"/>
      <c r="W138" s="123"/>
      <c r="X138" s="123"/>
      <c r="Y138" s="43">
        <f t="shared" si="53"/>
        <v>108</v>
      </c>
      <c r="Z138" s="44">
        <f t="shared" si="54"/>
        <v>104</v>
      </c>
      <c r="AA138" s="48"/>
      <c r="AD138" s="32">
        <f t="shared" si="36"/>
        <v>0</v>
      </c>
    </row>
    <row r="139" spans="1:30" s="40" customFormat="1" ht="51" customHeight="1">
      <c r="A139" s="33">
        <v>2921127290</v>
      </c>
      <c r="B139" s="34" t="s">
        <v>169</v>
      </c>
      <c r="C139" s="35" t="s">
        <v>170</v>
      </c>
      <c r="D139" s="33" t="s">
        <v>358</v>
      </c>
      <c r="E139" s="33" t="s">
        <v>361</v>
      </c>
      <c r="F139" s="36" t="s">
        <v>21</v>
      </c>
      <c r="G139" s="36"/>
      <c r="H139" s="26">
        <f>'2023'!H141</f>
        <v>3375</v>
      </c>
      <c r="I139" s="26">
        <f>'2023'!I141</f>
        <v>3280</v>
      </c>
      <c r="J139" s="26">
        <f>'2023'!J141</f>
        <v>3390</v>
      </c>
      <c r="K139" s="26">
        <f>'2023'!K141</f>
        <v>3320</v>
      </c>
      <c r="L139" s="26">
        <f t="shared" ref="L139:L201" si="59">H139+I139+J139+K139</f>
        <v>13365</v>
      </c>
      <c r="M139" s="38">
        <f>'2024'!N139</f>
        <v>107.6712</v>
      </c>
      <c r="N139" s="27">
        <v>107.6712</v>
      </c>
      <c r="O139" s="38">
        <f>'2024'!P139</f>
        <v>29.527680000000004</v>
      </c>
      <c r="P139" s="27">
        <v>30.708787200000003</v>
      </c>
      <c r="Q139" s="27">
        <f t="shared" si="55"/>
        <v>263734.38</v>
      </c>
      <c r="R139" s="27">
        <f t="shared" si="56"/>
        <v>256310.74559999999</v>
      </c>
      <c r="S139" s="27">
        <f t="shared" si="57"/>
        <v>260902.57939199999</v>
      </c>
      <c r="T139" s="27">
        <f t="shared" si="58"/>
        <v>255515.21049599999</v>
      </c>
      <c r="U139" s="27">
        <f t="shared" ref="U139:U201" si="60">Q139+R139+S139+T139</f>
        <v>1036462.915488</v>
      </c>
      <c r="V139" s="119"/>
      <c r="W139" s="119"/>
      <c r="X139" s="119"/>
      <c r="Y139" s="29">
        <f t="shared" si="53"/>
        <v>100</v>
      </c>
      <c r="Z139" s="30">
        <f t="shared" si="54"/>
        <v>104</v>
      </c>
      <c r="AA139" s="2"/>
      <c r="AD139" s="32">
        <f t="shared" si="36"/>
        <v>0</v>
      </c>
    </row>
    <row r="140" spans="1:30" s="40" customFormat="1" ht="51" customHeight="1">
      <c r="A140" s="33">
        <v>2901291983</v>
      </c>
      <c r="B140" s="34" t="s">
        <v>177</v>
      </c>
      <c r="C140" s="35" t="s">
        <v>170</v>
      </c>
      <c r="D140" s="33" t="s">
        <v>362</v>
      </c>
      <c r="E140" s="33" t="s">
        <v>363</v>
      </c>
      <c r="F140" s="36" t="s">
        <v>21</v>
      </c>
      <c r="G140" s="36"/>
      <c r="H140" s="26">
        <f>'2023'!H142</f>
        <v>52382.455000000002</v>
      </c>
      <c r="I140" s="26">
        <f>'2023'!I142</f>
        <v>52182.01</v>
      </c>
      <c r="J140" s="26">
        <f>'2023'!J142</f>
        <v>49284.84</v>
      </c>
      <c r="K140" s="26">
        <f>'2023'!K142</f>
        <v>50483.11</v>
      </c>
      <c r="L140" s="26">
        <f t="shared" si="59"/>
        <v>204332.41499999998</v>
      </c>
      <c r="M140" s="38">
        <f>'2024'!N140</f>
        <v>59.340065922800015</v>
      </c>
      <c r="N140" s="27">
        <v>64.087271196624016</v>
      </c>
      <c r="O140" s="38">
        <v>34.005504000000002</v>
      </c>
      <c r="P140" s="27">
        <f>O140*1.04</f>
        <v>35.365724160000006</v>
      </c>
      <c r="Q140" s="27">
        <f t="shared" si="55"/>
        <v>1327086.5498657853</v>
      </c>
      <c r="R140" s="27">
        <f t="shared" si="56"/>
        <v>1322008.3636011695</v>
      </c>
      <c r="S140" s="27">
        <f t="shared" si="57"/>
        <v>1415536.8502524884</v>
      </c>
      <c r="T140" s="27">
        <f t="shared" si="58"/>
        <v>1449953.0184200639</v>
      </c>
      <c r="U140" s="27">
        <f t="shared" si="60"/>
        <v>5514584.7821395071</v>
      </c>
      <c r="V140" s="119"/>
      <c r="W140" s="119"/>
      <c r="X140" s="119"/>
      <c r="Y140" s="29">
        <f t="shared" si="53"/>
        <v>108</v>
      </c>
      <c r="Z140" s="30">
        <f t="shared" si="54"/>
        <v>104</v>
      </c>
      <c r="AA140" s="2"/>
      <c r="AD140" s="32">
        <f t="shared" si="36"/>
        <v>0</v>
      </c>
    </row>
    <row r="141" spans="1:30" s="40" customFormat="1" ht="201.75" customHeight="1">
      <c r="A141" s="33">
        <v>2901294173</v>
      </c>
      <c r="B141" s="34" t="s">
        <v>179</v>
      </c>
      <c r="C141" s="35" t="s">
        <v>170</v>
      </c>
      <c r="D141" s="33" t="s">
        <v>180</v>
      </c>
      <c r="E141" s="33" t="s">
        <v>364</v>
      </c>
      <c r="F141" s="36" t="s">
        <v>21</v>
      </c>
      <c r="G141" s="36"/>
      <c r="H141" s="26">
        <f>'2023'!H143</f>
        <v>36407.534</v>
      </c>
      <c r="I141" s="26">
        <f>'2023'!I143</f>
        <v>37106.838000000003</v>
      </c>
      <c r="J141" s="26">
        <f>'2023'!J143</f>
        <v>35130.641000000003</v>
      </c>
      <c r="K141" s="26">
        <f>'2023'!K143</f>
        <v>35574.851000000002</v>
      </c>
      <c r="L141" s="26">
        <f t="shared" si="59"/>
        <v>144219.864</v>
      </c>
      <c r="M141" s="38">
        <v>168</v>
      </c>
      <c r="N141" s="27">
        <v>181.44</v>
      </c>
      <c r="O141" s="38">
        <v>41.47</v>
      </c>
      <c r="P141" s="27">
        <v>43.13</v>
      </c>
      <c r="Q141" s="27">
        <f t="shared" si="55"/>
        <v>4606645.2770199999</v>
      </c>
      <c r="R141" s="27">
        <f t="shared" si="56"/>
        <v>4695128.2121400004</v>
      </c>
      <c r="S141" s="27">
        <f t="shared" si="57"/>
        <v>4858918.9567100005</v>
      </c>
      <c r="T141" s="27">
        <f t="shared" si="58"/>
        <v>4920357.6418100009</v>
      </c>
      <c r="U141" s="27">
        <f t="shared" si="60"/>
        <v>19081050.087680001</v>
      </c>
      <c r="V141" s="119"/>
      <c r="W141" s="119"/>
      <c r="X141" s="119"/>
      <c r="Y141" s="29">
        <f t="shared" si="53"/>
        <v>108</v>
      </c>
      <c r="Z141" s="30">
        <f t="shared" si="54"/>
        <v>104.00289365806607</v>
      </c>
      <c r="AA141" s="2"/>
      <c r="AD141" s="32">
        <f t="shared" si="36"/>
        <v>-2.8936580660712252E-3</v>
      </c>
    </row>
    <row r="142" spans="1:30" s="40" customFormat="1" ht="51" customHeight="1">
      <c r="A142" s="33">
        <v>2901294173</v>
      </c>
      <c r="B142" s="34" t="s">
        <v>179</v>
      </c>
      <c r="C142" s="35" t="s">
        <v>170</v>
      </c>
      <c r="D142" s="33" t="s">
        <v>362</v>
      </c>
      <c r="E142" s="33" t="s">
        <v>365</v>
      </c>
      <c r="F142" s="36" t="s">
        <v>21</v>
      </c>
      <c r="G142" s="36" t="s">
        <v>397</v>
      </c>
      <c r="H142" s="26">
        <f>'2023'!H144</f>
        <v>3516.5899999999997</v>
      </c>
      <c r="I142" s="26">
        <f>'2023'!I144</f>
        <v>3068.74</v>
      </c>
      <c r="J142" s="26">
        <f>'2023'!J144</f>
        <v>3090.5</v>
      </c>
      <c r="K142" s="26">
        <f>'2023'!K144</f>
        <v>3044.52</v>
      </c>
      <c r="L142" s="26">
        <f t="shared" si="59"/>
        <v>12720.35</v>
      </c>
      <c r="M142" s="38">
        <f>'2024'!N142</f>
        <v>255.5397000000001</v>
      </c>
      <c r="N142" s="27">
        <v>275.98287600000009</v>
      </c>
      <c r="O142" s="38">
        <v>35.433216000000002</v>
      </c>
      <c r="P142" s="27">
        <f>O142*1.04</f>
        <v>36.850544640000003</v>
      </c>
      <c r="Q142" s="27">
        <f t="shared" si="55"/>
        <v>774024.26056956023</v>
      </c>
      <c r="R142" s="27">
        <f t="shared" si="56"/>
        <v>675449.57171016023</v>
      </c>
      <c r="S142" s="27">
        <f t="shared" si="57"/>
        <v>739038.47006808023</v>
      </c>
      <c r="T142" s="27">
        <f t="shared" si="58"/>
        <v>728043.1654721474</v>
      </c>
      <c r="U142" s="27">
        <f t="shared" si="60"/>
        <v>2916555.4678199482</v>
      </c>
      <c r="V142" s="119"/>
      <c r="W142" s="119"/>
      <c r="X142" s="119"/>
      <c r="Y142" s="29">
        <f t="shared" si="53"/>
        <v>107.99999999999999</v>
      </c>
      <c r="Z142" s="30">
        <f t="shared" si="54"/>
        <v>104</v>
      </c>
      <c r="AA142" s="2"/>
      <c r="AD142" s="32">
        <f t="shared" si="36"/>
        <v>0</v>
      </c>
    </row>
    <row r="143" spans="1:30" s="40" customFormat="1" ht="51" customHeight="1">
      <c r="A143" s="33">
        <v>2901243725</v>
      </c>
      <c r="B143" s="34" t="s">
        <v>65</v>
      </c>
      <c r="C143" s="35" t="s">
        <v>170</v>
      </c>
      <c r="D143" s="33" t="s">
        <v>358</v>
      </c>
      <c r="E143" s="33" t="s">
        <v>366</v>
      </c>
      <c r="F143" s="36" t="s">
        <v>21</v>
      </c>
      <c r="G143" s="36" t="s">
        <v>403</v>
      </c>
      <c r="H143" s="26">
        <f>'2023'!H145</f>
        <v>3996</v>
      </c>
      <c r="I143" s="26">
        <f>'2023'!I145</f>
        <v>3897</v>
      </c>
      <c r="J143" s="26">
        <f>'2023'!J145</f>
        <v>3659.8490000000002</v>
      </c>
      <c r="K143" s="26">
        <f>'2023'!K145</f>
        <v>2193.3049999999998</v>
      </c>
      <c r="L143" s="26">
        <f t="shared" si="59"/>
        <v>13746.154</v>
      </c>
      <c r="M143" s="38">
        <v>361.20540966334778</v>
      </c>
      <c r="N143" s="27">
        <v>390.10184243641567</v>
      </c>
      <c r="O143" s="38">
        <f>'2024'!P143</f>
        <v>31.366400000000002</v>
      </c>
      <c r="P143" s="27">
        <f>O143*1.04</f>
        <v>32.621056000000003</v>
      </c>
      <c r="Q143" s="27">
        <f t="shared" si="55"/>
        <v>1318036.6826147377</v>
      </c>
      <c r="R143" s="27">
        <f t="shared" si="56"/>
        <v>1285382.6206580664</v>
      </c>
      <c r="S143" s="27">
        <f t="shared" si="57"/>
        <v>1308325.6987585295</v>
      </c>
      <c r="T143" s="27">
        <f t="shared" si="58"/>
        <v>784064.39629492257</v>
      </c>
      <c r="U143" s="27">
        <f t="shared" si="60"/>
        <v>4695809.3983262563</v>
      </c>
      <c r="V143" s="119"/>
      <c r="W143" s="119"/>
      <c r="X143" s="119"/>
      <c r="Y143" s="29">
        <f t="shared" si="53"/>
        <v>108</v>
      </c>
      <c r="Z143" s="30">
        <f t="shared" si="54"/>
        <v>104</v>
      </c>
      <c r="AA143" s="2"/>
      <c r="AD143" s="32">
        <f t="shared" si="36"/>
        <v>0</v>
      </c>
    </row>
    <row r="144" spans="1:30" s="40" customFormat="1" ht="51" customHeight="1">
      <c r="A144" s="33">
        <v>2901179251</v>
      </c>
      <c r="B144" s="34" t="s">
        <v>192</v>
      </c>
      <c r="C144" s="35" t="s">
        <v>170</v>
      </c>
      <c r="D144" s="33" t="s">
        <v>193</v>
      </c>
      <c r="E144" s="33"/>
      <c r="F144" s="36" t="s">
        <v>21</v>
      </c>
      <c r="G144" s="36"/>
      <c r="H144" s="26">
        <f>'2023'!H146</f>
        <v>6578.2279999999992</v>
      </c>
      <c r="I144" s="26">
        <f>'2023'!I146</f>
        <v>6731.1720000000005</v>
      </c>
      <c r="J144" s="26">
        <f>'2023'!J146</f>
        <v>9393.8189999999995</v>
      </c>
      <c r="K144" s="26">
        <f>'2023'!K146</f>
        <v>6261.2699999999995</v>
      </c>
      <c r="L144" s="26">
        <f t="shared" si="59"/>
        <v>28964.488999999998</v>
      </c>
      <c r="M144" s="38">
        <f>'2024'!N144</f>
        <v>210.58220000000003</v>
      </c>
      <c r="N144" s="27">
        <v>227.42877600000006</v>
      </c>
      <c r="O144" s="38">
        <v>57.861576448000008</v>
      </c>
      <c r="P144" s="27">
        <f>O144*1.04</f>
        <v>60.176039505920009</v>
      </c>
      <c r="Q144" s="27">
        <f t="shared" si="55"/>
        <v>1004631.0820272258</v>
      </c>
      <c r="R144" s="27">
        <f t="shared" si="56"/>
        <v>1027988.785075763</v>
      </c>
      <c r="S144" s="27">
        <f t="shared" si="57"/>
        <v>1571141.9338800823</v>
      </c>
      <c r="T144" s="27">
        <f t="shared" si="58"/>
        <v>1047214.5414282884</v>
      </c>
      <c r="U144" s="27">
        <f t="shared" si="60"/>
        <v>4650976.3424113598</v>
      </c>
      <c r="V144" s="119"/>
      <c r="W144" s="119"/>
      <c r="X144" s="119"/>
      <c r="Y144" s="29">
        <f t="shared" si="53"/>
        <v>108</v>
      </c>
      <c r="Z144" s="30">
        <f t="shared" si="54"/>
        <v>104</v>
      </c>
      <c r="AA144" s="2"/>
      <c r="AD144" s="32">
        <f t="shared" si="36"/>
        <v>0</v>
      </c>
    </row>
    <row r="145" spans="1:30" s="40" customFormat="1" ht="119.25" customHeight="1">
      <c r="A145" s="33">
        <v>2901295850</v>
      </c>
      <c r="B145" s="34" t="s">
        <v>184</v>
      </c>
      <c r="C145" s="35" t="s">
        <v>170</v>
      </c>
      <c r="D145" s="33" t="s">
        <v>351</v>
      </c>
      <c r="E145" s="33" t="s">
        <v>367</v>
      </c>
      <c r="F145" s="36" t="s">
        <v>21</v>
      </c>
      <c r="G145" s="36"/>
      <c r="H145" s="26">
        <f>'2023'!H147</f>
        <v>2876.2660000000001</v>
      </c>
      <c r="I145" s="26">
        <f>'2023'!I147</f>
        <v>2188.9100000000003</v>
      </c>
      <c r="J145" s="26">
        <f>'2023'!J147</f>
        <v>2392.84</v>
      </c>
      <c r="K145" s="26">
        <f>'2023'!K147</f>
        <v>2127.4760000000001</v>
      </c>
      <c r="L145" s="26">
        <f t="shared" si="59"/>
        <v>9585.4920000000002</v>
      </c>
      <c r="M145" s="38">
        <v>144.25</v>
      </c>
      <c r="N145" s="27">
        <v>163.79</v>
      </c>
      <c r="O145" s="38">
        <v>29.53</v>
      </c>
      <c r="P145" s="27">
        <v>30.71</v>
      </c>
      <c r="Q145" s="27">
        <f t="shared" si="55"/>
        <v>329965.23551999999</v>
      </c>
      <c r="R145" s="27">
        <f t="shared" si="56"/>
        <v>251111.75520000004</v>
      </c>
      <c r="S145" s="27">
        <f t="shared" si="57"/>
        <v>318439.14720000001</v>
      </c>
      <c r="T145" s="27">
        <f t="shared" si="58"/>
        <v>283124.50607999996</v>
      </c>
      <c r="U145" s="27">
        <f t="shared" si="60"/>
        <v>1182640.6439999999</v>
      </c>
      <c r="V145" s="119"/>
      <c r="W145" s="119"/>
      <c r="X145" s="119"/>
      <c r="Y145" s="29">
        <f t="shared" si="53"/>
        <v>113.54592720970538</v>
      </c>
      <c r="Z145" s="30">
        <f t="shared" si="54"/>
        <v>103.99593633592956</v>
      </c>
      <c r="AA145" s="2"/>
      <c r="AD145" s="32">
        <f t="shared" si="36"/>
        <v>4.0636640704434512E-3</v>
      </c>
    </row>
    <row r="146" spans="1:30" s="40" customFormat="1" ht="51" customHeight="1">
      <c r="A146" s="33">
        <v>2901150333</v>
      </c>
      <c r="B146" s="34" t="s">
        <v>368</v>
      </c>
      <c r="C146" s="35" t="s">
        <v>170</v>
      </c>
      <c r="D146" s="33" t="s">
        <v>351</v>
      </c>
      <c r="E146" s="33" t="s">
        <v>369</v>
      </c>
      <c r="F146" s="36" t="s">
        <v>21</v>
      </c>
      <c r="G146" s="36"/>
      <c r="H146" s="26">
        <f>'2023'!H148</f>
        <v>9709.8829999999998</v>
      </c>
      <c r="I146" s="26">
        <f>'2023'!I148</f>
        <v>9969.8840000000018</v>
      </c>
      <c r="J146" s="26">
        <f>'2023'!J148</f>
        <v>10590.242</v>
      </c>
      <c r="K146" s="26">
        <f>'2023'!K148</f>
        <v>10641.885</v>
      </c>
      <c r="L146" s="26">
        <f t="shared" si="59"/>
        <v>40911.894</v>
      </c>
      <c r="M146" s="38">
        <v>169.02</v>
      </c>
      <c r="N146" s="27">
        <v>169.02</v>
      </c>
      <c r="O146" s="38">
        <v>29.53</v>
      </c>
      <c r="P146" s="27">
        <v>30.71</v>
      </c>
      <c r="Q146" s="27">
        <f t="shared" si="55"/>
        <v>1354431.5796700001</v>
      </c>
      <c r="R146" s="27">
        <f t="shared" si="56"/>
        <v>1390699.1191600002</v>
      </c>
      <c r="S146" s="27">
        <f t="shared" si="57"/>
        <v>1464736.37102</v>
      </c>
      <c r="T146" s="27">
        <f t="shared" si="58"/>
        <v>1471879.1143500002</v>
      </c>
      <c r="U146" s="27">
        <f t="shared" si="60"/>
        <v>5681746.1842</v>
      </c>
      <c r="V146" s="119"/>
      <c r="W146" s="119"/>
      <c r="X146" s="119"/>
      <c r="Y146" s="29">
        <f t="shared" si="53"/>
        <v>100</v>
      </c>
      <c r="Z146" s="30">
        <f t="shared" si="54"/>
        <v>103.99593633592956</v>
      </c>
      <c r="AA146" s="2"/>
      <c r="AD146" s="32">
        <f t="shared" si="36"/>
        <v>4.0636640704434512E-3</v>
      </c>
    </row>
    <row r="147" spans="1:30" s="40" customFormat="1" ht="51" customHeight="1">
      <c r="A147" s="33">
        <v>2903003687</v>
      </c>
      <c r="B147" s="34" t="s">
        <v>189</v>
      </c>
      <c r="C147" s="35" t="s">
        <v>170</v>
      </c>
      <c r="D147" s="33" t="s">
        <v>353</v>
      </c>
      <c r="E147" s="33" t="s">
        <v>370</v>
      </c>
      <c r="F147" s="36" t="s">
        <v>21</v>
      </c>
      <c r="G147" s="36"/>
      <c r="H147" s="26">
        <f>'2023'!H149</f>
        <v>25793.906000000003</v>
      </c>
      <c r="I147" s="26">
        <f>'2023'!I149</f>
        <v>26257.067000000003</v>
      </c>
      <c r="J147" s="26">
        <f>'2023'!J149</f>
        <v>23156.911</v>
      </c>
      <c r="K147" s="26">
        <f>'2023'!K149</f>
        <v>21390.26</v>
      </c>
      <c r="L147" s="26">
        <f t="shared" si="59"/>
        <v>96598.144</v>
      </c>
      <c r="M147" s="38">
        <v>273.7</v>
      </c>
      <c r="N147" s="27">
        <v>295.60000000000002</v>
      </c>
      <c r="O147" s="38">
        <v>36.71</v>
      </c>
      <c r="P147" s="27">
        <v>38.18</v>
      </c>
      <c r="Q147" s="27">
        <f t="shared" si="55"/>
        <v>6112897.7829400003</v>
      </c>
      <c r="R147" s="27">
        <f t="shared" si="56"/>
        <v>6222662.3083300004</v>
      </c>
      <c r="S147" s="27">
        <f t="shared" si="57"/>
        <v>5961052.0296200002</v>
      </c>
      <c r="T147" s="27">
        <f t="shared" si="58"/>
        <v>5506280.7291999999</v>
      </c>
      <c r="U147" s="27">
        <f t="shared" si="60"/>
        <v>23802892.850089997</v>
      </c>
      <c r="V147" s="119"/>
      <c r="W147" s="119"/>
      <c r="X147" s="119"/>
      <c r="Y147" s="29">
        <f t="shared" si="53"/>
        <v>108.00146145414689</v>
      </c>
      <c r="Z147" s="30">
        <f t="shared" si="54"/>
        <v>104.00435848542631</v>
      </c>
      <c r="AA147" s="2"/>
      <c r="AD147" s="32">
        <f t="shared" ref="AD147:AD212" si="61">104-Z147</f>
        <v>-4.3584854263087891E-3</v>
      </c>
    </row>
    <row r="148" spans="1:30" s="40" customFormat="1" ht="51" customHeight="1">
      <c r="A148" s="33">
        <v>2901286983</v>
      </c>
      <c r="B148" s="34" t="s">
        <v>175</v>
      </c>
      <c r="C148" s="35" t="s">
        <v>170</v>
      </c>
      <c r="D148" s="33" t="s">
        <v>371</v>
      </c>
      <c r="E148" s="33" t="s">
        <v>372</v>
      </c>
      <c r="F148" s="36" t="s">
        <v>21</v>
      </c>
      <c r="G148" s="36"/>
      <c r="H148" s="26">
        <f>'2023'!H150</f>
        <v>31123.906999999999</v>
      </c>
      <c r="I148" s="26">
        <f>'2023'!I150</f>
        <v>31495.370999999999</v>
      </c>
      <c r="J148" s="26">
        <f>'2023'!J150</f>
        <v>31703.370999999999</v>
      </c>
      <c r="K148" s="26">
        <f>'2023'!K150</f>
        <v>31819.370999999999</v>
      </c>
      <c r="L148" s="26">
        <f t="shared" si="59"/>
        <v>126142.02</v>
      </c>
      <c r="M148" s="38">
        <f>'2024'!N148</f>
        <v>173.94889370600001</v>
      </c>
      <c r="N148" s="27">
        <v>187.86480520248003</v>
      </c>
      <c r="O148" s="38">
        <v>41.883035617280001</v>
      </c>
      <c r="P148" s="27">
        <f>O148*1.04</f>
        <v>43.558357041971199</v>
      </c>
      <c r="Q148" s="27">
        <f t="shared" si="55"/>
        <v>4110405.4850285193</v>
      </c>
      <c r="R148" s="27">
        <f t="shared" si="56"/>
        <v>4159463.1969375876</v>
      </c>
      <c r="S148" s="27">
        <f t="shared" si="57"/>
        <v>4575000.863724879</v>
      </c>
      <c r="T148" s="27">
        <f t="shared" si="58"/>
        <v>4591740.4117114982</v>
      </c>
      <c r="U148" s="27">
        <f t="shared" si="60"/>
        <v>17436609.957402486</v>
      </c>
      <c r="V148" s="119"/>
      <c r="W148" s="119"/>
      <c r="X148" s="119"/>
      <c r="Y148" s="29">
        <f t="shared" si="53"/>
        <v>108</v>
      </c>
      <c r="Z148" s="30">
        <f t="shared" si="54"/>
        <v>104</v>
      </c>
      <c r="AA148" s="2"/>
      <c r="AD148" s="32">
        <f t="shared" si="61"/>
        <v>0</v>
      </c>
    </row>
    <row r="149" spans="1:30" s="40" customFormat="1" ht="51" customHeight="1">
      <c r="A149" s="33">
        <v>2901207290</v>
      </c>
      <c r="B149" s="34" t="s">
        <v>173</v>
      </c>
      <c r="C149" s="35" t="s">
        <v>170</v>
      </c>
      <c r="D149" s="33" t="s">
        <v>371</v>
      </c>
      <c r="E149" s="33" t="s">
        <v>373</v>
      </c>
      <c r="F149" s="36" t="s">
        <v>21</v>
      </c>
      <c r="G149" s="36"/>
      <c r="H149" s="26">
        <f>'2023'!H151</f>
        <v>6032.54</v>
      </c>
      <c r="I149" s="26">
        <f>'2023'!I151</f>
        <v>6058.72</v>
      </c>
      <c r="J149" s="26">
        <f>'2023'!J151</f>
        <v>5915.5599999999995</v>
      </c>
      <c r="K149" s="26">
        <f>'2023'!K151</f>
        <v>5252.75</v>
      </c>
      <c r="L149" s="26">
        <f t="shared" si="59"/>
        <v>23259.57</v>
      </c>
      <c r="M149" s="38">
        <f>'2024'!N149</f>
        <v>146.19999045999998</v>
      </c>
      <c r="N149" s="27">
        <v>157.89598969679997</v>
      </c>
      <c r="O149" s="38">
        <v>28.33792</v>
      </c>
      <c r="P149" s="27">
        <f>O149*1.04</f>
        <v>29.471436800000003</v>
      </c>
      <c r="Q149" s="27">
        <f t="shared" si="55"/>
        <v>711007.6545327683</v>
      </c>
      <c r="R149" s="27">
        <f t="shared" si="56"/>
        <v>714093.28353741113</v>
      </c>
      <c r="S149" s="27">
        <f t="shared" si="57"/>
        <v>759703.14813419408</v>
      </c>
      <c r="T149" s="27">
        <f t="shared" si="58"/>
        <v>674582.07022866607</v>
      </c>
      <c r="U149" s="27">
        <f t="shared" si="60"/>
        <v>2859386.1564330393</v>
      </c>
      <c r="V149" s="119"/>
      <c r="W149" s="119"/>
      <c r="X149" s="119"/>
      <c r="Y149" s="29">
        <f t="shared" si="53"/>
        <v>107.99999999999999</v>
      </c>
      <c r="Z149" s="30">
        <f t="shared" si="54"/>
        <v>104</v>
      </c>
      <c r="AA149" s="2"/>
      <c r="AD149" s="32">
        <f t="shared" si="61"/>
        <v>0</v>
      </c>
    </row>
    <row r="150" spans="1:30" s="40" customFormat="1" ht="15" customHeight="1">
      <c r="A150" s="33"/>
      <c r="B150" s="34"/>
      <c r="C150" s="35"/>
      <c r="D150" s="33"/>
      <c r="E150" s="33"/>
      <c r="F150" s="36"/>
      <c r="G150" s="36"/>
      <c r="H150" s="26"/>
      <c r="I150" s="26"/>
      <c r="J150" s="26"/>
      <c r="K150" s="26"/>
      <c r="L150" s="37"/>
      <c r="M150" s="41"/>
      <c r="N150" s="41"/>
      <c r="O150" s="41"/>
      <c r="P150" s="41"/>
      <c r="Q150" s="27"/>
      <c r="R150" s="27"/>
      <c r="S150" s="27"/>
      <c r="T150" s="27"/>
      <c r="U150" s="27"/>
      <c r="V150" s="119"/>
      <c r="W150" s="119"/>
      <c r="X150" s="119"/>
      <c r="Y150" s="29" t="e">
        <f t="shared" si="53"/>
        <v>#DIV/0!</v>
      </c>
      <c r="Z150" s="30" t="e">
        <f t="shared" si="54"/>
        <v>#DIV/0!</v>
      </c>
      <c r="AA150" s="2"/>
      <c r="AD150" s="32" t="e">
        <f t="shared" si="61"/>
        <v>#DIV/0!</v>
      </c>
    </row>
    <row r="151" spans="1:30" s="49" customFormat="1" ht="51" customHeight="1">
      <c r="A151" s="50">
        <v>2902060361</v>
      </c>
      <c r="B151" s="51" t="s">
        <v>198</v>
      </c>
      <c r="C151" s="52" t="s">
        <v>199</v>
      </c>
      <c r="D151" s="50"/>
      <c r="E151" s="50"/>
      <c r="F151" s="46" t="s">
        <v>21</v>
      </c>
      <c r="G151" s="46"/>
      <c r="H151" s="26">
        <f>'2023'!H153</f>
        <v>264838.96100000001</v>
      </c>
      <c r="I151" s="26">
        <f>'2023'!I153</f>
        <v>238769.79699999999</v>
      </c>
      <c r="J151" s="26">
        <f>'2023'!J153</f>
        <v>226746.56799999997</v>
      </c>
      <c r="K151" s="26">
        <f>'2023'!K153</f>
        <v>253824.57900000003</v>
      </c>
      <c r="L151" s="26">
        <f t="shared" si="59"/>
        <v>984179.90500000003</v>
      </c>
      <c r="M151" s="38">
        <f>'2024'!N151</f>
        <v>59.108860258000007</v>
      </c>
      <c r="N151" s="27">
        <v>60.526586330320015</v>
      </c>
      <c r="O151" s="38">
        <f>'2024'!P151</f>
        <v>34.362431999999998</v>
      </c>
      <c r="P151" s="27">
        <v>35.736929279999998</v>
      </c>
      <c r="Q151" s="27">
        <f>(M151-O151)*H151</f>
        <v>6553818.3483097628</v>
      </c>
      <c r="R151" s="27">
        <f>(M151-O151)*I151</f>
        <v>5908699.6516377255</v>
      </c>
      <c r="S151" s="27">
        <f>(N151-P151)*J151</f>
        <v>5620969.6580570666</v>
      </c>
      <c r="T151" s="27">
        <f>(N151-P151)*K151</f>
        <v>6292224.2643518606</v>
      </c>
      <c r="U151" s="27">
        <f t="shared" si="60"/>
        <v>24375711.922356416</v>
      </c>
      <c r="V151" s="123"/>
      <c r="W151" s="123"/>
      <c r="X151" s="123"/>
      <c r="Y151" s="43">
        <f t="shared" si="53"/>
        <v>102.39850009986978</v>
      </c>
      <c r="Z151" s="44">
        <f t="shared" si="54"/>
        <v>104</v>
      </c>
      <c r="AA151" s="48"/>
      <c r="AD151" s="32">
        <f t="shared" si="61"/>
        <v>0</v>
      </c>
    </row>
    <row r="152" spans="1:30" s="49" customFormat="1" ht="51" customHeight="1">
      <c r="A152" s="50">
        <v>2902059091</v>
      </c>
      <c r="B152" s="51" t="s">
        <v>200</v>
      </c>
      <c r="C152" s="52" t="s">
        <v>199</v>
      </c>
      <c r="D152" s="50"/>
      <c r="E152" s="50"/>
      <c r="F152" s="46" t="s">
        <v>21</v>
      </c>
      <c r="G152" s="46" t="s">
        <v>310</v>
      </c>
      <c r="H152" s="26">
        <f>'2024'!H152</f>
        <v>1465000</v>
      </c>
      <c r="I152" s="26">
        <f>'2024'!I152</f>
        <v>1465000</v>
      </c>
      <c r="J152" s="26">
        <f>'2024'!J152</f>
        <v>1465000</v>
      </c>
      <c r="K152" s="26">
        <f>'2024'!K152</f>
        <v>1465000</v>
      </c>
      <c r="L152" s="26">
        <f t="shared" si="59"/>
        <v>5860000</v>
      </c>
      <c r="M152" s="38">
        <f>'2024'!N152</f>
        <v>52.475469199676397</v>
      </c>
      <c r="N152" s="27">
        <v>56.673506735650506</v>
      </c>
      <c r="O152" s="38">
        <f>'2024'!P152</f>
        <v>34.357608626432004</v>
      </c>
      <c r="P152" s="27">
        <v>35.731912971489287</v>
      </c>
      <c r="Q152" s="27">
        <f>(M152-O152)*H152</f>
        <v>26542665.739803035</v>
      </c>
      <c r="R152" s="27">
        <f>(M152-O152)*I152</f>
        <v>26542665.739803035</v>
      </c>
      <c r="S152" s="27">
        <f>(N152-P152)*J152</f>
        <v>30679434.864496186</v>
      </c>
      <c r="T152" s="27">
        <f>(N152-P152)*K152</f>
        <v>30679434.864496186</v>
      </c>
      <c r="U152" s="27">
        <f t="shared" si="60"/>
        <v>114444201.20859845</v>
      </c>
      <c r="V152" s="123"/>
      <c r="W152" s="123"/>
      <c r="X152" s="123"/>
      <c r="Y152" s="43">
        <f t="shared" si="53"/>
        <v>107.99999999999999</v>
      </c>
      <c r="Z152" s="44">
        <f t="shared" si="54"/>
        <v>104</v>
      </c>
      <c r="AA152" s="48"/>
      <c r="AD152" s="32">
        <f t="shared" si="61"/>
        <v>0</v>
      </c>
    </row>
    <row r="153" spans="1:30" s="40" customFormat="1" ht="15" customHeight="1">
      <c r="A153" s="33"/>
      <c r="B153" s="34"/>
      <c r="C153" s="35"/>
      <c r="D153" s="33"/>
      <c r="E153" s="33"/>
      <c r="F153" s="36"/>
      <c r="G153" s="36"/>
      <c r="H153" s="26"/>
      <c r="I153" s="26"/>
      <c r="J153" s="26"/>
      <c r="K153" s="26"/>
      <c r="L153" s="37"/>
      <c r="M153" s="41"/>
      <c r="N153" s="41"/>
      <c r="O153" s="41"/>
      <c r="P153" s="41"/>
      <c r="Q153" s="27"/>
      <c r="R153" s="27"/>
      <c r="S153" s="27"/>
      <c r="T153" s="27"/>
      <c r="U153" s="27"/>
      <c r="V153" s="119"/>
      <c r="W153" s="119"/>
      <c r="X153" s="119"/>
      <c r="Y153" s="29" t="e">
        <f t="shared" si="53"/>
        <v>#DIV/0!</v>
      </c>
      <c r="Z153" s="30" t="e">
        <f t="shared" si="54"/>
        <v>#DIV/0!</v>
      </c>
      <c r="AA153" s="2"/>
      <c r="AD153" s="32" t="e">
        <f t="shared" si="61"/>
        <v>#DIV/0!</v>
      </c>
    </row>
    <row r="154" spans="1:30" s="40" customFormat="1" ht="51" customHeight="1">
      <c r="A154" s="33">
        <v>2922008546</v>
      </c>
      <c r="B154" s="34" t="s">
        <v>59</v>
      </c>
      <c r="C154" s="35" t="s">
        <v>203</v>
      </c>
      <c r="D154" s="33" t="s">
        <v>206</v>
      </c>
      <c r="E154" s="33"/>
      <c r="F154" s="36" t="s">
        <v>21</v>
      </c>
      <c r="G154" s="36"/>
      <c r="H154" s="26">
        <f>'2023'!H156</f>
        <v>1145.71</v>
      </c>
      <c r="I154" s="26">
        <f>'2023'!I156</f>
        <v>1160.22</v>
      </c>
      <c r="J154" s="26">
        <f>'2023'!J156</f>
        <v>1230.49</v>
      </c>
      <c r="K154" s="26">
        <f>'2023'!K156</f>
        <v>1019.4100000000001</v>
      </c>
      <c r="L154" s="26">
        <f t="shared" si="59"/>
        <v>4555.83</v>
      </c>
      <c r="M154" s="38">
        <f>'2024'!N154</f>
        <v>130.71</v>
      </c>
      <c r="N154" s="27">
        <v>141.16679999999999</v>
      </c>
      <c r="O154" s="38">
        <f>'2024'!P154</f>
        <v>32.448000000000008</v>
      </c>
      <c r="P154" s="27">
        <v>33.745920000000012</v>
      </c>
      <c r="Q154" s="27">
        <f t="shared" ref="Q154:Q164" si="62">(M154-O154)*H154</f>
        <v>112579.75602</v>
      </c>
      <c r="R154" s="27">
        <f t="shared" ref="R154:R164" si="63">(M154-O154)*I154</f>
        <v>114005.53764000001</v>
      </c>
      <c r="S154" s="27">
        <f t="shared" ref="S154:S164" si="64">(N154-P154)*J154</f>
        <v>132180.31863119997</v>
      </c>
      <c r="T154" s="27">
        <f t="shared" ref="T154:T164" si="65">(N154-P154)*K154</f>
        <v>109505.91928079999</v>
      </c>
      <c r="U154" s="27">
        <f t="shared" si="60"/>
        <v>468271.53157199995</v>
      </c>
      <c r="V154" s="119"/>
      <c r="W154" s="119"/>
      <c r="X154" s="119"/>
      <c r="Y154" s="29">
        <f t="shared" si="53"/>
        <v>107.99999999999999</v>
      </c>
      <c r="Z154" s="30">
        <f t="shared" si="54"/>
        <v>104</v>
      </c>
      <c r="AA154" s="2"/>
      <c r="AD154" s="32">
        <f t="shared" si="61"/>
        <v>0</v>
      </c>
    </row>
    <row r="155" spans="1:30" s="40" customFormat="1" ht="51" customHeight="1">
      <c r="A155" s="33">
        <v>2922008546</v>
      </c>
      <c r="B155" s="34" t="s">
        <v>59</v>
      </c>
      <c r="C155" s="35" t="s">
        <v>203</v>
      </c>
      <c r="D155" s="33" t="s">
        <v>205</v>
      </c>
      <c r="E155" s="33"/>
      <c r="F155" s="36" t="s">
        <v>21</v>
      </c>
      <c r="G155" s="36"/>
      <c r="H155" s="26">
        <f>'2023'!H157</f>
        <v>50973.729999999996</v>
      </c>
      <c r="I155" s="26">
        <f>'2023'!I157</f>
        <v>47848.56</v>
      </c>
      <c r="J155" s="26">
        <f>'2023'!J157</f>
        <v>49621.3</v>
      </c>
      <c r="K155" s="26">
        <f>'2023'!K157</f>
        <v>47394.26</v>
      </c>
      <c r="L155" s="26">
        <f t="shared" si="59"/>
        <v>195837.85</v>
      </c>
      <c r="M155" s="38">
        <f>'2024'!N155</f>
        <v>205.52692711180359</v>
      </c>
      <c r="N155" s="27">
        <v>221.96908128074787</v>
      </c>
      <c r="O155" s="38">
        <f>'2024'!P155</f>
        <v>41.327936000000008</v>
      </c>
      <c r="P155" s="27">
        <v>42.981053440000011</v>
      </c>
      <c r="Q155" s="27">
        <f t="shared" si="62"/>
        <v>8369835.0392054757</v>
      </c>
      <c r="R155" s="27">
        <f t="shared" si="63"/>
        <v>7856685.2781526009</v>
      </c>
      <c r="S155" s="27">
        <f t="shared" si="64"/>
        <v>8881618.6258941032</v>
      </c>
      <c r="T155" s="27">
        <f t="shared" si="65"/>
        <v>8483005.1283716429</v>
      </c>
      <c r="U155" s="27">
        <f t="shared" si="60"/>
        <v>33591144.071623825</v>
      </c>
      <c r="V155" s="119"/>
      <c r="W155" s="119"/>
      <c r="X155" s="119"/>
      <c r="Y155" s="29">
        <f t="shared" si="53"/>
        <v>108</v>
      </c>
      <c r="Z155" s="30">
        <f t="shared" si="54"/>
        <v>104</v>
      </c>
      <c r="AA155" s="2"/>
      <c r="AD155" s="32">
        <f t="shared" si="61"/>
        <v>0</v>
      </c>
    </row>
    <row r="156" spans="1:30" s="40" customFormat="1" ht="51" customHeight="1">
      <c r="A156" s="33">
        <v>2922009317</v>
      </c>
      <c r="B156" s="34" t="s">
        <v>202</v>
      </c>
      <c r="C156" s="35" t="s">
        <v>203</v>
      </c>
      <c r="D156" s="33" t="s">
        <v>204</v>
      </c>
      <c r="E156" s="33"/>
      <c r="F156" s="36" t="s">
        <v>21</v>
      </c>
      <c r="G156" s="36"/>
      <c r="H156" s="26">
        <f>'2023'!H158</f>
        <v>7418.2610000000004</v>
      </c>
      <c r="I156" s="26">
        <f>'2023'!I158</f>
        <v>7618.848</v>
      </c>
      <c r="J156" s="26">
        <f>'2023'!J158</f>
        <v>8236.2920000000013</v>
      </c>
      <c r="K156" s="26">
        <f>'2023'!K158</f>
        <v>10921.228999999999</v>
      </c>
      <c r="L156" s="26">
        <f t="shared" si="59"/>
        <v>34194.630000000005</v>
      </c>
      <c r="M156" s="38">
        <f>'2024'!M156</f>
        <v>117.1871375919453</v>
      </c>
      <c r="N156" s="27">
        <v>126.56210859930094</v>
      </c>
      <c r="O156" s="38">
        <f>'2024'!P156</f>
        <v>41.871427237120002</v>
      </c>
      <c r="P156" s="27">
        <v>43.546284326604805</v>
      </c>
      <c r="Q156" s="27">
        <f t="shared" si="62"/>
        <v>558711.59681249666</v>
      </c>
      <c r="R156" s="27">
        <f t="shared" si="63"/>
        <v>573818.94920544</v>
      </c>
      <c r="S156" s="27">
        <f t="shared" si="64"/>
        <v>683742.56933061313</v>
      </c>
      <c r="T156" s="27">
        <f t="shared" si="65"/>
        <v>906634.82750587293</v>
      </c>
      <c r="U156" s="27">
        <f t="shared" si="60"/>
        <v>2722907.9428544226</v>
      </c>
      <c r="V156" s="119"/>
      <c r="W156" s="119"/>
      <c r="X156" s="119"/>
      <c r="Y156" s="29">
        <f t="shared" si="53"/>
        <v>108</v>
      </c>
      <c r="Z156" s="30">
        <f t="shared" si="54"/>
        <v>104</v>
      </c>
      <c r="AA156" s="2"/>
      <c r="AD156" s="32">
        <f t="shared" si="61"/>
        <v>0</v>
      </c>
    </row>
    <row r="157" spans="1:30" s="40" customFormat="1" ht="51" customHeight="1">
      <c r="A157" s="33">
        <v>2922008803</v>
      </c>
      <c r="B157" s="34" t="s">
        <v>215</v>
      </c>
      <c r="C157" s="35" t="s">
        <v>203</v>
      </c>
      <c r="D157" s="33" t="s">
        <v>216</v>
      </c>
      <c r="E157" s="33"/>
      <c r="F157" s="36" t="s">
        <v>21</v>
      </c>
      <c r="G157" s="36"/>
      <c r="H157" s="26">
        <f>'2023'!H159</f>
        <v>14428.892</v>
      </c>
      <c r="I157" s="26">
        <f>'2023'!I159</f>
        <v>13844.735000000001</v>
      </c>
      <c r="J157" s="26">
        <f>'2023'!J159</f>
        <v>14243.411</v>
      </c>
      <c r="K157" s="26">
        <f>'2023'!K159</f>
        <v>13674.692000000001</v>
      </c>
      <c r="L157" s="26">
        <f t="shared" si="59"/>
        <v>56191.73</v>
      </c>
      <c r="M157" s="38">
        <f>'2024'!N157</f>
        <v>87.446668285027698</v>
      </c>
      <c r="N157" s="27">
        <v>94.442401747829933</v>
      </c>
      <c r="O157" s="38">
        <f>'2024'!P157</f>
        <v>38.937599999999996</v>
      </c>
      <c r="P157" s="27">
        <v>40.495103999999998</v>
      </c>
      <c r="Q157" s="27">
        <f t="shared" si="62"/>
        <v>699932.10730528994</v>
      </c>
      <c r="R157" s="27">
        <f t="shared" si="63"/>
        <v>671595.19550311298</v>
      </c>
      <c r="S157" s="27">
        <f t="shared" si="64"/>
        <v>768393.53416171612</v>
      </c>
      <c r="T157" s="27">
        <f t="shared" si="65"/>
        <v>737712.68093386805</v>
      </c>
      <c r="U157" s="27">
        <f t="shared" si="60"/>
        <v>2877633.5179039873</v>
      </c>
      <c r="V157" s="119"/>
      <c r="W157" s="119"/>
      <c r="X157" s="119"/>
      <c r="Y157" s="29">
        <f t="shared" si="53"/>
        <v>108.00000000000003</v>
      </c>
      <c r="Z157" s="30">
        <f t="shared" si="54"/>
        <v>104</v>
      </c>
      <c r="AA157" s="2"/>
      <c r="AD157" s="32">
        <f t="shared" si="61"/>
        <v>0</v>
      </c>
    </row>
    <row r="158" spans="1:30" s="40" customFormat="1" ht="51" customHeight="1">
      <c r="A158" s="33">
        <v>2922007704</v>
      </c>
      <c r="B158" s="34" t="s">
        <v>207</v>
      </c>
      <c r="C158" s="35" t="s">
        <v>203</v>
      </c>
      <c r="D158" s="33" t="s">
        <v>208</v>
      </c>
      <c r="E158" s="33"/>
      <c r="F158" s="36" t="s">
        <v>21</v>
      </c>
      <c r="G158" s="36"/>
      <c r="H158" s="26">
        <f>'2023'!H160</f>
        <v>4479.0739999999996</v>
      </c>
      <c r="I158" s="26">
        <f>'2023'!I160</f>
        <v>5099.4279999999999</v>
      </c>
      <c r="J158" s="26">
        <f>'2023'!J160</f>
        <v>5281.665</v>
      </c>
      <c r="K158" s="26">
        <f>'2023'!K160</f>
        <v>4613.0309999999999</v>
      </c>
      <c r="L158" s="26">
        <f t="shared" si="59"/>
        <v>19473.198</v>
      </c>
      <c r="M158" s="38">
        <f>'2024'!N158</f>
        <v>94.72</v>
      </c>
      <c r="N158" s="27">
        <v>102.29760000000002</v>
      </c>
      <c r="O158" s="38">
        <f>'2024'!P158</f>
        <v>37.856000000000002</v>
      </c>
      <c r="P158" s="27">
        <v>39.370240000000003</v>
      </c>
      <c r="Q158" s="27">
        <f t="shared" si="62"/>
        <v>254698.06393599996</v>
      </c>
      <c r="R158" s="27">
        <f t="shared" si="63"/>
        <v>289973.873792</v>
      </c>
      <c r="S158" s="27">
        <f t="shared" si="64"/>
        <v>332361.2348544001</v>
      </c>
      <c r="T158" s="27">
        <f t="shared" si="65"/>
        <v>290285.86242816004</v>
      </c>
      <c r="U158" s="27">
        <f t="shared" si="60"/>
        <v>1167319.03501056</v>
      </c>
      <c r="V158" s="119"/>
      <c r="W158" s="119"/>
      <c r="X158" s="119"/>
      <c r="Y158" s="29">
        <f t="shared" si="53"/>
        <v>108.00000000000003</v>
      </c>
      <c r="Z158" s="30">
        <f t="shared" si="54"/>
        <v>104</v>
      </c>
      <c r="AA158" s="2"/>
      <c r="AD158" s="32">
        <f>104-Z158</f>
        <v>0</v>
      </c>
    </row>
    <row r="159" spans="1:30" s="40" customFormat="1" ht="51" customHeight="1">
      <c r="A159" s="33" t="s">
        <v>209</v>
      </c>
      <c r="B159" s="34" t="s">
        <v>210</v>
      </c>
      <c r="C159" s="35" t="s">
        <v>203</v>
      </c>
      <c r="D159" s="33" t="s">
        <v>211</v>
      </c>
      <c r="E159" s="33"/>
      <c r="F159" s="36" t="s">
        <v>21</v>
      </c>
      <c r="G159" s="36" t="s">
        <v>404</v>
      </c>
      <c r="H159" s="26">
        <f>'2023'!H161</f>
        <v>2526.8650000000002</v>
      </c>
      <c r="I159" s="26">
        <f>'2023'!I161</f>
        <v>2378.44</v>
      </c>
      <c r="J159" s="26">
        <f>'2023'!J161</f>
        <v>2594.94</v>
      </c>
      <c r="K159" s="26">
        <f>'2023'!K161</f>
        <v>2317.9699999999998</v>
      </c>
      <c r="L159" s="26">
        <f t="shared" si="59"/>
        <v>9818.2150000000001</v>
      </c>
      <c r="M159" s="38">
        <f>'2024'!N159</f>
        <v>73.042000000000002</v>
      </c>
      <c r="N159" s="38">
        <v>78.88536000000002</v>
      </c>
      <c r="O159" s="38">
        <f>'2024'!P159</f>
        <v>35.638395520000003</v>
      </c>
      <c r="P159" s="27">
        <v>37.063931340800004</v>
      </c>
      <c r="Q159" s="27">
        <f t="shared" si="62"/>
        <v>94513.859034355206</v>
      </c>
      <c r="R159" s="27">
        <f t="shared" si="63"/>
        <v>88962.229039411191</v>
      </c>
      <c r="S159" s="27">
        <f t="shared" si="64"/>
        <v>108524.09808490449</v>
      </c>
      <c r="T159" s="27">
        <f t="shared" si="65"/>
        <v>96940.816989165847</v>
      </c>
      <c r="U159" s="27">
        <f t="shared" si="60"/>
        <v>388941.00314783672</v>
      </c>
      <c r="V159" s="119"/>
      <c r="W159" s="119"/>
      <c r="X159" s="119"/>
      <c r="Y159" s="29">
        <f t="shared" si="53"/>
        <v>108.00000000000003</v>
      </c>
      <c r="Z159" s="30">
        <f t="shared" si="54"/>
        <v>104</v>
      </c>
      <c r="AA159" s="2"/>
      <c r="AD159" s="32">
        <f t="shared" si="61"/>
        <v>0</v>
      </c>
    </row>
    <row r="160" spans="1:30" s="40" customFormat="1" ht="51" customHeight="1">
      <c r="A160" s="33" t="s">
        <v>209</v>
      </c>
      <c r="B160" s="34" t="s">
        <v>210</v>
      </c>
      <c r="C160" s="35" t="s">
        <v>203</v>
      </c>
      <c r="D160" s="33" t="s">
        <v>212</v>
      </c>
      <c r="E160" s="33"/>
      <c r="F160" s="36" t="s">
        <v>21</v>
      </c>
      <c r="G160" s="36" t="s">
        <v>405</v>
      </c>
      <c r="H160" s="26">
        <f>'2023'!H162</f>
        <v>696</v>
      </c>
      <c r="I160" s="26">
        <f>'2023'!I162</f>
        <v>696</v>
      </c>
      <c r="J160" s="26">
        <f>'2023'!J162</f>
        <v>485.83000000000004</v>
      </c>
      <c r="K160" s="26">
        <f>'2023'!K162</f>
        <v>492.53</v>
      </c>
      <c r="L160" s="26">
        <f t="shared" si="59"/>
        <v>2370.3599999999997</v>
      </c>
      <c r="M160" s="38">
        <f>'2024'!N160</f>
        <v>90.565000000000026</v>
      </c>
      <c r="N160" s="38">
        <v>97.810200000000037</v>
      </c>
      <c r="O160" s="38">
        <f>'2024'!P160</f>
        <v>71.343633920000002</v>
      </c>
      <c r="P160" s="27">
        <v>74.197379276800007</v>
      </c>
      <c r="Q160" s="27">
        <f t="shared" si="62"/>
        <v>13378.070791680017</v>
      </c>
      <c r="R160" s="27">
        <f t="shared" si="63"/>
        <v>13378.070791680017</v>
      </c>
      <c r="S160" s="27">
        <f t="shared" si="64"/>
        <v>11471.816691952272</v>
      </c>
      <c r="T160" s="27">
        <f t="shared" si="65"/>
        <v>11630.022590797711</v>
      </c>
      <c r="U160" s="27">
        <f t="shared" si="60"/>
        <v>49857.980866110011</v>
      </c>
      <c r="V160" s="119"/>
      <c r="W160" s="119"/>
      <c r="X160" s="119"/>
      <c r="Y160" s="29">
        <f t="shared" ref="Y160:Y183" si="66">N160/M160*100</f>
        <v>108</v>
      </c>
      <c r="Z160" s="30">
        <f t="shared" ref="Z160:Z183" si="67">P160/O160*100</f>
        <v>104</v>
      </c>
      <c r="AA160" s="2"/>
      <c r="AD160" s="32">
        <f t="shared" si="61"/>
        <v>0</v>
      </c>
    </row>
    <row r="161" spans="1:30" s="40" customFormat="1" ht="51" customHeight="1">
      <c r="A161" s="33" t="s">
        <v>209</v>
      </c>
      <c r="B161" s="34" t="s">
        <v>210</v>
      </c>
      <c r="C161" s="35" t="s">
        <v>203</v>
      </c>
      <c r="D161" s="33" t="s">
        <v>213</v>
      </c>
      <c r="E161" s="33"/>
      <c r="F161" s="36" t="s">
        <v>21</v>
      </c>
      <c r="G161" s="36" t="s">
        <v>406</v>
      </c>
      <c r="H161" s="26">
        <f>'2023'!H163</f>
        <v>539.62400000000002</v>
      </c>
      <c r="I161" s="26">
        <f>'2023'!I163</f>
        <v>783.28</v>
      </c>
      <c r="J161" s="26">
        <f>'2023'!J163</f>
        <v>780.14999999999986</v>
      </c>
      <c r="K161" s="26">
        <f>'2023'!K163</f>
        <v>754.22</v>
      </c>
      <c r="L161" s="26">
        <f t="shared" si="59"/>
        <v>2857.2740000000003</v>
      </c>
      <c r="M161" s="38">
        <f>'2024'!N161</f>
        <v>87.874600000000015</v>
      </c>
      <c r="N161" s="38">
        <v>94.904568000000012</v>
      </c>
      <c r="O161" s="38">
        <f>'2024'!P161</f>
        <v>35.638395520000003</v>
      </c>
      <c r="P161" s="27">
        <v>37.063931340800004</v>
      </c>
      <c r="Q161" s="27">
        <f t="shared" si="62"/>
        <v>28187.909606315527</v>
      </c>
      <c r="R161" s="27">
        <f t="shared" si="63"/>
        <v>40915.574245094409</v>
      </c>
      <c r="S161" s="27">
        <f t="shared" si="64"/>
        <v>45124.372689674878</v>
      </c>
      <c r="T161" s="27">
        <f t="shared" si="65"/>
        <v>43624.56498110183</v>
      </c>
      <c r="U161" s="27">
        <f t="shared" si="60"/>
        <v>157852.42152218666</v>
      </c>
      <c r="V161" s="119"/>
      <c r="W161" s="119"/>
      <c r="X161" s="119"/>
      <c r="Y161" s="29">
        <f t="shared" si="66"/>
        <v>107.99999999999999</v>
      </c>
      <c r="Z161" s="30">
        <f t="shared" si="67"/>
        <v>104</v>
      </c>
      <c r="AA161" s="2"/>
      <c r="AD161" s="32">
        <f t="shared" si="61"/>
        <v>0</v>
      </c>
    </row>
    <row r="162" spans="1:30" s="40" customFormat="1" ht="51.75" customHeight="1">
      <c r="A162" s="33" t="s">
        <v>217</v>
      </c>
      <c r="B162" s="34" t="s">
        <v>218</v>
      </c>
      <c r="C162" s="35" t="s">
        <v>203</v>
      </c>
      <c r="D162" s="33" t="s">
        <v>219</v>
      </c>
      <c r="E162" s="33"/>
      <c r="F162" s="36" t="s">
        <v>21</v>
      </c>
      <c r="G162" s="36" t="s">
        <v>400</v>
      </c>
      <c r="H162" s="26">
        <f>'2023'!H164</f>
        <v>2495.652</v>
      </c>
      <c r="I162" s="26">
        <f>'2023'!I164</f>
        <v>2533.0590000000002</v>
      </c>
      <c r="J162" s="26">
        <f>'2023'!J164</f>
        <v>2671.1639999999998</v>
      </c>
      <c r="K162" s="26">
        <f>'2023'!K164</f>
        <v>2663.21</v>
      </c>
      <c r="L162" s="26">
        <f t="shared" si="59"/>
        <v>10363.084999999999</v>
      </c>
      <c r="M162" s="38">
        <f>'2024'!N162</f>
        <v>96.075600000000023</v>
      </c>
      <c r="N162" s="38">
        <v>103.76164800000002</v>
      </c>
      <c r="O162" s="38">
        <f>'2024'!P162</f>
        <v>35.638395520000003</v>
      </c>
      <c r="P162" s="27">
        <v>37.063931340800004</v>
      </c>
      <c r="Q162" s="27">
        <f t="shared" si="62"/>
        <v>150830.23023492101</v>
      </c>
      <c r="R162" s="27">
        <f t="shared" si="63"/>
        <v>153091.00474290439</v>
      </c>
      <c r="S162" s="27">
        <f t="shared" si="64"/>
        <v>178160.53962225531</v>
      </c>
      <c r="T162" s="27">
        <f t="shared" si="65"/>
        <v>177630.02598394806</v>
      </c>
      <c r="U162" s="27">
        <f t="shared" si="60"/>
        <v>659711.80058402882</v>
      </c>
      <c r="V162" s="119"/>
      <c r="W162" s="119"/>
      <c r="X162" s="119"/>
      <c r="Y162" s="29">
        <f t="shared" si="66"/>
        <v>108</v>
      </c>
      <c r="Z162" s="30">
        <f t="shared" si="67"/>
        <v>104</v>
      </c>
      <c r="AA162" s="2"/>
      <c r="AD162" s="32">
        <f t="shared" si="61"/>
        <v>0</v>
      </c>
    </row>
    <row r="163" spans="1:30" s="40" customFormat="1" ht="53.25" customHeight="1">
      <c r="A163" s="33" t="s">
        <v>217</v>
      </c>
      <c r="B163" s="34" t="s">
        <v>218</v>
      </c>
      <c r="C163" s="35" t="s">
        <v>203</v>
      </c>
      <c r="D163" s="33" t="s">
        <v>374</v>
      </c>
      <c r="E163" s="33"/>
      <c r="F163" s="36" t="s">
        <v>21</v>
      </c>
      <c r="G163" s="36" t="s">
        <v>401</v>
      </c>
      <c r="H163" s="26">
        <f>'2023'!H165</f>
        <v>1042.184</v>
      </c>
      <c r="I163" s="26">
        <f>'2023'!I165</f>
        <v>1128.701</v>
      </c>
      <c r="J163" s="26">
        <f>'2023'!J165</f>
        <v>1166.79</v>
      </c>
      <c r="K163" s="26">
        <f>'2023'!K165</f>
        <v>1296.6300000000001</v>
      </c>
      <c r="L163" s="26">
        <f t="shared" si="59"/>
        <v>4634.3050000000003</v>
      </c>
      <c r="M163" s="38">
        <f>'2024'!N163</f>
        <v>94.67140000000002</v>
      </c>
      <c r="N163" s="38">
        <v>102.24511200000002</v>
      </c>
      <c r="O163" s="38">
        <f>'2024'!P163</f>
        <v>35.638395520000003</v>
      </c>
      <c r="P163" s="27">
        <v>37.063931340800004</v>
      </c>
      <c r="Q163" s="27">
        <f t="shared" si="62"/>
        <v>61523.252740984339</v>
      </c>
      <c r="R163" s="27">
        <f t="shared" si="63"/>
        <v>66630.611189580493</v>
      </c>
      <c r="S163" s="27">
        <f t="shared" si="64"/>
        <v>76052.749781347971</v>
      </c>
      <c r="T163" s="27">
        <f t="shared" si="65"/>
        <v>84515.874278138523</v>
      </c>
      <c r="U163" s="27">
        <f t="shared" si="60"/>
        <v>288722.48799005133</v>
      </c>
      <c r="V163" s="119"/>
      <c r="W163" s="119"/>
      <c r="X163" s="119"/>
      <c r="Y163" s="29">
        <f t="shared" si="66"/>
        <v>108</v>
      </c>
      <c r="Z163" s="30">
        <f t="shared" si="67"/>
        <v>104</v>
      </c>
      <c r="AA163" s="2"/>
      <c r="AD163" s="32">
        <f t="shared" si="61"/>
        <v>0</v>
      </c>
    </row>
    <row r="164" spans="1:30" s="40" customFormat="1" ht="53.25" customHeight="1">
      <c r="A164" s="33" t="s">
        <v>217</v>
      </c>
      <c r="B164" s="34" t="s">
        <v>218</v>
      </c>
      <c r="C164" s="35" t="s">
        <v>203</v>
      </c>
      <c r="D164" s="33" t="s">
        <v>220</v>
      </c>
      <c r="E164" s="33"/>
      <c r="F164" s="36" t="s">
        <v>21</v>
      </c>
      <c r="G164" s="36" t="s">
        <v>402</v>
      </c>
      <c r="H164" s="26">
        <f>'2023'!H166</f>
        <v>516.91300000000001</v>
      </c>
      <c r="I164" s="26">
        <f>'2023'!I166</f>
        <v>398.95000000000005</v>
      </c>
      <c r="J164" s="26">
        <f>'2023'!J166</f>
        <v>543.67999999999995</v>
      </c>
      <c r="K164" s="26">
        <f>'2023'!K166</f>
        <v>636.50599999999997</v>
      </c>
      <c r="L164" s="26">
        <f t="shared" si="59"/>
        <v>2096.049</v>
      </c>
      <c r="M164" s="38">
        <f>'2024'!N164</f>
        <v>88.346600000000024</v>
      </c>
      <c r="N164" s="38">
        <v>95.41432800000004</v>
      </c>
      <c r="O164" s="38">
        <f>'2024'!P164</f>
        <v>35.638395520000003</v>
      </c>
      <c r="P164" s="27">
        <v>37.063931340800004</v>
      </c>
      <c r="Q164" s="27">
        <f t="shared" si="62"/>
        <v>27245.55610237025</v>
      </c>
      <c r="R164" s="27">
        <f t="shared" si="63"/>
        <v>21027.938177296011</v>
      </c>
      <c r="S164" s="27">
        <f t="shared" si="64"/>
        <v>31723.943655673873</v>
      </c>
      <c r="T164" s="27">
        <f t="shared" si="65"/>
        <v>37140.377575960774</v>
      </c>
      <c r="U164" s="27">
        <f t="shared" si="60"/>
        <v>117137.8155113009</v>
      </c>
      <c r="V164" s="119"/>
      <c r="W164" s="119"/>
      <c r="X164" s="119"/>
      <c r="Y164" s="29">
        <f t="shared" si="66"/>
        <v>108</v>
      </c>
      <c r="Z164" s="30">
        <f t="shared" si="67"/>
        <v>104</v>
      </c>
      <c r="AA164" s="2"/>
      <c r="AD164" s="32">
        <f t="shared" si="61"/>
        <v>0</v>
      </c>
    </row>
    <row r="165" spans="1:30" s="40" customFormat="1" ht="15" customHeight="1">
      <c r="A165" s="33"/>
      <c r="B165" s="34"/>
      <c r="C165" s="35"/>
      <c r="D165" s="33"/>
      <c r="E165" s="33"/>
      <c r="F165" s="36"/>
      <c r="G165" s="36"/>
      <c r="H165" s="26"/>
      <c r="I165" s="26"/>
      <c r="J165" s="26"/>
      <c r="K165" s="26"/>
      <c r="L165" s="37"/>
      <c r="M165" s="41"/>
      <c r="N165" s="38"/>
      <c r="O165" s="41"/>
      <c r="P165" s="41"/>
      <c r="Q165" s="27"/>
      <c r="R165" s="27"/>
      <c r="S165" s="27"/>
      <c r="T165" s="27"/>
      <c r="U165" s="27"/>
      <c r="V165" s="119"/>
      <c r="W165" s="119"/>
      <c r="X165" s="119"/>
      <c r="Y165" s="29" t="e">
        <f t="shared" si="66"/>
        <v>#DIV/0!</v>
      </c>
      <c r="Z165" s="30" t="e">
        <f t="shared" si="67"/>
        <v>#DIV/0!</v>
      </c>
      <c r="AA165" s="2"/>
      <c r="AD165" s="32" t="e">
        <f t="shared" si="61"/>
        <v>#DIV/0!</v>
      </c>
    </row>
    <row r="166" spans="1:30" s="40" customFormat="1" ht="51" customHeight="1">
      <c r="A166" s="33">
        <v>2923007640</v>
      </c>
      <c r="B166" s="34" t="s">
        <v>222</v>
      </c>
      <c r="C166" s="35" t="s">
        <v>223</v>
      </c>
      <c r="D166" s="33" t="s">
        <v>228</v>
      </c>
      <c r="E166" s="33"/>
      <c r="F166" s="36" t="s">
        <v>21</v>
      </c>
      <c r="G166" s="36"/>
      <c r="H166" s="26">
        <f>'2023'!H168</f>
        <v>18024.654000000002</v>
      </c>
      <c r="I166" s="26">
        <f>'2023'!I168</f>
        <v>17348.275000000001</v>
      </c>
      <c r="J166" s="26">
        <f>'2023'!J168</f>
        <v>18087.983</v>
      </c>
      <c r="K166" s="26">
        <f>'2023'!K168</f>
        <v>10128.808999999999</v>
      </c>
      <c r="L166" s="26">
        <f t="shared" si="59"/>
        <v>63589.721000000005</v>
      </c>
      <c r="M166" s="38">
        <f>'2024'!N166</f>
        <v>76.94</v>
      </c>
      <c r="N166" s="27">
        <v>83.1</v>
      </c>
      <c r="O166" s="38">
        <f>'2024'!P166</f>
        <v>54.08</v>
      </c>
      <c r="P166" s="27">
        <f t="shared" ref="P166:P174" si="68">O166*1.04</f>
        <v>56.243200000000002</v>
      </c>
      <c r="Q166" s="27">
        <f t="shared" ref="Q166:Q174" si="69">(M166-O166)*H166</f>
        <v>412043.59044000006</v>
      </c>
      <c r="R166" s="27">
        <f t="shared" ref="R166:R174" si="70">(M166-O166)*I166</f>
        <v>396581.56650000002</v>
      </c>
      <c r="S166" s="27">
        <f t="shared" ref="S166:S174" si="71">(N166-P166)*J166</f>
        <v>485785.34183439985</v>
      </c>
      <c r="T166" s="27">
        <f t="shared" ref="T166:T174" si="72">(N166-P166)*K166</f>
        <v>272027.39755119989</v>
      </c>
      <c r="U166" s="27">
        <f t="shared" si="60"/>
        <v>1566437.8963255999</v>
      </c>
      <c r="V166" s="119"/>
      <c r="W166" s="119"/>
      <c r="X166" s="119"/>
      <c r="Y166" s="29">
        <f t="shared" si="66"/>
        <v>108.00623862750194</v>
      </c>
      <c r="Z166" s="30">
        <f t="shared" si="67"/>
        <v>104</v>
      </c>
      <c r="AA166" s="2"/>
      <c r="AD166" s="32">
        <f t="shared" si="61"/>
        <v>0</v>
      </c>
    </row>
    <row r="167" spans="1:30" s="40" customFormat="1" ht="51" customHeight="1">
      <c r="A167" s="33">
        <v>2923007640</v>
      </c>
      <c r="B167" s="34" t="s">
        <v>222</v>
      </c>
      <c r="C167" s="35" t="s">
        <v>223</v>
      </c>
      <c r="D167" s="33" t="s">
        <v>226</v>
      </c>
      <c r="E167" s="33"/>
      <c r="F167" s="36" t="s">
        <v>21</v>
      </c>
      <c r="G167" s="36"/>
      <c r="H167" s="26">
        <f>'2023'!H169</f>
        <v>3352.4029999999993</v>
      </c>
      <c r="I167" s="26">
        <f>'2023'!I169</f>
        <v>3750.5430000000001</v>
      </c>
      <c r="J167" s="26">
        <f>'2023'!J169</f>
        <v>3960.8379999999997</v>
      </c>
      <c r="K167" s="26">
        <f>'2023'!K169</f>
        <v>3373.77</v>
      </c>
      <c r="L167" s="26">
        <f t="shared" si="59"/>
        <v>14437.554</v>
      </c>
      <c r="M167" s="38">
        <f>'2024'!N167</f>
        <v>104.05</v>
      </c>
      <c r="N167" s="27">
        <v>112.37</v>
      </c>
      <c r="O167" s="38">
        <f>'2024'!P167</f>
        <v>82.201600000000013</v>
      </c>
      <c r="P167" s="27">
        <f t="shared" si="68"/>
        <v>85.489664000000019</v>
      </c>
      <c r="Q167" s="27">
        <f t="shared" si="69"/>
        <v>73244.641705199931</v>
      </c>
      <c r="R167" s="27">
        <f t="shared" si="70"/>
        <v>81943.363681199946</v>
      </c>
      <c r="S167" s="27">
        <f t="shared" si="71"/>
        <v>106468.65628156794</v>
      </c>
      <c r="T167" s="27">
        <f t="shared" si="72"/>
        <v>90688.071186719957</v>
      </c>
      <c r="U167" s="27">
        <f t="shared" si="60"/>
        <v>352344.73285468773</v>
      </c>
      <c r="V167" s="119"/>
      <c r="W167" s="119"/>
      <c r="X167" s="119"/>
      <c r="Y167" s="29">
        <f t="shared" si="66"/>
        <v>107.99615569437771</v>
      </c>
      <c r="Z167" s="30">
        <f t="shared" si="67"/>
        <v>104</v>
      </c>
      <c r="AA167" s="2"/>
      <c r="AD167" s="32">
        <f t="shared" si="61"/>
        <v>0</v>
      </c>
    </row>
    <row r="168" spans="1:30" s="40" customFormat="1" ht="51" customHeight="1">
      <c r="A168" s="33">
        <v>2923007640</v>
      </c>
      <c r="B168" s="34" t="s">
        <v>222</v>
      </c>
      <c r="C168" s="35" t="s">
        <v>223</v>
      </c>
      <c r="D168" s="33" t="s">
        <v>224</v>
      </c>
      <c r="E168" s="33"/>
      <c r="F168" s="36" t="s">
        <v>21</v>
      </c>
      <c r="G168" s="36"/>
      <c r="H168" s="26">
        <f>'2023'!H170</f>
        <v>2729.7669999999998</v>
      </c>
      <c r="I168" s="26">
        <f>'2023'!I170</f>
        <v>2973.6289999999999</v>
      </c>
      <c r="J168" s="26">
        <f>'2023'!J170</f>
        <v>3475.5860000000002</v>
      </c>
      <c r="K168" s="26">
        <f>'2023'!K170</f>
        <v>3124.1869999999999</v>
      </c>
      <c r="L168" s="26">
        <f t="shared" si="59"/>
        <v>12303.169</v>
      </c>
      <c r="M168" s="38">
        <f>'2024'!N168</f>
        <v>200.88</v>
      </c>
      <c r="N168" s="27">
        <v>216.95</v>
      </c>
      <c r="O168" s="38">
        <f>'2024'!P168</f>
        <v>108.16</v>
      </c>
      <c r="P168" s="27">
        <f t="shared" si="68"/>
        <v>112.4864</v>
      </c>
      <c r="Q168" s="27">
        <f t="shared" si="69"/>
        <v>253103.99623999998</v>
      </c>
      <c r="R168" s="27">
        <f t="shared" si="70"/>
        <v>275714.88088000001</v>
      </c>
      <c r="S168" s="27">
        <f t="shared" si="71"/>
        <v>363072.22566959995</v>
      </c>
      <c r="T168" s="27">
        <f t="shared" si="72"/>
        <v>326363.82109319995</v>
      </c>
      <c r="U168" s="27">
        <f t="shared" si="60"/>
        <v>1218254.9238827999</v>
      </c>
      <c r="V168" s="119"/>
      <c r="W168" s="119"/>
      <c r="X168" s="119"/>
      <c r="Y168" s="29">
        <f t="shared" si="66"/>
        <v>107.99980087614496</v>
      </c>
      <c r="Z168" s="30">
        <f t="shared" si="67"/>
        <v>104</v>
      </c>
      <c r="AA168" s="2"/>
      <c r="AD168" s="32">
        <f t="shared" si="61"/>
        <v>0</v>
      </c>
    </row>
    <row r="169" spans="1:30" s="40" customFormat="1" ht="51" customHeight="1">
      <c r="A169" s="33">
        <v>2923006012</v>
      </c>
      <c r="B169" s="34" t="s">
        <v>234</v>
      </c>
      <c r="C169" s="35" t="s">
        <v>223</v>
      </c>
      <c r="D169" s="33" t="s">
        <v>235</v>
      </c>
      <c r="E169" s="33"/>
      <c r="F169" s="36" t="s">
        <v>21</v>
      </c>
      <c r="G169" s="36"/>
      <c r="H169" s="26">
        <f>'2023'!H171</f>
        <v>9953.1319999999996</v>
      </c>
      <c r="I169" s="26">
        <f>'2023'!I171</f>
        <v>9947.4279999999999</v>
      </c>
      <c r="J169" s="26">
        <f>'2023'!J171</f>
        <v>9816.8819999999996</v>
      </c>
      <c r="K169" s="26">
        <f>'2023'!K171</f>
        <v>9811.9750000000004</v>
      </c>
      <c r="L169" s="26">
        <f t="shared" si="59"/>
        <v>39529.416999999994</v>
      </c>
      <c r="M169" s="38">
        <f>'2024'!N169</f>
        <v>114.79</v>
      </c>
      <c r="N169" s="27">
        <v>123.97</v>
      </c>
      <c r="O169" s="38">
        <f>'2024'!P169</f>
        <v>83.283200000000008</v>
      </c>
      <c r="P169" s="27">
        <f t="shared" si="68"/>
        <v>86.614528000000007</v>
      </c>
      <c r="Q169" s="27">
        <f t="shared" si="69"/>
        <v>313591.33929759997</v>
      </c>
      <c r="R169" s="27">
        <f t="shared" si="70"/>
        <v>313411.6245104</v>
      </c>
      <c r="S169" s="27">
        <f t="shared" si="71"/>
        <v>366714.26067830389</v>
      </c>
      <c r="T169" s="27">
        <f t="shared" si="72"/>
        <v>366530.95737719996</v>
      </c>
      <c r="U169" s="27">
        <f t="shared" si="60"/>
        <v>1360248.1818635038</v>
      </c>
      <c r="V169" s="119"/>
      <c r="W169" s="119"/>
      <c r="X169" s="119"/>
      <c r="Y169" s="29">
        <f t="shared" si="66"/>
        <v>107.99721230072305</v>
      </c>
      <c r="Z169" s="30">
        <f t="shared" si="67"/>
        <v>104</v>
      </c>
      <c r="AA169" s="2"/>
      <c r="AD169" s="32">
        <f t="shared" si="61"/>
        <v>0</v>
      </c>
    </row>
    <row r="170" spans="1:30" s="40" customFormat="1" ht="51" customHeight="1">
      <c r="A170" s="33">
        <v>2923007312</v>
      </c>
      <c r="B170" s="34" t="s">
        <v>230</v>
      </c>
      <c r="C170" s="35" t="s">
        <v>223</v>
      </c>
      <c r="D170" s="33" t="s">
        <v>231</v>
      </c>
      <c r="E170" s="33"/>
      <c r="F170" s="36" t="s">
        <v>21</v>
      </c>
      <c r="G170" s="36"/>
      <c r="H170" s="26">
        <f>'2023'!H172</f>
        <v>23136.68</v>
      </c>
      <c r="I170" s="26">
        <f>'2023'!I172</f>
        <v>24517.660000000003</v>
      </c>
      <c r="J170" s="26">
        <f>'2023'!J172</f>
        <v>23654.33</v>
      </c>
      <c r="K170" s="26">
        <f>'2023'!K172</f>
        <v>22550.48</v>
      </c>
      <c r="L170" s="26">
        <f t="shared" si="59"/>
        <v>93859.150000000009</v>
      </c>
      <c r="M170" s="38">
        <f>'2024'!N170</f>
        <v>151.71</v>
      </c>
      <c r="N170" s="27">
        <v>163.8468</v>
      </c>
      <c r="O170" s="38">
        <f>'2024'!P170</f>
        <v>83.283200000000008</v>
      </c>
      <c r="P170" s="27">
        <f t="shared" si="68"/>
        <v>86.614528000000007</v>
      </c>
      <c r="Q170" s="27">
        <f t="shared" si="69"/>
        <v>1583168.975024</v>
      </c>
      <c r="R170" s="27">
        <f t="shared" si="70"/>
        <v>1677665.0172880003</v>
      </c>
      <c r="S170" s="27">
        <f t="shared" si="71"/>
        <v>1826877.6485377599</v>
      </c>
      <c r="T170" s="27">
        <f t="shared" si="72"/>
        <v>1741624.8050905599</v>
      </c>
      <c r="U170" s="27">
        <f t="shared" si="60"/>
        <v>6829336.4459403194</v>
      </c>
      <c r="V170" s="119"/>
      <c r="W170" s="119"/>
      <c r="X170" s="119"/>
      <c r="Y170" s="29">
        <f t="shared" si="66"/>
        <v>107.99999999999999</v>
      </c>
      <c r="Z170" s="30">
        <f t="shared" si="67"/>
        <v>104</v>
      </c>
      <c r="AA170" s="2"/>
      <c r="AD170" s="32">
        <f t="shared" si="61"/>
        <v>0</v>
      </c>
    </row>
    <row r="171" spans="1:30" s="40" customFormat="1" ht="51" customHeight="1">
      <c r="A171" s="33">
        <v>2923007312</v>
      </c>
      <c r="B171" s="34" t="s">
        <v>230</v>
      </c>
      <c r="C171" s="35" t="s">
        <v>223</v>
      </c>
      <c r="D171" s="33" t="s">
        <v>232</v>
      </c>
      <c r="E171" s="33"/>
      <c r="F171" s="36" t="s">
        <v>21</v>
      </c>
      <c r="G171" s="36"/>
      <c r="H171" s="26">
        <f>'2023'!H173</f>
        <v>10442.380000000001</v>
      </c>
      <c r="I171" s="26">
        <f>'2023'!I173</f>
        <v>10321.27</v>
      </c>
      <c r="J171" s="26">
        <f>'2023'!J173</f>
        <v>10521.73</v>
      </c>
      <c r="K171" s="26">
        <f>'2023'!K173</f>
        <v>10047</v>
      </c>
      <c r="L171" s="26">
        <f t="shared" si="59"/>
        <v>41332.380000000005</v>
      </c>
      <c r="M171" s="38">
        <f>'2024'!N171</f>
        <v>151.71</v>
      </c>
      <c r="N171" s="27">
        <v>163.8468</v>
      </c>
      <c r="O171" s="38">
        <f>'2024'!P171</f>
        <v>83.283200000000008</v>
      </c>
      <c r="P171" s="27">
        <f t="shared" si="68"/>
        <v>86.614528000000007</v>
      </c>
      <c r="Q171" s="27">
        <f t="shared" si="69"/>
        <v>714538.64778400003</v>
      </c>
      <c r="R171" s="27">
        <f t="shared" si="70"/>
        <v>706251.47803600004</v>
      </c>
      <c r="S171" s="27">
        <f t="shared" si="71"/>
        <v>812617.11327055993</v>
      </c>
      <c r="T171" s="27">
        <f t="shared" si="72"/>
        <v>775952.63678399997</v>
      </c>
      <c r="U171" s="27">
        <f t="shared" si="60"/>
        <v>3009359.8758745599</v>
      </c>
      <c r="V171" s="119"/>
      <c r="W171" s="119"/>
      <c r="X171" s="119"/>
      <c r="Y171" s="29">
        <f t="shared" si="66"/>
        <v>107.99999999999999</v>
      </c>
      <c r="Z171" s="30">
        <f t="shared" si="67"/>
        <v>104</v>
      </c>
      <c r="AA171" s="2"/>
      <c r="AD171" s="32">
        <f t="shared" si="61"/>
        <v>0</v>
      </c>
    </row>
    <row r="172" spans="1:30" s="40" customFormat="1" ht="51" customHeight="1">
      <c r="A172" s="33">
        <v>2923006943</v>
      </c>
      <c r="B172" s="34" t="s">
        <v>237</v>
      </c>
      <c r="C172" s="35" t="s">
        <v>223</v>
      </c>
      <c r="D172" s="33" t="s">
        <v>44</v>
      </c>
      <c r="E172" s="33"/>
      <c r="F172" s="36" t="s">
        <v>21</v>
      </c>
      <c r="G172" s="36"/>
      <c r="H172" s="26">
        <f>'2023'!H174</f>
        <v>2541.5360000000001</v>
      </c>
      <c r="I172" s="26">
        <f>'2023'!I174</f>
        <v>2399.6750000000002</v>
      </c>
      <c r="J172" s="26">
        <f>'2023'!J174</f>
        <v>2520.5259999999998</v>
      </c>
      <c r="K172" s="26">
        <f>'2023'!K174</f>
        <v>2520.5259999999998</v>
      </c>
      <c r="L172" s="26">
        <f t="shared" si="59"/>
        <v>9982.262999999999</v>
      </c>
      <c r="M172" s="38">
        <f>'2024'!N172</f>
        <v>252.82</v>
      </c>
      <c r="N172" s="27">
        <v>273.04559999999998</v>
      </c>
      <c r="O172" s="38">
        <f>'2024'!P172</f>
        <v>129.79200000000003</v>
      </c>
      <c r="P172" s="27">
        <f t="shared" si="68"/>
        <v>134.98368000000005</v>
      </c>
      <c r="Q172" s="27">
        <f t="shared" si="69"/>
        <v>312680.0910079999</v>
      </c>
      <c r="R172" s="27">
        <f t="shared" si="70"/>
        <v>295227.21589999995</v>
      </c>
      <c r="S172" s="27">
        <f t="shared" si="71"/>
        <v>347988.65896991978</v>
      </c>
      <c r="T172" s="27">
        <f t="shared" si="72"/>
        <v>347988.65896991978</v>
      </c>
      <c r="U172" s="27">
        <f t="shared" si="60"/>
        <v>1303884.6248478394</v>
      </c>
      <c r="V172" s="119"/>
      <c r="W172" s="119"/>
      <c r="X172" s="119"/>
      <c r="Y172" s="29">
        <f t="shared" si="66"/>
        <v>107.99999999999999</v>
      </c>
      <c r="Z172" s="30">
        <f t="shared" si="67"/>
        <v>104</v>
      </c>
      <c r="AA172" s="2"/>
      <c r="AD172" s="32">
        <f t="shared" si="61"/>
        <v>0</v>
      </c>
    </row>
    <row r="173" spans="1:30" s="40" customFormat="1" ht="51" customHeight="1">
      <c r="A173" s="33" t="s">
        <v>238</v>
      </c>
      <c r="B173" s="34" t="s">
        <v>239</v>
      </c>
      <c r="C173" s="35" t="s">
        <v>223</v>
      </c>
      <c r="D173" s="33" t="s">
        <v>240</v>
      </c>
      <c r="E173" s="33"/>
      <c r="F173" s="36" t="s">
        <v>21</v>
      </c>
      <c r="G173" s="36" t="s">
        <v>375</v>
      </c>
      <c r="H173" s="26">
        <f>'2023'!H175</f>
        <v>3094.4479999999999</v>
      </c>
      <c r="I173" s="26">
        <f>'2023'!I175</f>
        <v>3158.902</v>
      </c>
      <c r="J173" s="26">
        <f>'2023'!J175</f>
        <v>3606.0220000000004</v>
      </c>
      <c r="K173" s="26">
        <f>'2023'!K175</f>
        <v>3433.1729999999998</v>
      </c>
      <c r="L173" s="26">
        <f t="shared" si="59"/>
        <v>13292.545000000002</v>
      </c>
      <c r="M173" s="38">
        <f>'2024'!N173</f>
        <v>137.29</v>
      </c>
      <c r="N173" s="27">
        <v>148.2732</v>
      </c>
      <c r="O173" s="38">
        <f>'2024'!P173</f>
        <v>99.507200000000012</v>
      </c>
      <c r="P173" s="27">
        <f t="shared" si="68"/>
        <v>103.48748800000001</v>
      </c>
      <c r="Q173" s="27">
        <f t="shared" si="69"/>
        <v>116916.90989439993</v>
      </c>
      <c r="R173" s="27">
        <f t="shared" si="70"/>
        <v>119352.16248559994</v>
      </c>
      <c r="S173" s="27">
        <f t="shared" si="71"/>
        <v>161498.26275766399</v>
      </c>
      <c r="T173" s="27">
        <f t="shared" si="72"/>
        <v>153757.09722417596</v>
      </c>
      <c r="U173" s="27">
        <f t="shared" si="60"/>
        <v>551524.4323618398</v>
      </c>
      <c r="V173" s="119"/>
      <c r="W173" s="119"/>
      <c r="X173" s="119"/>
      <c r="Y173" s="29">
        <f t="shared" si="66"/>
        <v>108</v>
      </c>
      <c r="Z173" s="30">
        <f t="shared" si="67"/>
        <v>104</v>
      </c>
      <c r="AA173" s="2"/>
      <c r="AD173" s="32">
        <f t="shared" si="61"/>
        <v>0</v>
      </c>
    </row>
    <row r="174" spans="1:30" s="40" customFormat="1" ht="51" customHeight="1">
      <c r="A174" s="33">
        <v>2923005900</v>
      </c>
      <c r="B174" s="34" t="s">
        <v>241</v>
      </c>
      <c r="C174" s="35" t="s">
        <v>223</v>
      </c>
      <c r="D174" s="33" t="s">
        <v>242</v>
      </c>
      <c r="E174" s="33"/>
      <c r="F174" s="36" t="s">
        <v>21</v>
      </c>
      <c r="G174" s="36"/>
      <c r="H174" s="26">
        <f>'2023'!H176</f>
        <v>9199.3000000000011</v>
      </c>
      <c r="I174" s="26">
        <f>'2023'!I176</f>
        <v>10958.849999999999</v>
      </c>
      <c r="J174" s="26">
        <f>'2023'!J176</f>
        <v>9177.7000000000007</v>
      </c>
      <c r="K174" s="26">
        <f>'2023'!K176</f>
        <v>7908</v>
      </c>
      <c r="L174" s="26">
        <f t="shared" si="59"/>
        <v>37243.850000000006</v>
      </c>
      <c r="M174" s="38">
        <f>'2024'!N174</f>
        <v>83.01</v>
      </c>
      <c r="N174" s="27">
        <v>89.650800000000018</v>
      </c>
      <c r="O174" s="38">
        <f>'2024'!P174</f>
        <v>68.887104000000008</v>
      </c>
      <c r="P174" s="27">
        <f t="shared" si="68"/>
        <v>71.642588160000017</v>
      </c>
      <c r="Q174" s="27">
        <f t="shared" si="69"/>
        <v>129920.75717279999</v>
      </c>
      <c r="R174" s="27">
        <f t="shared" si="70"/>
        <v>154770.69882959995</v>
      </c>
      <c r="S174" s="27">
        <f t="shared" si="71"/>
        <v>165273.96580396802</v>
      </c>
      <c r="T174" s="27">
        <f t="shared" si="72"/>
        <v>142408.93923072002</v>
      </c>
      <c r="U174" s="27">
        <f t="shared" si="60"/>
        <v>592374.36103708798</v>
      </c>
      <c r="V174" s="119"/>
      <c r="W174" s="119"/>
      <c r="X174" s="119"/>
      <c r="Y174" s="29">
        <f t="shared" si="66"/>
        <v>108</v>
      </c>
      <c r="Z174" s="30">
        <f t="shared" si="67"/>
        <v>104</v>
      </c>
      <c r="AA174" s="2"/>
      <c r="AD174" s="32">
        <f t="shared" si="61"/>
        <v>0</v>
      </c>
    </row>
    <row r="175" spans="1:30" s="40" customFormat="1" ht="15" customHeight="1">
      <c r="A175" s="33"/>
      <c r="B175" s="34"/>
      <c r="C175" s="35"/>
      <c r="D175" s="33"/>
      <c r="E175" s="33"/>
      <c r="F175" s="36"/>
      <c r="G175" s="36"/>
      <c r="H175" s="26"/>
      <c r="I175" s="26"/>
      <c r="J175" s="26"/>
      <c r="K175" s="26"/>
      <c r="L175" s="37"/>
      <c r="M175" s="41"/>
      <c r="N175" s="41"/>
      <c r="O175" s="41"/>
      <c r="P175" s="41"/>
      <c r="Q175" s="27"/>
      <c r="R175" s="27"/>
      <c r="S175" s="27"/>
      <c r="T175" s="27"/>
      <c r="U175" s="27"/>
      <c r="V175" s="119"/>
      <c r="W175" s="119"/>
      <c r="X175" s="119"/>
      <c r="Y175" s="29" t="e">
        <f t="shared" si="66"/>
        <v>#DIV/0!</v>
      </c>
      <c r="Z175" s="30" t="e">
        <f t="shared" si="67"/>
        <v>#DIV/0!</v>
      </c>
      <c r="AA175" s="2"/>
      <c r="AD175" s="32" t="e">
        <f t="shared" si="61"/>
        <v>#DIV/0!</v>
      </c>
    </row>
    <row r="176" spans="1:30" s="40" customFormat="1" ht="51" customHeight="1">
      <c r="A176" s="33" t="s">
        <v>243</v>
      </c>
      <c r="B176" s="34" t="s">
        <v>244</v>
      </c>
      <c r="C176" s="35" t="s">
        <v>245</v>
      </c>
      <c r="D176" s="33" t="s">
        <v>246</v>
      </c>
      <c r="E176" s="33"/>
      <c r="F176" s="36" t="s">
        <v>21</v>
      </c>
      <c r="G176" s="36"/>
      <c r="H176" s="26">
        <f>'2023'!H178</f>
        <v>3777.61</v>
      </c>
      <c r="I176" s="26">
        <f>'2023'!I178</f>
        <v>3713.67</v>
      </c>
      <c r="J176" s="26">
        <f>'2023'!J178</f>
        <v>3714.5560000000005</v>
      </c>
      <c r="K176" s="26">
        <f>'2023'!K178</f>
        <v>3603.4500000000003</v>
      </c>
      <c r="L176" s="26">
        <f t="shared" si="59"/>
        <v>14809.286000000002</v>
      </c>
      <c r="M176" s="38">
        <f>'2024'!N176</f>
        <v>91.84</v>
      </c>
      <c r="N176" s="27">
        <v>99.187524000000039</v>
      </c>
      <c r="O176" s="38">
        <f>'2024'!P176</f>
        <v>42.015999999999998</v>
      </c>
      <c r="P176" s="27">
        <f>O176*1.04</f>
        <v>43.696640000000002</v>
      </c>
      <c r="Q176" s="27">
        <f>(M176-O176)*H176</f>
        <v>188215.64064000003</v>
      </c>
      <c r="R176" s="27">
        <f>(M176-O176)*I176</f>
        <v>185029.89408000003</v>
      </c>
      <c r="S176" s="27">
        <f>(N176-P176)*J176</f>
        <v>206123.99610750415</v>
      </c>
      <c r="T176" s="27">
        <f>(N176-P176)*K176</f>
        <v>199958.62594980016</v>
      </c>
      <c r="U176" s="27">
        <f t="shared" si="60"/>
        <v>779328.15677730436</v>
      </c>
      <c r="V176" s="119"/>
      <c r="W176" s="119"/>
      <c r="X176" s="119"/>
      <c r="Y176" s="29">
        <f t="shared" si="66"/>
        <v>108.00035278745648</v>
      </c>
      <c r="Z176" s="30">
        <f t="shared" si="67"/>
        <v>104</v>
      </c>
      <c r="AA176" s="2"/>
      <c r="AD176" s="32">
        <f t="shared" si="61"/>
        <v>0</v>
      </c>
    </row>
    <row r="177" spans="1:30" s="40" customFormat="1" ht="15" customHeight="1">
      <c r="A177" s="33"/>
      <c r="B177" s="34"/>
      <c r="C177" s="35"/>
      <c r="D177" s="33"/>
      <c r="E177" s="33"/>
      <c r="F177" s="36"/>
      <c r="G177" s="36"/>
      <c r="H177" s="26"/>
      <c r="I177" s="26"/>
      <c r="J177" s="26"/>
      <c r="K177" s="26"/>
      <c r="L177" s="37"/>
      <c r="M177" s="41"/>
      <c r="N177" s="41"/>
      <c r="O177" s="41"/>
      <c r="P177" s="41"/>
      <c r="Q177" s="27"/>
      <c r="R177" s="27"/>
      <c r="S177" s="27"/>
      <c r="T177" s="27"/>
      <c r="U177" s="27"/>
      <c r="V177" s="119"/>
      <c r="W177" s="119"/>
      <c r="X177" s="119"/>
      <c r="Y177" s="29" t="e">
        <f t="shared" si="66"/>
        <v>#DIV/0!</v>
      </c>
      <c r="Z177" s="30" t="e">
        <f t="shared" si="67"/>
        <v>#DIV/0!</v>
      </c>
      <c r="AA177" s="2"/>
      <c r="AD177" s="32" t="e">
        <f t="shared" si="61"/>
        <v>#DIV/0!</v>
      </c>
    </row>
    <row r="178" spans="1:30" s="31" customFormat="1" ht="56.25" customHeight="1">
      <c r="A178" s="33" t="s">
        <v>247</v>
      </c>
      <c r="B178" s="34" t="s">
        <v>248</v>
      </c>
      <c r="C178" s="35" t="s">
        <v>19</v>
      </c>
      <c r="D178" s="33" t="s">
        <v>20</v>
      </c>
      <c r="E178" s="33"/>
      <c r="F178" s="36" t="s">
        <v>249</v>
      </c>
      <c r="G178" s="36"/>
      <c r="H178" s="26">
        <f>'2023'!H180</f>
        <v>1376.885</v>
      </c>
      <c r="I178" s="26">
        <f>'2023'!I180</f>
        <v>1226.385</v>
      </c>
      <c r="J178" s="26">
        <f>'2023'!J180</f>
        <v>864.10400000000004</v>
      </c>
      <c r="K178" s="26">
        <f>'2023'!K180</f>
        <v>1017.549</v>
      </c>
      <c r="L178" s="26">
        <f t="shared" si="59"/>
        <v>4484.9229999999998</v>
      </c>
      <c r="M178" s="38">
        <f>M8</f>
        <v>95.63</v>
      </c>
      <c r="N178" s="38">
        <f t="shared" ref="N178:P178" si="73">N8</f>
        <v>103.28040000000001</v>
      </c>
      <c r="O178" s="38">
        <f t="shared" si="73"/>
        <v>36.109951488</v>
      </c>
      <c r="P178" s="38">
        <f t="shared" si="73"/>
        <v>37.554349547520005</v>
      </c>
      <c r="Q178" s="27">
        <f>(M178-O178)*H178</f>
        <v>81952.261995445107</v>
      </c>
      <c r="R178" s="27">
        <f>(M178-O178)*I178</f>
        <v>72994.494694389112</v>
      </c>
      <c r="S178" s="27">
        <f>(N178-P178)*J178</f>
        <v>56794.143100189787</v>
      </c>
      <c r="T178" s="27">
        <f>(N178-P178)*K178</f>
        <v>66879.476911870574</v>
      </c>
      <c r="U178" s="27">
        <f t="shared" si="60"/>
        <v>278620.37670189462</v>
      </c>
      <c r="V178" s="38"/>
      <c r="W178" s="38"/>
      <c r="X178" s="38"/>
      <c r="Y178" s="29">
        <f t="shared" si="66"/>
        <v>108.00000000000003</v>
      </c>
      <c r="Z178" s="30">
        <f t="shared" si="67"/>
        <v>104</v>
      </c>
      <c r="AA178" s="54"/>
      <c r="AD178" s="32">
        <f t="shared" si="61"/>
        <v>0</v>
      </c>
    </row>
    <row r="179" spans="1:30" s="31" customFormat="1" ht="56.25" customHeight="1">
      <c r="A179" s="33">
        <v>3525369837</v>
      </c>
      <c r="B179" s="34" t="s">
        <v>250</v>
      </c>
      <c r="C179" s="35" t="s">
        <v>19</v>
      </c>
      <c r="D179" s="33" t="s">
        <v>20</v>
      </c>
      <c r="E179" s="33"/>
      <c r="F179" s="36" t="s">
        <v>249</v>
      </c>
      <c r="G179" s="36" t="s">
        <v>412</v>
      </c>
      <c r="H179" s="26">
        <f>'2023'!H181</f>
        <v>1950</v>
      </c>
      <c r="I179" s="26">
        <f>'2023'!I181</f>
        <v>1950</v>
      </c>
      <c r="J179" s="26">
        <f>'2023'!J181</f>
        <v>1950</v>
      </c>
      <c r="K179" s="26">
        <f>'2023'!K181</f>
        <v>1950</v>
      </c>
      <c r="L179" s="26">
        <f t="shared" si="59"/>
        <v>7800</v>
      </c>
      <c r="M179" s="38">
        <f>M8</f>
        <v>95.63</v>
      </c>
      <c r="N179" s="38">
        <f t="shared" ref="N179:P179" si="74">N8</f>
        <v>103.28040000000001</v>
      </c>
      <c r="O179" s="38">
        <f t="shared" si="74"/>
        <v>36.109951488</v>
      </c>
      <c r="P179" s="38">
        <f t="shared" si="74"/>
        <v>37.554349547520005</v>
      </c>
      <c r="Q179" s="27">
        <f>(M179-O179)*H179</f>
        <v>116064.09459839998</v>
      </c>
      <c r="R179" s="27">
        <f>(M179-O179)*I179</f>
        <v>116064.09459839998</v>
      </c>
      <c r="S179" s="27">
        <f>(N179-P179)*J179</f>
        <v>128165.79838233601</v>
      </c>
      <c r="T179" s="27">
        <f>(N179-P179)*K179</f>
        <v>128165.79838233601</v>
      </c>
      <c r="U179" s="27">
        <f t="shared" si="60"/>
        <v>488459.78596147196</v>
      </c>
      <c r="V179" s="38"/>
      <c r="W179" s="38"/>
      <c r="X179" s="38"/>
      <c r="Y179" s="29">
        <f t="shared" si="66"/>
        <v>108.00000000000003</v>
      </c>
      <c r="Z179" s="30">
        <f t="shared" si="67"/>
        <v>104</v>
      </c>
      <c r="AA179" s="54"/>
      <c r="AD179" s="32">
        <f t="shared" si="61"/>
        <v>0</v>
      </c>
    </row>
    <row r="180" spans="1:30" s="40" customFormat="1" ht="15" customHeight="1">
      <c r="A180" s="33"/>
      <c r="B180" s="34"/>
      <c r="C180" s="35"/>
      <c r="D180" s="33"/>
      <c r="E180" s="33"/>
      <c r="F180" s="36"/>
      <c r="G180" s="36"/>
      <c r="H180" s="26"/>
      <c r="I180" s="26"/>
      <c r="J180" s="26"/>
      <c r="K180" s="26"/>
      <c r="L180" s="37"/>
      <c r="M180" s="41"/>
      <c r="N180" s="41"/>
      <c r="O180" s="41"/>
      <c r="P180" s="41"/>
      <c r="Q180" s="27"/>
      <c r="R180" s="27"/>
      <c r="S180" s="27"/>
      <c r="T180" s="27"/>
      <c r="U180" s="27"/>
      <c r="V180" s="119"/>
      <c r="W180" s="119"/>
      <c r="X180" s="119"/>
      <c r="Y180" s="29" t="e">
        <f t="shared" si="66"/>
        <v>#DIV/0!</v>
      </c>
      <c r="Z180" s="30" t="e">
        <f t="shared" si="67"/>
        <v>#DIV/0!</v>
      </c>
      <c r="AA180" s="2"/>
      <c r="AD180" s="32" t="e">
        <f t="shared" si="61"/>
        <v>#DIV/0!</v>
      </c>
    </row>
    <row r="181" spans="1:30" s="40" customFormat="1" ht="56.25" customHeight="1">
      <c r="A181" s="33">
        <v>2924005075</v>
      </c>
      <c r="B181" s="34" t="s">
        <v>262</v>
      </c>
      <c r="C181" s="35" t="s">
        <v>303</v>
      </c>
      <c r="D181" s="33" t="s">
        <v>377</v>
      </c>
      <c r="E181" s="33"/>
      <c r="F181" s="36" t="s">
        <v>249</v>
      </c>
      <c r="G181" s="36" t="s">
        <v>410</v>
      </c>
      <c r="H181" s="26">
        <f>'2023'!H183</f>
        <v>5594</v>
      </c>
      <c r="I181" s="26">
        <f>'2023'!I183</f>
        <v>5594</v>
      </c>
      <c r="J181" s="26">
        <f>'2023'!J183</f>
        <v>5594</v>
      </c>
      <c r="K181" s="26">
        <f>'2023'!K183</f>
        <v>5594</v>
      </c>
      <c r="L181" s="26">
        <f t="shared" si="59"/>
        <v>22376</v>
      </c>
      <c r="M181" s="38">
        <f>'2024'!N181</f>
        <v>159.63947999999999</v>
      </c>
      <c r="N181" s="27">
        <v>159.63947999999999</v>
      </c>
      <c r="O181" s="38">
        <f>'2024'!P181</f>
        <v>40.632800000000003</v>
      </c>
      <c r="P181" s="27">
        <f>O181*1.04</f>
        <v>42.258112000000004</v>
      </c>
      <c r="Q181" s="27">
        <f>(M181-O181)*H181</f>
        <v>665723.36791999999</v>
      </c>
      <c r="R181" s="27">
        <f>(M181-O181)*I181</f>
        <v>665723.36791999999</v>
      </c>
      <c r="S181" s="27">
        <f>(N181-P181)*J181</f>
        <v>656631.37259199994</v>
      </c>
      <c r="T181" s="27">
        <f>(N181-P181)*K181</f>
        <v>656631.37259199994</v>
      </c>
      <c r="U181" s="27">
        <f t="shared" si="60"/>
        <v>2644709.4810239999</v>
      </c>
      <c r="V181" s="27"/>
      <c r="W181" s="119"/>
      <c r="X181" s="119"/>
      <c r="Y181" s="29">
        <f t="shared" si="66"/>
        <v>100</v>
      </c>
      <c r="Z181" s="30">
        <f t="shared" si="67"/>
        <v>104</v>
      </c>
      <c r="AA181" s="2"/>
      <c r="AD181" s="32">
        <f t="shared" si="61"/>
        <v>0</v>
      </c>
    </row>
    <row r="182" spans="1:30" s="40" customFormat="1" ht="15" customHeight="1">
      <c r="A182" s="33"/>
      <c r="B182" s="34"/>
      <c r="C182" s="35"/>
      <c r="D182" s="33"/>
      <c r="E182" s="33"/>
      <c r="F182" s="36"/>
      <c r="G182" s="36"/>
      <c r="H182" s="26"/>
      <c r="I182" s="26"/>
      <c r="J182" s="26"/>
      <c r="K182" s="26"/>
      <c r="L182" s="37"/>
      <c r="M182" s="41"/>
      <c r="N182" s="41"/>
      <c r="O182" s="41"/>
      <c r="P182" s="41"/>
      <c r="Q182" s="27"/>
      <c r="R182" s="27"/>
      <c r="S182" s="27"/>
      <c r="T182" s="27"/>
      <c r="U182" s="27"/>
      <c r="V182" s="119"/>
      <c r="W182" s="119"/>
      <c r="X182" s="119"/>
      <c r="Y182" s="29" t="e">
        <f t="shared" si="66"/>
        <v>#DIV/0!</v>
      </c>
      <c r="Z182" s="30" t="e">
        <f t="shared" si="67"/>
        <v>#DIV/0!</v>
      </c>
      <c r="AA182" s="2"/>
      <c r="AD182" s="32" t="e">
        <f t="shared" si="61"/>
        <v>#DIV/0!</v>
      </c>
    </row>
    <row r="183" spans="1:30" s="40" customFormat="1" ht="91.5" customHeight="1">
      <c r="A183" s="33" t="s">
        <v>99</v>
      </c>
      <c r="B183" s="34" t="s">
        <v>100</v>
      </c>
      <c r="C183" s="35" t="s">
        <v>62</v>
      </c>
      <c r="D183" s="33" t="s">
        <v>290</v>
      </c>
      <c r="E183" s="33"/>
      <c r="F183" s="36" t="s">
        <v>249</v>
      </c>
      <c r="G183" s="36"/>
      <c r="H183" s="26">
        <f>'2023'!H185</f>
        <v>19213.143</v>
      </c>
      <c r="I183" s="26">
        <f>'2023'!I185</f>
        <v>16702.169999999998</v>
      </c>
      <c r="J183" s="26">
        <f>'2023'!J185</f>
        <v>15035.05</v>
      </c>
      <c r="K183" s="26">
        <f>'2023'!K185</f>
        <v>18069.759999999998</v>
      </c>
      <c r="L183" s="26">
        <f t="shared" si="59"/>
        <v>69020.122999999992</v>
      </c>
      <c r="M183" s="38">
        <f>'2024'!N183</f>
        <v>361.20540966334778</v>
      </c>
      <c r="N183" s="38">
        <v>390.10184243641567</v>
      </c>
      <c r="O183" s="38">
        <f>'2024'!P183</f>
        <v>39.028951936000006</v>
      </c>
      <c r="P183" s="27">
        <f>O183*1.04</f>
        <v>40.590110013440004</v>
      </c>
      <c r="Q183" s="27">
        <f>(M183-O183)*H183</f>
        <v>6190022.3535489878</v>
      </c>
      <c r="R183" s="27">
        <f>(M183-O183)*I183</f>
        <v>5381045.9669599757</v>
      </c>
      <c r="S183" s="27">
        <f>(N183-P183)*J183</f>
        <v>5254926.3725660602</v>
      </c>
      <c r="T183" s="27">
        <f>(N183-P183)*K183</f>
        <v>6315593.1220673881</v>
      </c>
      <c r="U183" s="27">
        <f t="shared" si="60"/>
        <v>23141587.815142412</v>
      </c>
      <c r="V183" s="119"/>
      <c r="W183" s="119"/>
      <c r="X183" s="119"/>
      <c r="Y183" s="29">
        <f t="shared" si="66"/>
        <v>108</v>
      </c>
      <c r="Z183" s="30">
        <f t="shared" si="67"/>
        <v>104</v>
      </c>
      <c r="AA183" s="2"/>
      <c r="AD183" s="32">
        <f t="shared" si="61"/>
        <v>0</v>
      </c>
    </row>
    <row r="184" spans="1:30" s="40" customFormat="1" ht="91.5" customHeight="1">
      <c r="A184" s="33" t="s">
        <v>99</v>
      </c>
      <c r="B184" s="34" t="s">
        <v>100</v>
      </c>
      <c r="C184" s="35" t="s">
        <v>62</v>
      </c>
      <c r="D184" s="33" t="s">
        <v>291</v>
      </c>
      <c r="E184" s="33"/>
      <c r="F184" s="36" t="s">
        <v>249</v>
      </c>
      <c r="G184" s="36"/>
      <c r="H184" s="26">
        <f>'2023'!H186</f>
        <v>59723.473999999995</v>
      </c>
      <c r="I184" s="26">
        <f>'2023'!I186</f>
        <v>53846.1</v>
      </c>
      <c r="J184" s="26">
        <f>'2023'!J186</f>
        <v>48471.49</v>
      </c>
      <c r="K184" s="26">
        <f>'2023'!K186</f>
        <v>58255.07</v>
      </c>
      <c r="L184" s="26">
        <f t="shared" si="59"/>
        <v>220296.13399999999</v>
      </c>
      <c r="M184" s="38">
        <f>'2024'!N184</f>
        <v>84.579452199363999</v>
      </c>
      <c r="N184" s="27">
        <v>90.943640368622169</v>
      </c>
      <c r="O184" s="38">
        <f>'2024'!P184</f>
        <v>39.028951936000006</v>
      </c>
      <c r="P184" s="27">
        <f>O184*1.04</f>
        <v>40.590110013440004</v>
      </c>
      <c r="Q184" s="27">
        <f>(M184-O184)*H184</f>
        <v>2720434.1181660122</v>
      </c>
      <c r="R184" s="27">
        <f>(M184-O184)*I184</f>
        <v>2452716.7922311239</v>
      </c>
      <c r="S184" s="27">
        <f>(N184-P184)*J184</f>
        <v>2440710.6430759085</v>
      </c>
      <c r="T184" s="27">
        <f>(N184-P184)*K184</f>
        <v>2933348.435588262</v>
      </c>
      <c r="U184" s="27">
        <f t="shared" si="60"/>
        <v>10547209.989061307</v>
      </c>
      <c r="V184" s="119"/>
      <c r="W184" s="119"/>
      <c r="X184" s="119"/>
      <c r="Y184" s="29"/>
      <c r="Z184" s="30"/>
      <c r="AA184" s="2"/>
      <c r="AD184" s="32"/>
    </row>
    <row r="185" spans="1:30" s="40" customFormat="1" ht="15" customHeight="1">
      <c r="A185" s="33"/>
      <c r="B185" s="34"/>
      <c r="C185" s="35"/>
      <c r="D185" s="33"/>
      <c r="E185" s="33"/>
      <c r="F185" s="36"/>
      <c r="G185" s="36"/>
      <c r="H185" s="26"/>
      <c r="I185" s="26"/>
      <c r="J185" s="26"/>
      <c r="K185" s="26"/>
      <c r="L185" s="37"/>
      <c r="M185" s="41"/>
      <c r="N185" s="41"/>
      <c r="O185" s="41"/>
      <c r="P185" s="41"/>
      <c r="Q185" s="27"/>
      <c r="R185" s="27"/>
      <c r="S185" s="27"/>
      <c r="T185" s="27"/>
      <c r="U185" s="27"/>
      <c r="V185" s="119"/>
      <c r="W185" s="119"/>
      <c r="X185" s="119"/>
      <c r="Y185" s="29" t="e">
        <f>N185/M185*100</f>
        <v>#DIV/0!</v>
      </c>
      <c r="Z185" s="30" t="e">
        <f>P185/O185*100</f>
        <v>#DIV/0!</v>
      </c>
      <c r="AA185" s="2"/>
      <c r="AD185" s="32" t="e">
        <f t="shared" si="61"/>
        <v>#DIV/0!</v>
      </c>
    </row>
    <row r="186" spans="1:30" s="40" customFormat="1" ht="56.25" customHeight="1">
      <c r="A186" s="33" t="s">
        <v>60</v>
      </c>
      <c r="B186" s="34" t="s">
        <v>74</v>
      </c>
      <c r="C186" s="35" t="s">
        <v>75</v>
      </c>
      <c r="D186" s="33" t="s">
        <v>63</v>
      </c>
      <c r="E186" s="33"/>
      <c r="F186" s="36" t="s">
        <v>249</v>
      </c>
      <c r="G186" s="36"/>
      <c r="H186" s="26">
        <f>'2023'!H188</f>
        <v>5540.5379999999996</v>
      </c>
      <c r="I186" s="26">
        <f>'2023'!I188</f>
        <v>5201.7179999999998</v>
      </c>
      <c r="J186" s="26">
        <f>'2023'!J188</f>
        <v>4082.7219999999998</v>
      </c>
      <c r="K186" s="26">
        <f>'2023'!K188</f>
        <v>5101.8580000000002</v>
      </c>
      <c r="L186" s="26">
        <f t="shared" si="59"/>
        <v>19926.835999999999</v>
      </c>
      <c r="M186" s="45">
        <f>'2024'!N186</f>
        <v>58.84</v>
      </c>
      <c r="N186" s="45">
        <v>63.547200000000004</v>
      </c>
      <c r="O186" s="45">
        <f>'2024'!P186</f>
        <v>37.585599999999999</v>
      </c>
      <c r="P186" s="45">
        <v>39.089024000000002</v>
      </c>
      <c r="Q186" s="27">
        <f>(M186-O186)*H186</f>
        <v>117760.81086720001</v>
      </c>
      <c r="R186" s="27">
        <f t="shared" ref="R186:S188" si="75">(M186-O186)*I186</f>
        <v>110559.39505920002</v>
      </c>
      <c r="S186" s="27">
        <f t="shared" si="75"/>
        <v>99855.933235072007</v>
      </c>
      <c r="T186" s="27">
        <f>(N186-P186)*K186</f>
        <v>124782.14089100801</v>
      </c>
      <c r="U186" s="27">
        <f t="shared" si="60"/>
        <v>452958.28005248006</v>
      </c>
      <c r="V186" s="119"/>
      <c r="W186" s="119"/>
      <c r="X186" s="119"/>
      <c r="Y186" s="29">
        <f>N186/M186*100</f>
        <v>108</v>
      </c>
      <c r="Z186" s="30">
        <f>P186/O186*100</f>
        <v>104</v>
      </c>
      <c r="AA186" s="2"/>
      <c r="AD186" s="32">
        <f t="shared" si="61"/>
        <v>0</v>
      </c>
    </row>
    <row r="187" spans="1:30" s="40" customFormat="1" ht="56.25" customHeight="1">
      <c r="A187" s="33" t="s">
        <v>251</v>
      </c>
      <c r="B187" s="34" t="s">
        <v>252</v>
      </c>
      <c r="C187" s="35" t="s">
        <v>75</v>
      </c>
      <c r="D187" s="33" t="s">
        <v>253</v>
      </c>
      <c r="E187" s="33"/>
      <c r="F187" s="36" t="s">
        <v>249</v>
      </c>
      <c r="G187" s="36"/>
      <c r="H187" s="26">
        <f>'2023'!H189</f>
        <v>55614.073999999993</v>
      </c>
      <c r="I187" s="26">
        <f>'2023'!I189</f>
        <v>54048.392999999996</v>
      </c>
      <c r="J187" s="26">
        <f>'2023'!J189</f>
        <v>41338.046999999999</v>
      </c>
      <c r="K187" s="26">
        <f>'2023'!K189</f>
        <v>53245.422000000006</v>
      </c>
      <c r="L187" s="26">
        <f t="shared" si="59"/>
        <v>204245.93599999999</v>
      </c>
      <c r="M187" s="45">
        <f>'2024'!N187</f>
        <v>58.84</v>
      </c>
      <c r="N187" s="45">
        <v>63.547200000000004</v>
      </c>
      <c r="O187" s="45">
        <f>'2024'!P187</f>
        <v>37.585599999999999</v>
      </c>
      <c r="P187" s="45">
        <v>39.089024000000002</v>
      </c>
      <c r="Q187" s="27">
        <f>(M187-O187)*H187</f>
        <v>1182043.7744256002</v>
      </c>
      <c r="R187" s="27">
        <f t="shared" si="75"/>
        <v>1148766.1641792001</v>
      </c>
      <c r="S187" s="27">
        <f t="shared" si="75"/>
        <v>1011053.229022272</v>
      </c>
      <c r="T187" s="27">
        <f>(N187-P187)*K187</f>
        <v>1302285.9024702723</v>
      </c>
      <c r="U187" s="27">
        <f t="shared" si="60"/>
        <v>4644149.070097344</v>
      </c>
      <c r="V187" s="119"/>
      <c r="W187" s="119"/>
      <c r="X187" s="119"/>
      <c r="Y187" s="29">
        <f>N187/M187*100</f>
        <v>108</v>
      </c>
      <c r="Z187" s="30">
        <f>P187/O187*100</f>
        <v>104</v>
      </c>
      <c r="AA187" s="2"/>
      <c r="AD187" s="32">
        <f t="shared" si="61"/>
        <v>0</v>
      </c>
    </row>
    <row r="188" spans="1:30" s="40" customFormat="1" ht="56.25" customHeight="1">
      <c r="A188" s="33" t="s">
        <v>251</v>
      </c>
      <c r="B188" s="34" t="s">
        <v>252</v>
      </c>
      <c r="C188" s="35" t="s">
        <v>75</v>
      </c>
      <c r="D188" s="33" t="s">
        <v>254</v>
      </c>
      <c r="E188" s="33"/>
      <c r="F188" s="36" t="s">
        <v>249</v>
      </c>
      <c r="G188" s="36"/>
      <c r="H188" s="26">
        <f>'2023'!H190</f>
        <v>27996.404000000002</v>
      </c>
      <c r="I188" s="26">
        <f>'2023'!I190</f>
        <v>27428.894999999997</v>
      </c>
      <c r="J188" s="26">
        <f>'2023'!J190</f>
        <v>20895.951999999997</v>
      </c>
      <c r="K188" s="26">
        <f>'2023'!K190</f>
        <v>26251.089999999997</v>
      </c>
      <c r="L188" s="26">
        <f t="shared" si="59"/>
        <v>102572.34099999999</v>
      </c>
      <c r="M188" s="45">
        <f>'2024'!N188</f>
        <v>62.85441500000001</v>
      </c>
      <c r="N188" s="38">
        <v>67.88</v>
      </c>
      <c r="O188" s="45">
        <f>'2024'!P188</f>
        <v>37.585599999999999</v>
      </c>
      <c r="P188" s="38">
        <v>39.090000000000003</v>
      </c>
      <c r="Q188" s="27">
        <f>(M188-O188)*H188</f>
        <v>707435.95334126032</v>
      </c>
      <c r="R188" s="27">
        <f t="shared" si="75"/>
        <v>693095.67340942519</v>
      </c>
      <c r="S188" s="27">
        <f t="shared" si="75"/>
        <v>601594.45807999978</v>
      </c>
      <c r="T188" s="27">
        <f>(N188-P188)*K188</f>
        <v>755768.88109999965</v>
      </c>
      <c r="U188" s="27">
        <f t="shared" si="60"/>
        <v>2757894.9659306849</v>
      </c>
      <c r="V188" s="119"/>
      <c r="W188" s="119"/>
      <c r="X188" s="119"/>
      <c r="Y188" s="29">
        <f>N188/M188*100</f>
        <v>107.99559585432461</v>
      </c>
      <c r="Z188" s="30">
        <f>P188/O188*100</f>
        <v>104.00259673917671</v>
      </c>
      <c r="AA188" s="2"/>
      <c r="AD188" s="32">
        <f t="shared" si="61"/>
        <v>-2.5967391767096615E-3</v>
      </c>
    </row>
    <row r="189" spans="1:30" s="40" customFormat="1" ht="15" customHeight="1">
      <c r="A189" s="33"/>
      <c r="B189" s="34"/>
      <c r="C189" s="35"/>
      <c r="D189" s="33"/>
      <c r="E189" s="33"/>
      <c r="F189" s="36"/>
      <c r="G189" s="36"/>
      <c r="H189" s="26"/>
      <c r="I189" s="26"/>
      <c r="J189" s="26"/>
      <c r="K189" s="26"/>
      <c r="L189" s="37"/>
      <c r="M189" s="41"/>
      <c r="N189" s="41"/>
      <c r="O189" s="41"/>
      <c r="P189" s="41"/>
      <c r="Q189" s="27"/>
      <c r="R189" s="27"/>
      <c r="S189" s="27"/>
      <c r="T189" s="27"/>
      <c r="U189" s="27"/>
      <c r="V189" s="119"/>
      <c r="W189" s="119"/>
      <c r="X189" s="119"/>
      <c r="Y189" s="29" t="e">
        <f>N189/M189*100</f>
        <v>#DIV/0!</v>
      </c>
      <c r="Z189" s="30" t="e">
        <f>P189/O189*100</f>
        <v>#DIV/0!</v>
      </c>
      <c r="AA189" s="2"/>
      <c r="AD189" s="32" t="e">
        <f t="shared" si="61"/>
        <v>#DIV/0!</v>
      </c>
    </row>
    <row r="190" spans="1:30" s="40" customFormat="1" ht="56.25" customHeight="1">
      <c r="A190" s="33">
        <v>2912007007</v>
      </c>
      <c r="B190" s="34" t="s">
        <v>292</v>
      </c>
      <c r="C190" s="35" t="s">
        <v>86</v>
      </c>
      <c r="D190" s="33" t="s">
        <v>87</v>
      </c>
      <c r="E190" s="33"/>
      <c r="F190" s="36" t="s">
        <v>249</v>
      </c>
      <c r="G190" s="36" t="s">
        <v>409</v>
      </c>
      <c r="H190" s="26">
        <f>'2023'!H192</f>
        <v>2170.328</v>
      </c>
      <c r="I190" s="26">
        <f>'2023'!I192</f>
        <v>1527.2370000000001</v>
      </c>
      <c r="J190" s="26">
        <f>'2023'!J192</f>
        <v>772.62599999999998</v>
      </c>
      <c r="K190" s="26">
        <f>'2023'!K192</f>
        <v>1789.202</v>
      </c>
      <c r="L190" s="26">
        <f t="shared" si="59"/>
        <v>6259.393</v>
      </c>
      <c r="M190" s="38">
        <f>'2024'!N190</f>
        <v>61.899898181465936</v>
      </c>
      <c r="N190" s="27">
        <v>66.851890035983217</v>
      </c>
      <c r="O190" s="38">
        <f>'2024'!P190</f>
        <v>46.703488000000007</v>
      </c>
      <c r="P190" s="27">
        <f>O190*1.04</f>
        <v>48.571627520000007</v>
      </c>
      <c r="Q190" s="27">
        <f>(M190-O190)*H190</f>
        <v>32981.194516320589</v>
      </c>
      <c r="R190" s="27">
        <f>(M190-O190)*I190</f>
        <v>23208.519896311482</v>
      </c>
      <c r="S190" s="27">
        <f>(N190-P190)*J190</f>
        <v>14123.806106674043</v>
      </c>
      <c r="T190" s="27">
        <f>(N190-P190)*K190</f>
        <v>32707.082254122193</v>
      </c>
      <c r="U190" s="27">
        <f t="shared" si="60"/>
        <v>103020.60277342831</v>
      </c>
      <c r="V190" s="119"/>
      <c r="W190" s="119"/>
      <c r="X190" s="119"/>
      <c r="Y190" s="29"/>
      <c r="Z190" s="30"/>
      <c r="AA190" s="2"/>
      <c r="AD190" s="32"/>
    </row>
    <row r="191" spans="1:30" s="40" customFormat="1" ht="56.25" customHeight="1">
      <c r="A191" s="33" t="s">
        <v>60</v>
      </c>
      <c r="B191" s="34" t="s">
        <v>61</v>
      </c>
      <c r="C191" s="35" t="s">
        <v>86</v>
      </c>
      <c r="D191" s="33" t="s">
        <v>87</v>
      </c>
      <c r="E191" s="33"/>
      <c r="F191" s="36" t="s">
        <v>249</v>
      </c>
      <c r="G191" s="36"/>
      <c r="H191" s="26">
        <f>'2023'!H193</f>
        <v>161.33699999999999</v>
      </c>
      <c r="I191" s="26">
        <f>'2023'!I193</f>
        <v>135.376</v>
      </c>
      <c r="J191" s="26">
        <f>'2023'!J193</f>
        <v>116.188</v>
      </c>
      <c r="K191" s="26">
        <f>'2023'!K193</f>
        <v>123.98</v>
      </c>
      <c r="L191" s="26">
        <f t="shared" si="59"/>
        <v>536.88099999999997</v>
      </c>
      <c r="M191" s="38">
        <f>'2024'!N191</f>
        <v>54.992384506</v>
      </c>
      <c r="N191" s="27">
        <v>59.391775266480003</v>
      </c>
      <c r="O191" s="38">
        <f>'2024'!P191</f>
        <v>45.643520000000009</v>
      </c>
      <c r="P191" s="27">
        <v>47.470385664000005</v>
      </c>
      <c r="Q191" s="27">
        <f>(M191-O191)*H191</f>
        <v>1508.3177528045205</v>
      </c>
      <c r="R191" s="27">
        <f>(M191-O191)*I191</f>
        <v>1265.6118813642549</v>
      </c>
      <c r="S191" s="27">
        <f>(N191-P191)*J191</f>
        <v>1385.1224151329461</v>
      </c>
      <c r="T191" s="27">
        <f>(N191-P191)*K191</f>
        <v>1478.0138829154703</v>
      </c>
      <c r="U191" s="27">
        <f t="shared" si="60"/>
        <v>5637.0659322171914</v>
      </c>
      <c r="V191" s="119"/>
      <c r="W191" s="119"/>
      <c r="X191" s="119"/>
      <c r="Y191" s="29">
        <f t="shared" ref="Y191:Y212" si="76">N191/M191*100</f>
        <v>108</v>
      </c>
      <c r="Z191" s="30">
        <f t="shared" ref="Z191:Z212" si="77">P191/O191*100</f>
        <v>104.00246445497629</v>
      </c>
      <c r="AA191" s="2"/>
      <c r="AD191" s="32">
        <f t="shared" si="61"/>
        <v>-2.4644549762911083E-3</v>
      </c>
    </row>
    <row r="192" spans="1:30" s="40" customFormat="1" ht="15" customHeight="1">
      <c r="A192" s="33"/>
      <c r="B192" s="34"/>
      <c r="C192" s="35"/>
      <c r="D192" s="33"/>
      <c r="E192" s="33"/>
      <c r="F192" s="36"/>
      <c r="G192" s="36"/>
      <c r="H192" s="26"/>
      <c r="I192" s="26"/>
      <c r="J192" s="26"/>
      <c r="K192" s="26"/>
      <c r="L192" s="37"/>
      <c r="M192" s="41"/>
      <c r="N192" s="41"/>
      <c r="O192" s="41"/>
      <c r="P192" s="41"/>
      <c r="Q192" s="27"/>
      <c r="R192" s="27"/>
      <c r="S192" s="27"/>
      <c r="T192" s="27"/>
      <c r="U192" s="27"/>
      <c r="V192" s="119"/>
      <c r="W192" s="119"/>
      <c r="X192" s="119"/>
      <c r="Y192" s="29" t="e">
        <f t="shared" si="76"/>
        <v>#DIV/0!</v>
      </c>
      <c r="Z192" s="30" t="e">
        <f t="shared" si="77"/>
        <v>#DIV/0!</v>
      </c>
      <c r="AA192" s="2"/>
      <c r="AD192" s="32" t="e">
        <f t="shared" si="61"/>
        <v>#DIV/0!</v>
      </c>
    </row>
    <row r="193" spans="1:30" s="40" customFormat="1" ht="56.25" customHeight="1">
      <c r="A193" s="33">
        <v>2901294110</v>
      </c>
      <c r="B193" s="34" t="s">
        <v>294</v>
      </c>
      <c r="C193" s="35" t="s">
        <v>97</v>
      </c>
      <c r="D193" s="33" t="s">
        <v>104</v>
      </c>
      <c r="E193" s="33"/>
      <c r="F193" s="36" t="s">
        <v>249</v>
      </c>
      <c r="G193" s="36" t="s">
        <v>101</v>
      </c>
      <c r="H193" s="26">
        <f>'2023'!H195</f>
        <v>860.44399999999996</v>
      </c>
      <c r="I193" s="26">
        <f>'2023'!I195</f>
        <v>1207.7660000000001</v>
      </c>
      <c r="J193" s="26">
        <f>'2023'!J195</f>
        <v>849.58400000000006</v>
      </c>
      <c r="K193" s="26">
        <f>'2023'!K195</f>
        <v>874.54600000000005</v>
      </c>
      <c r="L193" s="26">
        <f t="shared" si="59"/>
        <v>3792.34</v>
      </c>
      <c r="M193" s="38">
        <v>175.25508000000002</v>
      </c>
      <c r="N193" s="27">
        <v>175.25508000000002</v>
      </c>
      <c r="O193" s="38">
        <v>92.833728000000008</v>
      </c>
      <c r="P193" s="27">
        <v>96.547077120000012</v>
      </c>
      <c r="Q193" s="27">
        <f>(M193-O193)*H193</f>
        <v>70918.957800288001</v>
      </c>
      <c r="R193" s="27">
        <f t="shared" ref="R193:S195" si="78">(M193-O193)*I193</f>
        <v>99545.706619632023</v>
      </c>
      <c r="S193" s="27">
        <f t="shared" si="78"/>
        <v>66869.059918801926</v>
      </c>
      <c r="T193" s="27">
        <f>(N193-P193)*K193</f>
        <v>68833.769086692497</v>
      </c>
      <c r="U193" s="27">
        <f t="shared" si="60"/>
        <v>306167.49342541443</v>
      </c>
      <c r="V193" s="119"/>
      <c r="W193" s="119"/>
      <c r="X193" s="119"/>
      <c r="Y193" s="29">
        <f t="shared" si="76"/>
        <v>100</v>
      </c>
      <c r="Z193" s="30">
        <f t="shared" si="77"/>
        <v>104</v>
      </c>
      <c r="AA193" s="2"/>
      <c r="AD193" s="32">
        <f t="shared" si="61"/>
        <v>0</v>
      </c>
    </row>
    <row r="194" spans="1:30" s="40" customFormat="1" ht="56.25" customHeight="1">
      <c r="A194" s="33">
        <v>2901294110</v>
      </c>
      <c r="B194" s="34" t="s">
        <v>294</v>
      </c>
      <c r="C194" s="35" t="s">
        <v>97</v>
      </c>
      <c r="D194" s="33" t="s">
        <v>255</v>
      </c>
      <c r="E194" s="33"/>
      <c r="F194" s="36" t="s">
        <v>249</v>
      </c>
      <c r="G194" s="36" t="s">
        <v>293</v>
      </c>
      <c r="H194" s="26">
        <f>'2023'!H196</f>
        <v>1337.848</v>
      </c>
      <c r="I194" s="26">
        <f>'2023'!I196</f>
        <v>1100.518</v>
      </c>
      <c r="J194" s="26">
        <f>'2023'!J196</f>
        <v>1016.353</v>
      </c>
      <c r="K194" s="26">
        <f>'2023'!K196</f>
        <v>1056.6399999999999</v>
      </c>
      <c r="L194" s="26">
        <f t="shared" si="59"/>
        <v>4511.3590000000004</v>
      </c>
      <c r="M194" s="38">
        <v>210.29</v>
      </c>
      <c r="N194" s="27">
        <v>227.11320000000003</v>
      </c>
      <c r="O194" s="38">
        <v>83.975424000000018</v>
      </c>
      <c r="P194" s="27">
        <v>87.334440960000023</v>
      </c>
      <c r="Q194" s="27">
        <f>(M194-O194)*H194</f>
        <v>168989.70287244796</v>
      </c>
      <c r="R194" s="27">
        <f t="shared" si="78"/>
        <v>139011.46455036796</v>
      </c>
      <c r="S194" s="27">
        <f t="shared" si="78"/>
        <v>142064.56108658112</v>
      </c>
      <c r="T194" s="27">
        <f>(N194-P194)*K194</f>
        <v>147695.8279520256</v>
      </c>
      <c r="U194" s="27">
        <f t="shared" si="60"/>
        <v>597761.55646142259</v>
      </c>
      <c r="V194" s="119"/>
      <c r="W194" s="119"/>
      <c r="X194" s="119"/>
      <c r="Y194" s="29">
        <f t="shared" si="76"/>
        <v>108.00000000000003</v>
      </c>
      <c r="Z194" s="30">
        <f t="shared" si="77"/>
        <v>104</v>
      </c>
      <c r="AA194" s="116"/>
      <c r="AD194" s="32">
        <f t="shared" si="61"/>
        <v>0</v>
      </c>
    </row>
    <row r="195" spans="1:30" s="40" customFormat="1" ht="56.25" customHeight="1">
      <c r="A195" s="33">
        <v>2901294110</v>
      </c>
      <c r="B195" s="34" t="s">
        <v>294</v>
      </c>
      <c r="C195" s="35" t="s">
        <v>97</v>
      </c>
      <c r="D195" s="33" t="s">
        <v>295</v>
      </c>
      <c r="E195" s="33"/>
      <c r="F195" s="36" t="s">
        <v>249</v>
      </c>
      <c r="G195" s="36" t="s">
        <v>293</v>
      </c>
      <c r="H195" s="26">
        <f>'2023'!H197</f>
        <v>4589.1759999999995</v>
      </c>
      <c r="I195" s="26">
        <f>'2023'!I197</f>
        <v>4859.7780000000002</v>
      </c>
      <c r="J195" s="26">
        <f>'2023'!J197</f>
        <v>3754.3440000000001</v>
      </c>
      <c r="K195" s="26">
        <f>'2023'!K197</f>
        <v>3871.1950000000002</v>
      </c>
      <c r="L195" s="26">
        <f t="shared" si="59"/>
        <v>17074.492999999999</v>
      </c>
      <c r="M195" s="38">
        <v>210.29</v>
      </c>
      <c r="N195" s="27">
        <v>227.11320000000003</v>
      </c>
      <c r="O195" s="38">
        <v>70.747456</v>
      </c>
      <c r="P195" s="27">
        <v>73.577354240000005</v>
      </c>
      <c r="Q195" s="27">
        <f>(M195-O195)*H195</f>
        <v>640385.29390374385</v>
      </c>
      <c r="R195" s="27">
        <f t="shared" si="78"/>
        <v>678145.78539523203</v>
      </c>
      <c r="S195" s="27">
        <f t="shared" si="78"/>
        <v>576426.3813139816</v>
      </c>
      <c r="T195" s="27">
        <f>(N195-P195)*K195</f>
        <v>594367.19842688332</v>
      </c>
      <c r="U195" s="27">
        <f t="shared" si="60"/>
        <v>2489324.6590398406</v>
      </c>
      <c r="V195" s="119"/>
      <c r="W195" s="119"/>
      <c r="X195" s="119"/>
      <c r="Y195" s="29">
        <f t="shared" si="76"/>
        <v>108.00000000000003</v>
      </c>
      <c r="Z195" s="30">
        <f t="shared" si="77"/>
        <v>104</v>
      </c>
      <c r="AA195" s="116"/>
      <c r="AD195" s="32">
        <f t="shared" si="61"/>
        <v>0</v>
      </c>
    </row>
    <row r="196" spans="1:30" s="96" customFormat="1" ht="15" customHeight="1">
      <c r="A196" s="33"/>
      <c r="B196" s="34"/>
      <c r="C196" s="35"/>
      <c r="D196" s="33"/>
      <c r="E196" s="33"/>
      <c r="F196" s="36"/>
      <c r="G196" s="36"/>
      <c r="H196" s="26"/>
      <c r="I196" s="26"/>
      <c r="J196" s="26"/>
      <c r="K196" s="26"/>
      <c r="L196" s="37"/>
      <c r="M196" s="41"/>
      <c r="N196" s="41"/>
      <c r="O196" s="41"/>
      <c r="P196" s="41"/>
      <c r="Q196" s="27"/>
      <c r="R196" s="27"/>
      <c r="S196" s="27"/>
      <c r="T196" s="27"/>
      <c r="U196" s="27"/>
      <c r="V196" s="129"/>
      <c r="W196" s="129"/>
      <c r="X196" s="129"/>
      <c r="Y196" s="29" t="e">
        <f t="shared" si="76"/>
        <v>#DIV/0!</v>
      </c>
      <c r="Z196" s="30" t="e">
        <f t="shared" si="77"/>
        <v>#DIV/0!</v>
      </c>
      <c r="AA196" s="116"/>
      <c r="AD196" s="32" t="e">
        <f t="shared" si="61"/>
        <v>#DIV/0!</v>
      </c>
    </row>
    <row r="197" spans="1:30" s="40" customFormat="1" ht="56.25" customHeight="1">
      <c r="A197" s="33" t="s">
        <v>116</v>
      </c>
      <c r="B197" s="34" t="s">
        <v>117</v>
      </c>
      <c r="C197" s="35" t="s">
        <v>113</v>
      </c>
      <c r="D197" s="33" t="s">
        <v>118</v>
      </c>
      <c r="E197" s="33"/>
      <c r="F197" s="36" t="s">
        <v>249</v>
      </c>
      <c r="G197" s="36"/>
      <c r="H197" s="26">
        <f>'2023'!H199</f>
        <v>2537.6400000000003</v>
      </c>
      <c r="I197" s="26">
        <f>'2023'!I199</f>
        <v>2517.4139999999998</v>
      </c>
      <c r="J197" s="26">
        <f>'2023'!J199</f>
        <v>2610.3009999999999</v>
      </c>
      <c r="K197" s="26">
        <f>'2023'!K199</f>
        <v>2462.4870000000001</v>
      </c>
      <c r="L197" s="26">
        <f t="shared" si="59"/>
        <v>10127.842000000001</v>
      </c>
      <c r="M197" s="38">
        <f>M84</f>
        <v>71.23</v>
      </c>
      <c r="N197" s="38">
        <f t="shared" ref="N197:O197" si="79">N84</f>
        <v>76.930000000000007</v>
      </c>
      <c r="O197" s="38">
        <f t="shared" si="79"/>
        <v>24.876800000000003</v>
      </c>
      <c r="P197" s="27">
        <f>O197*1.04</f>
        <v>25.871872000000003</v>
      </c>
      <c r="Q197" s="27">
        <f>(M197-O197)*H197</f>
        <v>117627.73444800002</v>
      </c>
      <c r="R197" s="27">
        <f>(M197-O197)*I197</f>
        <v>116690.19462479999</v>
      </c>
      <c r="S197" s="27">
        <f>(N197-P197)*J197</f>
        <v>133277.08257652802</v>
      </c>
      <c r="T197" s="27">
        <f>(N197-P197)*K197</f>
        <v>125729.97644433602</v>
      </c>
      <c r="U197" s="27">
        <f t="shared" si="60"/>
        <v>493324.98809366405</v>
      </c>
      <c r="V197" s="119"/>
      <c r="W197" s="119"/>
      <c r="X197" s="119"/>
      <c r="Y197" s="29">
        <f t="shared" si="76"/>
        <v>108.00224624455987</v>
      </c>
      <c r="Z197" s="30">
        <f t="shared" si="77"/>
        <v>104</v>
      </c>
      <c r="AA197" s="2"/>
      <c r="AD197" s="32">
        <f t="shared" si="61"/>
        <v>0</v>
      </c>
    </row>
    <row r="198" spans="1:30" s="40" customFormat="1" ht="15" customHeight="1">
      <c r="A198" s="33"/>
      <c r="B198" s="34"/>
      <c r="C198" s="35"/>
      <c r="D198" s="33"/>
      <c r="E198" s="33"/>
      <c r="F198" s="36"/>
      <c r="G198" s="36"/>
      <c r="H198" s="26"/>
      <c r="I198" s="26"/>
      <c r="J198" s="26"/>
      <c r="K198" s="26"/>
      <c r="L198" s="37"/>
      <c r="M198" s="41"/>
      <c r="N198" s="41"/>
      <c r="O198" s="41"/>
      <c r="P198" s="41"/>
      <c r="Q198" s="27"/>
      <c r="R198" s="27"/>
      <c r="S198" s="27"/>
      <c r="T198" s="27"/>
      <c r="U198" s="27"/>
      <c r="V198" s="119"/>
      <c r="W198" s="119"/>
      <c r="X198" s="119"/>
      <c r="Y198" s="29" t="e">
        <f t="shared" si="76"/>
        <v>#DIV/0!</v>
      </c>
      <c r="Z198" s="30" t="e">
        <f t="shared" si="77"/>
        <v>#DIV/0!</v>
      </c>
      <c r="AA198" s="2"/>
      <c r="AD198" s="32" t="e">
        <f t="shared" si="61"/>
        <v>#DIV/0!</v>
      </c>
    </row>
    <row r="199" spans="1:30" s="40" customFormat="1" ht="56.25" customHeight="1">
      <c r="A199" s="33" t="s">
        <v>256</v>
      </c>
      <c r="B199" s="34" t="s">
        <v>257</v>
      </c>
      <c r="C199" s="35" t="s">
        <v>129</v>
      </c>
      <c r="D199" s="33" t="s">
        <v>130</v>
      </c>
      <c r="E199" s="33"/>
      <c r="F199" s="36" t="s">
        <v>249</v>
      </c>
      <c r="G199" s="36" t="s">
        <v>101</v>
      </c>
      <c r="H199" s="26">
        <f>'2023'!H201</f>
        <v>25439.89</v>
      </c>
      <c r="I199" s="26">
        <f>'2023'!I201</f>
        <v>18022.539999999997</v>
      </c>
      <c r="J199" s="26">
        <f>'2023'!J201</f>
        <v>5647.29</v>
      </c>
      <c r="K199" s="26">
        <f>'2023'!K201</f>
        <v>19628.623</v>
      </c>
      <c r="L199" s="26">
        <f t="shared" si="59"/>
        <v>68738.342999999993</v>
      </c>
      <c r="M199" s="38">
        <f>'2024'!N199</f>
        <v>98.436191000000008</v>
      </c>
      <c r="N199" s="27">
        <v>106.31</v>
      </c>
      <c r="O199" s="38">
        <f>'2024'!P199</f>
        <v>51.592320000000008</v>
      </c>
      <c r="P199" s="27">
        <f>O199*1.04</f>
        <v>53.656012800000013</v>
      </c>
      <c r="Q199" s="27">
        <f>(M199-O199)*H199</f>
        <v>1191702.9254141899</v>
      </c>
      <c r="R199" s="27">
        <f t="shared" ref="R199:S201" si="80">(M199-O199)*I199</f>
        <v>844245.53885233984</v>
      </c>
      <c r="S199" s="27">
        <f t="shared" si="80"/>
        <v>297352.33537468791</v>
      </c>
      <c r="T199" s="27">
        <f>(N199-P199)*K199</f>
        <v>1033525.2641956253</v>
      </c>
      <c r="U199" s="27">
        <f t="shared" si="60"/>
        <v>3366826.0638368428</v>
      </c>
      <c r="V199" s="119"/>
      <c r="W199" s="119"/>
      <c r="X199" s="119"/>
      <c r="Y199" s="29">
        <f t="shared" si="76"/>
        <v>107.99889646278571</v>
      </c>
      <c r="Z199" s="30">
        <f t="shared" si="77"/>
        <v>104</v>
      </c>
      <c r="AA199" s="2"/>
      <c r="AD199" s="32">
        <f t="shared" si="61"/>
        <v>0</v>
      </c>
    </row>
    <row r="200" spans="1:30" s="40" customFormat="1" ht="56.25" customHeight="1">
      <c r="A200" s="33" t="s">
        <v>60</v>
      </c>
      <c r="B200" s="34" t="s">
        <v>61</v>
      </c>
      <c r="C200" s="35" t="s">
        <v>129</v>
      </c>
      <c r="D200" s="33" t="s">
        <v>258</v>
      </c>
      <c r="E200" s="33"/>
      <c r="F200" s="36" t="s">
        <v>249</v>
      </c>
      <c r="G200" s="36"/>
      <c r="H200" s="26">
        <f>'2023'!H202</f>
        <v>622.02099999999996</v>
      </c>
      <c r="I200" s="26">
        <f>'2023'!I202</f>
        <v>483.65099999999995</v>
      </c>
      <c r="J200" s="26">
        <f>'2023'!J202</f>
        <v>545.42200000000003</v>
      </c>
      <c r="K200" s="26">
        <f>'2023'!K202</f>
        <v>1007.8899999999999</v>
      </c>
      <c r="L200" s="26">
        <f t="shared" si="59"/>
        <v>2658.9839999999999</v>
      </c>
      <c r="M200" s="38">
        <f>'2024'!N200</f>
        <v>54.992384506</v>
      </c>
      <c r="N200" s="27">
        <v>59.391775266480003</v>
      </c>
      <c r="O200" s="38">
        <f>'2024'!P200</f>
        <v>47.049600000000005</v>
      </c>
      <c r="P200" s="27">
        <v>48.931584000000008</v>
      </c>
      <c r="Q200" s="27">
        <f>(M200-O200)*H200</f>
        <v>4940.5787612066224</v>
      </c>
      <c r="R200" s="27">
        <f t="shared" si="80"/>
        <v>3841.5356691114034</v>
      </c>
      <c r="S200" s="27">
        <f t="shared" si="80"/>
        <v>5705.2184409460524</v>
      </c>
      <c r="T200" s="27">
        <f>(N200-P200)*K200</f>
        <v>10542.72217557252</v>
      </c>
      <c r="U200" s="27">
        <f t="shared" si="60"/>
        <v>25030.055046836598</v>
      </c>
      <c r="V200" s="119"/>
      <c r="W200" s="119"/>
      <c r="X200" s="119"/>
      <c r="Y200" s="29">
        <f t="shared" si="76"/>
        <v>108</v>
      </c>
      <c r="Z200" s="30">
        <f t="shared" si="77"/>
        <v>104</v>
      </c>
      <c r="AA200" s="2"/>
      <c r="AD200" s="32">
        <f t="shared" si="61"/>
        <v>0</v>
      </c>
    </row>
    <row r="201" spans="1:30" s="40" customFormat="1" ht="56.25" customHeight="1">
      <c r="A201" s="33" t="s">
        <v>60</v>
      </c>
      <c r="B201" s="34" t="s">
        <v>61</v>
      </c>
      <c r="C201" s="35" t="s">
        <v>129</v>
      </c>
      <c r="D201" s="33" t="s">
        <v>259</v>
      </c>
      <c r="E201" s="33"/>
      <c r="F201" s="36" t="s">
        <v>249</v>
      </c>
      <c r="G201" s="36"/>
      <c r="H201" s="26">
        <f>'2023'!H203</f>
        <v>1542.2309999999998</v>
      </c>
      <c r="I201" s="26">
        <f>'2023'!I203</f>
        <v>1112.7450000000001</v>
      </c>
      <c r="J201" s="26">
        <f>'2023'!J203</f>
        <v>1228.5740000000001</v>
      </c>
      <c r="K201" s="26">
        <f>'2023'!K203</f>
        <v>1748.5060000000001</v>
      </c>
      <c r="L201" s="26">
        <f t="shared" si="59"/>
        <v>5632.0559999999996</v>
      </c>
      <c r="M201" s="38">
        <f>'2024'!N201</f>
        <v>98.436191000000008</v>
      </c>
      <c r="N201" s="27">
        <v>106.31</v>
      </c>
      <c r="O201" s="38">
        <f>'2024'!P201</f>
        <v>47.049600000000005</v>
      </c>
      <c r="P201" s="27">
        <f>O201*1.04</f>
        <v>48.931584000000008</v>
      </c>
      <c r="Q201" s="27">
        <f>(M201-O201)*H201</f>
        <v>79249.993624520997</v>
      </c>
      <c r="R201" s="27">
        <f t="shared" si="80"/>
        <v>57180.172202295013</v>
      </c>
      <c r="S201" s="27">
        <f t="shared" si="80"/>
        <v>70493.630058783994</v>
      </c>
      <c r="T201" s="27">
        <f>(N201-P201)*K201</f>
        <v>100326.50464649599</v>
      </c>
      <c r="U201" s="27">
        <f t="shared" si="60"/>
        <v>307250.30053209595</v>
      </c>
      <c r="V201" s="119"/>
      <c r="W201" s="119"/>
      <c r="X201" s="119"/>
      <c r="Y201" s="29">
        <f t="shared" si="76"/>
        <v>107.99889646278571</v>
      </c>
      <c r="Z201" s="30">
        <f t="shared" si="77"/>
        <v>104</v>
      </c>
      <c r="AA201" s="2"/>
      <c r="AD201" s="32">
        <f t="shared" si="61"/>
        <v>0</v>
      </c>
    </row>
    <row r="202" spans="1:30" s="40" customFormat="1" ht="15" customHeight="1">
      <c r="A202" s="33"/>
      <c r="B202" s="34"/>
      <c r="C202" s="35"/>
      <c r="D202" s="33"/>
      <c r="E202" s="33"/>
      <c r="F202" s="36"/>
      <c r="G202" s="36"/>
      <c r="H202" s="26"/>
      <c r="I202" s="26"/>
      <c r="J202" s="26"/>
      <c r="K202" s="26"/>
      <c r="L202" s="37"/>
      <c r="M202" s="41"/>
      <c r="N202" s="41"/>
      <c r="O202" s="41"/>
      <c r="P202" s="41"/>
      <c r="Q202" s="27"/>
      <c r="R202" s="27"/>
      <c r="S202" s="27"/>
      <c r="T202" s="27"/>
      <c r="U202" s="27"/>
      <c r="V202" s="119"/>
      <c r="W202" s="119"/>
      <c r="X202" s="119"/>
      <c r="Y202" s="29" t="e">
        <f t="shared" si="76"/>
        <v>#DIV/0!</v>
      </c>
      <c r="Z202" s="30" t="e">
        <f t="shared" si="77"/>
        <v>#DIV/0!</v>
      </c>
      <c r="AA202" s="2"/>
      <c r="AD202" s="32" t="e">
        <f t="shared" si="61"/>
        <v>#DIV/0!</v>
      </c>
    </row>
    <row r="203" spans="1:30" s="40" customFormat="1" ht="56.25" customHeight="1">
      <c r="A203" s="33" t="s">
        <v>260</v>
      </c>
      <c r="B203" s="34" t="s">
        <v>261</v>
      </c>
      <c r="C203" s="35" t="s">
        <v>134</v>
      </c>
      <c r="D203" s="33" t="s">
        <v>135</v>
      </c>
      <c r="E203" s="33"/>
      <c r="F203" s="36" t="s">
        <v>249</v>
      </c>
      <c r="G203" s="36"/>
      <c r="H203" s="26">
        <f>'2023'!H205</f>
        <v>3299.7670000000003</v>
      </c>
      <c r="I203" s="26">
        <f>'2023'!I205</f>
        <v>3256.8440000000001</v>
      </c>
      <c r="J203" s="26">
        <f>'2023'!J205</f>
        <v>2501.3560000000002</v>
      </c>
      <c r="K203" s="26">
        <f>'2023'!K205</f>
        <v>3050.0450000000001</v>
      </c>
      <c r="L203" s="26">
        <f t="shared" ref="L203:L263" si="81">H203+I203+J203+K203</f>
        <v>12108.012000000001</v>
      </c>
      <c r="M203" s="38">
        <f>'2024'!N203</f>
        <v>59.939100000000003</v>
      </c>
      <c r="N203" s="27">
        <v>62.336664000000006</v>
      </c>
      <c r="O203" s="38">
        <f>'2024'!P203</f>
        <v>47.049600000000005</v>
      </c>
      <c r="P203" s="27">
        <v>48.931584000000008</v>
      </c>
      <c r="Q203" s="27">
        <f>(M203-O203)*H203</f>
        <v>42532.346746499999</v>
      </c>
      <c r="R203" s="27">
        <f>(M203-O203)*I203</f>
        <v>41979.090737999992</v>
      </c>
      <c r="S203" s="27">
        <f>(N203-P203)*J203</f>
        <v>33530.877288479998</v>
      </c>
      <c r="T203" s="27">
        <f>(N203-P203)*K203</f>
        <v>40886.097228599996</v>
      </c>
      <c r="U203" s="27">
        <f t="shared" ref="U203:U266" si="82">Q203+R203+S203+T203</f>
        <v>158928.41200158</v>
      </c>
      <c r="V203" s="119"/>
      <c r="W203" s="119"/>
      <c r="X203" s="119"/>
      <c r="Y203" s="29">
        <f t="shared" si="76"/>
        <v>104</v>
      </c>
      <c r="Z203" s="30">
        <f t="shared" si="77"/>
        <v>104</v>
      </c>
      <c r="AA203" s="2"/>
      <c r="AD203" s="32">
        <f t="shared" si="61"/>
        <v>0</v>
      </c>
    </row>
    <row r="204" spans="1:30" s="40" customFormat="1" ht="56.25" customHeight="1">
      <c r="A204" s="33" t="s">
        <v>60</v>
      </c>
      <c r="B204" s="34" t="s">
        <v>61</v>
      </c>
      <c r="C204" s="35" t="s">
        <v>134</v>
      </c>
      <c r="D204" s="33" t="s">
        <v>135</v>
      </c>
      <c r="E204" s="33"/>
      <c r="F204" s="36" t="s">
        <v>249</v>
      </c>
      <c r="G204" s="36"/>
      <c r="H204" s="26">
        <f>'2023'!H206</f>
        <v>25</v>
      </c>
      <c r="I204" s="26">
        <f>'2023'!I206</f>
        <v>23</v>
      </c>
      <c r="J204" s="26">
        <f>'2023'!J206</f>
        <v>3</v>
      </c>
      <c r="K204" s="26">
        <f>'2023'!K206</f>
        <v>2</v>
      </c>
      <c r="L204" s="26">
        <f t="shared" si="81"/>
        <v>53</v>
      </c>
      <c r="M204" s="38">
        <f>'2024'!N204</f>
        <v>54.992384506</v>
      </c>
      <c r="N204" s="27">
        <v>59.391775266480003</v>
      </c>
      <c r="O204" s="38">
        <f>'2024'!P204</f>
        <v>47.049600000000005</v>
      </c>
      <c r="P204" s="27">
        <v>48.931584000000008</v>
      </c>
      <c r="Q204" s="27">
        <f>(M204-O204)*H204</f>
        <v>198.5696126499999</v>
      </c>
      <c r="R204" s="27">
        <f>(M204-O204)*I204</f>
        <v>182.68404363799988</v>
      </c>
      <c r="S204" s="27">
        <f>(N204-P204)*J204</f>
        <v>31.380573799439986</v>
      </c>
      <c r="T204" s="27">
        <f>(N204-P204)*K204</f>
        <v>20.920382532959991</v>
      </c>
      <c r="U204" s="27">
        <f t="shared" si="82"/>
        <v>433.55461262039972</v>
      </c>
      <c r="V204" s="119"/>
      <c r="W204" s="119"/>
      <c r="X204" s="119"/>
      <c r="Y204" s="29">
        <f t="shared" si="76"/>
        <v>108</v>
      </c>
      <c r="Z204" s="30">
        <f t="shared" si="77"/>
        <v>104</v>
      </c>
      <c r="AA204" s="2"/>
      <c r="AD204" s="32">
        <f t="shared" si="61"/>
        <v>0</v>
      </c>
    </row>
    <row r="205" spans="1:30" s="40" customFormat="1" ht="15" customHeight="1">
      <c r="A205" s="33"/>
      <c r="B205" s="34"/>
      <c r="C205" s="35"/>
      <c r="D205" s="33"/>
      <c r="E205" s="33"/>
      <c r="F205" s="36"/>
      <c r="G205" s="36"/>
      <c r="H205" s="26"/>
      <c r="I205" s="26"/>
      <c r="J205" s="26"/>
      <c r="K205" s="26"/>
      <c r="L205" s="37"/>
      <c r="M205" s="41"/>
      <c r="N205" s="41"/>
      <c r="O205" s="41"/>
      <c r="P205" s="41"/>
      <c r="Q205" s="27"/>
      <c r="R205" s="27"/>
      <c r="S205" s="27"/>
      <c r="T205" s="27"/>
      <c r="U205" s="27"/>
      <c r="V205" s="119"/>
      <c r="W205" s="119"/>
      <c r="X205" s="119"/>
      <c r="Y205" s="29" t="e">
        <f t="shared" si="76"/>
        <v>#DIV/0!</v>
      </c>
      <c r="Z205" s="30" t="e">
        <f t="shared" si="77"/>
        <v>#DIV/0!</v>
      </c>
      <c r="AA205" s="2"/>
      <c r="AD205" s="32" t="e">
        <f t="shared" si="61"/>
        <v>#DIV/0!</v>
      </c>
    </row>
    <row r="206" spans="1:30" s="40" customFormat="1" ht="56.25" customHeight="1">
      <c r="A206" s="33" t="s">
        <v>60</v>
      </c>
      <c r="B206" s="34" t="s">
        <v>61</v>
      </c>
      <c r="C206" s="35" t="s">
        <v>343</v>
      </c>
      <c r="D206" s="33" t="s">
        <v>159</v>
      </c>
      <c r="E206" s="33"/>
      <c r="F206" s="36" t="s">
        <v>249</v>
      </c>
      <c r="G206" s="36"/>
      <c r="H206" s="26">
        <f>'2023'!H208</f>
        <v>1480.5049999999999</v>
      </c>
      <c r="I206" s="26">
        <f>'2023'!I208</f>
        <v>1475.07</v>
      </c>
      <c r="J206" s="26">
        <f>'2023'!J208</f>
        <v>1236.6559999999999</v>
      </c>
      <c r="K206" s="26">
        <f>'2023'!K208</f>
        <v>1922.84</v>
      </c>
      <c r="L206" s="26">
        <f t="shared" si="81"/>
        <v>6115.0709999999999</v>
      </c>
      <c r="M206" s="38">
        <f>'2024'!N206</f>
        <v>54.992384506</v>
      </c>
      <c r="N206" s="27">
        <v>59.391775266480003</v>
      </c>
      <c r="O206" s="38">
        <f>'2024'!P206</f>
        <v>34.286720000000003</v>
      </c>
      <c r="P206" s="27">
        <v>35.658188800000005</v>
      </c>
      <c r="Q206" s="27">
        <f>(M206-O206)*H206</f>
        <v>30654.839829455526</v>
      </c>
      <c r="R206" s="27">
        <f t="shared" ref="R206:S208" si="83">(M206-O206)*I206</f>
        <v>30542.304542865415</v>
      </c>
      <c r="S206" s="27">
        <f t="shared" si="83"/>
        <v>29350.282105291288</v>
      </c>
      <c r="T206" s="27">
        <f>(N206-P206)*K206</f>
        <v>45635.889401206397</v>
      </c>
      <c r="U206" s="27">
        <f t="shared" si="82"/>
        <v>136183.31587881863</v>
      </c>
      <c r="V206" s="119"/>
      <c r="W206" s="119"/>
      <c r="X206" s="119"/>
      <c r="Y206" s="29">
        <f t="shared" si="76"/>
        <v>108</v>
      </c>
      <c r="Z206" s="30">
        <f t="shared" si="77"/>
        <v>104</v>
      </c>
      <c r="AA206" s="2"/>
      <c r="AD206" s="32">
        <f t="shared" si="61"/>
        <v>0</v>
      </c>
    </row>
    <row r="207" spans="1:30" s="40" customFormat="1" ht="56.25" customHeight="1">
      <c r="A207" s="33">
        <v>2924005075</v>
      </c>
      <c r="B207" s="34" t="s">
        <v>262</v>
      </c>
      <c r="C207" s="35" t="s">
        <v>170</v>
      </c>
      <c r="D207" s="33" t="s">
        <v>263</v>
      </c>
      <c r="E207" s="33"/>
      <c r="F207" s="36" t="s">
        <v>249</v>
      </c>
      <c r="G207" s="36" t="s">
        <v>410</v>
      </c>
      <c r="H207" s="26">
        <f>'2023'!H209</f>
        <v>7155.25</v>
      </c>
      <c r="I207" s="26">
        <f>'2023'!I209</f>
        <v>7155.25</v>
      </c>
      <c r="J207" s="26">
        <f>'2023'!J209</f>
        <v>7155.25</v>
      </c>
      <c r="K207" s="26">
        <f>'2023'!K209</f>
        <v>7155.25</v>
      </c>
      <c r="L207" s="26">
        <f t="shared" si="81"/>
        <v>28621</v>
      </c>
      <c r="M207" s="38">
        <f>M130</f>
        <v>161.51</v>
      </c>
      <c r="N207" s="38">
        <f>N130</f>
        <v>174.43</v>
      </c>
      <c r="O207" s="38">
        <f t="shared" ref="O207:P207" si="84">O130</f>
        <v>27.2</v>
      </c>
      <c r="P207" s="38">
        <f t="shared" si="84"/>
        <v>28.29</v>
      </c>
      <c r="Q207" s="27">
        <f>(M207-O207)*H207</f>
        <v>961021.62750000006</v>
      </c>
      <c r="R207" s="27">
        <f t="shared" si="83"/>
        <v>961021.62750000006</v>
      </c>
      <c r="S207" s="27">
        <f t="shared" si="83"/>
        <v>1045668.2350000001</v>
      </c>
      <c r="T207" s="27">
        <f>(N207-P207)*K207</f>
        <v>1045668.2350000001</v>
      </c>
      <c r="U207" s="27">
        <f t="shared" si="82"/>
        <v>4013379.7250000006</v>
      </c>
      <c r="V207" s="27"/>
      <c r="W207" s="119"/>
      <c r="X207" s="119"/>
      <c r="Y207" s="29">
        <f t="shared" si="76"/>
        <v>107.99950467463316</v>
      </c>
      <c r="Z207" s="30">
        <f t="shared" si="77"/>
        <v>104.00735294117646</v>
      </c>
      <c r="AA207" s="2"/>
      <c r="AD207" s="32">
        <f t="shared" si="61"/>
        <v>-7.3529411764639008E-3</v>
      </c>
    </row>
    <row r="208" spans="1:30" s="40" customFormat="1" ht="56.25" customHeight="1">
      <c r="A208" s="33" t="s">
        <v>58</v>
      </c>
      <c r="B208" s="34" t="s">
        <v>59</v>
      </c>
      <c r="C208" s="35" t="s">
        <v>203</v>
      </c>
      <c r="D208" s="33" t="s">
        <v>205</v>
      </c>
      <c r="E208" s="33"/>
      <c r="F208" s="36" t="s">
        <v>249</v>
      </c>
      <c r="G208" s="36"/>
      <c r="H208" s="26">
        <f>'2023'!H210</f>
        <v>21852.31</v>
      </c>
      <c r="I208" s="26">
        <f>'2023'!I210</f>
        <v>20238.400000000001</v>
      </c>
      <c r="J208" s="26">
        <f>'2023'!J210</f>
        <v>15062.009999999998</v>
      </c>
      <c r="K208" s="26">
        <f>'2023'!K210</f>
        <v>18169.57</v>
      </c>
      <c r="L208" s="26">
        <f t="shared" si="81"/>
        <v>75322.290000000008</v>
      </c>
      <c r="M208" s="38">
        <f>'2024'!N208</f>
        <v>104.17744077735614</v>
      </c>
      <c r="N208" s="27">
        <v>112.51</v>
      </c>
      <c r="O208" s="38">
        <f>'2024'!P208</f>
        <v>41.327936000000008</v>
      </c>
      <c r="P208" s="27">
        <f>O208*1.04</f>
        <v>42.981053440000011</v>
      </c>
      <c r="Q208" s="27">
        <f>(M208-O208)*H208</f>
        <v>1373406.8617412671</v>
      </c>
      <c r="R208" s="27">
        <f t="shared" si="83"/>
        <v>1271973.4174860443</v>
      </c>
      <c r="S208" s="27">
        <f t="shared" si="83"/>
        <v>1047245.6883761854</v>
      </c>
      <c r="T208" s="27">
        <f>(N208-P208)*K208</f>
        <v>1263311.061548179</v>
      </c>
      <c r="U208" s="27">
        <f t="shared" si="82"/>
        <v>4955937.0291516762</v>
      </c>
      <c r="V208" s="119"/>
      <c r="W208" s="119"/>
      <c r="X208" s="119"/>
      <c r="Y208" s="29">
        <f t="shared" si="76"/>
        <v>107.99842956446962</v>
      </c>
      <c r="Z208" s="30">
        <f t="shared" si="77"/>
        <v>104</v>
      </c>
      <c r="AA208" s="2"/>
      <c r="AD208" s="32">
        <f t="shared" si="61"/>
        <v>0</v>
      </c>
    </row>
    <row r="209" spans="1:30" s="40" customFormat="1" ht="15" customHeight="1">
      <c r="A209" s="33"/>
      <c r="B209" s="34"/>
      <c r="C209" s="34"/>
      <c r="D209" s="33"/>
      <c r="E209" s="33"/>
      <c r="F209" s="36"/>
      <c r="G209" s="36"/>
      <c r="H209" s="26"/>
      <c r="I209" s="26"/>
      <c r="J209" s="26"/>
      <c r="K209" s="26"/>
      <c r="L209" s="37"/>
      <c r="M209" s="41"/>
      <c r="N209" s="41"/>
      <c r="O209" s="41"/>
      <c r="P209" s="41"/>
      <c r="Q209" s="27"/>
      <c r="R209" s="27"/>
      <c r="S209" s="27"/>
      <c r="T209" s="27"/>
      <c r="U209" s="27"/>
      <c r="V209" s="119"/>
      <c r="W209" s="119"/>
      <c r="X209" s="119"/>
      <c r="Y209" s="29" t="e">
        <f t="shared" si="76"/>
        <v>#DIV/0!</v>
      </c>
      <c r="Z209" s="30" t="e">
        <f t="shared" si="77"/>
        <v>#DIV/0!</v>
      </c>
      <c r="AA209" s="2"/>
      <c r="AD209" s="32" t="e">
        <f t="shared" si="61"/>
        <v>#DIV/0!</v>
      </c>
    </row>
    <row r="210" spans="1:30" s="40" customFormat="1" ht="65.25" customHeight="1">
      <c r="A210" s="33" t="s">
        <v>64</v>
      </c>
      <c r="B210" s="34" t="s">
        <v>65</v>
      </c>
      <c r="C210" s="34" t="s">
        <v>66</v>
      </c>
      <c r="D210" s="33"/>
      <c r="E210" s="33"/>
      <c r="F210" s="36" t="s">
        <v>264</v>
      </c>
      <c r="G210" s="36"/>
      <c r="H210" s="26">
        <f>'2023'!H212</f>
        <v>167395.36599999998</v>
      </c>
      <c r="I210" s="26">
        <f>'2023'!I212</f>
        <v>163689.25200000001</v>
      </c>
      <c r="J210" s="26">
        <f>'2023'!J212</f>
        <v>164278.26199999999</v>
      </c>
      <c r="K210" s="26">
        <f>'2023'!K212</f>
        <v>160965.57800000001</v>
      </c>
      <c r="L210" s="26">
        <f t="shared" si="81"/>
        <v>656328.45799999998</v>
      </c>
      <c r="M210" s="38">
        <v>342.01181271867279</v>
      </c>
      <c r="N210" s="27">
        <v>369.37</v>
      </c>
      <c r="O210" s="38">
        <f>'2024'!P210</f>
        <v>35.411194624000004</v>
      </c>
      <c r="P210" s="27">
        <f>O210*1.04</f>
        <v>36.827642408960003</v>
      </c>
      <c r="Q210" s="27">
        <f>(M210-O210)*H210</f>
        <v>51323522.681783967</v>
      </c>
      <c r="R210" s="27">
        <f>(M210-O210)*I210</f>
        <v>50187225.838654652</v>
      </c>
      <c r="S210" s="27">
        <f>(N210-P210)*J210</f>
        <v>54629480.546438552</v>
      </c>
      <c r="T210" s="27">
        <f>(N210-P210)*K210</f>
        <v>53527872.799124442</v>
      </c>
      <c r="U210" s="27">
        <f t="shared" si="82"/>
        <v>209668101.86600161</v>
      </c>
      <c r="V210" s="119"/>
      <c r="W210" s="119"/>
      <c r="X210" s="119"/>
      <c r="Y210" s="29">
        <f t="shared" si="76"/>
        <v>107.99919367224638</v>
      </c>
      <c r="Z210" s="30">
        <f t="shared" si="77"/>
        <v>104</v>
      </c>
      <c r="AA210" s="2"/>
      <c r="AD210" s="32">
        <f t="shared" si="61"/>
        <v>0</v>
      </c>
    </row>
    <row r="211" spans="1:30" s="40" customFormat="1" ht="65.25" customHeight="1">
      <c r="A211" s="33" t="s">
        <v>67</v>
      </c>
      <c r="B211" s="34" t="s">
        <v>68</v>
      </c>
      <c r="C211" s="34" t="s">
        <v>66</v>
      </c>
      <c r="D211" s="33"/>
      <c r="E211" s="33"/>
      <c r="F211" s="36" t="s">
        <v>264</v>
      </c>
      <c r="G211" s="36"/>
      <c r="H211" s="26">
        <f>'2023'!H213</f>
        <v>3545099.22</v>
      </c>
      <c r="I211" s="26">
        <f>'2023'!I213</f>
        <v>3522720.2299999995</v>
      </c>
      <c r="J211" s="26">
        <f>'2023'!J213</f>
        <v>3303027.48</v>
      </c>
      <c r="K211" s="26">
        <f>'2023'!K213</f>
        <v>3610085.89</v>
      </c>
      <c r="L211" s="26">
        <f t="shared" si="81"/>
        <v>13980932.82</v>
      </c>
      <c r="M211" s="38">
        <v>79.739999999999995</v>
      </c>
      <c r="N211" s="27">
        <v>90.92</v>
      </c>
      <c r="O211" s="38">
        <f>'2024'!P211</f>
        <v>35.411584000000005</v>
      </c>
      <c r="P211" s="27">
        <f>O211*1.04</f>
        <v>36.828047360000006</v>
      </c>
      <c r="Q211" s="27">
        <f>(M211-O211)*H211</f>
        <v>157148632.98543549</v>
      </c>
      <c r="R211" s="27">
        <f>(M211-O211)*I211</f>
        <v>156156607.80705562</v>
      </c>
      <c r="S211" s="27">
        <f>(N211-P211)*J211</f>
        <v>178667206.01677853</v>
      </c>
      <c r="T211" s="27">
        <f>(N211-P211)*K211</f>
        <v>195276594.98821223</v>
      </c>
      <c r="U211" s="27">
        <f t="shared" si="82"/>
        <v>687249041.79748178</v>
      </c>
      <c r="V211" s="119"/>
      <c r="W211" s="119"/>
      <c r="X211" s="119"/>
      <c r="Y211" s="29">
        <f t="shared" si="76"/>
        <v>114.02056684223727</v>
      </c>
      <c r="Z211" s="30">
        <f t="shared" si="77"/>
        <v>104</v>
      </c>
      <c r="AA211" s="2"/>
      <c r="AD211" s="32">
        <f t="shared" si="61"/>
        <v>0</v>
      </c>
    </row>
    <row r="212" spans="1:30" s="40" customFormat="1" ht="15" customHeight="1">
      <c r="A212" s="33"/>
      <c r="B212" s="34"/>
      <c r="C212" s="34"/>
      <c r="D212" s="33"/>
      <c r="E212" s="33"/>
      <c r="F212" s="36"/>
      <c r="G212" s="36"/>
      <c r="H212" s="26"/>
      <c r="I212" s="26"/>
      <c r="J212" s="26"/>
      <c r="K212" s="26"/>
      <c r="L212" s="37"/>
      <c r="M212" s="41"/>
      <c r="N212" s="41"/>
      <c r="O212" s="41"/>
      <c r="P212" s="41"/>
      <c r="Q212" s="27"/>
      <c r="R212" s="27"/>
      <c r="S212" s="27"/>
      <c r="T212" s="27"/>
      <c r="U212" s="27"/>
      <c r="V212" s="119"/>
      <c r="W212" s="119"/>
      <c r="X212" s="119"/>
      <c r="Y212" s="29" t="e">
        <f t="shared" si="76"/>
        <v>#DIV/0!</v>
      </c>
      <c r="Z212" s="30" t="e">
        <f t="shared" si="77"/>
        <v>#DIV/0!</v>
      </c>
      <c r="AA212" s="2"/>
      <c r="AD212" s="32" t="e">
        <f t="shared" si="61"/>
        <v>#DIV/0!</v>
      </c>
    </row>
    <row r="213" spans="1:30" s="31" customFormat="1" ht="51.75" customHeight="1">
      <c r="A213" s="33" t="s">
        <v>17</v>
      </c>
      <c r="B213" s="34" t="s">
        <v>18</v>
      </c>
      <c r="C213" s="35" t="s">
        <v>19</v>
      </c>
      <c r="D213" s="33" t="s">
        <v>20</v>
      </c>
      <c r="E213" s="33"/>
      <c r="F213" s="36" t="s">
        <v>264</v>
      </c>
      <c r="G213" s="36"/>
      <c r="H213" s="26">
        <f>'2023'!H215</f>
        <v>24937.691999999999</v>
      </c>
      <c r="I213" s="26">
        <f>'2023'!I215</f>
        <v>22286.188999999998</v>
      </c>
      <c r="J213" s="26">
        <f>'2023'!J215</f>
        <v>22618.842000000001</v>
      </c>
      <c r="K213" s="26">
        <f>'2023'!K215</f>
        <v>23671.221000000001</v>
      </c>
      <c r="L213" s="26">
        <f t="shared" si="81"/>
        <v>93513.944000000003</v>
      </c>
      <c r="M213" s="38">
        <f>'2024'!N213</f>
        <v>69.260000000000005</v>
      </c>
      <c r="N213" s="27">
        <v>74.800800000000024</v>
      </c>
      <c r="O213" s="38">
        <v>43.264000000000003</v>
      </c>
      <c r="P213" s="27">
        <f t="shared" ref="P213:P223" si="85">O213*1.04</f>
        <v>44.994560000000007</v>
      </c>
      <c r="Q213" s="27">
        <f t="shared" ref="Q213:Q223" si="86">(M213-O213)*H213</f>
        <v>648280.24123200006</v>
      </c>
      <c r="R213" s="27">
        <f t="shared" ref="R213:R223" si="87">(M213-O213)*I213</f>
        <v>579351.76924399997</v>
      </c>
      <c r="S213" s="27">
        <f t="shared" ref="S213:S223" si="88">(N213-P213)*J213</f>
        <v>674182.6331740804</v>
      </c>
      <c r="T213" s="27">
        <f t="shared" ref="T213:T223" si="89">(N213-P213)*K213</f>
        <v>705550.09421904047</v>
      </c>
      <c r="U213" s="27">
        <f t="shared" si="82"/>
        <v>2607364.7378691211</v>
      </c>
      <c r="V213" s="38"/>
      <c r="W213" s="38"/>
      <c r="X213" s="38"/>
      <c r="Y213" s="29"/>
      <c r="Z213" s="30"/>
      <c r="AA213" s="54"/>
      <c r="AD213" s="32"/>
    </row>
    <row r="214" spans="1:30" s="40" customFormat="1" ht="51.75" customHeight="1">
      <c r="A214" s="33" t="s">
        <v>24</v>
      </c>
      <c r="B214" s="34" t="s">
        <v>25</v>
      </c>
      <c r="C214" s="35" t="s">
        <v>19</v>
      </c>
      <c r="D214" s="33" t="s">
        <v>26</v>
      </c>
      <c r="E214" s="33"/>
      <c r="F214" s="36" t="s">
        <v>264</v>
      </c>
      <c r="G214" s="36"/>
      <c r="H214" s="26">
        <f>'2023'!H216</f>
        <v>150289.481</v>
      </c>
      <c r="I214" s="26">
        <f>'2023'!I216</f>
        <v>151856.83900000001</v>
      </c>
      <c r="J214" s="26">
        <f>'2023'!J216</f>
        <v>145797.49100000001</v>
      </c>
      <c r="K214" s="26">
        <f>'2023'!K216</f>
        <v>158009.63800000001</v>
      </c>
      <c r="L214" s="26">
        <f t="shared" si="81"/>
        <v>605953.44900000002</v>
      </c>
      <c r="M214" s="38">
        <f>'2024'!N214</f>
        <v>34.314399999999999</v>
      </c>
      <c r="N214" s="38">
        <v>37.059552000000004</v>
      </c>
      <c r="O214" s="38">
        <v>30.836416000000003</v>
      </c>
      <c r="P214" s="27">
        <f t="shared" si="85"/>
        <v>32.069872640000007</v>
      </c>
      <c r="Q214" s="27">
        <f t="shared" si="86"/>
        <v>522704.41028630338</v>
      </c>
      <c r="R214" s="27">
        <f t="shared" si="87"/>
        <v>528155.65633257537</v>
      </c>
      <c r="S214" s="27">
        <f t="shared" si="88"/>
        <v>727482.73158248537</v>
      </c>
      <c r="T214" s="27">
        <f t="shared" si="89"/>
        <v>788417.42940967123</v>
      </c>
      <c r="U214" s="27">
        <f t="shared" si="82"/>
        <v>2566760.2276110356</v>
      </c>
      <c r="V214" s="119"/>
      <c r="W214" s="119"/>
      <c r="X214" s="119"/>
      <c r="Y214" s="29">
        <f t="shared" ref="Y214:Y240" si="90">N214/M214*100</f>
        <v>108</v>
      </c>
      <c r="Z214" s="30">
        <f t="shared" ref="Z214:Z240" si="91">P214/O214*100</f>
        <v>104</v>
      </c>
      <c r="AA214" s="2"/>
      <c r="AD214" s="32">
        <f t="shared" ref="AD214:AD281" si="92">104-Z214</f>
        <v>0</v>
      </c>
    </row>
    <row r="215" spans="1:30" s="40" customFormat="1" ht="51.75" customHeight="1">
      <c r="A215" s="33" t="s">
        <v>24</v>
      </c>
      <c r="B215" s="34" t="s">
        <v>25</v>
      </c>
      <c r="C215" s="35" t="s">
        <v>19</v>
      </c>
      <c r="D215" s="33" t="s">
        <v>27</v>
      </c>
      <c r="E215" s="33"/>
      <c r="F215" s="36" t="s">
        <v>264</v>
      </c>
      <c r="G215" s="36"/>
      <c r="H215" s="26">
        <f>'2023'!H217</f>
        <v>298.73700000000002</v>
      </c>
      <c r="I215" s="26">
        <f>'2023'!I217</f>
        <v>293.81</v>
      </c>
      <c r="J215" s="26">
        <f>'2023'!J217</f>
        <v>246.79499999999999</v>
      </c>
      <c r="K215" s="26">
        <f>'2023'!K217</f>
        <v>345.76499999999999</v>
      </c>
      <c r="L215" s="26">
        <f t="shared" si="81"/>
        <v>1185.107</v>
      </c>
      <c r="M215" s="38">
        <f>'2024'!N215</f>
        <v>41.016799999999996</v>
      </c>
      <c r="N215" s="38">
        <v>44.298144000000001</v>
      </c>
      <c r="O215" s="38">
        <v>30.836416000000003</v>
      </c>
      <c r="P215" s="27">
        <f t="shared" si="85"/>
        <v>32.069872640000007</v>
      </c>
      <c r="Q215" s="27">
        <f t="shared" si="86"/>
        <v>3041.2573750079982</v>
      </c>
      <c r="R215" s="27">
        <f t="shared" si="87"/>
        <v>2991.0986230399981</v>
      </c>
      <c r="S215" s="27">
        <f t="shared" si="88"/>
        <v>3017.8762302911982</v>
      </c>
      <c r="T215" s="27">
        <f t="shared" si="89"/>
        <v>4228.108246790398</v>
      </c>
      <c r="U215" s="27">
        <f t="shared" si="82"/>
        <v>13278.340475129593</v>
      </c>
      <c r="V215" s="119"/>
      <c r="W215" s="119"/>
      <c r="X215" s="119"/>
      <c r="Y215" s="29">
        <f t="shared" si="90"/>
        <v>108</v>
      </c>
      <c r="Z215" s="30">
        <f t="shared" si="91"/>
        <v>104</v>
      </c>
      <c r="AA215" s="2"/>
      <c r="AD215" s="32">
        <f t="shared" si="92"/>
        <v>0</v>
      </c>
    </row>
    <row r="216" spans="1:30" s="40" customFormat="1" ht="51.75" customHeight="1">
      <c r="A216" s="33" t="s">
        <v>24</v>
      </c>
      <c r="B216" s="34" t="s">
        <v>25</v>
      </c>
      <c r="C216" s="35" t="s">
        <v>19</v>
      </c>
      <c r="D216" s="33" t="s">
        <v>29</v>
      </c>
      <c r="E216" s="33"/>
      <c r="F216" s="36" t="s">
        <v>264</v>
      </c>
      <c r="G216" s="36"/>
      <c r="H216" s="26">
        <f>'2023'!H218</f>
        <v>2327.87</v>
      </c>
      <c r="I216" s="26">
        <f>'2023'!I218</f>
        <v>2050.34</v>
      </c>
      <c r="J216" s="26">
        <f>'2023'!J218</f>
        <v>2837.7</v>
      </c>
      <c r="K216" s="26">
        <f>'2023'!K218</f>
        <v>3009.6</v>
      </c>
      <c r="L216" s="26">
        <f t="shared" si="81"/>
        <v>10225.51</v>
      </c>
      <c r="M216" s="38">
        <f>'2024'!N216</f>
        <v>39.966600000000007</v>
      </c>
      <c r="N216" s="38">
        <v>43.163928000000006</v>
      </c>
      <c r="O216" s="38">
        <v>29.249059839999997</v>
      </c>
      <c r="P216" s="27">
        <f t="shared" si="85"/>
        <v>30.4190222336</v>
      </c>
      <c r="Q216" s="27">
        <f t="shared" si="86"/>
        <v>24949.04021225922</v>
      </c>
      <c r="R216" s="27">
        <f t="shared" si="87"/>
        <v>21974.60129165442</v>
      </c>
      <c r="S216" s="27">
        <f t="shared" si="88"/>
        <v>36166.219093313295</v>
      </c>
      <c r="T216" s="27">
        <f t="shared" si="89"/>
        <v>38357.068394557456</v>
      </c>
      <c r="U216" s="27">
        <f t="shared" si="82"/>
        <v>121446.9289917844</v>
      </c>
      <c r="V216" s="119"/>
      <c r="W216" s="119"/>
      <c r="X216" s="119"/>
      <c r="Y216" s="29">
        <f t="shared" si="90"/>
        <v>107.99999999999999</v>
      </c>
      <c r="Z216" s="30">
        <f t="shared" si="91"/>
        <v>104</v>
      </c>
      <c r="AA216" s="2"/>
      <c r="AD216" s="32">
        <f t="shared" si="92"/>
        <v>0</v>
      </c>
    </row>
    <row r="217" spans="1:30" s="40" customFormat="1" ht="51.75" customHeight="1">
      <c r="A217" s="33" t="s">
        <v>24</v>
      </c>
      <c r="B217" s="34" t="s">
        <v>25</v>
      </c>
      <c r="C217" s="35" t="s">
        <v>19</v>
      </c>
      <c r="D217" s="33" t="s">
        <v>30</v>
      </c>
      <c r="E217" s="33"/>
      <c r="F217" s="36" t="s">
        <v>264</v>
      </c>
      <c r="G217" s="36"/>
      <c r="H217" s="26">
        <f>'2023'!H219</f>
        <v>1005.23</v>
      </c>
      <c r="I217" s="26">
        <f>'2023'!I219</f>
        <v>1301.1000000000001</v>
      </c>
      <c r="J217" s="26">
        <f>'2023'!J219</f>
        <v>1134.83</v>
      </c>
      <c r="K217" s="26">
        <f>'2023'!K219</f>
        <v>1053.03</v>
      </c>
      <c r="L217" s="26">
        <f t="shared" si="81"/>
        <v>4494.1899999999996</v>
      </c>
      <c r="M217" s="38">
        <f>'2024'!N217</f>
        <v>30.5974</v>
      </c>
      <c r="N217" s="38">
        <v>33.045192</v>
      </c>
      <c r="O217" s="38">
        <v>28.045888000000001</v>
      </c>
      <c r="P217" s="27">
        <f t="shared" si="85"/>
        <v>29.167723520000003</v>
      </c>
      <c r="Q217" s="27">
        <f t="shared" si="86"/>
        <v>2564.856407759999</v>
      </c>
      <c r="R217" s="27">
        <f t="shared" si="87"/>
        <v>3319.7722631999991</v>
      </c>
      <c r="S217" s="27">
        <f t="shared" si="88"/>
        <v>4400.267555158397</v>
      </c>
      <c r="T217" s="27">
        <f t="shared" si="89"/>
        <v>4083.090633494397</v>
      </c>
      <c r="U217" s="27">
        <f t="shared" si="82"/>
        <v>14367.986859612793</v>
      </c>
      <c r="V217" s="119"/>
      <c r="W217" s="119"/>
      <c r="X217" s="119"/>
      <c r="Y217" s="29">
        <f t="shared" si="90"/>
        <v>108</v>
      </c>
      <c r="Z217" s="30">
        <f t="shared" si="91"/>
        <v>104</v>
      </c>
      <c r="AA217" s="2"/>
      <c r="AD217" s="32">
        <f t="shared" si="92"/>
        <v>0</v>
      </c>
    </row>
    <row r="218" spans="1:30" s="40" customFormat="1" ht="51.75" customHeight="1">
      <c r="A218" s="33" t="s">
        <v>24</v>
      </c>
      <c r="B218" s="34" t="s">
        <v>25</v>
      </c>
      <c r="C218" s="35" t="s">
        <v>19</v>
      </c>
      <c r="D218" s="33" t="s">
        <v>32</v>
      </c>
      <c r="E218" s="33"/>
      <c r="F218" s="36" t="s">
        <v>264</v>
      </c>
      <c r="G218" s="36"/>
      <c r="H218" s="26">
        <f>'2023'!H220</f>
        <v>2985.98</v>
      </c>
      <c r="I218" s="26">
        <f>'2023'!I220</f>
        <v>2784.09</v>
      </c>
      <c r="J218" s="26">
        <f>'2023'!J220</f>
        <v>3319.01</v>
      </c>
      <c r="K218" s="26">
        <f>'2023'!K220</f>
        <v>2857.1000000000004</v>
      </c>
      <c r="L218" s="26">
        <f t="shared" si="81"/>
        <v>11946.18</v>
      </c>
      <c r="M218" s="38">
        <f>'2024'!N218</f>
        <v>45.795800000000014</v>
      </c>
      <c r="N218" s="38">
        <v>49.459464000000025</v>
      </c>
      <c r="O218" s="38">
        <v>25.082304000000004</v>
      </c>
      <c r="P218" s="27">
        <f t="shared" si="85"/>
        <v>26.085596160000005</v>
      </c>
      <c r="Q218" s="27">
        <f t="shared" si="86"/>
        <v>61850.084786080028</v>
      </c>
      <c r="R218" s="27">
        <f t="shared" si="87"/>
        <v>57668.237078640028</v>
      </c>
      <c r="S218" s="27">
        <f t="shared" si="88"/>
        <v>77578.101099638472</v>
      </c>
      <c r="T218" s="27">
        <f t="shared" si="89"/>
        <v>66781.477805664064</v>
      </c>
      <c r="U218" s="27">
        <f t="shared" si="82"/>
        <v>263877.90077002259</v>
      </c>
      <c r="V218" s="119"/>
      <c r="W218" s="119"/>
      <c r="X218" s="119"/>
      <c r="Y218" s="29">
        <f t="shared" si="90"/>
        <v>108.00000000000003</v>
      </c>
      <c r="Z218" s="30">
        <f t="shared" si="91"/>
        <v>104</v>
      </c>
      <c r="AA218" s="2"/>
      <c r="AD218" s="32">
        <f t="shared" si="92"/>
        <v>0</v>
      </c>
    </row>
    <row r="219" spans="1:30" s="40" customFormat="1" ht="51.75" customHeight="1">
      <c r="A219" s="33" t="s">
        <v>24</v>
      </c>
      <c r="B219" s="34" t="s">
        <v>25</v>
      </c>
      <c r="C219" s="35" t="s">
        <v>19</v>
      </c>
      <c r="D219" s="33" t="s">
        <v>33</v>
      </c>
      <c r="E219" s="33"/>
      <c r="F219" s="36" t="s">
        <v>264</v>
      </c>
      <c r="G219" s="36"/>
      <c r="H219" s="26">
        <f>'2023'!H221</f>
        <v>2998.09</v>
      </c>
      <c r="I219" s="26">
        <f>'2023'!I221</f>
        <v>2799.13</v>
      </c>
      <c r="J219" s="26">
        <f>'2023'!J221</f>
        <v>4506.49</v>
      </c>
      <c r="K219" s="26">
        <f>'2023'!K221</f>
        <v>4411.7700000000004</v>
      </c>
      <c r="L219" s="26">
        <f t="shared" si="81"/>
        <v>14715.48</v>
      </c>
      <c r="M219" s="38">
        <f>'2024'!N219</f>
        <v>54.079400000000007</v>
      </c>
      <c r="N219" s="38">
        <v>58.405752000000007</v>
      </c>
      <c r="O219" s="38">
        <v>38.59329643520001</v>
      </c>
      <c r="P219" s="27">
        <f t="shared" si="85"/>
        <v>40.137028292608015</v>
      </c>
      <c r="Q219" s="27">
        <f t="shared" si="86"/>
        <v>46428.732236591226</v>
      </c>
      <c r="R219" s="27">
        <f t="shared" si="87"/>
        <v>43347.617071338616</v>
      </c>
      <c r="S219" s="27">
        <f t="shared" si="88"/>
        <v>82327.820700124939</v>
      </c>
      <c r="T219" s="27">
        <f t="shared" si="89"/>
        <v>80597.407190560771</v>
      </c>
      <c r="U219" s="27">
        <f t="shared" si="82"/>
        <v>252701.57719861553</v>
      </c>
      <c r="V219" s="119"/>
      <c r="W219" s="119"/>
      <c r="X219" s="119"/>
      <c r="Y219" s="29">
        <f t="shared" si="90"/>
        <v>108</v>
      </c>
      <c r="Z219" s="30">
        <f t="shared" si="91"/>
        <v>104</v>
      </c>
      <c r="AA219" s="2"/>
      <c r="AD219" s="32">
        <f t="shared" si="92"/>
        <v>0</v>
      </c>
    </row>
    <row r="220" spans="1:30" s="40" customFormat="1" ht="51.75" customHeight="1">
      <c r="A220" s="33" t="s">
        <v>24</v>
      </c>
      <c r="B220" s="34" t="s">
        <v>25</v>
      </c>
      <c r="C220" s="35" t="s">
        <v>19</v>
      </c>
      <c r="D220" s="33" t="s">
        <v>34</v>
      </c>
      <c r="E220" s="33"/>
      <c r="F220" s="36" t="s">
        <v>264</v>
      </c>
      <c r="G220" s="36"/>
      <c r="H220" s="26">
        <f>'2023'!H222</f>
        <v>1223.33</v>
      </c>
      <c r="I220" s="26">
        <f>'2023'!I222</f>
        <v>1397.67</v>
      </c>
      <c r="J220" s="26">
        <f>'2023'!J222</f>
        <v>1203.03</v>
      </c>
      <c r="K220" s="26">
        <f>'2023'!K222</f>
        <v>965.9</v>
      </c>
      <c r="L220" s="26">
        <f t="shared" si="81"/>
        <v>4789.9299999999994</v>
      </c>
      <c r="M220" s="38">
        <f>'2024'!N220</f>
        <v>56.109000000000009</v>
      </c>
      <c r="N220" s="38">
        <v>60.59772000000001</v>
      </c>
      <c r="O220" s="38">
        <v>47.59040000000001</v>
      </c>
      <c r="P220" s="27">
        <f t="shared" si="85"/>
        <v>49.494016000000009</v>
      </c>
      <c r="Q220" s="27">
        <f t="shared" si="86"/>
        <v>10421.058937999998</v>
      </c>
      <c r="R220" s="27">
        <f t="shared" si="87"/>
        <v>11906.191661999999</v>
      </c>
      <c r="S220" s="27">
        <f t="shared" si="88"/>
        <v>13358.089023120001</v>
      </c>
      <c r="T220" s="27">
        <f t="shared" si="89"/>
        <v>10725.0676936</v>
      </c>
      <c r="U220" s="27">
        <f t="shared" si="82"/>
        <v>46410.407316720004</v>
      </c>
      <c r="V220" s="119"/>
      <c r="W220" s="119"/>
      <c r="X220" s="119"/>
      <c r="Y220" s="29">
        <f t="shared" si="90"/>
        <v>108</v>
      </c>
      <c r="Z220" s="30">
        <f t="shared" si="91"/>
        <v>104</v>
      </c>
      <c r="AA220" s="2"/>
      <c r="AD220" s="32">
        <f t="shared" si="92"/>
        <v>0</v>
      </c>
    </row>
    <row r="221" spans="1:30" s="40" customFormat="1" ht="51" customHeight="1">
      <c r="A221" s="33" t="s">
        <v>24</v>
      </c>
      <c r="B221" s="34" t="s">
        <v>25</v>
      </c>
      <c r="C221" s="35" t="s">
        <v>19</v>
      </c>
      <c r="D221" s="33" t="s">
        <v>36</v>
      </c>
      <c r="E221" s="33"/>
      <c r="F221" s="36" t="s">
        <v>264</v>
      </c>
      <c r="G221" s="36"/>
      <c r="H221" s="26">
        <f>'2023'!H223</f>
        <v>222.73</v>
      </c>
      <c r="I221" s="26">
        <f>'2023'!I223</f>
        <v>197.07999999999998</v>
      </c>
      <c r="J221" s="26">
        <f>'2023'!J223</f>
        <v>266.67</v>
      </c>
      <c r="K221" s="26">
        <f>'2023'!K223</f>
        <v>258.89</v>
      </c>
      <c r="L221" s="26">
        <f t="shared" si="81"/>
        <v>945.37</v>
      </c>
      <c r="M221" s="38">
        <f>'2024'!N221</f>
        <v>85.797800000000009</v>
      </c>
      <c r="N221" s="38">
        <v>92.661624000000003</v>
      </c>
      <c r="O221" s="38">
        <v>26.765381760000004</v>
      </c>
      <c r="P221" s="27">
        <f t="shared" si="85"/>
        <v>27.835997030400005</v>
      </c>
      <c r="Q221" s="27">
        <f t="shared" si="86"/>
        <v>13148.290514595201</v>
      </c>
      <c r="R221" s="27">
        <f t="shared" si="87"/>
        <v>11634.1089867392</v>
      </c>
      <c r="S221" s="27">
        <f t="shared" si="88"/>
        <v>17287.049943983231</v>
      </c>
      <c r="T221" s="27">
        <f t="shared" si="89"/>
        <v>16782.706566159741</v>
      </c>
      <c r="U221" s="27">
        <f t="shared" si="82"/>
        <v>58852.156011477375</v>
      </c>
      <c r="V221" s="119"/>
      <c r="W221" s="119"/>
      <c r="X221" s="119"/>
      <c r="Y221" s="29">
        <f t="shared" si="90"/>
        <v>107.99999999999999</v>
      </c>
      <c r="Z221" s="30">
        <f t="shared" si="91"/>
        <v>104</v>
      </c>
      <c r="AA221" s="2"/>
      <c r="AD221" s="32">
        <f t="shared" si="92"/>
        <v>0</v>
      </c>
    </row>
    <row r="222" spans="1:30" s="40" customFormat="1" ht="51" customHeight="1">
      <c r="A222" s="33" t="s">
        <v>24</v>
      </c>
      <c r="B222" s="34" t="s">
        <v>25</v>
      </c>
      <c r="C222" s="35" t="s">
        <v>19</v>
      </c>
      <c r="D222" s="33" t="s">
        <v>37</v>
      </c>
      <c r="E222" s="33"/>
      <c r="F222" s="36" t="s">
        <v>264</v>
      </c>
      <c r="G222" s="36"/>
      <c r="H222" s="26">
        <f>'2023'!H224</f>
        <v>216.34</v>
      </c>
      <c r="I222" s="26">
        <f>'2023'!I224</f>
        <v>250.32</v>
      </c>
      <c r="J222" s="26">
        <f>'2023'!J224</f>
        <v>274.11</v>
      </c>
      <c r="K222" s="26">
        <f>'2023'!K224</f>
        <v>198.79000000000002</v>
      </c>
      <c r="L222" s="26">
        <f t="shared" si="81"/>
        <v>939.56</v>
      </c>
      <c r="M222" s="38">
        <f>'2024'!N222</f>
        <v>47.483200000000004</v>
      </c>
      <c r="N222" s="38">
        <v>51.281856000000012</v>
      </c>
      <c r="O222" s="38">
        <v>41.079167999999996</v>
      </c>
      <c r="P222" s="27">
        <f t="shared" si="85"/>
        <v>42.722334719999999</v>
      </c>
      <c r="Q222" s="27">
        <f t="shared" si="86"/>
        <v>1385.4482828800017</v>
      </c>
      <c r="R222" s="27">
        <f t="shared" si="87"/>
        <v>1603.057290240002</v>
      </c>
      <c r="S222" s="27">
        <f t="shared" si="88"/>
        <v>2346.2503780608035</v>
      </c>
      <c r="T222" s="27">
        <f t="shared" si="89"/>
        <v>1701.5472352512027</v>
      </c>
      <c r="U222" s="27">
        <f t="shared" si="82"/>
        <v>7036.3031864320092</v>
      </c>
      <c r="V222" s="119"/>
      <c r="W222" s="119"/>
      <c r="X222" s="119"/>
      <c r="Y222" s="29">
        <f t="shared" si="90"/>
        <v>108</v>
      </c>
      <c r="Z222" s="30">
        <f t="shared" si="91"/>
        <v>104</v>
      </c>
      <c r="AA222" s="2"/>
      <c r="AD222" s="32">
        <f t="shared" si="92"/>
        <v>0</v>
      </c>
    </row>
    <row r="223" spans="1:30" s="40" customFormat="1" ht="51" customHeight="1">
      <c r="A223" s="33" t="s">
        <v>24</v>
      </c>
      <c r="B223" s="34" t="s">
        <v>25</v>
      </c>
      <c r="C223" s="35" t="s">
        <v>19</v>
      </c>
      <c r="D223" s="33" t="s">
        <v>38</v>
      </c>
      <c r="E223" s="33"/>
      <c r="F223" s="36" t="s">
        <v>264</v>
      </c>
      <c r="G223" s="36"/>
      <c r="H223" s="26">
        <f>'2023'!H225</f>
        <v>398.49</v>
      </c>
      <c r="I223" s="26">
        <f>'2023'!I225</f>
        <v>209.06</v>
      </c>
      <c r="J223" s="26">
        <f>'2023'!J225</f>
        <v>416.41999999999996</v>
      </c>
      <c r="K223" s="26">
        <f>'2023'!K225</f>
        <v>381.41999999999996</v>
      </c>
      <c r="L223" s="26">
        <f t="shared" si="81"/>
        <v>1405.3899999999999</v>
      </c>
      <c r="M223" s="38">
        <f>'2024'!N223</f>
        <v>47.211800000000004</v>
      </c>
      <c r="N223" s="38">
        <v>50.988744000000004</v>
      </c>
      <c r="O223" s="38">
        <v>36.071360000000006</v>
      </c>
      <c r="P223" s="27">
        <f t="shared" si="85"/>
        <v>37.514214400000007</v>
      </c>
      <c r="Q223" s="27">
        <f t="shared" si="86"/>
        <v>4439.3539355999992</v>
      </c>
      <c r="R223" s="27">
        <f t="shared" si="87"/>
        <v>2329.0203863999996</v>
      </c>
      <c r="S223" s="27">
        <f t="shared" si="88"/>
        <v>5611.0636160319982</v>
      </c>
      <c r="T223" s="27">
        <f t="shared" si="89"/>
        <v>5139.4550800319985</v>
      </c>
      <c r="U223" s="27">
        <f t="shared" si="82"/>
        <v>17518.893018063995</v>
      </c>
      <c r="V223" s="119"/>
      <c r="W223" s="119"/>
      <c r="X223" s="119"/>
      <c r="Y223" s="29">
        <f t="shared" si="90"/>
        <v>108</v>
      </c>
      <c r="Z223" s="30">
        <f t="shared" si="91"/>
        <v>104</v>
      </c>
      <c r="AA223" s="2"/>
      <c r="AD223" s="32">
        <f t="shared" si="92"/>
        <v>0</v>
      </c>
    </row>
    <row r="224" spans="1:30" s="40" customFormat="1" ht="15" customHeight="1">
      <c r="A224" s="33"/>
      <c r="B224" s="34"/>
      <c r="C224" s="35"/>
      <c r="D224" s="33"/>
      <c r="E224" s="33"/>
      <c r="F224" s="36"/>
      <c r="G224" s="36"/>
      <c r="H224" s="26"/>
      <c r="I224" s="26"/>
      <c r="J224" s="26"/>
      <c r="K224" s="26"/>
      <c r="L224" s="37"/>
      <c r="M224" s="41"/>
      <c r="N224" s="38"/>
      <c r="O224" s="41"/>
      <c r="P224" s="41"/>
      <c r="Q224" s="27"/>
      <c r="R224" s="27"/>
      <c r="S224" s="27"/>
      <c r="T224" s="27"/>
      <c r="U224" s="27"/>
      <c r="V224" s="119"/>
      <c r="W224" s="119"/>
      <c r="X224" s="119"/>
      <c r="Y224" s="29" t="e">
        <f t="shared" si="90"/>
        <v>#DIV/0!</v>
      </c>
      <c r="Z224" s="30" t="e">
        <f t="shared" si="91"/>
        <v>#DIV/0!</v>
      </c>
      <c r="AA224" s="2"/>
      <c r="AD224" s="32" t="e">
        <f t="shared" si="92"/>
        <v>#DIV/0!</v>
      </c>
    </row>
    <row r="225" spans="1:30" s="40" customFormat="1" ht="51" customHeight="1">
      <c r="A225" s="33" t="s">
        <v>42</v>
      </c>
      <c r="B225" s="34" t="s">
        <v>43</v>
      </c>
      <c r="C225" s="35" t="s">
        <v>303</v>
      </c>
      <c r="D225" s="33" t="s">
        <v>44</v>
      </c>
      <c r="E225" s="33"/>
      <c r="F225" s="36" t="s">
        <v>264</v>
      </c>
      <c r="G225" s="36"/>
      <c r="H225" s="26">
        <f>'2023'!H227</f>
        <v>6978.6019999999999</v>
      </c>
      <c r="I225" s="26">
        <f>'2023'!I227</f>
        <v>6108.4089999999997</v>
      </c>
      <c r="J225" s="26">
        <f>'2023'!J227</f>
        <v>6453.2440000000006</v>
      </c>
      <c r="K225" s="26">
        <f>'2023'!K227</f>
        <v>6554.5439999999999</v>
      </c>
      <c r="L225" s="26">
        <f t="shared" si="81"/>
        <v>26094.798999999999</v>
      </c>
      <c r="M225" s="38">
        <f>'2024'!N225</f>
        <v>187.72572</v>
      </c>
      <c r="N225" s="27">
        <v>187.72572</v>
      </c>
      <c r="O225" s="38">
        <f>'2024'!P225</f>
        <v>52.965952000000001</v>
      </c>
      <c r="P225" s="27">
        <v>55.084590080000005</v>
      </c>
      <c r="Q225" s="27">
        <f>(M225-O225)*H225</f>
        <v>940434.78648433601</v>
      </c>
      <c r="R225" s="27">
        <f>(M225-O225)*I225</f>
        <v>823167.77968911198</v>
      </c>
      <c r="S225" s="27">
        <f>(N225-P225)*J225</f>
        <v>855965.5758094606</v>
      </c>
      <c r="T225" s="27">
        <f>(N225-P225)*K225</f>
        <v>869402.1222703564</v>
      </c>
      <c r="U225" s="27">
        <f t="shared" si="82"/>
        <v>3488970.2642532648</v>
      </c>
      <c r="V225" s="119"/>
      <c r="W225" s="119"/>
      <c r="X225" s="119"/>
      <c r="Y225" s="29">
        <f t="shared" si="90"/>
        <v>100</v>
      </c>
      <c r="Z225" s="30">
        <f t="shared" si="91"/>
        <v>104</v>
      </c>
      <c r="AA225" s="2"/>
      <c r="AD225" s="32">
        <f t="shared" si="92"/>
        <v>0</v>
      </c>
    </row>
    <row r="226" spans="1:30" s="40" customFormat="1" ht="15" customHeight="1">
      <c r="A226" s="33"/>
      <c r="B226" s="34"/>
      <c r="C226" s="35"/>
      <c r="D226" s="33"/>
      <c r="E226" s="33"/>
      <c r="F226" s="36"/>
      <c r="G226" s="36"/>
      <c r="H226" s="26"/>
      <c r="I226" s="26"/>
      <c r="J226" s="26"/>
      <c r="K226" s="26"/>
      <c r="L226" s="37"/>
      <c r="M226" s="41"/>
      <c r="N226" s="41"/>
      <c r="O226" s="41"/>
      <c r="P226" s="41"/>
      <c r="Q226" s="27"/>
      <c r="R226" s="27"/>
      <c r="S226" s="27"/>
      <c r="T226" s="27"/>
      <c r="U226" s="27"/>
      <c r="V226" s="119"/>
      <c r="W226" s="119"/>
      <c r="X226" s="119"/>
      <c r="Y226" s="29" t="e">
        <f t="shared" si="90"/>
        <v>#DIV/0!</v>
      </c>
      <c r="Z226" s="30" t="e">
        <f t="shared" si="91"/>
        <v>#DIV/0!</v>
      </c>
      <c r="AA226" s="2"/>
      <c r="AD226" s="32" t="e">
        <f t="shared" si="92"/>
        <v>#DIV/0!</v>
      </c>
    </row>
    <row r="227" spans="1:30" s="40" customFormat="1" ht="51" customHeight="1">
      <c r="A227" s="33" t="s">
        <v>52</v>
      </c>
      <c r="B227" s="34" t="s">
        <v>53</v>
      </c>
      <c r="C227" s="35" t="s">
        <v>306</v>
      </c>
      <c r="D227" s="33" t="s">
        <v>54</v>
      </c>
      <c r="E227" s="33"/>
      <c r="F227" s="36" t="s">
        <v>264</v>
      </c>
      <c r="G227" s="36"/>
      <c r="H227" s="26">
        <f>'2023'!H229</f>
        <v>1385.4930000000002</v>
      </c>
      <c r="I227" s="26">
        <f>'2023'!I229</f>
        <v>1448.559</v>
      </c>
      <c r="J227" s="26">
        <f>'2023'!J229</f>
        <v>1573.52</v>
      </c>
      <c r="K227" s="26">
        <f>'2023'!K229</f>
        <v>1361.48</v>
      </c>
      <c r="L227" s="26">
        <f t="shared" si="81"/>
        <v>5769.0519999999997</v>
      </c>
      <c r="M227" s="38">
        <f>'2024'!N227</f>
        <v>82.28</v>
      </c>
      <c r="N227" s="27">
        <v>88.865316000000007</v>
      </c>
      <c r="O227" s="38">
        <f>'2024'!P227</f>
        <v>74.952799999999996</v>
      </c>
      <c r="P227" s="38">
        <f>O227*1.04</f>
        <v>77.950912000000002</v>
      </c>
      <c r="Q227" s="27">
        <f>(M227-O227)*H227</f>
        <v>10151.784309600009</v>
      </c>
      <c r="R227" s="27">
        <f t="shared" ref="R227:S229" si="93">(M227-O227)*I227</f>
        <v>10613.881504800007</v>
      </c>
      <c r="S227" s="27">
        <f t="shared" si="93"/>
        <v>17174.032982080007</v>
      </c>
      <c r="T227" s="27">
        <f>(N227-P227)*K227</f>
        <v>14859.742757920007</v>
      </c>
      <c r="U227" s="27">
        <f t="shared" si="82"/>
        <v>52799.441554400029</v>
      </c>
      <c r="V227" s="119"/>
      <c r="W227" s="119"/>
      <c r="X227" s="119"/>
      <c r="Y227" s="29">
        <f t="shared" si="90"/>
        <v>108.00354399611085</v>
      </c>
      <c r="Z227" s="30">
        <f t="shared" si="91"/>
        <v>104</v>
      </c>
      <c r="AA227" s="2"/>
      <c r="AD227" s="32">
        <f t="shared" si="92"/>
        <v>0</v>
      </c>
    </row>
    <row r="228" spans="1:30" s="40" customFormat="1" ht="51" customHeight="1">
      <c r="A228" s="33">
        <v>2909003034</v>
      </c>
      <c r="B228" s="34" t="s">
        <v>50</v>
      </c>
      <c r="C228" s="35" t="s">
        <v>306</v>
      </c>
      <c r="D228" s="33" t="s">
        <v>51</v>
      </c>
      <c r="E228" s="33"/>
      <c r="F228" s="36" t="s">
        <v>264</v>
      </c>
      <c r="G228" s="36"/>
      <c r="H228" s="26">
        <f>'2023'!H230</f>
        <v>1233.25</v>
      </c>
      <c r="I228" s="26">
        <f>'2023'!I230</f>
        <v>1233.25</v>
      </c>
      <c r="J228" s="26">
        <f>'2023'!J230</f>
        <v>1233.25</v>
      </c>
      <c r="K228" s="26">
        <f>'2023'!K230</f>
        <v>1233.25</v>
      </c>
      <c r="L228" s="26">
        <f t="shared" si="81"/>
        <v>4933</v>
      </c>
      <c r="M228" s="38">
        <f>'2024'!N228</f>
        <v>62.1</v>
      </c>
      <c r="N228" s="27">
        <v>67.071672000000007</v>
      </c>
      <c r="O228" s="38">
        <f>'2024'!P228</f>
        <v>56.305600000000005</v>
      </c>
      <c r="P228" s="38">
        <f>O228*1.04</f>
        <v>58.557824000000011</v>
      </c>
      <c r="Q228" s="27">
        <f>(M228-O228)*H228</f>
        <v>7145.9437999999955</v>
      </c>
      <c r="R228" s="27">
        <f t="shared" si="93"/>
        <v>7145.9437999999955</v>
      </c>
      <c r="S228" s="27">
        <f t="shared" si="93"/>
        <v>10499.703045999995</v>
      </c>
      <c r="T228" s="27">
        <f>(N228-P228)*K228</f>
        <v>10499.703045999995</v>
      </c>
      <c r="U228" s="27">
        <f t="shared" si="82"/>
        <v>35291.293691999977</v>
      </c>
      <c r="V228" s="119"/>
      <c r="W228" s="119"/>
      <c r="X228" s="119"/>
      <c r="Y228" s="29">
        <f t="shared" si="90"/>
        <v>108.00591304347826</v>
      </c>
      <c r="Z228" s="30">
        <f t="shared" si="91"/>
        <v>104</v>
      </c>
      <c r="AA228" s="2"/>
      <c r="AD228" s="32">
        <f t="shared" si="92"/>
        <v>0</v>
      </c>
    </row>
    <row r="229" spans="1:30" s="40" customFormat="1" ht="51" customHeight="1">
      <c r="A229" s="33" t="s">
        <v>265</v>
      </c>
      <c r="B229" s="34" t="s">
        <v>48</v>
      </c>
      <c r="C229" s="35" t="s">
        <v>306</v>
      </c>
      <c r="D229" s="33" t="s">
        <v>266</v>
      </c>
      <c r="E229" s="33"/>
      <c r="F229" s="36" t="s">
        <v>264</v>
      </c>
      <c r="G229" s="36"/>
      <c r="H229" s="26">
        <f>'2023'!H231</f>
        <v>829.88099999999997</v>
      </c>
      <c r="I229" s="26">
        <f>'2023'!I231</f>
        <v>783.69899999999996</v>
      </c>
      <c r="J229" s="26">
        <f>'2023'!J231</f>
        <v>835.24299999999994</v>
      </c>
      <c r="K229" s="26">
        <f>'2023'!K231</f>
        <v>782.58999999999992</v>
      </c>
      <c r="L229" s="26">
        <f t="shared" si="81"/>
        <v>3231.4129999999996</v>
      </c>
      <c r="M229" s="38">
        <f>'2024'!N229</f>
        <v>108.2798578</v>
      </c>
      <c r="N229" s="27">
        <v>114.96046631200005</v>
      </c>
      <c r="O229" s="38">
        <f>'2024'!P229</f>
        <v>83.283200000000008</v>
      </c>
      <c r="P229" s="38">
        <f>O229*1.04</f>
        <v>86.614528000000007</v>
      </c>
      <c r="Q229" s="27">
        <f>(M229-O229)*H229</f>
        <v>20744.251371721795</v>
      </c>
      <c r="R229" s="27">
        <f t="shared" si="93"/>
        <v>19589.855721202195</v>
      </c>
      <c r="S229" s="27">
        <f t="shared" si="93"/>
        <v>23675.746553529851</v>
      </c>
      <c r="T229" s="27">
        <f>(N229-P229)*K229</f>
        <v>22183.247863588113</v>
      </c>
      <c r="U229" s="27">
        <f t="shared" si="82"/>
        <v>86193.101510041961</v>
      </c>
      <c r="V229" s="119"/>
      <c r="W229" s="119"/>
      <c r="X229" s="119"/>
      <c r="Y229" s="29">
        <f t="shared" si="90"/>
        <v>106.16976106889572</v>
      </c>
      <c r="Z229" s="30">
        <f t="shared" si="91"/>
        <v>104</v>
      </c>
      <c r="AA229" s="2"/>
      <c r="AD229" s="32">
        <f t="shared" si="92"/>
        <v>0</v>
      </c>
    </row>
    <row r="230" spans="1:30" s="40" customFormat="1" ht="15" customHeight="1">
      <c r="A230" s="33"/>
      <c r="B230" s="34"/>
      <c r="C230" s="35"/>
      <c r="D230" s="33"/>
      <c r="E230" s="33"/>
      <c r="F230" s="36"/>
      <c r="G230" s="36"/>
      <c r="H230" s="26"/>
      <c r="I230" s="26"/>
      <c r="J230" s="26"/>
      <c r="K230" s="26"/>
      <c r="L230" s="37"/>
      <c r="M230" s="41"/>
      <c r="N230" s="41"/>
      <c r="O230" s="41"/>
      <c r="P230" s="41"/>
      <c r="Q230" s="27"/>
      <c r="R230" s="27"/>
      <c r="S230" s="27"/>
      <c r="T230" s="27"/>
      <c r="U230" s="27"/>
      <c r="V230" s="119"/>
      <c r="W230" s="119"/>
      <c r="X230" s="119"/>
      <c r="Y230" s="29" t="e">
        <f t="shared" si="90"/>
        <v>#DIV/0!</v>
      </c>
      <c r="Z230" s="30" t="e">
        <f t="shared" si="91"/>
        <v>#DIV/0!</v>
      </c>
      <c r="AA230" s="2"/>
      <c r="AD230" s="32" t="e">
        <f t="shared" si="92"/>
        <v>#DIV/0!</v>
      </c>
    </row>
    <row r="231" spans="1:30" s="40" customFormat="1" ht="51" customHeight="1">
      <c r="A231" s="33" t="s">
        <v>58</v>
      </c>
      <c r="B231" s="34" t="s">
        <v>59</v>
      </c>
      <c r="C231" s="35" t="s">
        <v>298</v>
      </c>
      <c r="D231" s="33" t="s">
        <v>308</v>
      </c>
      <c r="E231" s="33"/>
      <c r="F231" s="36" t="s">
        <v>264</v>
      </c>
      <c r="G231" s="36"/>
      <c r="H231" s="26">
        <f>'2023'!H233</f>
        <v>6747.5</v>
      </c>
      <c r="I231" s="26">
        <f>'2023'!I233</f>
        <v>5071.8999999999996</v>
      </c>
      <c r="J231" s="26">
        <f>'2023'!J233</f>
        <v>6037.17</v>
      </c>
      <c r="K231" s="26">
        <f>'2023'!K233</f>
        <v>5310.84</v>
      </c>
      <c r="L231" s="26">
        <f t="shared" si="81"/>
        <v>23167.41</v>
      </c>
      <c r="M231" s="38">
        <f>'2024'!N231</f>
        <v>175.87</v>
      </c>
      <c r="N231" s="27">
        <v>189.9412200000001</v>
      </c>
      <c r="O231" s="38">
        <f>'2024'!P231</f>
        <v>37.408799999999999</v>
      </c>
      <c r="P231" s="27">
        <v>38.9</v>
      </c>
      <c r="Q231" s="27">
        <f>(M231-O231)*H231</f>
        <v>934266.94700000016</v>
      </c>
      <c r="R231" s="27">
        <f>(M231-O231)*I231</f>
        <v>702261.36028000002</v>
      </c>
      <c r="S231" s="27">
        <f>(N231-P231)*J231</f>
        <v>911861.52214740054</v>
      </c>
      <c r="T231" s="27">
        <f>(N231-P231)*K231</f>
        <v>802155.75282480055</v>
      </c>
      <c r="U231" s="27">
        <f t="shared" si="82"/>
        <v>3350545.5822522012</v>
      </c>
      <c r="V231" s="119"/>
      <c r="W231" s="119"/>
      <c r="X231" s="119"/>
      <c r="Y231" s="29">
        <f t="shared" si="90"/>
        <v>108.00092113492927</v>
      </c>
      <c r="Z231" s="30">
        <f t="shared" si="91"/>
        <v>103.98622783943885</v>
      </c>
      <c r="AA231" s="2"/>
      <c r="AD231" s="32">
        <f t="shared" si="92"/>
        <v>1.3772160561146052E-2</v>
      </c>
    </row>
    <row r="232" spans="1:30" s="40" customFormat="1" ht="51" customHeight="1">
      <c r="A232" s="33" t="s">
        <v>267</v>
      </c>
      <c r="B232" s="34" t="s">
        <v>268</v>
      </c>
      <c r="C232" s="35" t="s">
        <v>298</v>
      </c>
      <c r="D232" s="33" t="s">
        <v>269</v>
      </c>
      <c r="E232" s="33"/>
      <c r="F232" s="36" t="s">
        <v>264</v>
      </c>
      <c r="G232" s="36"/>
      <c r="H232" s="26">
        <f>'2023'!H234</f>
        <v>1399.74</v>
      </c>
      <c r="I232" s="26">
        <f>'2023'!I234</f>
        <v>1391.02</v>
      </c>
      <c r="J232" s="26">
        <f>'2023'!J234</f>
        <v>1393.4290000000001</v>
      </c>
      <c r="K232" s="26">
        <f>'2023'!K234</f>
        <v>1341.92</v>
      </c>
      <c r="L232" s="26">
        <f t="shared" si="81"/>
        <v>5526.1090000000004</v>
      </c>
      <c r="M232" s="38">
        <f>'2024'!N232</f>
        <v>175.82</v>
      </c>
      <c r="N232" s="27">
        <v>189.88797600000012</v>
      </c>
      <c r="O232" s="38">
        <f>'2024'!P232</f>
        <v>44.886399999999995</v>
      </c>
      <c r="P232" s="27">
        <f>O232*1.04</f>
        <v>46.681855999999996</v>
      </c>
      <c r="Q232" s="27">
        <f>(M232-O232)*H232</f>
        <v>183272.99726400001</v>
      </c>
      <c r="R232" s="27">
        <f>(M232-O232)*I232</f>
        <v>182131.25627200003</v>
      </c>
      <c r="S232" s="27">
        <f>(N232-P232)*J232</f>
        <v>199547.56058548018</v>
      </c>
      <c r="T232" s="27">
        <f>(N232-P232)*K232</f>
        <v>192171.15655040016</v>
      </c>
      <c r="U232" s="27">
        <f t="shared" si="82"/>
        <v>757122.97067188041</v>
      </c>
      <c r="V232" s="119"/>
      <c r="W232" s="119"/>
      <c r="X232" s="119"/>
      <c r="Y232" s="29">
        <f t="shared" si="90"/>
        <v>108.00135138209539</v>
      </c>
      <c r="Z232" s="30">
        <f t="shared" si="91"/>
        <v>104</v>
      </c>
      <c r="AA232" s="2"/>
      <c r="AD232" s="32">
        <f t="shared" si="92"/>
        <v>0</v>
      </c>
    </row>
    <row r="233" spans="1:30" s="40" customFormat="1" ht="15" customHeight="1">
      <c r="A233" s="33"/>
      <c r="B233" s="34"/>
      <c r="C233" s="35"/>
      <c r="D233" s="33"/>
      <c r="E233" s="33"/>
      <c r="F233" s="36"/>
      <c r="G233" s="36"/>
      <c r="H233" s="26"/>
      <c r="I233" s="26"/>
      <c r="J233" s="26"/>
      <c r="K233" s="26"/>
      <c r="L233" s="37"/>
      <c r="M233" s="41"/>
      <c r="N233" s="41"/>
      <c r="O233" s="41"/>
      <c r="P233" s="41"/>
      <c r="Q233" s="27"/>
      <c r="R233" s="27"/>
      <c r="S233" s="27"/>
      <c r="T233" s="27"/>
      <c r="U233" s="27"/>
      <c r="V233" s="119"/>
      <c r="W233" s="119"/>
      <c r="X233" s="119"/>
      <c r="Y233" s="29" t="e">
        <f t="shared" si="90"/>
        <v>#DIV/0!</v>
      </c>
      <c r="Z233" s="30" t="e">
        <f t="shared" si="91"/>
        <v>#DIV/0!</v>
      </c>
      <c r="AA233" s="2"/>
      <c r="AD233" s="32" t="e">
        <f t="shared" si="92"/>
        <v>#DIV/0!</v>
      </c>
    </row>
    <row r="234" spans="1:30" s="40" customFormat="1" ht="51" customHeight="1">
      <c r="A234" s="33" t="s">
        <v>69</v>
      </c>
      <c r="B234" s="34" t="s">
        <v>70</v>
      </c>
      <c r="C234" s="35" t="s">
        <v>71</v>
      </c>
      <c r="D234" s="33" t="s">
        <v>63</v>
      </c>
      <c r="E234" s="33"/>
      <c r="F234" s="36" t="s">
        <v>264</v>
      </c>
      <c r="G234" s="36" t="s">
        <v>379</v>
      </c>
      <c r="H234" s="26">
        <f>'2023'!H236</f>
        <v>418635.47</v>
      </c>
      <c r="I234" s="26">
        <f>'2023'!I236</f>
        <v>408055.55</v>
      </c>
      <c r="J234" s="26">
        <f>'2023'!J236</f>
        <v>363734.73</v>
      </c>
      <c r="K234" s="26">
        <f>'2023'!K236</f>
        <v>396326.41000000003</v>
      </c>
      <c r="L234" s="26">
        <f t="shared" si="81"/>
        <v>1586752.1600000001</v>
      </c>
      <c r="M234" s="38">
        <f>'2024'!N234</f>
        <v>31.24</v>
      </c>
      <c r="N234" s="27">
        <v>33.739200000000011</v>
      </c>
      <c r="O234" s="38">
        <v>26.734267156480005</v>
      </c>
      <c r="P234" s="27">
        <f>O234*1.04</f>
        <v>27.803637842739207</v>
      </c>
      <c r="Q234" s="27">
        <f>(M234-O234)*H234</f>
        <v>1886259.5866414288</v>
      </c>
      <c r="R234" s="27">
        <f>(M234-O234)*I234</f>
        <v>1838589.2936156148</v>
      </c>
      <c r="S234" s="27">
        <f>(N234-P234)*J234</f>
        <v>2158970.0986694763</v>
      </c>
      <c r="T234" s="27">
        <f>(N234-P234)*K234</f>
        <v>2352420.0411190302</v>
      </c>
      <c r="U234" s="27">
        <f t="shared" si="82"/>
        <v>8236239.0200455505</v>
      </c>
      <c r="V234" s="119"/>
      <c r="W234" s="119"/>
      <c r="X234" s="119"/>
      <c r="Y234" s="29">
        <f t="shared" si="90"/>
        <v>108.00000000000006</v>
      </c>
      <c r="Z234" s="30">
        <f t="shared" si="91"/>
        <v>104</v>
      </c>
      <c r="AA234" s="2"/>
      <c r="AD234" s="32">
        <f t="shared" si="92"/>
        <v>0</v>
      </c>
    </row>
    <row r="235" spans="1:30" s="40" customFormat="1" ht="15" customHeight="1">
      <c r="A235" s="33"/>
      <c r="B235" s="34"/>
      <c r="C235" s="35"/>
      <c r="D235" s="33"/>
      <c r="E235" s="33"/>
      <c r="F235" s="36"/>
      <c r="G235" s="36"/>
      <c r="H235" s="26"/>
      <c r="I235" s="26"/>
      <c r="J235" s="26"/>
      <c r="K235" s="26"/>
      <c r="L235" s="37"/>
      <c r="M235" s="41"/>
      <c r="N235" s="41"/>
      <c r="O235" s="41"/>
      <c r="P235" s="41"/>
      <c r="Q235" s="27"/>
      <c r="R235" s="27"/>
      <c r="S235" s="27"/>
      <c r="T235" s="27"/>
      <c r="U235" s="27"/>
      <c r="V235" s="119"/>
      <c r="W235" s="119"/>
      <c r="X235" s="119"/>
      <c r="Y235" s="29" t="e">
        <f t="shared" si="90"/>
        <v>#DIV/0!</v>
      </c>
      <c r="Z235" s="30" t="e">
        <f t="shared" si="91"/>
        <v>#DIV/0!</v>
      </c>
      <c r="AA235" s="2"/>
      <c r="AD235" s="32" t="e">
        <f t="shared" si="92"/>
        <v>#DIV/0!</v>
      </c>
    </row>
    <row r="236" spans="1:30" s="40" customFormat="1" ht="51" customHeight="1">
      <c r="A236" s="33">
        <v>2905001195</v>
      </c>
      <c r="B236" s="34" t="s">
        <v>72</v>
      </c>
      <c r="C236" s="35" t="s">
        <v>73</v>
      </c>
      <c r="D236" s="33"/>
      <c r="E236" s="33"/>
      <c r="F236" s="36" t="s">
        <v>264</v>
      </c>
      <c r="G236" s="36"/>
      <c r="H236" s="26">
        <f>'2023'!H238</f>
        <v>457763.25</v>
      </c>
      <c r="I236" s="26">
        <f>'2023'!I238</f>
        <v>457763.25</v>
      </c>
      <c r="J236" s="26">
        <f>'2023'!J238</f>
        <v>457763.25</v>
      </c>
      <c r="K236" s="26">
        <f>'2023'!K238</f>
        <v>457763.25</v>
      </c>
      <c r="L236" s="26">
        <f t="shared" si="81"/>
        <v>1831053</v>
      </c>
      <c r="M236" s="38">
        <f>'2024'!N236</f>
        <v>46.53</v>
      </c>
      <c r="N236" s="27">
        <v>50.252400000000009</v>
      </c>
      <c r="O236" s="38">
        <f>'2024'!P236</f>
        <v>34.810614592000007</v>
      </c>
      <c r="P236" s="27">
        <f>O236*1.04</f>
        <v>36.203039175680011</v>
      </c>
      <c r="Q236" s="27">
        <f>(M236-O236)*H236</f>
        <v>5364703.9523686534</v>
      </c>
      <c r="R236" s="27">
        <f>(M236-O236)*I236</f>
        <v>5364703.9523686534</v>
      </c>
      <c r="S236" s="27">
        <f>(N236-P236)*J236</f>
        <v>6431281.0713634007</v>
      </c>
      <c r="T236" s="27">
        <f>(N236-P236)*K236</f>
        <v>6431281.0713634007</v>
      </c>
      <c r="U236" s="27">
        <f t="shared" si="82"/>
        <v>23591970.047464106</v>
      </c>
      <c r="V236" s="119"/>
      <c r="W236" s="119"/>
      <c r="X236" s="119"/>
      <c r="Y236" s="29">
        <f t="shared" si="90"/>
        <v>108</v>
      </c>
      <c r="Z236" s="30">
        <f t="shared" si="91"/>
        <v>104</v>
      </c>
      <c r="AA236" s="2" t="s">
        <v>49</v>
      </c>
      <c r="AD236" s="32">
        <f t="shared" si="92"/>
        <v>0</v>
      </c>
    </row>
    <row r="237" spans="1:30" s="40" customFormat="1" ht="15" customHeight="1">
      <c r="A237" s="33"/>
      <c r="B237" s="34"/>
      <c r="C237" s="35"/>
      <c r="D237" s="33"/>
      <c r="E237" s="33"/>
      <c r="F237" s="36"/>
      <c r="G237" s="36"/>
      <c r="H237" s="26"/>
      <c r="I237" s="26"/>
      <c r="J237" s="26"/>
      <c r="K237" s="26"/>
      <c r="L237" s="37"/>
      <c r="M237" s="41"/>
      <c r="N237" s="41"/>
      <c r="O237" s="41"/>
      <c r="P237" s="41"/>
      <c r="Q237" s="27"/>
      <c r="R237" s="27"/>
      <c r="S237" s="27"/>
      <c r="T237" s="27"/>
      <c r="U237" s="27"/>
      <c r="V237" s="119"/>
      <c r="W237" s="119"/>
      <c r="X237" s="119"/>
      <c r="Y237" s="29" t="e">
        <f t="shared" si="90"/>
        <v>#DIV/0!</v>
      </c>
      <c r="Z237" s="30" t="e">
        <f t="shared" si="91"/>
        <v>#DIV/0!</v>
      </c>
      <c r="AA237" s="2"/>
      <c r="AD237" s="32" t="e">
        <f t="shared" si="92"/>
        <v>#DIV/0!</v>
      </c>
    </row>
    <row r="238" spans="1:30" s="40" customFormat="1" ht="51" customHeight="1">
      <c r="A238" s="33" t="s">
        <v>60</v>
      </c>
      <c r="B238" s="34" t="s">
        <v>74</v>
      </c>
      <c r="C238" s="35" t="s">
        <v>75</v>
      </c>
      <c r="D238" s="33" t="s">
        <v>63</v>
      </c>
      <c r="E238" s="33"/>
      <c r="F238" s="36" t="s">
        <v>264</v>
      </c>
      <c r="G238" s="36"/>
      <c r="H238" s="26">
        <f>'2023'!H240</f>
        <v>111676.36799999999</v>
      </c>
      <c r="I238" s="26">
        <f>'2023'!I240</f>
        <v>104502.52499999999</v>
      </c>
      <c r="J238" s="26">
        <f>'2023'!J240</f>
        <v>96945.032999999996</v>
      </c>
      <c r="K238" s="26">
        <f>'2023'!K240</f>
        <v>102095.57399999999</v>
      </c>
      <c r="L238" s="26">
        <f t="shared" si="81"/>
        <v>415219.5</v>
      </c>
      <c r="M238" s="38">
        <f>'2024'!N238</f>
        <v>74.39218000000001</v>
      </c>
      <c r="N238" s="27">
        <v>80.343554400000031</v>
      </c>
      <c r="O238" s="38">
        <f>'2024'!P238</f>
        <v>49.126272000000007</v>
      </c>
      <c r="P238" s="27">
        <v>51.091322880000007</v>
      </c>
      <c r="Q238" s="27">
        <f>(M238-O238)*H238</f>
        <v>2821604.839662144</v>
      </c>
      <c r="R238" s="27">
        <f>(M238-O238)*I238</f>
        <v>2640351.1824177001</v>
      </c>
      <c r="S238" s="27">
        <f>(N238-P238)*J238</f>
        <v>2835858.5500300424</v>
      </c>
      <c r="T238" s="27">
        <f>(N238-P238)*K238</f>
        <v>2986523.3678152948</v>
      </c>
      <c r="U238" s="27">
        <f t="shared" si="82"/>
        <v>11284337.939925181</v>
      </c>
      <c r="V238" s="119"/>
      <c r="W238" s="119"/>
      <c r="X238" s="119"/>
      <c r="Y238" s="29">
        <f t="shared" si="90"/>
        <v>108.00000000000003</v>
      </c>
      <c r="Z238" s="30">
        <f t="shared" si="91"/>
        <v>104</v>
      </c>
      <c r="AA238" s="2"/>
      <c r="AD238" s="32">
        <f t="shared" si="92"/>
        <v>0</v>
      </c>
    </row>
    <row r="239" spans="1:30" s="40" customFormat="1" ht="51" customHeight="1">
      <c r="A239" s="33" t="s">
        <v>76</v>
      </c>
      <c r="B239" s="34" t="s">
        <v>77</v>
      </c>
      <c r="C239" s="35" t="s">
        <v>75</v>
      </c>
      <c r="D239" s="33" t="s">
        <v>63</v>
      </c>
      <c r="E239" s="33"/>
      <c r="F239" s="36" t="s">
        <v>264</v>
      </c>
      <c r="G239" s="36"/>
      <c r="H239" s="26">
        <f>'2023'!H241</f>
        <v>607702.625</v>
      </c>
      <c r="I239" s="26">
        <f>'2023'!I241</f>
        <v>617173.80099999998</v>
      </c>
      <c r="J239" s="26">
        <f>'2023'!J241</f>
        <v>585214.68599999999</v>
      </c>
      <c r="K239" s="26">
        <f>'2023'!K241</f>
        <v>580955.16799999995</v>
      </c>
      <c r="L239" s="26">
        <f t="shared" si="81"/>
        <v>2391046.2799999998</v>
      </c>
      <c r="M239" s="38">
        <v>50.08</v>
      </c>
      <c r="N239" s="27">
        <v>54.09</v>
      </c>
      <c r="O239" s="38">
        <v>31.37</v>
      </c>
      <c r="P239" s="27">
        <v>32.619999999999997</v>
      </c>
      <c r="Q239" s="27">
        <f>(M239-O239)*H239</f>
        <v>11370116.113749998</v>
      </c>
      <c r="R239" s="27">
        <f>(M239-O239)*I239</f>
        <v>11547321.816709997</v>
      </c>
      <c r="S239" s="27">
        <f>(N239-P239)*J239</f>
        <v>12564559.308420002</v>
      </c>
      <c r="T239" s="27">
        <f>(N239-P239)*K239</f>
        <v>12473107.456960002</v>
      </c>
      <c r="U239" s="27">
        <f t="shared" si="82"/>
        <v>47955104.695839994</v>
      </c>
      <c r="V239" s="119"/>
      <c r="W239" s="119"/>
      <c r="X239" s="119"/>
      <c r="Y239" s="29">
        <f t="shared" si="90"/>
        <v>108.00718849840256</v>
      </c>
      <c r="Z239" s="30">
        <f t="shared" si="91"/>
        <v>103.98469875677398</v>
      </c>
      <c r="AA239" s="2"/>
      <c r="AD239" s="32">
        <f t="shared" si="92"/>
        <v>1.5301243226019778E-2</v>
      </c>
    </row>
    <row r="240" spans="1:30" s="40" customFormat="1" ht="15" customHeight="1">
      <c r="A240" s="33"/>
      <c r="B240" s="34"/>
      <c r="C240" s="35"/>
      <c r="D240" s="33"/>
      <c r="E240" s="33"/>
      <c r="F240" s="36"/>
      <c r="G240" s="36"/>
      <c r="H240" s="26"/>
      <c r="I240" s="26"/>
      <c r="J240" s="26"/>
      <c r="K240" s="26"/>
      <c r="L240" s="37"/>
      <c r="M240" s="41"/>
      <c r="N240" s="41"/>
      <c r="O240" s="41"/>
      <c r="P240" s="41"/>
      <c r="Q240" s="27"/>
      <c r="R240" s="27"/>
      <c r="S240" s="27"/>
      <c r="T240" s="27"/>
      <c r="U240" s="27"/>
      <c r="V240" s="119"/>
      <c r="W240" s="119"/>
      <c r="X240" s="119"/>
      <c r="Y240" s="29" t="e">
        <f t="shared" si="90"/>
        <v>#DIV/0!</v>
      </c>
      <c r="Z240" s="30" t="e">
        <f t="shared" si="91"/>
        <v>#DIV/0!</v>
      </c>
      <c r="AA240" s="2"/>
      <c r="AD240" s="32" t="e">
        <f t="shared" si="92"/>
        <v>#DIV/0!</v>
      </c>
    </row>
    <row r="241" spans="1:30" s="40" customFormat="1" ht="51" customHeight="1">
      <c r="A241" s="34">
        <v>2911007420</v>
      </c>
      <c r="B241" s="34" t="s">
        <v>434</v>
      </c>
      <c r="C241" s="35" t="s">
        <v>79</v>
      </c>
      <c r="D241" s="33" t="s">
        <v>270</v>
      </c>
      <c r="E241" s="33"/>
      <c r="F241" s="36" t="s">
        <v>430</v>
      </c>
      <c r="G241" s="36" t="s">
        <v>440</v>
      </c>
      <c r="H241" s="37">
        <f>49459/4</f>
        <v>12364.75</v>
      </c>
      <c r="I241" s="37">
        <f t="shared" ref="I241:K241" si="94">49459/4</f>
        <v>12364.75</v>
      </c>
      <c r="J241" s="37">
        <f t="shared" si="94"/>
        <v>12364.75</v>
      </c>
      <c r="K241" s="37">
        <f t="shared" si="94"/>
        <v>12364.75</v>
      </c>
      <c r="L241" s="37">
        <f t="shared" ref="L241" si="95">H241+I241+J241+K241</f>
        <v>49459</v>
      </c>
      <c r="M241" s="38">
        <f>'2024'!N241</f>
        <v>159.96080000000001</v>
      </c>
      <c r="N241" s="38">
        <v>172.75766400000003</v>
      </c>
      <c r="O241" s="38">
        <f>'2024'!P241</f>
        <v>49.872576000000002</v>
      </c>
      <c r="P241" s="38">
        <v>51.867479040000006</v>
      </c>
      <c r="Q241" s="38">
        <f>(M241-O241)*H241</f>
        <v>1361213.3677039999</v>
      </c>
      <c r="R241" s="38">
        <f>(M241-O241)*I241</f>
        <v>1361213.3677039999</v>
      </c>
      <c r="S241" s="38">
        <f>(N241-P241)*J241</f>
        <v>1494776.9144841603</v>
      </c>
      <c r="T241" s="38">
        <f>(N241-P241)*K241</f>
        <v>1494776.9144841603</v>
      </c>
      <c r="U241" s="120">
        <f t="shared" ref="U241" si="96">Q241+R241+S241+T241</f>
        <v>5711980.5643763198</v>
      </c>
      <c r="V241" s="121"/>
      <c r="W241" s="119"/>
      <c r="X241" s="119"/>
      <c r="Y241" s="29"/>
      <c r="Z241" s="30"/>
      <c r="AA241" s="2"/>
      <c r="AD241" s="32"/>
    </row>
    <row r="242" spans="1:30" s="40" customFormat="1" ht="15" customHeight="1">
      <c r="A242" s="33"/>
      <c r="B242" s="34"/>
      <c r="C242" s="35"/>
      <c r="D242" s="33"/>
      <c r="E242" s="33"/>
      <c r="F242" s="36"/>
      <c r="G242" s="36"/>
      <c r="H242" s="26"/>
      <c r="I242" s="26"/>
      <c r="J242" s="26"/>
      <c r="K242" s="26"/>
      <c r="L242" s="26"/>
      <c r="M242" s="41"/>
      <c r="N242" s="90"/>
      <c r="O242" s="41"/>
      <c r="P242" s="90"/>
      <c r="Q242" s="27"/>
      <c r="R242" s="27"/>
      <c r="S242" s="27"/>
      <c r="T242" s="27"/>
      <c r="U242" s="27"/>
      <c r="V242" s="119"/>
      <c r="W242" s="119"/>
      <c r="X242" s="119"/>
      <c r="Y242" s="29"/>
      <c r="Z242" s="30"/>
      <c r="AA242" s="2"/>
      <c r="AD242" s="32"/>
    </row>
    <row r="243" spans="1:30" s="40" customFormat="1" ht="51" customHeight="1">
      <c r="A243" s="33" t="s">
        <v>84</v>
      </c>
      <c r="B243" s="34" t="s">
        <v>85</v>
      </c>
      <c r="C243" s="35" t="s">
        <v>86</v>
      </c>
      <c r="D243" s="33" t="s">
        <v>87</v>
      </c>
      <c r="E243" s="33"/>
      <c r="F243" s="36" t="s">
        <v>264</v>
      </c>
      <c r="G243" s="36" t="s">
        <v>88</v>
      </c>
      <c r="H243" s="26">
        <f>'2023'!H245</f>
        <v>39310.099000000002</v>
      </c>
      <c r="I243" s="26">
        <f>'2023'!I245</f>
        <v>37392.595999999998</v>
      </c>
      <c r="J243" s="26">
        <f>'2023'!J245</f>
        <v>31057.724000000002</v>
      </c>
      <c r="K243" s="26">
        <f>'2023'!K245</f>
        <v>33110.241000000002</v>
      </c>
      <c r="L243" s="26">
        <f t="shared" si="81"/>
        <v>140870.66</v>
      </c>
      <c r="M243" s="38">
        <f>'2024'!N243</f>
        <v>99.66</v>
      </c>
      <c r="N243" s="27">
        <v>107.6328</v>
      </c>
      <c r="O243" s="38">
        <f>'2024'!P243</f>
        <v>89.125310976000009</v>
      </c>
      <c r="P243" s="27">
        <v>92.690323415040012</v>
      </c>
      <c r="Q243" s="27">
        <f>(M243-O243)*H243</f>
        <v>414119.66846765293</v>
      </c>
      <c r="R243" s="27">
        <f t="shared" ref="R243:S245" si="97">(M243-O243)*I243</f>
        <v>393919.37066006585</v>
      </c>
      <c r="S243" s="27">
        <f t="shared" si="97"/>
        <v>464079.31365214998</v>
      </c>
      <c r="T243" s="27">
        <f>(N243-P243)*K243</f>
        <v>494749.00086488231</v>
      </c>
      <c r="U243" s="27">
        <f t="shared" si="82"/>
        <v>1766867.353644751</v>
      </c>
      <c r="V243" s="119"/>
      <c r="W243" s="119"/>
      <c r="X243" s="119"/>
      <c r="Y243" s="29">
        <f>N243/M243*100</f>
        <v>108</v>
      </c>
      <c r="Z243" s="30">
        <f>P243/O243*100</f>
        <v>104</v>
      </c>
      <c r="AA243" s="2"/>
      <c r="AD243" s="32">
        <f t="shared" si="92"/>
        <v>0</v>
      </c>
    </row>
    <row r="244" spans="1:30" s="40" customFormat="1" ht="51" customHeight="1">
      <c r="A244" s="33" t="s">
        <v>60</v>
      </c>
      <c r="B244" s="34" t="s">
        <v>61</v>
      </c>
      <c r="C244" s="35" t="s">
        <v>86</v>
      </c>
      <c r="D244" s="33" t="s">
        <v>87</v>
      </c>
      <c r="E244" s="33"/>
      <c r="F244" s="36" t="s">
        <v>264</v>
      </c>
      <c r="G244" s="36"/>
      <c r="H244" s="26">
        <f>'2023'!H246</f>
        <v>5164.8530000000001</v>
      </c>
      <c r="I244" s="26">
        <f>'2023'!I246</f>
        <v>4922.0540000000001</v>
      </c>
      <c r="J244" s="26">
        <f>'2023'!J246</f>
        <v>5169.4409999999998</v>
      </c>
      <c r="K244" s="26">
        <f>'2023'!K246</f>
        <v>4906.6229999999996</v>
      </c>
      <c r="L244" s="26">
        <f t="shared" si="81"/>
        <v>20162.970999999998</v>
      </c>
      <c r="M244" s="38">
        <f>'2024'!N244</f>
        <v>82.728616208099197</v>
      </c>
      <c r="N244" s="27">
        <v>86.567432296131983</v>
      </c>
      <c r="O244" s="38">
        <f>'2024'!P244</f>
        <v>74.267147884799996</v>
      </c>
      <c r="P244" s="27">
        <v>77.237833800191993</v>
      </c>
      <c r="Q244" s="27">
        <f>(M244-O244)*H244</f>
        <v>43702.240053996844</v>
      </c>
      <c r="R244" s="27">
        <f t="shared" si="97"/>
        <v>41647.804006568127</v>
      </c>
      <c r="S244" s="27">
        <f t="shared" si="97"/>
        <v>48228.808978450514</v>
      </c>
      <c r="T244" s="27">
        <f>(N244-P244)*K244</f>
        <v>45776.822560944558</v>
      </c>
      <c r="U244" s="27">
        <f t="shared" si="82"/>
        <v>179355.67559996006</v>
      </c>
      <c r="V244" s="119"/>
      <c r="W244" s="119"/>
      <c r="X244" s="119"/>
      <c r="Y244" s="29">
        <f>N244/M244*100</f>
        <v>104.64025178225688</v>
      </c>
      <c r="Z244" s="30">
        <f>P244/O244*100</f>
        <v>104</v>
      </c>
      <c r="AA244" s="2"/>
      <c r="AD244" s="32">
        <f t="shared" si="92"/>
        <v>0</v>
      </c>
    </row>
    <row r="245" spans="1:30" s="40" customFormat="1" ht="51" customHeight="1">
      <c r="A245" s="33" t="s">
        <v>380</v>
      </c>
      <c r="B245" s="34" t="s">
        <v>381</v>
      </c>
      <c r="C245" s="35" t="s">
        <v>86</v>
      </c>
      <c r="D245" s="33" t="s">
        <v>90</v>
      </c>
      <c r="E245" s="33"/>
      <c r="F245" s="36" t="s">
        <v>264</v>
      </c>
      <c r="G245" s="36"/>
      <c r="H245" s="26">
        <f>'2023'!H247</f>
        <v>1012</v>
      </c>
      <c r="I245" s="26">
        <f>'2023'!I247</f>
        <v>1012</v>
      </c>
      <c r="J245" s="26">
        <f>'2023'!J247</f>
        <v>1012</v>
      </c>
      <c r="K245" s="26">
        <f>'2023'!K247</f>
        <v>1012</v>
      </c>
      <c r="L245" s="26">
        <f t="shared" si="81"/>
        <v>4048</v>
      </c>
      <c r="M245" s="38">
        <f>'2024'!N245</f>
        <v>215.27</v>
      </c>
      <c r="N245" s="27">
        <v>232.49160000000003</v>
      </c>
      <c r="O245" s="38">
        <f>'2024'!P245</f>
        <v>89.123840000000015</v>
      </c>
      <c r="P245" s="27">
        <v>92.688793600000025</v>
      </c>
      <c r="Q245" s="27">
        <f>(M245-O245)*H245</f>
        <v>127659.91391999999</v>
      </c>
      <c r="R245" s="27">
        <f t="shared" si="97"/>
        <v>127659.91391999999</v>
      </c>
      <c r="S245" s="27">
        <f t="shared" si="97"/>
        <v>141480.44007680001</v>
      </c>
      <c r="T245" s="27">
        <f>(N245-P245)*K245</f>
        <v>141480.44007680001</v>
      </c>
      <c r="U245" s="27">
        <f t="shared" si="82"/>
        <v>538280.70799360005</v>
      </c>
      <c r="V245" s="119"/>
      <c r="W245" s="119"/>
      <c r="X245" s="119"/>
      <c r="Y245" s="29"/>
      <c r="Z245" s="30"/>
      <c r="AA245" s="2"/>
      <c r="AD245" s="32"/>
    </row>
    <row r="246" spans="1:30" s="40" customFormat="1" ht="15" customHeight="1">
      <c r="A246" s="33"/>
      <c r="B246" s="34"/>
      <c r="C246" s="35"/>
      <c r="D246" s="33"/>
      <c r="E246" s="33"/>
      <c r="F246" s="36"/>
      <c r="G246" s="36"/>
      <c r="H246" s="26"/>
      <c r="I246" s="26"/>
      <c r="J246" s="26"/>
      <c r="K246" s="26"/>
      <c r="L246" s="37"/>
      <c r="M246" s="41"/>
      <c r="N246" s="41"/>
      <c r="O246" s="41"/>
      <c r="P246" s="41"/>
      <c r="Q246" s="27"/>
      <c r="R246" s="27"/>
      <c r="S246" s="27"/>
      <c r="T246" s="27"/>
      <c r="U246" s="27"/>
      <c r="V246" s="119"/>
      <c r="W246" s="119"/>
      <c r="X246" s="119"/>
      <c r="Y246" s="29" t="e">
        <f t="shared" ref="Y246:Y278" si="98">N246/M246*100</f>
        <v>#DIV/0!</v>
      </c>
      <c r="Z246" s="30" t="e">
        <f t="shared" ref="Z246:Z278" si="99">P246/O246*100</f>
        <v>#DIV/0!</v>
      </c>
      <c r="AA246" s="2"/>
      <c r="AD246" s="32" t="e">
        <f t="shared" si="92"/>
        <v>#DIV/0!</v>
      </c>
    </row>
    <row r="247" spans="1:30" s="40" customFormat="1" ht="51" customHeight="1">
      <c r="A247" s="33" t="s">
        <v>382</v>
      </c>
      <c r="B247" s="34" t="s">
        <v>120</v>
      </c>
      <c r="C247" s="35" t="s">
        <v>97</v>
      </c>
      <c r="D247" s="33" t="s">
        <v>319</v>
      </c>
      <c r="E247" s="33" t="s">
        <v>320</v>
      </c>
      <c r="F247" s="36" t="s">
        <v>264</v>
      </c>
      <c r="G247" s="36" t="s">
        <v>384</v>
      </c>
      <c r="H247" s="26">
        <f>'2023'!H249</f>
        <v>10580.328</v>
      </c>
      <c r="I247" s="26">
        <f>'2023'!I249</f>
        <v>9970.7920000000013</v>
      </c>
      <c r="J247" s="26">
        <f>'2023'!J249</f>
        <v>10009.784</v>
      </c>
      <c r="K247" s="26">
        <f>'2023'!K249</f>
        <v>9911.5859999999993</v>
      </c>
      <c r="L247" s="26">
        <f t="shared" si="81"/>
        <v>40472.490000000005</v>
      </c>
      <c r="M247" s="38">
        <v>221.18</v>
      </c>
      <c r="N247" s="27">
        <v>221.18</v>
      </c>
      <c r="O247" s="38">
        <v>89.13</v>
      </c>
      <c r="P247" s="27">
        <v>92.7</v>
      </c>
      <c r="Q247" s="27">
        <f>(M247-O247)*H247</f>
        <v>1397132.3124000002</v>
      </c>
      <c r="R247" s="27">
        <f t="shared" ref="R247:S251" si="100">(M247-O247)*I247</f>
        <v>1316643.0836000002</v>
      </c>
      <c r="S247" s="27">
        <f t="shared" si="100"/>
        <v>1286057.0483200001</v>
      </c>
      <c r="T247" s="27">
        <f>(N247-P247)*K247</f>
        <v>1273440.5692800002</v>
      </c>
      <c r="U247" s="27">
        <f t="shared" si="82"/>
        <v>5273273.0136000011</v>
      </c>
      <c r="V247" s="119"/>
      <c r="W247" s="119"/>
      <c r="X247" s="119"/>
      <c r="Y247" s="29">
        <f t="shared" si="98"/>
        <v>100</v>
      </c>
      <c r="Z247" s="30">
        <f t="shared" si="99"/>
        <v>104.00538539212387</v>
      </c>
      <c r="AA247" s="2"/>
      <c r="AD247" s="32">
        <f t="shared" si="92"/>
        <v>-5.3853921238697922E-3</v>
      </c>
    </row>
    <row r="248" spans="1:30" s="40" customFormat="1" ht="51" customHeight="1">
      <c r="A248" s="33" t="s">
        <v>382</v>
      </c>
      <c r="B248" s="34" t="s">
        <v>120</v>
      </c>
      <c r="C248" s="35" t="s">
        <v>97</v>
      </c>
      <c r="D248" s="33" t="s">
        <v>319</v>
      </c>
      <c r="E248" s="33" t="s">
        <v>321</v>
      </c>
      <c r="F248" s="36" t="s">
        <v>264</v>
      </c>
      <c r="G248" s="36" t="s">
        <v>384</v>
      </c>
      <c r="H248" s="26">
        <f>'2023'!H250</f>
        <v>2765.453</v>
      </c>
      <c r="I248" s="26">
        <f>'2023'!I250</f>
        <v>2244.1320000000001</v>
      </c>
      <c r="J248" s="26">
        <f>'2023'!J250</f>
        <v>2479.5250000000001</v>
      </c>
      <c r="K248" s="26">
        <f>'2023'!K250</f>
        <v>2248.3430000000003</v>
      </c>
      <c r="L248" s="26">
        <f t="shared" si="81"/>
        <v>9737.4530000000013</v>
      </c>
      <c r="M248" s="38">
        <v>221.18</v>
      </c>
      <c r="N248" s="27">
        <v>221.18</v>
      </c>
      <c r="O248" s="38">
        <v>94.1</v>
      </c>
      <c r="P248" s="27">
        <v>97.86</v>
      </c>
      <c r="Q248" s="27">
        <f>(M248-O248)*H248</f>
        <v>351433.76724000002</v>
      </c>
      <c r="R248" s="27">
        <f t="shared" si="100"/>
        <v>285184.29456000001</v>
      </c>
      <c r="S248" s="27">
        <f t="shared" si="100"/>
        <v>305775.02300000004</v>
      </c>
      <c r="T248" s="27">
        <f>(N248-P248)*K248</f>
        <v>277265.65876000008</v>
      </c>
      <c r="U248" s="27">
        <f t="shared" si="82"/>
        <v>1219658.7435600001</v>
      </c>
      <c r="V248" s="119"/>
      <c r="W248" s="119"/>
      <c r="X248" s="119"/>
      <c r="Y248" s="29">
        <f t="shared" si="98"/>
        <v>100</v>
      </c>
      <c r="Z248" s="30">
        <f t="shared" si="99"/>
        <v>103.99574920297556</v>
      </c>
      <c r="AA248" s="2"/>
      <c r="AD248" s="32">
        <f t="shared" si="92"/>
        <v>4.2507970244400894E-3</v>
      </c>
    </row>
    <row r="249" spans="1:30" s="40" customFormat="1" ht="51" customHeight="1">
      <c r="A249" s="33" t="s">
        <v>382</v>
      </c>
      <c r="B249" s="34" t="s">
        <v>120</v>
      </c>
      <c r="C249" s="35" t="s">
        <v>97</v>
      </c>
      <c r="D249" s="33" t="s">
        <v>104</v>
      </c>
      <c r="E249" s="33" t="s">
        <v>63</v>
      </c>
      <c r="F249" s="36" t="s">
        <v>264</v>
      </c>
      <c r="G249" s="36" t="s">
        <v>385</v>
      </c>
      <c r="H249" s="26">
        <f>'2023'!H251</f>
        <v>7974.3809999999994</v>
      </c>
      <c r="I249" s="26">
        <f>'2023'!I251</f>
        <v>7810.72</v>
      </c>
      <c r="J249" s="26">
        <f>'2023'!J251</f>
        <v>8654.2459999999992</v>
      </c>
      <c r="K249" s="26">
        <f>'2023'!K251</f>
        <v>8882.9060000000009</v>
      </c>
      <c r="L249" s="26">
        <f t="shared" si="81"/>
        <v>33322.252999999997</v>
      </c>
      <c r="M249" s="38">
        <v>166.29</v>
      </c>
      <c r="N249" s="27">
        <v>166.29</v>
      </c>
      <c r="O249" s="38">
        <v>91.04</v>
      </c>
      <c r="P249" s="27">
        <v>94.68</v>
      </c>
      <c r="Q249" s="27">
        <f>(M249-O249)*H249</f>
        <v>600072.17024999985</v>
      </c>
      <c r="R249" s="27">
        <f t="shared" si="100"/>
        <v>587756.67999999993</v>
      </c>
      <c r="S249" s="27">
        <f t="shared" si="100"/>
        <v>619730.55605999986</v>
      </c>
      <c r="T249" s="27">
        <f>(N249-P249)*K249</f>
        <v>636104.89865999995</v>
      </c>
      <c r="U249" s="27">
        <f t="shared" si="82"/>
        <v>2443664.3049699995</v>
      </c>
      <c r="V249" s="119"/>
      <c r="W249" s="119"/>
      <c r="X249" s="119"/>
      <c r="Y249" s="29">
        <f t="shared" si="98"/>
        <v>100</v>
      </c>
      <c r="Z249" s="30">
        <f t="shared" si="99"/>
        <v>103.99824253075572</v>
      </c>
      <c r="AA249" s="2"/>
      <c r="AD249" s="32">
        <f t="shared" si="92"/>
        <v>1.757469244282106E-3</v>
      </c>
    </row>
    <row r="250" spans="1:30" s="40" customFormat="1" ht="51" customHeight="1">
      <c r="A250" s="33" t="s">
        <v>102</v>
      </c>
      <c r="B250" s="34" t="s">
        <v>103</v>
      </c>
      <c r="C250" s="35" t="s">
        <v>97</v>
      </c>
      <c r="D250" s="33" t="s">
        <v>98</v>
      </c>
      <c r="E250" s="33" t="s">
        <v>322</v>
      </c>
      <c r="F250" s="36" t="s">
        <v>264</v>
      </c>
      <c r="G250" s="36"/>
      <c r="H250" s="26">
        <f>'2023'!H252</f>
        <v>20581.621999999999</v>
      </c>
      <c r="I250" s="26">
        <f>'2023'!I252</f>
        <v>17956.550999999999</v>
      </c>
      <c r="J250" s="26">
        <f>'2023'!J252</f>
        <v>16988.644</v>
      </c>
      <c r="K250" s="26">
        <f>'2023'!K252</f>
        <v>18432.786</v>
      </c>
      <c r="L250" s="26">
        <f t="shared" si="81"/>
        <v>73959.603000000003</v>
      </c>
      <c r="M250" s="38">
        <v>70.5</v>
      </c>
      <c r="N250" s="27">
        <v>76.14</v>
      </c>
      <c r="O250" s="38">
        <v>60.57</v>
      </c>
      <c r="P250" s="27">
        <v>62.99</v>
      </c>
      <c r="Q250" s="27">
        <f>(M250-O250)*H250</f>
        <v>204375.50645999998</v>
      </c>
      <c r="R250" s="27">
        <f t="shared" si="100"/>
        <v>178308.55142999999</v>
      </c>
      <c r="S250" s="27">
        <f t="shared" si="100"/>
        <v>223400.66859999998</v>
      </c>
      <c r="T250" s="27">
        <f>(N250-P250)*K250</f>
        <v>242391.13589999996</v>
      </c>
      <c r="U250" s="27">
        <f t="shared" si="82"/>
        <v>848475.86238999991</v>
      </c>
      <c r="V250" s="119"/>
      <c r="W250" s="119"/>
      <c r="X250" s="119"/>
      <c r="Y250" s="29">
        <f t="shared" si="98"/>
        <v>108</v>
      </c>
      <c r="Z250" s="30">
        <f t="shared" si="99"/>
        <v>103.99537724946344</v>
      </c>
      <c r="AA250" s="2"/>
      <c r="AD250" s="32">
        <f t="shared" si="92"/>
        <v>4.6227505365550314E-3</v>
      </c>
    </row>
    <row r="251" spans="1:30" s="40" customFormat="1" ht="51" customHeight="1">
      <c r="A251" s="33" t="s">
        <v>102</v>
      </c>
      <c r="B251" s="34" t="s">
        <v>103</v>
      </c>
      <c r="C251" s="35" t="s">
        <v>97</v>
      </c>
      <c r="D251" s="33" t="s">
        <v>98</v>
      </c>
      <c r="E251" s="33" t="s">
        <v>383</v>
      </c>
      <c r="F251" s="36" t="s">
        <v>264</v>
      </c>
      <c r="G251" s="36"/>
      <c r="H251" s="26">
        <f>'2023'!H253</f>
        <v>1515.6870000000001</v>
      </c>
      <c r="I251" s="26">
        <f>'2023'!I253</f>
        <v>1540.9009999999998</v>
      </c>
      <c r="J251" s="26">
        <f>'2023'!J253</f>
        <v>1588.5860000000002</v>
      </c>
      <c r="K251" s="26">
        <f>'2023'!K253</f>
        <v>1412.81</v>
      </c>
      <c r="L251" s="26">
        <f t="shared" si="81"/>
        <v>6057.9840000000004</v>
      </c>
      <c r="M251" s="38">
        <v>214.03</v>
      </c>
      <c r="N251" s="27">
        <v>228.05</v>
      </c>
      <c r="O251" s="38">
        <v>60.57</v>
      </c>
      <c r="P251" s="27">
        <v>62.99</v>
      </c>
      <c r="Q251" s="27">
        <f>(M251-O251)*H251</f>
        <v>232597.32702000003</v>
      </c>
      <c r="R251" s="27">
        <f t="shared" si="100"/>
        <v>236466.66746</v>
      </c>
      <c r="S251" s="27">
        <f t="shared" si="100"/>
        <v>262212.00516000006</v>
      </c>
      <c r="T251" s="27">
        <f>(N251-P251)*K251</f>
        <v>233198.4186</v>
      </c>
      <c r="U251" s="27">
        <f t="shared" si="82"/>
        <v>964474.41824000003</v>
      </c>
      <c r="V251" s="119"/>
      <c r="W251" s="119"/>
      <c r="X251" s="119"/>
      <c r="Y251" s="29">
        <f t="shared" si="98"/>
        <v>106.55048357706865</v>
      </c>
      <c r="Z251" s="30">
        <f t="shared" si="99"/>
        <v>103.99537724946344</v>
      </c>
      <c r="AA251" s="2"/>
      <c r="AD251" s="32">
        <f t="shared" si="92"/>
        <v>4.6227505365550314E-3</v>
      </c>
    </row>
    <row r="252" spans="1:30" s="40" customFormat="1" ht="15" customHeight="1">
      <c r="A252" s="33"/>
      <c r="B252" s="34"/>
      <c r="C252" s="35"/>
      <c r="D252" s="33"/>
      <c r="E252" s="33"/>
      <c r="F252" s="36"/>
      <c r="G252" s="36"/>
      <c r="H252" s="26"/>
      <c r="I252" s="26"/>
      <c r="J252" s="26"/>
      <c r="K252" s="26"/>
      <c r="L252" s="37"/>
      <c r="M252" s="41"/>
      <c r="N252" s="41"/>
      <c r="O252" s="41"/>
      <c r="P252" s="41"/>
      <c r="Q252" s="27"/>
      <c r="R252" s="27"/>
      <c r="S252" s="27"/>
      <c r="T252" s="27"/>
      <c r="U252" s="27"/>
      <c r="V252" s="119"/>
      <c r="W252" s="119"/>
      <c r="X252" s="119"/>
      <c r="Y252" s="29" t="e">
        <f t="shared" si="98"/>
        <v>#DIV/0!</v>
      </c>
      <c r="Z252" s="30" t="e">
        <f t="shared" si="99"/>
        <v>#DIV/0!</v>
      </c>
      <c r="AA252" s="2"/>
      <c r="AD252" s="32" t="e">
        <f t="shared" si="92"/>
        <v>#DIV/0!</v>
      </c>
    </row>
    <row r="253" spans="1:30" s="40" customFormat="1" ht="51" customHeight="1">
      <c r="A253" s="33" t="s">
        <v>116</v>
      </c>
      <c r="B253" s="34" t="s">
        <v>117</v>
      </c>
      <c r="C253" s="35" t="s">
        <v>113</v>
      </c>
      <c r="D253" s="33" t="s">
        <v>118</v>
      </c>
      <c r="E253" s="33" t="s">
        <v>63</v>
      </c>
      <c r="F253" s="36" t="s">
        <v>264</v>
      </c>
      <c r="G253" s="36"/>
      <c r="H253" s="26">
        <f>'2023'!H255</f>
        <v>16879.085999999999</v>
      </c>
      <c r="I253" s="26">
        <f>'2023'!I255</f>
        <v>16628.535</v>
      </c>
      <c r="J253" s="26">
        <f>'2023'!J255</f>
        <v>16831.367999999999</v>
      </c>
      <c r="K253" s="26">
        <f>'2023'!K255</f>
        <v>16445.526999999998</v>
      </c>
      <c r="L253" s="26">
        <f t="shared" si="81"/>
        <v>66784.516000000003</v>
      </c>
      <c r="M253" s="38">
        <f>'2024'!N253</f>
        <v>153.05000000000001</v>
      </c>
      <c r="N253" s="27">
        <v>165.29400000000004</v>
      </c>
      <c r="O253" s="38">
        <f>'2024'!P253</f>
        <v>37.315200000000004</v>
      </c>
      <c r="P253" s="27">
        <f>O253*1.04</f>
        <v>38.807808000000009</v>
      </c>
      <c r="Q253" s="27">
        <f>(M253-O253)*H253</f>
        <v>1953497.6423928</v>
      </c>
      <c r="R253" s="27">
        <f t="shared" ref="R253:S256" si="101">(M253-O253)*I253</f>
        <v>1924500.172518</v>
      </c>
      <c r="S253" s="27">
        <f t="shared" si="101"/>
        <v>2128935.6444706563</v>
      </c>
      <c r="T253" s="27">
        <f>(N253-P253)*K253</f>
        <v>2080132.0856631843</v>
      </c>
      <c r="U253" s="27">
        <f t="shared" si="82"/>
        <v>8087065.545044641</v>
      </c>
      <c r="V253" s="119"/>
      <c r="W253" s="119"/>
      <c r="X253" s="119"/>
      <c r="Y253" s="29">
        <f t="shared" si="98"/>
        <v>108</v>
      </c>
      <c r="Z253" s="30">
        <f t="shared" si="99"/>
        <v>104</v>
      </c>
      <c r="AA253" s="2"/>
      <c r="AD253" s="32">
        <f t="shared" si="92"/>
        <v>0</v>
      </c>
    </row>
    <row r="254" spans="1:30" s="40" customFormat="1" ht="83.25" customHeight="1">
      <c r="A254" s="33" t="s">
        <v>116</v>
      </c>
      <c r="B254" s="34" t="s">
        <v>117</v>
      </c>
      <c r="C254" s="35" t="s">
        <v>113</v>
      </c>
      <c r="D254" s="33" t="s">
        <v>118</v>
      </c>
      <c r="E254" s="33" t="s">
        <v>386</v>
      </c>
      <c r="F254" s="36" t="s">
        <v>264</v>
      </c>
      <c r="G254" s="36"/>
      <c r="H254" s="26">
        <f>'2023'!H256</f>
        <v>935.35400000000004</v>
      </c>
      <c r="I254" s="26">
        <f>'2023'!I256</f>
        <v>790.36700000000008</v>
      </c>
      <c r="J254" s="26">
        <f>'2023'!J256</f>
        <v>831.37</v>
      </c>
      <c r="K254" s="26">
        <f>'2023'!K256</f>
        <v>841.68399999999997</v>
      </c>
      <c r="L254" s="26">
        <f t="shared" si="81"/>
        <v>3398.7749999999996</v>
      </c>
      <c r="M254" s="38">
        <f>'2024'!N254</f>
        <v>153.05000000000001</v>
      </c>
      <c r="N254" s="27">
        <v>165.29400000000004</v>
      </c>
      <c r="O254" s="38">
        <f>'2024'!P254</f>
        <v>51.313600000000008</v>
      </c>
      <c r="P254" s="27">
        <f>O254*1.04</f>
        <v>53.366144000000013</v>
      </c>
      <c r="Q254" s="27">
        <f>(M254-O254)*H254</f>
        <v>95159.548685600006</v>
      </c>
      <c r="R254" s="27">
        <f t="shared" si="101"/>
        <v>80409.093258800014</v>
      </c>
      <c r="S254" s="27">
        <f t="shared" si="101"/>
        <v>93053.461642720024</v>
      </c>
      <c r="T254" s="27">
        <f>(N254-P254)*K254</f>
        <v>94207.885549504019</v>
      </c>
      <c r="U254" s="27">
        <f t="shared" si="82"/>
        <v>362829.98913662409</v>
      </c>
      <c r="V254" s="119"/>
      <c r="W254" s="119"/>
      <c r="X254" s="119"/>
      <c r="Y254" s="29">
        <f t="shared" si="98"/>
        <v>108</v>
      </c>
      <c r="Z254" s="30">
        <f t="shared" si="99"/>
        <v>104</v>
      </c>
      <c r="AA254" s="2"/>
      <c r="AD254" s="32">
        <f t="shared" si="92"/>
        <v>0</v>
      </c>
    </row>
    <row r="255" spans="1:30" s="40" customFormat="1" ht="51" customHeight="1">
      <c r="A255" s="33">
        <v>2901284489</v>
      </c>
      <c r="B255" s="34" t="s">
        <v>115</v>
      </c>
      <c r="C255" s="35" t="s">
        <v>113</v>
      </c>
      <c r="D255" s="33" t="s">
        <v>324</v>
      </c>
      <c r="E255" s="33" t="s">
        <v>63</v>
      </c>
      <c r="F255" s="36" t="s">
        <v>264</v>
      </c>
      <c r="G255" s="36" t="s">
        <v>325</v>
      </c>
      <c r="H255" s="26">
        <f>'2023'!H257</f>
        <v>3421.65</v>
      </c>
      <c r="I255" s="26">
        <f>'2023'!I257</f>
        <v>3653.57</v>
      </c>
      <c r="J255" s="26">
        <f>'2023'!J257</f>
        <v>5439.2569999999996</v>
      </c>
      <c r="K255" s="26">
        <f>'2023'!K257</f>
        <v>5427.6720000000005</v>
      </c>
      <c r="L255" s="26">
        <f t="shared" si="81"/>
        <v>17942.148999999998</v>
      </c>
      <c r="M255" s="38">
        <f>'2024'!N255</f>
        <v>119.07</v>
      </c>
      <c r="N255" s="27">
        <v>128.59559999999999</v>
      </c>
      <c r="O255" s="38">
        <f>'2024'!P255</f>
        <v>46.02</v>
      </c>
      <c r="P255" s="27">
        <f>O255*1.04</f>
        <v>47.860800000000005</v>
      </c>
      <c r="Q255" s="27">
        <f>(M255-O255)*H255</f>
        <v>249951.53249999994</v>
      </c>
      <c r="R255" s="27">
        <f t="shared" si="101"/>
        <v>266893.28849999997</v>
      </c>
      <c r="S255" s="27">
        <f t="shared" si="101"/>
        <v>439137.32604359987</v>
      </c>
      <c r="T255" s="27">
        <f>(N255-P255)*K255</f>
        <v>438202.01338559994</v>
      </c>
      <c r="U255" s="27">
        <f t="shared" si="82"/>
        <v>1394184.1604291997</v>
      </c>
      <c r="V255" s="119"/>
      <c r="W255" s="119"/>
      <c r="X255" s="119"/>
      <c r="Y255" s="29">
        <f t="shared" si="98"/>
        <v>108</v>
      </c>
      <c r="Z255" s="30">
        <f t="shared" si="99"/>
        <v>104</v>
      </c>
      <c r="AA255" s="2"/>
      <c r="AD255" s="32">
        <f t="shared" si="92"/>
        <v>0</v>
      </c>
    </row>
    <row r="256" spans="1:30" s="40" customFormat="1" ht="51" customHeight="1">
      <c r="A256" s="33" t="s">
        <v>111</v>
      </c>
      <c r="B256" s="34" t="s">
        <v>112</v>
      </c>
      <c r="C256" s="35" t="s">
        <v>113</v>
      </c>
      <c r="D256" s="33" t="s">
        <v>114</v>
      </c>
      <c r="E256" s="33"/>
      <c r="F256" s="36" t="s">
        <v>264</v>
      </c>
      <c r="G256" s="36"/>
      <c r="H256" s="26">
        <f>'2023'!H258</f>
        <v>1600</v>
      </c>
      <c r="I256" s="26">
        <f>'2023'!I258</f>
        <v>1600</v>
      </c>
      <c r="J256" s="26">
        <f>'2023'!J258</f>
        <v>1600</v>
      </c>
      <c r="K256" s="26">
        <f>'2023'!K258</f>
        <v>1600</v>
      </c>
      <c r="L256" s="26">
        <f t="shared" si="81"/>
        <v>6400</v>
      </c>
      <c r="M256" s="38">
        <f>'2024'!N256</f>
        <v>378.21</v>
      </c>
      <c r="N256" s="38">
        <v>404.20279999999997</v>
      </c>
      <c r="O256" s="38">
        <f>'2024'!P256</f>
        <v>36.441600000000001</v>
      </c>
      <c r="P256" s="27">
        <f>O256*1.04</f>
        <v>37.899264000000002</v>
      </c>
      <c r="Q256" s="27">
        <f>(M256-O256)*H256</f>
        <v>546829.43999999994</v>
      </c>
      <c r="R256" s="27">
        <f t="shared" si="101"/>
        <v>546829.43999999994</v>
      </c>
      <c r="S256" s="27">
        <f t="shared" si="101"/>
        <v>586085.65759999992</v>
      </c>
      <c r="T256" s="27">
        <f>(N256-P256)*K256</f>
        <v>586085.65759999992</v>
      </c>
      <c r="U256" s="27">
        <f t="shared" si="82"/>
        <v>2265830.1952</v>
      </c>
      <c r="V256" s="119"/>
      <c r="W256" s="119"/>
      <c r="X256" s="119"/>
      <c r="Y256" s="29">
        <f t="shared" si="98"/>
        <v>106.87258401417201</v>
      </c>
      <c r="Z256" s="30">
        <f t="shared" si="99"/>
        <v>104</v>
      </c>
      <c r="AA256" s="2"/>
      <c r="AD256" s="32">
        <f t="shared" si="92"/>
        <v>0</v>
      </c>
    </row>
    <row r="257" spans="1:30" s="40" customFormat="1" ht="15" customHeight="1">
      <c r="A257" s="33"/>
      <c r="B257" s="34"/>
      <c r="C257" s="35"/>
      <c r="D257" s="33"/>
      <c r="E257" s="33"/>
      <c r="F257" s="36"/>
      <c r="G257" s="36"/>
      <c r="H257" s="26"/>
      <c r="I257" s="26"/>
      <c r="J257" s="26"/>
      <c r="K257" s="26"/>
      <c r="L257" s="37"/>
      <c r="M257" s="41"/>
      <c r="N257" s="41"/>
      <c r="O257" s="41"/>
      <c r="P257" s="41"/>
      <c r="Q257" s="27"/>
      <c r="R257" s="27"/>
      <c r="S257" s="27"/>
      <c r="T257" s="27"/>
      <c r="U257" s="27"/>
      <c r="V257" s="119"/>
      <c r="W257" s="119"/>
      <c r="X257" s="119"/>
      <c r="Y257" s="29" t="e">
        <f t="shared" si="98"/>
        <v>#DIV/0!</v>
      </c>
      <c r="Z257" s="30" t="e">
        <f t="shared" si="99"/>
        <v>#DIV/0!</v>
      </c>
      <c r="AA257" s="2"/>
      <c r="AD257" s="32" t="e">
        <f t="shared" si="92"/>
        <v>#DIV/0!</v>
      </c>
    </row>
    <row r="258" spans="1:30" s="40" customFormat="1" ht="51" customHeight="1">
      <c r="A258" s="33">
        <v>2925003747</v>
      </c>
      <c r="B258" s="34" t="s">
        <v>126</v>
      </c>
      <c r="C258" s="35" t="s">
        <v>283</v>
      </c>
      <c r="D258" s="33"/>
      <c r="E258" s="33"/>
      <c r="F258" s="36" t="s">
        <v>264</v>
      </c>
      <c r="G258" s="36" t="s">
        <v>379</v>
      </c>
      <c r="H258" s="26">
        <f>'2024'!H258</f>
        <v>463953.5</v>
      </c>
      <c r="I258" s="26">
        <f>'2024'!I258</f>
        <v>463953.5</v>
      </c>
      <c r="J258" s="26">
        <f>'2024'!J258</f>
        <v>463953.5</v>
      </c>
      <c r="K258" s="26">
        <f>'2024'!K258</f>
        <v>463953.5</v>
      </c>
      <c r="L258" s="26">
        <f t="shared" si="81"/>
        <v>1855814</v>
      </c>
      <c r="M258" s="38">
        <f>'2024'!N258</f>
        <v>38.35</v>
      </c>
      <c r="N258" s="27">
        <v>41.417999999999999</v>
      </c>
      <c r="O258" s="38">
        <f>'2024'!P258</f>
        <v>31.545943923519999</v>
      </c>
      <c r="P258" s="27">
        <f>O258*1.04</f>
        <v>32.807781680460799</v>
      </c>
      <c r="Q258" s="27">
        <f>(M258-O258)*H258</f>
        <v>3156765.6308791647</v>
      </c>
      <c r="R258" s="27">
        <f>(M258-O258)*I258</f>
        <v>3156765.6308791647</v>
      </c>
      <c r="S258" s="27">
        <f>(N258-P258)*J258</f>
        <v>3994740.9251143304</v>
      </c>
      <c r="T258" s="27">
        <f>(N258-P258)*K258</f>
        <v>3994740.9251143304</v>
      </c>
      <c r="U258" s="27">
        <f t="shared" si="82"/>
        <v>14303013.111986989</v>
      </c>
      <c r="V258" s="119"/>
      <c r="W258" s="119"/>
      <c r="X258" s="119"/>
      <c r="Y258" s="29">
        <f t="shared" si="98"/>
        <v>107.99999999999999</v>
      </c>
      <c r="Z258" s="30">
        <f t="shared" si="99"/>
        <v>104</v>
      </c>
      <c r="AA258" s="2" t="s">
        <v>49</v>
      </c>
      <c r="AD258" s="32">
        <f t="shared" si="92"/>
        <v>0</v>
      </c>
    </row>
    <row r="259" spans="1:30" s="40" customFormat="1" ht="15" customHeight="1">
      <c r="A259" s="33"/>
      <c r="B259" s="34"/>
      <c r="C259" s="35"/>
      <c r="D259" s="33"/>
      <c r="E259" s="33"/>
      <c r="F259" s="36"/>
      <c r="G259" s="36"/>
      <c r="H259" s="26"/>
      <c r="I259" s="26"/>
      <c r="J259" s="26"/>
      <c r="K259" s="26"/>
      <c r="L259" s="37"/>
      <c r="M259" s="41"/>
      <c r="N259" s="41"/>
      <c r="O259" s="41"/>
      <c r="P259" s="41"/>
      <c r="Q259" s="27"/>
      <c r="R259" s="27"/>
      <c r="S259" s="27"/>
      <c r="T259" s="27"/>
      <c r="U259" s="27"/>
      <c r="V259" s="119"/>
      <c r="W259" s="119"/>
      <c r="X259" s="119"/>
      <c r="Y259" s="29" t="e">
        <f t="shared" si="98"/>
        <v>#DIV/0!</v>
      </c>
      <c r="Z259" s="30" t="e">
        <f t="shared" si="99"/>
        <v>#DIV/0!</v>
      </c>
      <c r="AA259" s="2"/>
      <c r="AD259" s="32" t="e">
        <f t="shared" si="92"/>
        <v>#DIV/0!</v>
      </c>
    </row>
    <row r="260" spans="1:30" s="40" customFormat="1" ht="51" customHeight="1">
      <c r="A260" s="33" t="s">
        <v>271</v>
      </c>
      <c r="B260" s="34" t="s">
        <v>272</v>
      </c>
      <c r="C260" s="35" t="s">
        <v>129</v>
      </c>
      <c r="D260" s="33" t="s">
        <v>130</v>
      </c>
      <c r="E260" s="33"/>
      <c r="F260" s="36" t="s">
        <v>264</v>
      </c>
      <c r="G260" s="36"/>
      <c r="H260" s="26">
        <f>'2023'!H262</f>
        <v>104555.97099999999</v>
      </c>
      <c r="I260" s="26">
        <f>'2023'!I262</f>
        <v>99477.771000000008</v>
      </c>
      <c r="J260" s="26">
        <f>'2023'!J262</f>
        <v>92358.073999999993</v>
      </c>
      <c r="K260" s="26">
        <f>'2023'!K262</f>
        <v>102137.519</v>
      </c>
      <c r="L260" s="26">
        <f t="shared" si="81"/>
        <v>398529.33499999996</v>
      </c>
      <c r="M260" s="38">
        <f>'2024'!N260</f>
        <v>78.827307000000033</v>
      </c>
      <c r="N260" s="27">
        <v>85.133491560000053</v>
      </c>
      <c r="O260" s="38">
        <f>'2024'!P260</f>
        <v>51.065264323840012</v>
      </c>
      <c r="P260" s="27">
        <v>53.107874896793611</v>
      </c>
      <c r="Q260" s="27">
        <f>(M260-O260)*H260</f>
        <v>2902687.3289493495</v>
      </c>
      <c r="R260" s="27">
        <f>(M260-O260)*I260</f>
        <v>2761706.123831274</v>
      </c>
      <c r="S260" s="27">
        <f>(N260-P260)*J260</f>
        <v>2957824.2736760536</v>
      </c>
      <c r="T260" s="27">
        <f>(N260-P260)*K260</f>
        <v>3271017.0304249646</v>
      </c>
      <c r="U260" s="27">
        <f t="shared" si="82"/>
        <v>11893234.756881639</v>
      </c>
      <c r="V260" s="119"/>
      <c r="W260" s="119"/>
      <c r="X260" s="119"/>
      <c r="Y260" s="29">
        <f t="shared" si="98"/>
        <v>108.00000000000003</v>
      </c>
      <c r="Z260" s="30">
        <f t="shared" si="99"/>
        <v>104</v>
      </c>
      <c r="AA260" s="2"/>
      <c r="AD260" s="32">
        <f t="shared" si="92"/>
        <v>0</v>
      </c>
    </row>
    <row r="261" spans="1:30" s="40" customFormat="1" ht="15" customHeight="1">
      <c r="A261" s="33"/>
      <c r="B261" s="34"/>
      <c r="C261" s="35"/>
      <c r="D261" s="33"/>
      <c r="E261" s="33"/>
      <c r="F261" s="36"/>
      <c r="G261" s="36"/>
      <c r="H261" s="26"/>
      <c r="I261" s="26"/>
      <c r="J261" s="26"/>
      <c r="K261" s="26"/>
      <c r="L261" s="37"/>
      <c r="M261" s="41"/>
      <c r="N261" s="41"/>
      <c r="O261" s="41"/>
      <c r="P261" s="41"/>
      <c r="Q261" s="27"/>
      <c r="R261" s="27"/>
      <c r="S261" s="27"/>
      <c r="T261" s="27"/>
      <c r="U261" s="27"/>
      <c r="V261" s="119"/>
      <c r="W261" s="119"/>
      <c r="X261" s="119"/>
      <c r="Y261" s="29" t="e">
        <f t="shared" si="98"/>
        <v>#DIV/0!</v>
      </c>
      <c r="Z261" s="30" t="e">
        <f t="shared" si="99"/>
        <v>#DIV/0!</v>
      </c>
      <c r="AA261" s="2"/>
      <c r="AD261" s="32" t="e">
        <f t="shared" si="92"/>
        <v>#DIV/0!</v>
      </c>
    </row>
    <row r="262" spans="1:30" s="40" customFormat="1" ht="51" customHeight="1">
      <c r="A262" s="33" t="s">
        <v>60</v>
      </c>
      <c r="B262" s="34" t="s">
        <v>61</v>
      </c>
      <c r="C262" s="35" t="s">
        <v>134</v>
      </c>
      <c r="D262" s="33" t="s">
        <v>135</v>
      </c>
      <c r="E262" s="33"/>
      <c r="F262" s="36" t="s">
        <v>264</v>
      </c>
      <c r="G262" s="36"/>
      <c r="H262" s="26">
        <f>'2023'!H264</f>
        <v>7876.0169999999998</v>
      </c>
      <c r="I262" s="26">
        <f>'2023'!I264</f>
        <v>7433.2690000000002</v>
      </c>
      <c r="J262" s="26">
        <f>'2023'!J264</f>
        <v>7628.0360000000001</v>
      </c>
      <c r="K262" s="26">
        <f>'2023'!K264</f>
        <v>7839.6440000000002</v>
      </c>
      <c r="L262" s="26">
        <f t="shared" si="81"/>
        <v>30776.966</v>
      </c>
      <c r="M262" s="38">
        <f>'2024'!N262</f>
        <v>82.728616208099197</v>
      </c>
      <c r="N262" s="27">
        <v>86.567432296131983</v>
      </c>
      <c r="O262" s="38">
        <f>'2024'!P262</f>
        <v>74.271092480000021</v>
      </c>
      <c r="P262" s="27">
        <v>77.241936179200025</v>
      </c>
      <c r="Q262" s="27">
        <f>(M262-O262)*H262</f>
        <v>66611.600660412485</v>
      </c>
      <c r="R262" s="27">
        <f>(M262-O262)*I262</f>
        <v>62867.048944844035</v>
      </c>
      <c r="S262" s="27">
        <f>(N262-P262)*J262</f>
        <v>71135.22009781719</v>
      </c>
      <c r="T262" s="27">
        <f>(N262-P262)*K262</f>
        <v>73108.56968012893</v>
      </c>
      <c r="U262" s="27">
        <f t="shared" si="82"/>
        <v>273722.43938320264</v>
      </c>
      <c r="V262" s="119"/>
      <c r="W262" s="119"/>
      <c r="X262" s="119"/>
      <c r="Y262" s="29">
        <f t="shared" si="98"/>
        <v>104.64025178225688</v>
      </c>
      <c r="Z262" s="30">
        <f t="shared" si="99"/>
        <v>104</v>
      </c>
      <c r="AA262" s="2"/>
      <c r="AD262" s="32">
        <f t="shared" si="92"/>
        <v>0</v>
      </c>
    </row>
    <row r="263" spans="1:30" s="40" customFormat="1" ht="51" customHeight="1">
      <c r="A263" s="33" t="s">
        <v>136</v>
      </c>
      <c r="B263" s="34" t="s">
        <v>137</v>
      </c>
      <c r="C263" s="35" t="s">
        <v>134</v>
      </c>
      <c r="D263" s="33" t="s">
        <v>138</v>
      </c>
      <c r="E263" s="33"/>
      <c r="F263" s="36" t="s">
        <v>264</v>
      </c>
      <c r="G263" s="36"/>
      <c r="H263" s="26">
        <f>'2023'!H265</f>
        <v>84387.099000000002</v>
      </c>
      <c r="I263" s="26">
        <f>'2023'!I265</f>
        <v>83705.733999999997</v>
      </c>
      <c r="J263" s="26">
        <f>'2023'!J265</f>
        <v>80441.418000000005</v>
      </c>
      <c r="K263" s="26">
        <f>'2023'!K265</f>
        <v>81825.293999999994</v>
      </c>
      <c r="L263" s="26">
        <f t="shared" si="81"/>
        <v>330359.54499999998</v>
      </c>
      <c r="M263" s="38">
        <f>'2024'!N263</f>
        <v>140.97999999999999</v>
      </c>
      <c r="N263" s="27">
        <v>152.25840000000002</v>
      </c>
      <c r="O263" s="38">
        <f>'2024'!P263</f>
        <v>57.027576320000009</v>
      </c>
      <c r="P263" s="27">
        <v>59.308679372800007</v>
      </c>
      <c r="Q263" s="27">
        <f>(M263-O263)*H263</f>
        <v>7084501.4883741029</v>
      </c>
      <c r="R263" s="27">
        <f>(M263-O263)*I263</f>
        <v>7027299.2452133792</v>
      </c>
      <c r="S263" s="27">
        <f>(N263-P263)*J263</f>
        <v>7477007.3299558181</v>
      </c>
      <c r="T263" s="27">
        <f>(N263-P263)*K263</f>
        <v>7605638.2175385049</v>
      </c>
      <c r="U263" s="27">
        <f t="shared" si="82"/>
        <v>29194446.281081803</v>
      </c>
      <c r="V263" s="119"/>
      <c r="W263" s="119"/>
      <c r="X263" s="119"/>
      <c r="Y263" s="29">
        <f t="shared" si="98"/>
        <v>108.00000000000003</v>
      </c>
      <c r="Z263" s="30">
        <f t="shared" si="99"/>
        <v>104</v>
      </c>
      <c r="AA263" s="2"/>
      <c r="AD263" s="32">
        <f t="shared" si="92"/>
        <v>0</v>
      </c>
    </row>
    <row r="264" spans="1:30" s="40" customFormat="1" ht="15" customHeight="1">
      <c r="A264" s="33"/>
      <c r="B264" s="34"/>
      <c r="C264" s="35"/>
      <c r="D264" s="33"/>
      <c r="E264" s="33"/>
      <c r="F264" s="36"/>
      <c r="G264" s="36"/>
      <c r="H264" s="26"/>
      <c r="I264" s="26"/>
      <c r="J264" s="26"/>
      <c r="K264" s="26"/>
      <c r="L264" s="37"/>
      <c r="M264" s="41"/>
      <c r="N264" s="41"/>
      <c r="O264" s="41"/>
      <c r="P264" s="41"/>
      <c r="Q264" s="27"/>
      <c r="R264" s="27"/>
      <c r="S264" s="27"/>
      <c r="T264" s="27"/>
      <c r="U264" s="27"/>
      <c r="V264" s="119"/>
      <c r="W264" s="119"/>
      <c r="X264" s="119"/>
      <c r="Y264" s="29" t="e">
        <f t="shared" si="98"/>
        <v>#DIV/0!</v>
      </c>
      <c r="Z264" s="30" t="e">
        <f t="shared" si="99"/>
        <v>#DIV/0!</v>
      </c>
      <c r="AA264" s="2"/>
      <c r="AD264" s="32" t="e">
        <f t="shared" si="92"/>
        <v>#DIV/0!</v>
      </c>
    </row>
    <row r="265" spans="1:30" s="40" customFormat="1" ht="51" customHeight="1">
      <c r="A265" s="33" t="s">
        <v>144</v>
      </c>
      <c r="B265" s="34" t="s">
        <v>145</v>
      </c>
      <c r="C265" s="35" t="s">
        <v>142</v>
      </c>
      <c r="D265" s="33" t="s">
        <v>146</v>
      </c>
      <c r="E265" s="33"/>
      <c r="F265" s="36" t="s">
        <v>264</v>
      </c>
      <c r="G265" s="36"/>
      <c r="H265" s="26">
        <f>'2023'!H267</f>
        <v>9129.9630000000016</v>
      </c>
      <c r="I265" s="26">
        <f>'2023'!I267</f>
        <v>8946.2039999999997</v>
      </c>
      <c r="J265" s="26">
        <f>'2023'!J267</f>
        <v>9258.0869999999995</v>
      </c>
      <c r="K265" s="26">
        <f>'2023'!K267</f>
        <v>9029.4310000000005</v>
      </c>
      <c r="L265" s="26">
        <f t="shared" ref="L265:L337" si="102">H265+I265+J265+K265</f>
        <v>36363.684999999998</v>
      </c>
      <c r="M265" s="38">
        <f>'2024'!N265</f>
        <v>123.02</v>
      </c>
      <c r="N265" s="27">
        <v>132.85620000000003</v>
      </c>
      <c r="O265" s="38">
        <f>'2024'!P265</f>
        <v>104.1144</v>
      </c>
      <c r="P265" s="38">
        <f>O265*1.04</f>
        <v>108.27897600000001</v>
      </c>
      <c r="Q265" s="27">
        <f>(M265-O265)*H265</f>
        <v>172607.42849279995</v>
      </c>
      <c r="R265" s="27">
        <f t="shared" ref="R265:S268" si="103">(M265-O265)*I265</f>
        <v>169133.35434239992</v>
      </c>
      <c r="S265" s="27">
        <f t="shared" si="103"/>
        <v>227538.07801048813</v>
      </c>
      <c r="T265" s="27">
        <f>(N265-P265)*K265</f>
        <v>221918.34827954415</v>
      </c>
      <c r="U265" s="27">
        <f t="shared" si="82"/>
        <v>791197.20912523218</v>
      </c>
      <c r="V265" s="119"/>
      <c r="W265" s="119"/>
      <c r="X265" s="119"/>
      <c r="Y265" s="29">
        <f t="shared" si="98"/>
        <v>107.99561046984235</v>
      </c>
      <c r="Z265" s="30">
        <f t="shared" si="99"/>
        <v>104</v>
      </c>
      <c r="AA265" s="2"/>
      <c r="AD265" s="32">
        <f t="shared" si="92"/>
        <v>0</v>
      </c>
    </row>
    <row r="266" spans="1:30" s="40" customFormat="1" ht="51" customHeight="1">
      <c r="A266" s="33" t="s">
        <v>151</v>
      </c>
      <c r="B266" s="34" t="s">
        <v>152</v>
      </c>
      <c r="C266" s="35" t="s">
        <v>142</v>
      </c>
      <c r="D266" s="33" t="s">
        <v>154</v>
      </c>
      <c r="E266" s="33"/>
      <c r="F266" s="36" t="s">
        <v>264</v>
      </c>
      <c r="G266" s="36"/>
      <c r="H266" s="26">
        <f>'2023'!H268</f>
        <v>2329.0390000000002</v>
      </c>
      <c r="I266" s="26">
        <f>'2023'!I268</f>
        <v>2063.6349999999998</v>
      </c>
      <c r="J266" s="26">
        <f>'2023'!J268</f>
        <v>1887.8219999999999</v>
      </c>
      <c r="K266" s="26">
        <f>'2023'!K268</f>
        <v>2180.1559999999999</v>
      </c>
      <c r="L266" s="26">
        <f t="shared" si="102"/>
        <v>8460.652</v>
      </c>
      <c r="M266" s="38">
        <f>'2024'!N266</f>
        <v>369.86711580000008</v>
      </c>
      <c r="N266" s="27">
        <v>380.6742766320001</v>
      </c>
      <c r="O266" s="38">
        <f>'2024'!P266</f>
        <v>104.1144</v>
      </c>
      <c r="P266" s="38">
        <f>O266*1.04</f>
        <v>108.27897600000001</v>
      </c>
      <c r="Q266" s="27">
        <f>(M266-O266)*H266</f>
        <v>618948.43945411651</v>
      </c>
      <c r="R266" s="27">
        <f t="shared" si="103"/>
        <v>548416.60566993314</v>
      </c>
      <c r="S266" s="27">
        <f t="shared" si="103"/>
        <v>514233.84122970368</v>
      </c>
      <c r="T266" s="27">
        <f>(N266-P266)*K266</f>
        <v>593864.24904465885</v>
      </c>
      <c r="U266" s="27">
        <f t="shared" si="82"/>
        <v>2275463.1353984121</v>
      </c>
      <c r="V266" s="119"/>
      <c r="W266" s="119"/>
      <c r="X266" s="119"/>
      <c r="Y266" s="29">
        <f t="shared" si="98"/>
        <v>102.92190367035599</v>
      </c>
      <c r="Z266" s="30">
        <f t="shared" si="99"/>
        <v>104</v>
      </c>
      <c r="AA266" s="2"/>
      <c r="AD266" s="32">
        <f t="shared" si="92"/>
        <v>0</v>
      </c>
    </row>
    <row r="267" spans="1:30" s="40" customFormat="1" ht="51" customHeight="1">
      <c r="A267" s="33" t="s">
        <v>273</v>
      </c>
      <c r="B267" s="34" t="s">
        <v>155</v>
      </c>
      <c r="C267" s="35" t="s">
        <v>142</v>
      </c>
      <c r="D267" s="33" t="s">
        <v>156</v>
      </c>
      <c r="E267" s="33"/>
      <c r="F267" s="36" t="s">
        <v>264</v>
      </c>
      <c r="G267" s="36"/>
      <c r="H267" s="26">
        <f>'2023'!H269</f>
        <v>5287</v>
      </c>
      <c r="I267" s="26">
        <f>'2023'!I269</f>
        <v>4951</v>
      </c>
      <c r="J267" s="26">
        <f>'2023'!J269</f>
        <v>5149</v>
      </c>
      <c r="K267" s="26">
        <f>'2023'!K269</f>
        <v>4987</v>
      </c>
      <c r="L267" s="26">
        <f t="shared" si="102"/>
        <v>20374</v>
      </c>
      <c r="M267" s="38">
        <f>'2024'!N267</f>
        <v>129.81</v>
      </c>
      <c r="N267" s="27">
        <v>140.19674400000002</v>
      </c>
      <c r="O267" s="38">
        <f>'2024'!P267</f>
        <v>94.671199999999999</v>
      </c>
      <c r="P267" s="38">
        <f>O267*1.04</f>
        <v>98.458048000000005</v>
      </c>
      <c r="Q267" s="27">
        <f>(M267-O267)*H267</f>
        <v>185778.83560000002</v>
      </c>
      <c r="R267" s="27">
        <f t="shared" si="103"/>
        <v>173972.19880000001</v>
      </c>
      <c r="S267" s="27">
        <f t="shared" si="103"/>
        <v>214912.54570400011</v>
      </c>
      <c r="T267" s="27">
        <f>(N267-P267)*K267</f>
        <v>208150.87695200008</v>
      </c>
      <c r="U267" s="27">
        <f t="shared" ref="U267:U337" si="104">Q267+R267+S267+T267</f>
        <v>782814.45705600025</v>
      </c>
      <c r="V267" s="119"/>
      <c r="W267" s="119"/>
      <c r="X267" s="119"/>
      <c r="Y267" s="29">
        <f t="shared" si="98"/>
        <v>108.0014975733765</v>
      </c>
      <c r="Z267" s="30">
        <f t="shared" si="99"/>
        <v>104</v>
      </c>
      <c r="AA267" s="2"/>
      <c r="AD267" s="32">
        <f t="shared" si="92"/>
        <v>0</v>
      </c>
    </row>
    <row r="268" spans="1:30" s="40" customFormat="1" ht="51" customHeight="1">
      <c r="A268" s="33" t="s">
        <v>147</v>
      </c>
      <c r="B268" s="34" t="s">
        <v>148</v>
      </c>
      <c r="C268" s="35" t="s">
        <v>142</v>
      </c>
      <c r="D268" s="33" t="s">
        <v>149</v>
      </c>
      <c r="E268" s="33"/>
      <c r="F268" s="36" t="s">
        <v>264</v>
      </c>
      <c r="G268" s="36"/>
      <c r="H268" s="26">
        <f>'2023'!H270</f>
        <v>8109.1</v>
      </c>
      <c r="I268" s="26">
        <f>'2023'!I270</f>
        <v>8763.7000000000007</v>
      </c>
      <c r="J268" s="26">
        <f>'2023'!J270</f>
        <v>7460.7</v>
      </c>
      <c r="K268" s="26">
        <f>'2023'!K270</f>
        <v>10726.699999999999</v>
      </c>
      <c r="L268" s="26">
        <f t="shared" si="102"/>
        <v>35060.200000000004</v>
      </c>
      <c r="M268" s="38">
        <f>'2024'!N268</f>
        <v>71.739999999999995</v>
      </c>
      <c r="N268" s="27">
        <v>77.483520000000013</v>
      </c>
      <c r="O268" s="38">
        <f>'2024'!P268</f>
        <v>65.759199999999993</v>
      </c>
      <c r="P268" s="38">
        <f>O268*1.04</f>
        <v>68.389567999999997</v>
      </c>
      <c r="Q268" s="27">
        <f>(M268-O268)*H268</f>
        <v>48498.905280000021</v>
      </c>
      <c r="R268" s="27">
        <f t="shared" si="103"/>
        <v>52413.936960000021</v>
      </c>
      <c r="S268" s="27">
        <f t="shared" si="103"/>
        <v>67847.247686400122</v>
      </c>
      <c r="T268" s="27">
        <f>(N268-P268)*K268</f>
        <v>97548.094918400166</v>
      </c>
      <c r="U268" s="27">
        <f t="shared" si="104"/>
        <v>266308.18484480033</v>
      </c>
      <c r="V268" s="119"/>
      <c r="W268" s="119"/>
      <c r="X268" s="119"/>
      <c r="Y268" s="29">
        <f t="shared" si="98"/>
        <v>108.00602174519098</v>
      </c>
      <c r="Z268" s="30">
        <f t="shared" si="99"/>
        <v>104</v>
      </c>
      <c r="AA268" s="2"/>
      <c r="AD268" s="32">
        <f t="shared" si="92"/>
        <v>0</v>
      </c>
    </row>
    <row r="269" spans="1:30" s="40" customFormat="1" ht="15" customHeight="1">
      <c r="A269" s="33"/>
      <c r="B269" s="34"/>
      <c r="C269" s="35"/>
      <c r="D269" s="33"/>
      <c r="E269" s="33"/>
      <c r="F269" s="36"/>
      <c r="G269" s="36"/>
      <c r="H269" s="26"/>
      <c r="I269" s="26"/>
      <c r="J269" s="26"/>
      <c r="K269" s="26"/>
      <c r="L269" s="37"/>
      <c r="M269" s="41"/>
      <c r="N269" s="41"/>
      <c r="O269" s="41"/>
      <c r="P269" s="41"/>
      <c r="Q269" s="27"/>
      <c r="R269" s="27"/>
      <c r="S269" s="27"/>
      <c r="T269" s="27"/>
      <c r="U269" s="27"/>
      <c r="V269" s="119"/>
      <c r="W269" s="119"/>
      <c r="X269" s="119"/>
      <c r="Y269" s="29" t="e">
        <f t="shared" si="98"/>
        <v>#DIV/0!</v>
      </c>
      <c r="Z269" s="30" t="e">
        <f t="shared" si="99"/>
        <v>#DIV/0!</v>
      </c>
      <c r="AA269" s="2"/>
      <c r="AD269" s="32" t="e">
        <f t="shared" si="92"/>
        <v>#DIV/0!</v>
      </c>
    </row>
    <row r="270" spans="1:30" s="40" customFormat="1" ht="51" customHeight="1">
      <c r="A270" s="33" t="s">
        <v>157</v>
      </c>
      <c r="B270" s="34" t="s">
        <v>158</v>
      </c>
      <c r="C270" s="35" t="s">
        <v>343</v>
      </c>
      <c r="D270" s="33" t="s">
        <v>349</v>
      </c>
      <c r="E270" s="33"/>
      <c r="F270" s="36" t="s">
        <v>264</v>
      </c>
      <c r="G270" s="36" t="s">
        <v>160</v>
      </c>
      <c r="H270" s="26">
        <f>'2023'!H272</f>
        <v>6945.2</v>
      </c>
      <c r="I270" s="26">
        <f>'2023'!I272</f>
        <v>11138.791999999999</v>
      </c>
      <c r="J270" s="26">
        <f>'2023'!J272</f>
        <v>8363.5750000000007</v>
      </c>
      <c r="K270" s="26">
        <f>'2023'!K272</f>
        <v>6518.6100000000006</v>
      </c>
      <c r="L270" s="26">
        <f t="shared" si="102"/>
        <v>32966.176999999996</v>
      </c>
      <c r="M270" s="38">
        <v>99.36</v>
      </c>
      <c r="N270" s="27">
        <v>107.31</v>
      </c>
      <c r="O270" s="38">
        <v>39.22</v>
      </c>
      <c r="P270" s="27">
        <v>40.79</v>
      </c>
      <c r="Q270" s="27">
        <f>(M270-O270)*H270</f>
        <v>417684.32799999998</v>
      </c>
      <c r="R270" s="27">
        <f t="shared" ref="R270:S274" si="105">(M270-O270)*I270</f>
        <v>669886.95088000002</v>
      </c>
      <c r="S270" s="27">
        <f t="shared" si="105"/>
        <v>556345.00900000008</v>
      </c>
      <c r="T270" s="27">
        <f>(N270-P270)*K270</f>
        <v>433617.9372000001</v>
      </c>
      <c r="U270" s="27">
        <f t="shared" si="104"/>
        <v>2077534.2250800002</v>
      </c>
      <c r="V270" s="119"/>
      <c r="W270" s="119"/>
      <c r="X270" s="119"/>
      <c r="Y270" s="29">
        <f t="shared" si="98"/>
        <v>108.00120772946859</v>
      </c>
      <c r="Z270" s="30">
        <f t="shared" si="99"/>
        <v>104.00305966343701</v>
      </c>
      <c r="AA270" s="2"/>
      <c r="AD270" s="32">
        <f t="shared" si="92"/>
        <v>-3.0596634370141373E-3</v>
      </c>
    </row>
    <row r="271" spans="1:30" s="40" customFormat="1" ht="51" customHeight="1">
      <c r="A271" s="33" t="s">
        <v>60</v>
      </c>
      <c r="B271" s="34" t="s">
        <v>61</v>
      </c>
      <c r="C271" s="35" t="s">
        <v>343</v>
      </c>
      <c r="D271" s="33" t="s">
        <v>349</v>
      </c>
      <c r="E271" s="33"/>
      <c r="F271" s="36" t="s">
        <v>264</v>
      </c>
      <c r="G271" s="36"/>
      <c r="H271" s="26">
        <f>'2023'!H273</f>
        <v>7728.9160000000002</v>
      </c>
      <c r="I271" s="26">
        <f>'2023'!I273</f>
        <v>7226.3990000000003</v>
      </c>
      <c r="J271" s="26">
        <f>'2023'!J273</f>
        <v>7168.4170000000013</v>
      </c>
      <c r="K271" s="26">
        <f>'2023'!K273</f>
        <v>7378.2690000000002</v>
      </c>
      <c r="L271" s="26">
        <f t="shared" si="102"/>
        <v>29502.001000000004</v>
      </c>
      <c r="M271" s="38">
        <f>'2024'!N271</f>
        <v>82.728616208099197</v>
      </c>
      <c r="N271" s="27">
        <v>86.567432296131983</v>
      </c>
      <c r="O271" s="38">
        <f>'2024'!P271</f>
        <v>32.683788800000002</v>
      </c>
      <c r="P271" s="27">
        <v>33.991140352000002</v>
      </c>
      <c r="Q271" s="27">
        <f>(M271-O271)*H271</f>
        <v>386792.26727169642</v>
      </c>
      <c r="R271" s="27">
        <f t="shared" si="105"/>
        <v>361643.89073706063</v>
      </c>
      <c r="S271" s="27">
        <f t="shared" si="105"/>
        <v>376888.78496927879</v>
      </c>
      <c r="T271" s="27">
        <f>(N271-P271)*K271</f>
        <v>387922.02498633874</v>
      </c>
      <c r="U271" s="27">
        <f t="shared" si="104"/>
        <v>1513246.9679643747</v>
      </c>
      <c r="V271" s="119"/>
      <c r="W271" s="119"/>
      <c r="X271" s="119"/>
      <c r="Y271" s="29">
        <f t="shared" si="98"/>
        <v>104.64025178225688</v>
      </c>
      <c r="Z271" s="30">
        <f t="shared" si="99"/>
        <v>104</v>
      </c>
      <c r="AA271" s="2"/>
      <c r="AD271" s="32">
        <f t="shared" si="92"/>
        <v>0</v>
      </c>
    </row>
    <row r="272" spans="1:30" s="40" customFormat="1" ht="51" customHeight="1">
      <c r="A272" s="33">
        <f>A128</f>
        <v>2920017016</v>
      </c>
      <c r="B272" s="34" t="s">
        <v>444</v>
      </c>
      <c r="C272" s="33" t="str">
        <f>C128</f>
        <v>Плесецкий муниципальный округ Арх.обл.</v>
      </c>
      <c r="D272" s="33" t="str">
        <f>D128</f>
        <v>сельское поселение "Североонежское"</v>
      </c>
      <c r="E272" s="33"/>
      <c r="F272" s="36" t="s">
        <v>264</v>
      </c>
      <c r="G272" s="36" t="s">
        <v>399</v>
      </c>
      <c r="H272" s="26">
        <f>'2024'!H272</f>
        <v>57839.25</v>
      </c>
      <c r="I272" s="26">
        <f>'2024'!I272</f>
        <v>57839.25</v>
      </c>
      <c r="J272" s="26">
        <f>'2024'!J272</f>
        <v>57839.25</v>
      </c>
      <c r="K272" s="26">
        <f>'2024'!K272</f>
        <v>57839.25</v>
      </c>
      <c r="L272" s="26">
        <f t="shared" si="102"/>
        <v>231357</v>
      </c>
      <c r="M272" s="38">
        <f>'2024'!N272</f>
        <v>42.63</v>
      </c>
      <c r="N272" s="38">
        <v>46.04</v>
      </c>
      <c r="O272" s="38">
        <f>'2024'!P272</f>
        <v>39.08</v>
      </c>
      <c r="P272" s="38">
        <v>40.64</v>
      </c>
      <c r="Q272" s="27">
        <f>(M272-O272)*H272</f>
        <v>205329.33750000026</v>
      </c>
      <c r="R272" s="27">
        <f t="shared" si="105"/>
        <v>205329.33750000026</v>
      </c>
      <c r="S272" s="27">
        <f t="shared" si="105"/>
        <v>312331.9499999999</v>
      </c>
      <c r="T272" s="27">
        <f>(N272-P272)*K272</f>
        <v>312331.9499999999</v>
      </c>
      <c r="U272" s="27">
        <f t="shared" si="104"/>
        <v>1035322.5750000004</v>
      </c>
      <c r="V272" s="119"/>
      <c r="W272" s="119"/>
      <c r="X272" s="119"/>
      <c r="Y272" s="29">
        <f t="shared" si="98"/>
        <v>107.99906169364297</v>
      </c>
      <c r="Z272" s="30">
        <f t="shared" si="99"/>
        <v>103.99181166837256</v>
      </c>
      <c r="AA272" s="2"/>
      <c r="AD272" s="32">
        <f t="shared" si="92"/>
        <v>8.1883316274371509E-3</v>
      </c>
    </row>
    <row r="273" spans="1:30" s="40" customFormat="1" ht="51" customHeight="1">
      <c r="A273" s="33" t="s">
        <v>162</v>
      </c>
      <c r="B273" s="34" t="s">
        <v>163</v>
      </c>
      <c r="C273" s="35" t="s">
        <v>343</v>
      </c>
      <c r="D273" s="33" t="s">
        <v>387</v>
      </c>
      <c r="E273" s="33"/>
      <c r="F273" s="36" t="s">
        <v>264</v>
      </c>
      <c r="G273" s="36"/>
      <c r="H273" s="26">
        <f>'2023'!H275</f>
        <v>49776.03</v>
      </c>
      <c r="I273" s="26">
        <f>'2023'!I275</f>
        <v>47458.828000000001</v>
      </c>
      <c r="J273" s="26">
        <f>'2023'!J275</f>
        <v>48087.203000000001</v>
      </c>
      <c r="K273" s="26">
        <f>'2023'!K275</f>
        <v>48101.11</v>
      </c>
      <c r="L273" s="26">
        <f t="shared" si="102"/>
        <v>193423.17100000003</v>
      </c>
      <c r="M273" s="38">
        <f>'2024'!N273</f>
        <v>83.839288885999991</v>
      </c>
      <c r="N273" s="27">
        <v>86.771598195440049</v>
      </c>
      <c r="O273" s="38">
        <f>'2024'!P273</f>
        <v>39.22054656000001</v>
      </c>
      <c r="P273" s="27">
        <v>40.78936842240001</v>
      </c>
      <c r="Q273" s="27">
        <f>(M273-O273)*H273</f>
        <v>2220943.8565812446</v>
      </c>
      <c r="R273" s="27">
        <f t="shared" si="105"/>
        <v>2117553.2176259533</v>
      </c>
      <c r="S273" s="27">
        <f t="shared" si="105"/>
        <v>2211156.8174888203</v>
      </c>
      <c r="T273" s="27">
        <f>(N273-P273)*K273</f>
        <v>2211796.2923582741</v>
      </c>
      <c r="U273" s="27">
        <f t="shared" si="104"/>
        <v>8761450.1840542927</v>
      </c>
      <c r="V273" s="119"/>
      <c r="W273" s="119"/>
      <c r="X273" s="119"/>
      <c r="Y273" s="29">
        <f t="shared" si="98"/>
        <v>103.49753599822064</v>
      </c>
      <c r="Z273" s="30">
        <f t="shared" si="99"/>
        <v>104</v>
      </c>
      <c r="AA273" s="2"/>
      <c r="AD273" s="32">
        <f t="shared" si="92"/>
        <v>0</v>
      </c>
    </row>
    <row r="274" spans="1:30" s="40" customFormat="1" ht="51" customHeight="1">
      <c r="A274" s="33" t="s">
        <v>166</v>
      </c>
      <c r="B274" s="34" t="s">
        <v>167</v>
      </c>
      <c r="C274" s="35" t="s">
        <v>343</v>
      </c>
      <c r="D274" s="33" t="s">
        <v>344</v>
      </c>
      <c r="E274" s="33"/>
      <c r="F274" s="36" t="s">
        <v>264</v>
      </c>
      <c r="G274" s="36"/>
      <c r="H274" s="26">
        <f>'2023'!H276</f>
        <v>65579.67</v>
      </c>
      <c r="I274" s="26">
        <f>'2023'!I276</f>
        <v>58953.626000000004</v>
      </c>
      <c r="J274" s="26">
        <f>'2023'!J276</f>
        <v>53547.313999999998</v>
      </c>
      <c r="K274" s="26">
        <f>'2023'!K276</f>
        <v>60715.467000000004</v>
      </c>
      <c r="L274" s="26">
        <f t="shared" si="102"/>
        <v>238796.07699999999</v>
      </c>
      <c r="M274" s="38">
        <v>77.729249999999993</v>
      </c>
      <c r="N274" s="27">
        <v>83.947590000000005</v>
      </c>
      <c r="O274" s="38">
        <v>28.089152000000006</v>
      </c>
      <c r="P274" s="27">
        <v>29.212718080000005</v>
      </c>
      <c r="Q274" s="27">
        <f>(M274-O274)*H274</f>
        <v>3255381.2456076592</v>
      </c>
      <c r="R274" s="27">
        <f t="shared" si="105"/>
        <v>2926463.7720953473</v>
      </c>
      <c r="S274" s="27">
        <f t="shared" si="105"/>
        <v>2930905.3734500231</v>
      </c>
      <c r="T274" s="27">
        <f>(N274-P274)*K274</f>
        <v>3323253.309807987</v>
      </c>
      <c r="U274" s="27">
        <f t="shared" si="104"/>
        <v>12436003.700961016</v>
      </c>
      <c r="V274" s="119"/>
      <c r="W274" s="119"/>
      <c r="X274" s="119"/>
      <c r="Y274" s="29">
        <f t="shared" si="98"/>
        <v>108</v>
      </c>
      <c r="Z274" s="30">
        <f t="shared" si="99"/>
        <v>104</v>
      </c>
      <c r="AA274" s="2"/>
      <c r="AD274" s="32">
        <f t="shared" si="92"/>
        <v>0</v>
      </c>
    </row>
    <row r="275" spans="1:30" s="40" customFormat="1" ht="15" customHeight="1">
      <c r="A275" s="33"/>
      <c r="B275" s="34"/>
      <c r="C275" s="35"/>
      <c r="D275" s="33"/>
      <c r="E275" s="33"/>
      <c r="F275" s="36"/>
      <c r="G275" s="36"/>
      <c r="H275" s="26"/>
      <c r="I275" s="26"/>
      <c r="J275" s="26"/>
      <c r="K275" s="26"/>
      <c r="L275" s="37"/>
      <c r="M275" s="41"/>
      <c r="N275" s="41"/>
      <c r="O275" s="41"/>
      <c r="P275" s="41"/>
      <c r="Q275" s="27"/>
      <c r="R275" s="27"/>
      <c r="S275" s="27"/>
      <c r="T275" s="27"/>
      <c r="U275" s="27"/>
      <c r="V275" s="119"/>
      <c r="W275" s="119"/>
      <c r="X275" s="119"/>
      <c r="Y275" s="29" t="e">
        <f t="shared" si="98"/>
        <v>#DIV/0!</v>
      </c>
      <c r="Z275" s="30" t="e">
        <f t="shared" si="99"/>
        <v>#DIV/0!</v>
      </c>
      <c r="AA275" s="2"/>
      <c r="AD275" s="32" t="e">
        <f t="shared" si="92"/>
        <v>#DIV/0!</v>
      </c>
    </row>
    <row r="276" spans="1:30" s="40" customFormat="1" ht="51" customHeight="1">
      <c r="A276" s="33" t="s">
        <v>168</v>
      </c>
      <c r="B276" s="34" t="s">
        <v>169</v>
      </c>
      <c r="C276" s="35" t="s">
        <v>170</v>
      </c>
      <c r="D276" s="33" t="s">
        <v>358</v>
      </c>
      <c r="E276" s="33" t="s">
        <v>359</v>
      </c>
      <c r="F276" s="36" t="s">
        <v>264</v>
      </c>
      <c r="G276" s="36" t="s">
        <v>171</v>
      </c>
      <c r="H276" s="26">
        <f>'2023'!H278</f>
        <v>773</v>
      </c>
      <c r="I276" s="26">
        <f>'2023'!I278</f>
        <v>750</v>
      </c>
      <c r="J276" s="26">
        <f>'2023'!J278</f>
        <v>750</v>
      </c>
      <c r="K276" s="26">
        <f>'2023'!K278</f>
        <v>779</v>
      </c>
      <c r="L276" s="26">
        <f t="shared" si="102"/>
        <v>3052</v>
      </c>
      <c r="M276" s="38">
        <f>'2024'!N276</f>
        <v>347.09459785973615</v>
      </c>
      <c r="N276" s="27">
        <v>371.46150943885732</v>
      </c>
      <c r="O276" s="38">
        <f>'2024'!P276</f>
        <v>27.256319999999999</v>
      </c>
      <c r="P276" s="27">
        <v>28.346572800000001</v>
      </c>
      <c r="Q276" s="27">
        <f t="shared" ref="Q276:Q294" si="106">(M276-O276)*H276</f>
        <v>247234.98878557605</v>
      </c>
      <c r="R276" s="27">
        <f t="shared" ref="R276:R294" si="107">(M276-O276)*I276</f>
        <v>239878.70839480212</v>
      </c>
      <c r="S276" s="27">
        <f t="shared" ref="S276:S294" si="108">(N276-P276)*J276</f>
        <v>257336.20247914299</v>
      </c>
      <c r="T276" s="27">
        <f t="shared" ref="T276:T294" si="109">(N276-P276)*K276</f>
        <v>267286.53564166988</v>
      </c>
      <c r="U276" s="27">
        <f t="shared" si="104"/>
        <v>1011736.4353011911</v>
      </c>
      <c r="V276" s="119"/>
      <c r="W276" s="119"/>
      <c r="X276" s="119"/>
      <c r="Y276" s="29">
        <f t="shared" si="98"/>
        <v>107.02025088531283</v>
      </c>
      <c r="Z276" s="30">
        <f t="shared" si="99"/>
        <v>104</v>
      </c>
      <c r="AA276" s="2"/>
      <c r="AD276" s="32">
        <f t="shared" si="92"/>
        <v>0</v>
      </c>
    </row>
    <row r="277" spans="1:30" s="40" customFormat="1" ht="51" customHeight="1">
      <c r="A277" s="33" t="s">
        <v>168</v>
      </c>
      <c r="B277" s="34" t="s">
        <v>169</v>
      </c>
      <c r="C277" s="35" t="s">
        <v>170</v>
      </c>
      <c r="D277" s="33" t="s">
        <v>358</v>
      </c>
      <c r="E277" s="33" t="s">
        <v>360</v>
      </c>
      <c r="F277" s="36" t="s">
        <v>264</v>
      </c>
      <c r="G277" s="36" t="s">
        <v>171</v>
      </c>
      <c r="H277" s="26">
        <f>'2023'!H279</f>
        <v>4468</v>
      </c>
      <c r="I277" s="26">
        <f>'2023'!I279</f>
        <v>4405</v>
      </c>
      <c r="J277" s="26">
        <f>'2023'!J279</f>
        <v>4552</v>
      </c>
      <c r="K277" s="26">
        <f>'2023'!K279</f>
        <v>4547</v>
      </c>
      <c r="L277" s="26">
        <f t="shared" si="102"/>
        <v>17972</v>
      </c>
      <c r="M277" s="38">
        <f>'2024'!N277</f>
        <v>178.86401284179954</v>
      </c>
      <c r="N277" s="27">
        <v>193.1731338691435</v>
      </c>
      <c r="O277" s="38">
        <f>'2024'!P277</f>
        <v>38.937599999999996</v>
      </c>
      <c r="P277" s="27">
        <v>40.495103999999998</v>
      </c>
      <c r="Q277" s="27">
        <f t="shared" si="106"/>
        <v>625191.21257716033</v>
      </c>
      <c r="R277" s="27">
        <f t="shared" si="107"/>
        <v>616375.84856812691</v>
      </c>
      <c r="S277" s="27">
        <f t="shared" si="108"/>
        <v>694990.39196434116</v>
      </c>
      <c r="T277" s="27">
        <f t="shared" si="109"/>
        <v>694227.00181499554</v>
      </c>
      <c r="U277" s="27">
        <f t="shared" si="104"/>
        <v>2630784.4549246239</v>
      </c>
      <c r="V277" s="119"/>
      <c r="W277" s="119"/>
      <c r="X277" s="119"/>
      <c r="Y277" s="29">
        <f t="shared" si="98"/>
        <v>108</v>
      </c>
      <c r="Z277" s="30">
        <f t="shared" si="99"/>
        <v>104</v>
      </c>
      <c r="AA277" s="2"/>
      <c r="AD277" s="32">
        <f t="shared" si="92"/>
        <v>0</v>
      </c>
    </row>
    <row r="278" spans="1:30" s="40" customFormat="1" ht="51" customHeight="1">
      <c r="A278" s="33" t="s">
        <v>168</v>
      </c>
      <c r="B278" s="34" t="s">
        <v>169</v>
      </c>
      <c r="C278" s="35" t="s">
        <v>170</v>
      </c>
      <c r="D278" s="33" t="s">
        <v>358</v>
      </c>
      <c r="E278" s="33" t="s">
        <v>361</v>
      </c>
      <c r="F278" s="36" t="s">
        <v>264</v>
      </c>
      <c r="G278" s="36" t="s">
        <v>171</v>
      </c>
      <c r="H278" s="26">
        <f>'2023'!H280</f>
        <v>3075</v>
      </c>
      <c r="I278" s="26">
        <f>'2023'!I280</f>
        <v>2980</v>
      </c>
      <c r="J278" s="26">
        <f>'2023'!J280</f>
        <v>3090</v>
      </c>
      <c r="K278" s="26">
        <f>'2023'!K280</f>
        <v>3020</v>
      </c>
      <c r="L278" s="26">
        <f t="shared" si="102"/>
        <v>12165</v>
      </c>
      <c r="M278" s="38">
        <f>'2024'!N278</f>
        <v>129.32101863633275</v>
      </c>
      <c r="N278" s="27">
        <v>139.66670012723941</v>
      </c>
      <c r="O278" s="38">
        <f>'2024'!P278</f>
        <v>32.832368552533339</v>
      </c>
      <c r="P278" s="27">
        <v>34.145663294634673</v>
      </c>
      <c r="Q278" s="27">
        <f t="shared" si="106"/>
        <v>296702.59900768322</v>
      </c>
      <c r="R278" s="27">
        <f t="shared" si="107"/>
        <v>287536.17724972224</v>
      </c>
      <c r="S278" s="27">
        <f t="shared" si="108"/>
        <v>326060.00381274865</v>
      </c>
      <c r="T278" s="27">
        <f t="shared" si="109"/>
        <v>318673.5312344663</v>
      </c>
      <c r="U278" s="27">
        <f t="shared" si="104"/>
        <v>1228972.3113046205</v>
      </c>
      <c r="V278" s="119"/>
      <c r="W278" s="119"/>
      <c r="X278" s="119"/>
      <c r="Y278" s="29">
        <f t="shared" si="98"/>
        <v>108.00000000000003</v>
      </c>
      <c r="Z278" s="30">
        <f t="shared" si="99"/>
        <v>104</v>
      </c>
      <c r="AA278" s="2"/>
      <c r="AD278" s="32">
        <f t="shared" si="92"/>
        <v>0</v>
      </c>
    </row>
    <row r="279" spans="1:30" s="40" customFormat="1" ht="51" customHeight="1">
      <c r="A279" s="33" t="s">
        <v>64</v>
      </c>
      <c r="B279" s="34" t="s">
        <v>65</v>
      </c>
      <c r="C279" s="35" t="s">
        <v>170</v>
      </c>
      <c r="D279" s="33" t="s">
        <v>358</v>
      </c>
      <c r="E279" s="33" t="s">
        <v>366</v>
      </c>
      <c r="F279" s="36" t="s">
        <v>264</v>
      </c>
      <c r="G279" s="36"/>
      <c r="H279" s="26">
        <f>'2023'!H281</f>
        <v>3907</v>
      </c>
      <c r="I279" s="26">
        <f>'2023'!I281</f>
        <v>3807</v>
      </c>
      <c r="J279" s="26">
        <f>'2023'!J281</f>
        <v>2176.75</v>
      </c>
      <c r="K279" s="26">
        <f>'2023'!K281</f>
        <v>2193.3049999999998</v>
      </c>
      <c r="L279" s="26">
        <f t="shared" si="102"/>
        <v>12084.055</v>
      </c>
      <c r="M279" s="38">
        <v>342.01181271867279</v>
      </c>
      <c r="N279" s="27">
        <v>369.37</v>
      </c>
      <c r="O279" s="38">
        <f>'2024'!P279</f>
        <v>28.236000000000001</v>
      </c>
      <c r="P279" s="27">
        <f>O279*1.04</f>
        <v>29.365440000000003</v>
      </c>
      <c r="Q279" s="27">
        <f t="shared" si="106"/>
        <v>1225922.1002918547</v>
      </c>
      <c r="R279" s="27">
        <f t="shared" si="107"/>
        <v>1194544.5190199874</v>
      </c>
      <c r="S279" s="27">
        <f t="shared" si="108"/>
        <v>740104.92598000006</v>
      </c>
      <c r="T279" s="27">
        <f t="shared" si="109"/>
        <v>745733.70147079998</v>
      </c>
      <c r="U279" s="27">
        <f t="shared" si="104"/>
        <v>3906305.2467626417</v>
      </c>
      <c r="V279" s="119"/>
      <c r="W279" s="119"/>
      <c r="X279" s="119"/>
      <c r="Y279" s="29"/>
      <c r="Z279" s="30"/>
      <c r="AA279" s="2"/>
      <c r="AD279" s="32"/>
    </row>
    <row r="280" spans="1:30" s="40" customFormat="1" ht="51" customHeight="1">
      <c r="A280" s="33" t="s">
        <v>172</v>
      </c>
      <c r="B280" s="34" t="s">
        <v>173</v>
      </c>
      <c r="C280" s="35" t="s">
        <v>170</v>
      </c>
      <c r="D280" s="33" t="s">
        <v>371</v>
      </c>
      <c r="E280" s="33" t="s">
        <v>373</v>
      </c>
      <c r="F280" s="36" t="s">
        <v>264</v>
      </c>
      <c r="G280" s="36" t="s">
        <v>174</v>
      </c>
      <c r="H280" s="26">
        <f>'2023'!H282</f>
        <v>4970.38</v>
      </c>
      <c r="I280" s="26">
        <f>'2023'!I282</f>
        <v>5028.1100000000006</v>
      </c>
      <c r="J280" s="26">
        <f>'2023'!J282</f>
        <v>4988.22</v>
      </c>
      <c r="K280" s="26">
        <f>'2023'!K282</f>
        <v>4334.4799999999996</v>
      </c>
      <c r="L280" s="26">
        <f t="shared" si="102"/>
        <v>19321.190000000002</v>
      </c>
      <c r="M280" s="38">
        <f>'2024'!N280</f>
        <v>168.93239999999997</v>
      </c>
      <c r="N280" s="27">
        <v>168.93239999999997</v>
      </c>
      <c r="O280" s="38">
        <v>31.049599360000002</v>
      </c>
      <c r="P280" s="27">
        <f>O280*1.04</f>
        <v>32.291583334400002</v>
      </c>
      <c r="Q280" s="27">
        <f t="shared" si="106"/>
        <v>685329.91464504309</v>
      </c>
      <c r="R280" s="27">
        <f t="shared" si="107"/>
        <v>693289.88872599031</v>
      </c>
      <c r="S280" s="27">
        <f t="shared" si="108"/>
        <v>681594.4545076791</v>
      </c>
      <c r="T280" s="27">
        <f t="shared" si="109"/>
        <v>592266.88702070969</v>
      </c>
      <c r="U280" s="27">
        <f t="shared" si="104"/>
        <v>2652481.1448994223</v>
      </c>
      <c r="V280" s="119"/>
      <c r="W280" s="119"/>
      <c r="X280" s="119"/>
      <c r="Y280" s="29">
        <f>N280/M280*100</f>
        <v>100</v>
      </c>
      <c r="Z280" s="30">
        <f>P280/O280*100</f>
        <v>104</v>
      </c>
      <c r="AA280" s="2"/>
      <c r="AD280" s="32">
        <f t="shared" si="92"/>
        <v>0</v>
      </c>
    </row>
    <row r="281" spans="1:30" s="40" customFormat="1" ht="51" customHeight="1">
      <c r="A281" s="33" t="s">
        <v>274</v>
      </c>
      <c r="B281" s="34" t="s">
        <v>275</v>
      </c>
      <c r="C281" s="35" t="s">
        <v>170</v>
      </c>
      <c r="D281" s="33" t="s">
        <v>371</v>
      </c>
      <c r="E281" s="33" t="s">
        <v>372</v>
      </c>
      <c r="F281" s="36" t="s">
        <v>264</v>
      </c>
      <c r="G281" s="36"/>
      <c r="H281" s="26">
        <f>'2023'!H283</f>
        <v>20575.32</v>
      </c>
      <c r="I281" s="26">
        <f>'2023'!I283</f>
        <v>20420.800000000003</v>
      </c>
      <c r="J281" s="26">
        <f>'2023'!J283</f>
        <v>20197.800000000003</v>
      </c>
      <c r="K281" s="26">
        <f>'2023'!K283</f>
        <v>20317.800000000003</v>
      </c>
      <c r="L281" s="26">
        <f t="shared" si="102"/>
        <v>81511.72</v>
      </c>
      <c r="M281" s="38">
        <f>'2024'!N281</f>
        <v>71.62730000000002</v>
      </c>
      <c r="N281" s="27">
        <v>77.357484000000028</v>
      </c>
      <c r="O281" s="38">
        <v>39.398842263040002</v>
      </c>
      <c r="P281" s="27">
        <f>O281*1.04</f>
        <v>40.974795953561603</v>
      </c>
      <c r="Q281" s="27">
        <f t="shared" si="106"/>
        <v>663110.83104442817</v>
      </c>
      <c r="R281" s="27">
        <f t="shared" si="107"/>
        <v>658130.88975491317</v>
      </c>
      <c r="S281" s="27">
        <f t="shared" si="108"/>
        <v>734850.25662435417</v>
      </c>
      <c r="T281" s="27">
        <f t="shared" si="109"/>
        <v>739216.17918992671</v>
      </c>
      <c r="U281" s="27">
        <f t="shared" si="104"/>
        <v>2795308.1566136219</v>
      </c>
      <c r="V281" s="119"/>
      <c r="W281" s="119"/>
      <c r="X281" s="119"/>
      <c r="Y281" s="29">
        <f>N281/M281*100</f>
        <v>108</v>
      </c>
      <c r="Z281" s="30">
        <f>P281/O281*100</f>
        <v>104</v>
      </c>
      <c r="AA281" s="2"/>
      <c r="AD281" s="32">
        <f t="shared" si="92"/>
        <v>0</v>
      </c>
    </row>
    <row r="282" spans="1:30" s="40" customFormat="1" ht="51" customHeight="1">
      <c r="A282" s="33" t="s">
        <v>176</v>
      </c>
      <c r="B282" s="34" t="s">
        <v>177</v>
      </c>
      <c r="C282" s="35" t="s">
        <v>170</v>
      </c>
      <c r="D282" s="33" t="s">
        <v>362</v>
      </c>
      <c r="E282" s="33" t="s">
        <v>363</v>
      </c>
      <c r="F282" s="36" t="s">
        <v>264</v>
      </c>
      <c r="G282" s="36"/>
      <c r="H282" s="26">
        <f>'2023'!H284</f>
        <v>51328.31</v>
      </c>
      <c r="I282" s="26">
        <f>'2023'!I284</f>
        <v>51153.140000000007</v>
      </c>
      <c r="J282" s="26">
        <f>'2023'!J284</f>
        <v>49188.79</v>
      </c>
      <c r="K282" s="26">
        <f>'2023'!K284</f>
        <v>48476.990000000005</v>
      </c>
      <c r="L282" s="26">
        <f t="shared" si="102"/>
        <v>200147.23000000004</v>
      </c>
      <c r="M282" s="38">
        <f>'2024'!N282</f>
        <v>38.179280864138811</v>
      </c>
      <c r="N282" s="27">
        <v>41.073610133077558</v>
      </c>
      <c r="O282" s="38">
        <v>25.309439999999999</v>
      </c>
      <c r="P282" s="27">
        <f>O282*1.04</f>
        <v>26.321817599999999</v>
      </c>
      <c r="Q282" s="27">
        <f t="shared" si="106"/>
        <v>660587.18152518477</v>
      </c>
      <c r="R282" s="27">
        <f t="shared" si="107"/>
        <v>658332.77150101366</v>
      </c>
      <c r="S282" s="27">
        <f t="shared" si="108"/>
        <v>725622.82503312011</v>
      </c>
      <c r="T282" s="27">
        <f t="shared" si="109"/>
        <v>715122.49910807563</v>
      </c>
      <c r="U282" s="27">
        <f t="shared" si="104"/>
        <v>2759665.2771673938</v>
      </c>
      <c r="V282" s="119"/>
      <c r="W282" s="119"/>
      <c r="X282" s="119"/>
      <c r="Y282" s="29">
        <f>N282/M282*100</f>
        <v>107.58088995766639</v>
      </c>
      <c r="Z282" s="30">
        <f>P282/O282*100</f>
        <v>104</v>
      </c>
      <c r="AA282" s="2"/>
      <c r="AD282" s="32">
        <f t="shared" ref="AD282:AD352" si="110">104-Z282</f>
        <v>0</v>
      </c>
    </row>
    <row r="283" spans="1:30" s="40" customFormat="1" ht="221.25" customHeight="1">
      <c r="A283" s="33" t="s">
        <v>178</v>
      </c>
      <c r="B283" s="34" t="s">
        <v>179</v>
      </c>
      <c r="C283" s="35" t="s">
        <v>170</v>
      </c>
      <c r="D283" s="33" t="s">
        <v>180</v>
      </c>
      <c r="E283" s="33" t="str">
        <f>E141</f>
        <v>сельское поселение "Уемское" и городской округ "Город Архангельск" (система водоснабжения по ул.Заводская пос.Уемский)</v>
      </c>
      <c r="F283" s="36" t="s">
        <v>264</v>
      </c>
      <c r="G283" s="36"/>
      <c r="H283" s="26">
        <f>'2023'!H285</f>
        <v>31239.52</v>
      </c>
      <c r="I283" s="26">
        <f>'2023'!I285</f>
        <v>31083.599999999999</v>
      </c>
      <c r="J283" s="26">
        <f>'2023'!J285</f>
        <v>29118.11</v>
      </c>
      <c r="K283" s="26">
        <f>'2023'!K285</f>
        <v>31585.93</v>
      </c>
      <c r="L283" s="26">
        <f t="shared" si="102"/>
        <v>123027.16</v>
      </c>
      <c r="M283" s="38">
        <v>105.02</v>
      </c>
      <c r="N283" s="27">
        <v>110.75</v>
      </c>
      <c r="O283" s="38">
        <v>35.15</v>
      </c>
      <c r="P283" s="27">
        <v>36.56</v>
      </c>
      <c r="Q283" s="27">
        <f t="shared" si="106"/>
        <v>2182705.2624000004</v>
      </c>
      <c r="R283" s="27">
        <f t="shared" si="107"/>
        <v>2171811.1320000002</v>
      </c>
      <c r="S283" s="27">
        <f t="shared" si="108"/>
        <v>2160272.5808999999</v>
      </c>
      <c r="T283" s="27">
        <f t="shared" si="109"/>
        <v>2343360.1466999999</v>
      </c>
      <c r="U283" s="27">
        <f t="shared" si="104"/>
        <v>8858149.1220000014</v>
      </c>
      <c r="V283" s="119"/>
      <c r="W283" s="119"/>
      <c r="X283" s="119"/>
      <c r="Y283" s="29">
        <f>N283/M283*100</f>
        <v>105.45610359931442</v>
      </c>
      <c r="Z283" s="30">
        <f>P283/O283*100</f>
        <v>104.01137980085349</v>
      </c>
      <c r="AA283" s="2"/>
      <c r="AD283" s="32">
        <f t="shared" si="110"/>
        <v>-1.1379800853489996E-2</v>
      </c>
    </row>
    <row r="284" spans="1:30" s="40" customFormat="1" ht="51" customHeight="1">
      <c r="A284" s="33" t="s">
        <v>178</v>
      </c>
      <c r="B284" s="34" t="s">
        <v>179</v>
      </c>
      <c r="C284" s="35" t="s">
        <v>170</v>
      </c>
      <c r="D284" s="33" t="s">
        <v>362</v>
      </c>
      <c r="E284" s="33" t="s">
        <v>365</v>
      </c>
      <c r="F284" s="36" t="s">
        <v>264</v>
      </c>
      <c r="G284" s="36" t="s">
        <v>397</v>
      </c>
      <c r="H284" s="26">
        <f>'2023'!H286</f>
        <v>3516.6</v>
      </c>
      <c r="I284" s="26">
        <f>'2023'!I286</f>
        <v>3068.74</v>
      </c>
      <c r="J284" s="26">
        <f>'2023'!J286</f>
        <v>3087.4</v>
      </c>
      <c r="K284" s="26">
        <f>'2023'!K286</f>
        <v>3043.46</v>
      </c>
      <c r="L284" s="26">
        <f t="shared" si="102"/>
        <v>12716.2</v>
      </c>
      <c r="M284" s="38">
        <f>'2024'!N284</f>
        <v>214.89689999999999</v>
      </c>
      <c r="N284" s="27">
        <v>232.088652</v>
      </c>
      <c r="O284" s="38">
        <v>30.71744</v>
      </c>
      <c r="P284" s="27">
        <f>O284*1.04</f>
        <v>31.9461376</v>
      </c>
      <c r="Q284" s="27">
        <f t="shared" si="106"/>
        <v>647685.48903599987</v>
      </c>
      <c r="R284" s="27">
        <f t="shared" si="107"/>
        <v>565198.87608039984</v>
      </c>
      <c r="S284" s="27">
        <f t="shared" si="108"/>
        <v>617919.99895855994</v>
      </c>
      <c r="T284" s="27">
        <f t="shared" si="109"/>
        <v>609125.73687582393</v>
      </c>
      <c r="U284" s="27">
        <f t="shared" si="104"/>
        <v>2439930.1009507836</v>
      </c>
      <c r="V284" s="119"/>
      <c r="W284" s="119"/>
      <c r="X284" s="119"/>
      <c r="Y284" s="29"/>
      <c r="Z284" s="30"/>
      <c r="AA284" s="2"/>
      <c r="AD284" s="32"/>
    </row>
    <row r="285" spans="1:30" s="40" customFormat="1" ht="51" customHeight="1">
      <c r="A285" s="33" t="s">
        <v>181</v>
      </c>
      <c r="B285" s="34" t="s">
        <v>433</v>
      </c>
      <c r="C285" s="35" t="s">
        <v>170</v>
      </c>
      <c r="D285" s="33" t="s">
        <v>353</v>
      </c>
      <c r="E285" s="33" t="s">
        <v>354</v>
      </c>
      <c r="F285" s="36" t="s">
        <v>264</v>
      </c>
      <c r="G285" s="36"/>
      <c r="H285" s="26">
        <f>'2023'!H287</f>
        <v>3242.09</v>
      </c>
      <c r="I285" s="26">
        <f>'2023'!I287</f>
        <v>3050.7299999999996</v>
      </c>
      <c r="J285" s="26">
        <f>'2023'!J287</f>
        <v>3381.58</v>
      </c>
      <c r="K285" s="26">
        <f>'2023'!K287</f>
        <v>3241.3</v>
      </c>
      <c r="L285" s="26">
        <f t="shared" si="102"/>
        <v>12915.7</v>
      </c>
      <c r="M285" s="38">
        <f>'2024'!N285</f>
        <v>135.85400000000004</v>
      </c>
      <c r="N285" s="27">
        <v>146.72232000000008</v>
      </c>
      <c r="O285" s="38">
        <v>35.152000000000008</v>
      </c>
      <c r="P285" s="27">
        <f>O285*1.04</f>
        <v>36.558080000000011</v>
      </c>
      <c r="Q285" s="27">
        <f t="shared" si="106"/>
        <v>326484.94718000008</v>
      </c>
      <c r="R285" s="27">
        <f t="shared" si="107"/>
        <v>307214.61246000003</v>
      </c>
      <c r="S285" s="27">
        <f t="shared" si="108"/>
        <v>372529.1906992002</v>
      </c>
      <c r="T285" s="27">
        <f t="shared" si="109"/>
        <v>357075.35111200024</v>
      </c>
      <c r="U285" s="27">
        <f t="shared" si="104"/>
        <v>1363304.1014512004</v>
      </c>
      <c r="V285" s="119"/>
      <c r="W285" s="119"/>
      <c r="X285" s="119"/>
      <c r="Y285" s="29">
        <f t="shared" ref="Y285:Y312" si="111">N285/M285*100</f>
        <v>108.00000000000003</v>
      </c>
      <c r="Z285" s="30">
        <f t="shared" ref="Z285:Z312" si="112">P285/O285*100</f>
        <v>104</v>
      </c>
      <c r="AA285" s="2"/>
      <c r="AD285" s="32">
        <f t="shared" si="110"/>
        <v>0</v>
      </c>
    </row>
    <row r="286" spans="1:30" s="40" customFormat="1" ht="51" customHeight="1">
      <c r="A286" s="33" t="s">
        <v>182</v>
      </c>
      <c r="B286" s="34" t="s">
        <v>183</v>
      </c>
      <c r="C286" s="35" t="s">
        <v>170</v>
      </c>
      <c r="D286" s="33" t="s">
        <v>285</v>
      </c>
      <c r="E286" s="33" t="s">
        <v>355</v>
      </c>
      <c r="F286" s="36" t="s">
        <v>264</v>
      </c>
      <c r="G286" s="36"/>
      <c r="H286" s="26">
        <f>'2023'!H288</f>
        <v>6456.2999999999993</v>
      </c>
      <c r="I286" s="26">
        <f>'2023'!I288</f>
        <v>6214.4830000000002</v>
      </c>
      <c r="J286" s="26">
        <f>'2023'!J288</f>
        <v>5781.2330000000002</v>
      </c>
      <c r="K286" s="26">
        <f>'2023'!K288</f>
        <v>6187.7729999999992</v>
      </c>
      <c r="L286" s="26">
        <f t="shared" si="102"/>
        <v>24639.788999999997</v>
      </c>
      <c r="M286" s="38">
        <v>65.989999999999995</v>
      </c>
      <c r="N286" s="27">
        <v>71.27</v>
      </c>
      <c r="O286" s="38">
        <v>42.18</v>
      </c>
      <c r="P286" s="27">
        <v>43.87</v>
      </c>
      <c r="Q286" s="27">
        <f t="shared" si="106"/>
        <v>153724.50299999994</v>
      </c>
      <c r="R286" s="27">
        <f t="shared" si="107"/>
        <v>147966.84022999997</v>
      </c>
      <c r="S286" s="27">
        <f t="shared" si="108"/>
        <v>158405.78419999999</v>
      </c>
      <c r="T286" s="27">
        <f t="shared" si="109"/>
        <v>169544.98019999996</v>
      </c>
      <c r="U286" s="27">
        <f t="shared" si="104"/>
        <v>629642.10762999987</v>
      </c>
      <c r="V286" s="119"/>
      <c r="W286" s="119"/>
      <c r="X286" s="119"/>
      <c r="Y286" s="29">
        <f t="shared" si="111"/>
        <v>108.00121230489468</v>
      </c>
      <c r="Z286" s="30">
        <f t="shared" si="112"/>
        <v>104.00663821716454</v>
      </c>
      <c r="AA286" s="2"/>
      <c r="AD286" s="32">
        <f t="shared" si="110"/>
        <v>-6.6382171645358312E-3</v>
      </c>
    </row>
    <row r="287" spans="1:30" s="40" customFormat="1" ht="51" customHeight="1">
      <c r="A287" s="33" t="s">
        <v>182</v>
      </c>
      <c r="B287" s="34" t="s">
        <v>183</v>
      </c>
      <c r="C287" s="35" t="s">
        <v>170</v>
      </c>
      <c r="D287" s="33" t="s">
        <v>285</v>
      </c>
      <c r="E287" s="33" t="s">
        <v>356</v>
      </c>
      <c r="F287" s="36" t="s">
        <v>264</v>
      </c>
      <c r="G287" s="36"/>
      <c r="H287" s="26">
        <f>'2023'!H289</f>
        <v>517.27</v>
      </c>
      <c r="I287" s="26">
        <f>'2023'!I289</f>
        <v>548.75</v>
      </c>
      <c r="J287" s="26">
        <f>'2023'!J289</f>
        <v>577.47</v>
      </c>
      <c r="K287" s="26">
        <f>'2023'!K289</f>
        <v>506.35</v>
      </c>
      <c r="L287" s="26">
        <f t="shared" si="102"/>
        <v>2149.84</v>
      </c>
      <c r="M287" s="38">
        <v>501.5</v>
      </c>
      <c r="N287" s="27">
        <v>541.62</v>
      </c>
      <c r="O287" s="38">
        <v>42.18</v>
      </c>
      <c r="P287" s="27">
        <v>43.87</v>
      </c>
      <c r="Q287" s="27">
        <f t="shared" si="106"/>
        <v>237592.4564</v>
      </c>
      <c r="R287" s="27">
        <f t="shared" si="107"/>
        <v>252051.85</v>
      </c>
      <c r="S287" s="27">
        <f t="shared" si="108"/>
        <v>287435.6925</v>
      </c>
      <c r="T287" s="27">
        <f t="shared" si="109"/>
        <v>252035.71250000002</v>
      </c>
      <c r="U287" s="27">
        <f t="shared" si="104"/>
        <v>1029115.7114</v>
      </c>
      <c r="V287" s="119"/>
      <c r="W287" s="119"/>
      <c r="X287" s="119"/>
      <c r="Y287" s="29">
        <f t="shared" si="111"/>
        <v>108</v>
      </c>
      <c r="Z287" s="30">
        <f t="shared" si="112"/>
        <v>104.00663821716454</v>
      </c>
      <c r="AA287" s="2"/>
      <c r="AD287" s="32">
        <f t="shared" si="110"/>
        <v>-6.6382171645358312E-3</v>
      </c>
    </row>
    <row r="288" spans="1:30" s="40" customFormat="1" ht="51" customHeight="1">
      <c r="A288" s="33" t="s">
        <v>182</v>
      </c>
      <c r="B288" s="34" t="s">
        <v>183</v>
      </c>
      <c r="C288" s="35" t="s">
        <v>170</v>
      </c>
      <c r="D288" s="33" t="s">
        <v>285</v>
      </c>
      <c r="E288" s="33" t="s">
        <v>357</v>
      </c>
      <c r="F288" s="36" t="s">
        <v>264</v>
      </c>
      <c r="G288" s="36"/>
      <c r="H288" s="26">
        <f>'2023'!H290</f>
        <v>3918.0599999999995</v>
      </c>
      <c r="I288" s="26">
        <f>'2023'!I290</f>
        <v>4004.08</v>
      </c>
      <c r="J288" s="26">
        <f>'2023'!J290</f>
        <v>4308.91</v>
      </c>
      <c r="K288" s="26">
        <f>'2023'!K290</f>
        <v>3729.0699999999997</v>
      </c>
      <c r="L288" s="26">
        <f t="shared" si="102"/>
        <v>15960.119999999999</v>
      </c>
      <c r="M288" s="38">
        <v>108.07</v>
      </c>
      <c r="N288" s="27">
        <v>116.72</v>
      </c>
      <c r="O288" s="38">
        <v>36.770000000000003</v>
      </c>
      <c r="P288" s="27">
        <v>38.25</v>
      </c>
      <c r="Q288" s="27">
        <f t="shared" si="106"/>
        <v>279357.6779999999</v>
      </c>
      <c r="R288" s="27">
        <f t="shared" si="107"/>
        <v>285490.90399999992</v>
      </c>
      <c r="S288" s="27">
        <f t="shared" si="108"/>
        <v>338120.16769999999</v>
      </c>
      <c r="T288" s="27">
        <f t="shared" si="109"/>
        <v>292620.12289999996</v>
      </c>
      <c r="U288" s="27">
        <f t="shared" si="104"/>
        <v>1195588.8725999999</v>
      </c>
      <c r="V288" s="119"/>
      <c r="W288" s="119"/>
      <c r="X288" s="119"/>
      <c r="Y288" s="29">
        <f t="shared" si="111"/>
        <v>108.00407143518092</v>
      </c>
      <c r="Z288" s="30">
        <f t="shared" si="112"/>
        <v>104.0250203970628</v>
      </c>
      <c r="AA288" s="2"/>
      <c r="AD288" s="32">
        <f t="shared" si="110"/>
        <v>-2.5020397062803568E-2</v>
      </c>
    </row>
    <row r="289" spans="1:30" s="40" customFormat="1" ht="51" customHeight="1">
      <c r="A289" s="33" t="s">
        <v>182</v>
      </c>
      <c r="B289" s="34" t="s">
        <v>183</v>
      </c>
      <c r="C289" s="35" t="s">
        <v>170</v>
      </c>
      <c r="D289" s="33" t="s">
        <v>187</v>
      </c>
      <c r="E289" s="33" t="s">
        <v>63</v>
      </c>
      <c r="F289" s="36" t="s">
        <v>264</v>
      </c>
      <c r="G289" s="36"/>
      <c r="H289" s="26">
        <f>'2023'!H291</f>
        <v>9556.23</v>
      </c>
      <c r="I289" s="26">
        <f>'2023'!I291</f>
        <v>10390.76</v>
      </c>
      <c r="J289" s="26">
        <f>'2023'!J291</f>
        <v>10573.33</v>
      </c>
      <c r="K289" s="26">
        <f>'2023'!K291</f>
        <v>10047.869999999999</v>
      </c>
      <c r="L289" s="26">
        <f t="shared" si="102"/>
        <v>40568.19</v>
      </c>
      <c r="M289" s="38">
        <v>91.56</v>
      </c>
      <c r="N289" s="27">
        <v>137.94999999999999</v>
      </c>
      <c r="O289" s="38">
        <v>24.34</v>
      </c>
      <c r="P289" s="27">
        <v>25.31</v>
      </c>
      <c r="Q289" s="27">
        <f t="shared" si="106"/>
        <v>642369.78059999994</v>
      </c>
      <c r="R289" s="27">
        <f t="shared" si="107"/>
        <v>698466.8872</v>
      </c>
      <c r="S289" s="27">
        <f t="shared" si="108"/>
        <v>1190979.8912</v>
      </c>
      <c r="T289" s="27">
        <f t="shared" si="109"/>
        <v>1131792.0767999997</v>
      </c>
      <c r="U289" s="27">
        <f t="shared" si="104"/>
        <v>3663608.6357999993</v>
      </c>
      <c r="V289" s="119"/>
      <c r="W289" s="119"/>
      <c r="X289" s="119"/>
      <c r="Y289" s="29">
        <f t="shared" si="111"/>
        <v>150.66622979467016</v>
      </c>
      <c r="Z289" s="30">
        <f t="shared" si="112"/>
        <v>103.98520953163516</v>
      </c>
      <c r="AA289" s="2"/>
      <c r="AD289" s="32">
        <f t="shared" si="110"/>
        <v>1.4790468364836329E-2</v>
      </c>
    </row>
    <row r="290" spans="1:30" s="40" customFormat="1" ht="51" customHeight="1">
      <c r="A290" s="33" t="s">
        <v>185</v>
      </c>
      <c r="B290" s="34" t="s">
        <v>186</v>
      </c>
      <c r="C290" s="35" t="s">
        <v>170</v>
      </c>
      <c r="D290" s="33" t="s">
        <v>187</v>
      </c>
      <c r="E290" s="33"/>
      <c r="F290" s="36" t="s">
        <v>264</v>
      </c>
      <c r="G290" s="36"/>
      <c r="H290" s="26">
        <f>'2023'!H292</f>
        <v>3048.0010000000002</v>
      </c>
      <c r="I290" s="26">
        <f>'2023'!I292</f>
        <v>3228.3460000000005</v>
      </c>
      <c r="J290" s="26">
        <f>'2023'!J292</f>
        <v>3093.9800000000005</v>
      </c>
      <c r="K290" s="26">
        <f>'2023'!K292</f>
        <v>2930.0029999999997</v>
      </c>
      <c r="L290" s="26">
        <f t="shared" si="102"/>
        <v>12300.330000000002</v>
      </c>
      <c r="M290" s="38">
        <v>296.47000000000003</v>
      </c>
      <c r="N290" s="27">
        <v>320.19</v>
      </c>
      <c r="O290" s="38">
        <v>26.93</v>
      </c>
      <c r="P290" s="27">
        <v>28.01</v>
      </c>
      <c r="Q290" s="27">
        <f t="shared" si="106"/>
        <v>821558.18954000017</v>
      </c>
      <c r="R290" s="27">
        <f t="shared" si="107"/>
        <v>870168.38084000023</v>
      </c>
      <c r="S290" s="27">
        <f t="shared" si="108"/>
        <v>903999.07640000014</v>
      </c>
      <c r="T290" s="27">
        <f t="shared" si="109"/>
        <v>856088.27653999988</v>
      </c>
      <c r="U290" s="27">
        <f t="shared" si="104"/>
        <v>3451813.9233200005</v>
      </c>
      <c r="V290" s="119"/>
      <c r="W290" s="119"/>
      <c r="X290" s="119"/>
      <c r="Y290" s="29">
        <f t="shared" si="111"/>
        <v>108.0008095254157</v>
      </c>
      <c r="Z290" s="30">
        <f t="shared" si="112"/>
        <v>104.01039732640179</v>
      </c>
      <c r="AA290" s="2"/>
      <c r="AD290" s="32">
        <f t="shared" si="110"/>
        <v>-1.03973264017867E-2</v>
      </c>
    </row>
    <row r="291" spans="1:30" s="40" customFormat="1" ht="51" customHeight="1">
      <c r="A291" s="33" t="s">
        <v>191</v>
      </c>
      <c r="B291" s="34" t="s">
        <v>192</v>
      </c>
      <c r="C291" s="35" t="s">
        <v>170</v>
      </c>
      <c r="D291" s="33" t="s">
        <v>193</v>
      </c>
      <c r="E291" s="33" t="s">
        <v>63</v>
      </c>
      <c r="F291" s="36" t="s">
        <v>264</v>
      </c>
      <c r="G291" s="36"/>
      <c r="H291" s="26">
        <f>'2023'!H293</f>
        <v>5309.9539999999997</v>
      </c>
      <c r="I291" s="26">
        <f>'2023'!I293</f>
        <v>5176.5859999999993</v>
      </c>
      <c r="J291" s="26">
        <f>'2023'!J293</f>
        <v>6568.8719999999994</v>
      </c>
      <c r="K291" s="26">
        <f>'2023'!K293</f>
        <v>4915.326</v>
      </c>
      <c r="L291" s="26">
        <f t="shared" si="102"/>
        <v>21970.737999999998</v>
      </c>
      <c r="M291" s="38">
        <f>'2024'!N291</f>
        <v>62.846000000000018</v>
      </c>
      <c r="N291" s="27">
        <v>67.873680000000022</v>
      </c>
      <c r="O291" s="38">
        <v>47.59040000000001</v>
      </c>
      <c r="P291" s="27">
        <f>O291*1.04</f>
        <v>49.494016000000009</v>
      </c>
      <c r="Q291" s="27">
        <f t="shared" si="106"/>
        <v>81006.534242400041</v>
      </c>
      <c r="R291" s="27">
        <f t="shared" si="107"/>
        <v>78971.925381600027</v>
      </c>
      <c r="S291" s="27">
        <f t="shared" si="108"/>
        <v>120733.66021900807</v>
      </c>
      <c r="T291" s="27">
        <f t="shared" si="109"/>
        <v>90342.040330464064</v>
      </c>
      <c r="U291" s="27">
        <f t="shared" si="104"/>
        <v>371054.16017347219</v>
      </c>
      <c r="V291" s="119"/>
      <c r="W291" s="119"/>
      <c r="X291" s="119"/>
      <c r="Y291" s="29">
        <f t="shared" si="111"/>
        <v>108</v>
      </c>
      <c r="Z291" s="30">
        <f t="shared" si="112"/>
        <v>104</v>
      </c>
      <c r="AA291" s="2"/>
      <c r="AD291" s="32">
        <f t="shared" si="110"/>
        <v>0</v>
      </c>
    </row>
    <row r="292" spans="1:30" s="40" customFormat="1" ht="51" customHeight="1">
      <c r="A292" s="33" t="s">
        <v>190</v>
      </c>
      <c r="B292" s="34" t="s">
        <v>368</v>
      </c>
      <c r="C292" s="35" t="s">
        <v>170</v>
      </c>
      <c r="D292" s="33" t="s">
        <v>351</v>
      </c>
      <c r="E292" s="33" t="s">
        <v>369</v>
      </c>
      <c r="F292" s="36" t="s">
        <v>264</v>
      </c>
      <c r="G292" s="36" t="s">
        <v>396</v>
      </c>
      <c r="H292" s="26">
        <f>'2023'!H294</f>
        <v>13407.18</v>
      </c>
      <c r="I292" s="26">
        <f>'2023'!I294</f>
        <v>14299.876</v>
      </c>
      <c r="J292" s="26">
        <f>'2023'!J294</f>
        <v>14369.606</v>
      </c>
      <c r="K292" s="26">
        <f>'2023'!K294</f>
        <v>18023.326000000001</v>
      </c>
      <c r="L292" s="26">
        <f t="shared" si="102"/>
        <v>60099.987999999998</v>
      </c>
      <c r="M292" s="38">
        <v>148.97999999999999</v>
      </c>
      <c r="N292" s="27">
        <v>156.05000000000001</v>
      </c>
      <c r="O292" s="38">
        <v>28.21</v>
      </c>
      <c r="P292" s="27">
        <v>29.34</v>
      </c>
      <c r="Q292" s="27">
        <f t="shared" si="106"/>
        <v>1619185.1285999997</v>
      </c>
      <c r="R292" s="27">
        <f t="shared" si="107"/>
        <v>1726996.0245199997</v>
      </c>
      <c r="S292" s="27">
        <f t="shared" si="108"/>
        <v>1820772.7762600002</v>
      </c>
      <c r="T292" s="27">
        <f t="shared" si="109"/>
        <v>2283735.6374600003</v>
      </c>
      <c r="U292" s="27">
        <f t="shared" si="104"/>
        <v>7450689.5668400005</v>
      </c>
      <c r="V292" s="119"/>
      <c r="W292" s="119"/>
      <c r="X292" s="119"/>
      <c r="Y292" s="29">
        <f t="shared" si="111"/>
        <v>104.74560343670294</v>
      </c>
      <c r="Z292" s="30">
        <f t="shared" si="112"/>
        <v>104.00567174760722</v>
      </c>
      <c r="AA292" s="2"/>
      <c r="AD292" s="32">
        <f t="shared" si="110"/>
        <v>-5.671747607223665E-3</v>
      </c>
    </row>
    <row r="293" spans="1:30" s="40" customFormat="1" ht="51" customHeight="1">
      <c r="A293" s="33" t="s">
        <v>188</v>
      </c>
      <c r="B293" s="34" t="s">
        <v>189</v>
      </c>
      <c r="C293" s="35" t="s">
        <v>170</v>
      </c>
      <c r="D293" s="33" t="s">
        <v>353</v>
      </c>
      <c r="E293" s="33" t="s">
        <v>370</v>
      </c>
      <c r="F293" s="36" t="s">
        <v>264</v>
      </c>
      <c r="G293" s="36"/>
      <c r="H293" s="26">
        <f>'2023'!H295</f>
        <v>25033.985000000001</v>
      </c>
      <c r="I293" s="26">
        <f>'2023'!I295</f>
        <v>25562.775000000001</v>
      </c>
      <c r="J293" s="26">
        <f>'2023'!J295</f>
        <v>20959.37</v>
      </c>
      <c r="K293" s="26">
        <f>'2023'!K295</f>
        <v>20575.59</v>
      </c>
      <c r="L293" s="26">
        <f t="shared" si="102"/>
        <v>92131.72</v>
      </c>
      <c r="M293" s="38">
        <v>254.29</v>
      </c>
      <c r="N293" s="27">
        <v>274.63</v>
      </c>
      <c r="O293" s="38">
        <v>36.61</v>
      </c>
      <c r="P293" s="27">
        <v>38.08</v>
      </c>
      <c r="Q293" s="27">
        <f t="shared" si="106"/>
        <v>5449397.8547999999</v>
      </c>
      <c r="R293" s="27">
        <f t="shared" si="107"/>
        <v>5564504.8620000007</v>
      </c>
      <c r="S293" s="27">
        <f t="shared" si="108"/>
        <v>4957938.9735000003</v>
      </c>
      <c r="T293" s="27">
        <f t="shared" si="109"/>
        <v>4867155.8145000003</v>
      </c>
      <c r="U293" s="27">
        <f t="shared" si="104"/>
        <v>20838997.504799999</v>
      </c>
      <c r="V293" s="119"/>
      <c r="W293" s="119"/>
      <c r="X293" s="119"/>
      <c r="Y293" s="29">
        <f t="shared" si="111"/>
        <v>107.99874159424279</v>
      </c>
      <c r="Z293" s="30">
        <f t="shared" si="112"/>
        <v>104.0152963671128</v>
      </c>
      <c r="AA293" s="2"/>
      <c r="AD293" s="32">
        <f t="shared" si="110"/>
        <v>-1.5296367112796361E-2</v>
      </c>
    </row>
    <row r="294" spans="1:30" s="40" customFormat="1" ht="51" customHeight="1">
      <c r="A294" s="33" t="s">
        <v>194</v>
      </c>
      <c r="B294" s="34" t="s">
        <v>195</v>
      </c>
      <c r="C294" s="35" t="s">
        <v>170</v>
      </c>
      <c r="D294" s="33" t="s">
        <v>196</v>
      </c>
      <c r="E294" s="33"/>
      <c r="F294" s="36" t="s">
        <v>264</v>
      </c>
      <c r="G294" s="36" t="s">
        <v>197</v>
      </c>
      <c r="H294" s="26">
        <f>'2023'!H296</f>
        <v>12612.15</v>
      </c>
      <c r="I294" s="26">
        <f>'2023'!I296</f>
        <v>14271.84</v>
      </c>
      <c r="J294" s="26">
        <f>'2023'!J296</f>
        <v>12657.21</v>
      </c>
      <c r="K294" s="26">
        <f>'2023'!K296</f>
        <v>13256.6</v>
      </c>
      <c r="L294" s="26">
        <f t="shared" si="102"/>
        <v>52797.799999999996</v>
      </c>
      <c r="M294" s="38">
        <v>58.56</v>
      </c>
      <c r="N294" s="27">
        <v>63.24</v>
      </c>
      <c r="O294" s="38">
        <v>21.37</v>
      </c>
      <c r="P294" s="27">
        <v>22.23</v>
      </c>
      <c r="Q294" s="27">
        <f t="shared" si="106"/>
        <v>469045.85849999997</v>
      </c>
      <c r="R294" s="27">
        <f t="shared" si="107"/>
        <v>530769.72959999996</v>
      </c>
      <c r="S294" s="27">
        <f t="shared" si="108"/>
        <v>519072.18210000003</v>
      </c>
      <c r="T294" s="27">
        <f t="shared" si="109"/>
        <v>543653.16600000008</v>
      </c>
      <c r="U294" s="27">
        <f t="shared" si="104"/>
        <v>2062540.9361999999</v>
      </c>
      <c r="V294" s="119"/>
      <c r="W294" s="119"/>
      <c r="X294" s="119"/>
      <c r="Y294" s="29">
        <f t="shared" si="111"/>
        <v>107.99180327868851</v>
      </c>
      <c r="Z294" s="30">
        <f t="shared" si="112"/>
        <v>104.02433317735142</v>
      </c>
      <c r="AA294" s="2"/>
      <c r="AD294" s="32">
        <f t="shared" si="110"/>
        <v>-2.4333177351422819E-2</v>
      </c>
    </row>
    <row r="295" spans="1:30" s="40" customFormat="1" ht="15" customHeight="1">
      <c r="A295" s="33"/>
      <c r="B295" s="34"/>
      <c r="C295" s="35"/>
      <c r="D295" s="33"/>
      <c r="E295" s="33"/>
      <c r="F295" s="36"/>
      <c r="G295" s="36"/>
      <c r="H295" s="26"/>
      <c r="I295" s="26"/>
      <c r="J295" s="26"/>
      <c r="K295" s="26"/>
      <c r="L295" s="37"/>
      <c r="M295" s="41"/>
      <c r="N295" s="41"/>
      <c r="O295" s="41"/>
      <c r="P295" s="41"/>
      <c r="Q295" s="27"/>
      <c r="R295" s="27"/>
      <c r="S295" s="27"/>
      <c r="T295" s="27"/>
      <c r="U295" s="27"/>
      <c r="V295" s="119"/>
      <c r="W295" s="119"/>
      <c r="X295" s="119"/>
      <c r="Y295" s="29" t="e">
        <f t="shared" si="111"/>
        <v>#DIV/0!</v>
      </c>
      <c r="Z295" s="30" t="e">
        <f t="shared" si="112"/>
        <v>#DIV/0!</v>
      </c>
      <c r="AA295" s="2"/>
      <c r="AD295" s="32" t="e">
        <f t="shared" si="110"/>
        <v>#DIV/0!</v>
      </c>
    </row>
    <row r="296" spans="1:30" s="40" customFormat="1" ht="41.25" customHeight="1">
      <c r="A296" s="33">
        <v>2902060361</v>
      </c>
      <c r="B296" s="34" t="s">
        <v>198</v>
      </c>
      <c r="C296" s="35" t="s">
        <v>199</v>
      </c>
      <c r="D296" s="33"/>
      <c r="E296" s="33"/>
      <c r="F296" s="36" t="s">
        <v>264</v>
      </c>
      <c r="G296" s="36"/>
      <c r="H296" s="26">
        <f>'2023'!H298</f>
        <v>423046.32300000003</v>
      </c>
      <c r="I296" s="26">
        <f>'2023'!I298</f>
        <v>408044.73500000004</v>
      </c>
      <c r="J296" s="26">
        <f>'2023'!J298</f>
        <v>383631.125</v>
      </c>
      <c r="K296" s="26">
        <f>'2023'!K298</f>
        <v>412631.96799999999</v>
      </c>
      <c r="L296" s="26">
        <f t="shared" si="102"/>
        <v>1627354.1510000001</v>
      </c>
      <c r="M296" s="38">
        <f>'2024'!N296</f>
        <v>41.804099999999998</v>
      </c>
      <c r="N296" s="27">
        <v>45.148428000000003</v>
      </c>
      <c r="O296" s="38">
        <f>'2024'!P296</f>
        <v>30.996763643456003</v>
      </c>
      <c r="P296" s="27">
        <v>32.236634189194241</v>
      </c>
      <c r="Q296" s="27">
        <f>(M296-O296)*H296</f>
        <v>4572003.9070601547</v>
      </c>
      <c r="R296" s="27">
        <f>(M296-O296)*I296</f>
        <v>4409876.6996618602</v>
      </c>
      <c r="S296" s="27">
        <f>(N296-P296)*J296</f>
        <v>4953365.9854074512</v>
      </c>
      <c r="T296" s="27">
        <f>(N296-P296)*K296</f>
        <v>5327818.8905630009</v>
      </c>
      <c r="U296" s="27">
        <f t="shared" si="104"/>
        <v>19263065.482692469</v>
      </c>
      <c r="V296" s="119"/>
      <c r="W296" s="119"/>
      <c r="X296" s="119"/>
      <c r="Y296" s="29">
        <f t="shared" si="111"/>
        <v>108</v>
      </c>
      <c r="Z296" s="30">
        <f t="shared" si="112"/>
        <v>104</v>
      </c>
      <c r="AA296" s="2"/>
      <c r="AD296" s="32">
        <f t="shared" si="110"/>
        <v>0</v>
      </c>
    </row>
    <row r="297" spans="1:30" s="40" customFormat="1" ht="81.75" customHeight="1">
      <c r="A297" s="33">
        <v>2902059091</v>
      </c>
      <c r="B297" s="34" t="s">
        <v>200</v>
      </c>
      <c r="C297" s="35" t="s">
        <v>199</v>
      </c>
      <c r="D297" s="33"/>
      <c r="E297" s="33"/>
      <c r="F297" s="36" t="s">
        <v>264</v>
      </c>
      <c r="G297" s="36" t="s">
        <v>310</v>
      </c>
      <c r="H297" s="26">
        <f>'2024'!H297</f>
        <v>1952371</v>
      </c>
      <c r="I297" s="26">
        <f>'2024'!I297</f>
        <v>1952371</v>
      </c>
      <c r="J297" s="26">
        <f>'2024'!J297</f>
        <v>1952371</v>
      </c>
      <c r="K297" s="26">
        <f>'2024'!K297</f>
        <v>1952371</v>
      </c>
      <c r="L297" s="26">
        <f t="shared" si="102"/>
        <v>7809484</v>
      </c>
      <c r="M297" s="38">
        <f>'2024'!N297</f>
        <v>32.550700036900004</v>
      </c>
      <c r="N297" s="27">
        <v>35.15475603985201</v>
      </c>
      <c r="O297" s="38">
        <f>'2024'!P297</f>
        <v>30.996763643456003</v>
      </c>
      <c r="P297" s="27">
        <v>32.236634189194241</v>
      </c>
      <c r="Q297" s="27">
        <f>(M297-O297)*H297</f>
        <v>3033860.3504046579</v>
      </c>
      <c r="R297" s="27">
        <f>(M297-O297)*I297</f>
        <v>3033860.3504046579</v>
      </c>
      <c r="S297" s="27">
        <f>(N297-P297)*J297</f>
        <v>5697256.4756905595</v>
      </c>
      <c r="T297" s="27">
        <f>(N297-P297)*K297</f>
        <v>5697256.4756905595</v>
      </c>
      <c r="U297" s="27">
        <f t="shared" si="104"/>
        <v>17462233.652190436</v>
      </c>
      <c r="V297" s="119"/>
      <c r="W297" s="119"/>
      <c r="X297" s="119"/>
      <c r="Y297" s="29">
        <f t="shared" si="111"/>
        <v>108.00000000000003</v>
      </c>
      <c r="Z297" s="30">
        <f t="shared" si="112"/>
        <v>104</v>
      </c>
      <c r="AA297" s="2"/>
      <c r="AD297" s="32">
        <f t="shared" si="110"/>
        <v>0</v>
      </c>
    </row>
    <row r="298" spans="1:30" s="40" customFormat="1" ht="15" customHeight="1">
      <c r="A298" s="33"/>
      <c r="B298" s="34"/>
      <c r="C298" s="35"/>
      <c r="D298" s="33"/>
      <c r="E298" s="33"/>
      <c r="F298" s="36"/>
      <c r="G298" s="36"/>
      <c r="H298" s="26"/>
      <c r="I298" s="26"/>
      <c r="J298" s="26"/>
      <c r="K298" s="26"/>
      <c r="L298" s="37"/>
      <c r="M298" s="41"/>
      <c r="N298" s="41"/>
      <c r="O298" s="41"/>
      <c r="P298" s="41"/>
      <c r="Q298" s="27"/>
      <c r="R298" s="27"/>
      <c r="S298" s="27"/>
      <c r="T298" s="27"/>
      <c r="U298" s="27"/>
      <c r="V298" s="119"/>
      <c r="W298" s="119"/>
      <c r="X298" s="119"/>
      <c r="Y298" s="29" t="e">
        <f t="shared" si="111"/>
        <v>#DIV/0!</v>
      </c>
      <c r="Z298" s="30" t="e">
        <f t="shared" si="112"/>
        <v>#DIV/0!</v>
      </c>
      <c r="AA298" s="2"/>
      <c r="AD298" s="32" t="e">
        <f t="shared" si="110"/>
        <v>#DIV/0!</v>
      </c>
    </row>
    <row r="299" spans="1:30" s="40" customFormat="1" ht="41.25" customHeight="1">
      <c r="A299" s="33" t="s">
        <v>201</v>
      </c>
      <c r="B299" s="34" t="s">
        <v>202</v>
      </c>
      <c r="C299" s="35" t="s">
        <v>203</v>
      </c>
      <c r="D299" s="33" t="s">
        <v>204</v>
      </c>
      <c r="E299" s="33"/>
      <c r="F299" s="36" t="s">
        <v>264</v>
      </c>
      <c r="G299" s="36"/>
      <c r="H299" s="26">
        <f>'2023'!H301</f>
        <v>3172.9730000000004</v>
      </c>
      <c r="I299" s="26">
        <f>'2023'!I301</f>
        <v>1908.058</v>
      </c>
      <c r="J299" s="26">
        <f>'2023'!J301</f>
        <v>1506.5260000000001</v>
      </c>
      <c r="K299" s="26">
        <f>'2023'!K301</f>
        <v>2203.4290000000001</v>
      </c>
      <c r="L299" s="26">
        <f t="shared" si="102"/>
        <v>8790.9860000000008</v>
      </c>
      <c r="M299" s="38">
        <f>'2024'!N299</f>
        <v>168.99369801704177</v>
      </c>
      <c r="N299" s="27">
        <v>182.51319385840515</v>
      </c>
      <c r="O299" s="38">
        <f>'2024'!P299</f>
        <v>43.707455999999993</v>
      </c>
      <c r="P299" s="27">
        <v>45.455754239999997</v>
      </c>
      <c r="Q299" s="27">
        <f>(M299-O299)*H299</f>
        <v>397529.86319153913</v>
      </c>
      <c r="R299" s="27">
        <f t="shared" ref="R299:S301" si="113">(M299-O299)*I299</f>
        <v>239053.4163705527</v>
      </c>
      <c r="S299" s="27">
        <f t="shared" si="113"/>
        <v>206480.59627855744</v>
      </c>
      <c r="T299" s="27">
        <f>(N299-P299)*K299</f>
        <v>301996.33712094283</v>
      </c>
      <c r="U299" s="27">
        <f t="shared" si="104"/>
        <v>1145060.212961592</v>
      </c>
      <c r="V299" s="119"/>
      <c r="W299" s="119"/>
      <c r="X299" s="119"/>
      <c r="Y299" s="29">
        <f t="shared" si="111"/>
        <v>108.00000000000003</v>
      </c>
      <c r="Z299" s="30">
        <f t="shared" si="112"/>
        <v>104</v>
      </c>
      <c r="AA299" s="2"/>
      <c r="AD299" s="32">
        <f t="shared" si="110"/>
        <v>0</v>
      </c>
    </row>
    <row r="300" spans="1:30" s="40" customFormat="1" ht="54.75" customHeight="1">
      <c r="A300" s="33" t="s">
        <v>58</v>
      </c>
      <c r="B300" s="34" t="s">
        <v>59</v>
      </c>
      <c r="C300" s="35" t="s">
        <v>203</v>
      </c>
      <c r="D300" s="33" t="s">
        <v>205</v>
      </c>
      <c r="E300" s="33"/>
      <c r="F300" s="36" t="s">
        <v>264</v>
      </c>
      <c r="G300" s="36"/>
      <c r="H300" s="26">
        <f>'2023'!H302</f>
        <v>67329.45</v>
      </c>
      <c r="I300" s="26">
        <f>'2023'!I302</f>
        <v>62420.950000000004</v>
      </c>
      <c r="J300" s="26">
        <f>'2023'!J302</f>
        <v>57766.649999999994</v>
      </c>
      <c r="K300" s="26">
        <f>'2023'!K302</f>
        <v>59119.03</v>
      </c>
      <c r="L300" s="26">
        <f t="shared" si="102"/>
        <v>246636.08</v>
      </c>
      <c r="M300" s="38">
        <f>'2024'!N300</f>
        <v>137.83589374563684</v>
      </c>
      <c r="N300" s="27">
        <v>148.86276524528779</v>
      </c>
      <c r="O300" s="38">
        <f>'2024'!P300</f>
        <v>36.428288000000002</v>
      </c>
      <c r="P300" s="27">
        <v>37.885419520000006</v>
      </c>
      <c r="Q300" s="27">
        <f>(M300-O300)*H300</f>
        <v>6827718.3206705675</v>
      </c>
      <c r="R300" s="27">
        <f t="shared" si="113"/>
        <v>6329959.0878681093</v>
      </c>
      <c r="S300" s="27">
        <f t="shared" si="113"/>
        <v>6410789.4884416955</v>
      </c>
      <c r="T300" s="27">
        <f>(N300-P300)*K300</f>
        <v>6560873.0312536601</v>
      </c>
      <c r="U300" s="27">
        <f t="shared" si="104"/>
        <v>26129339.928234033</v>
      </c>
      <c r="V300" s="119"/>
      <c r="W300" s="119"/>
      <c r="X300" s="119"/>
      <c r="Y300" s="29">
        <f t="shared" si="111"/>
        <v>108</v>
      </c>
      <c r="Z300" s="30">
        <f t="shared" si="112"/>
        <v>104</v>
      </c>
      <c r="AA300" s="2"/>
      <c r="AD300" s="32">
        <f t="shared" si="110"/>
        <v>0</v>
      </c>
    </row>
    <row r="301" spans="1:30" s="40" customFormat="1" ht="41.25" customHeight="1">
      <c r="A301" s="33" t="s">
        <v>214</v>
      </c>
      <c r="B301" s="34" t="s">
        <v>215</v>
      </c>
      <c r="C301" s="35" t="s">
        <v>203</v>
      </c>
      <c r="D301" s="33" t="s">
        <v>216</v>
      </c>
      <c r="E301" s="33"/>
      <c r="F301" s="36" t="s">
        <v>264</v>
      </c>
      <c r="G301" s="36"/>
      <c r="H301" s="26">
        <f>'2023'!H303</f>
        <v>5788.7800000000007</v>
      </c>
      <c r="I301" s="26">
        <f>'2023'!I303</f>
        <v>5444.6360000000004</v>
      </c>
      <c r="J301" s="26">
        <f>'2023'!J303</f>
        <v>5529.6760000000004</v>
      </c>
      <c r="K301" s="26">
        <f>'2023'!K303</f>
        <v>5326.9170000000004</v>
      </c>
      <c r="L301" s="26">
        <f t="shared" si="102"/>
        <v>22090.009000000002</v>
      </c>
      <c r="M301" s="38">
        <f>'2024'!N301</f>
        <v>294.57483448022708</v>
      </c>
      <c r="N301" s="27">
        <v>318.14082123864523</v>
      </c>
      <c r="O301" s="38">
        <f>'2024'!P301</f>
        <v>38.937599999999996</v>
      </c>
      <c r="P301" s="27">
        <v>40.495103999999998</v>
      </c>
      <c r="Q301" s="27">
        <f>(M301-O301)*H301</f>
        <v>1479827.7102144491</v>
      </c>
      <c r="R301" s="27">
        <f t="shared" si="113"/>
        <v>1391851.6897914857</v>
      </c>
      <c r="S301" s="27">
        <f t="shared" si="113"/>
        <v>1535290.8591173231</v>
      </c>
      <c r="T301" s="27">
        <f>(N301-P301)*K301</f>
        <v>1478995.6911357327</v>
      </c>
      <c r="U301" s="27">
        <f t="shared" si="104"/>
        <v>5885965.9502589907</v>
      </c>
      <c r="V301" s="119"/>
      <c r="W301" s="119"/>
      <c r="X301" s="119"/>
      <c r="Y301" s="29">
        <f t="shared" si="111"/>
        <v>107.99999999999999</v>
      </c>
      <c r="Z301" s="30">
        <f t="shared" si="112"/>
        <v>104</v>
      </c>
      <c r="AA301" s="2"/>
      <c r="AD301" s="32">
        <f t="shared" si="110"/>
        <v>0</v>
      </c>
    </row>
    <row r="302" spans="1:30" s="40" customFormat="1" ht="15" customHeight="1">
      <c r="A302" s="33"/>
      <c r="B302" s="34"/>
      <c r="C302" s="35"/>
      <c r="D302" s="33"/>
      <c r="E302" s="33"/>
      <c r="F302" s="36"/>
      <c r="G302" s="36"/>
      <c r="H302" s="26"/>
      <c r="I302" s="26"/>
      <c r="J302" s="26"/>
      <c r="K302" s="26"/>
      <c r="L302" s="37"/>
      <c r="M302" s="41"/>
      <c r="N302" s="41"/>
      <c r="O302" s="41"/>
      <c r="P302" s="41"/>
      <c r="Q302" s="27"/>
      <c r="R302" s="27"/>
      <c r="S302" s="27"/>
      <c r="T302" s="27"/>
      <c r="U302" s="27"/>
      <c r="V302" s="119"/>
      <c r="W302" s="119"/>
      <c r="X302" s="119"/>
      <c r="Y302" s="29" t="e">
        <f t="shared" si="111"/>
        <v>#DIV/0!</v>
      </c>
      <c r="Z302" s="30" t="e">
        <f t="shared" si="112"/>
        <v>#DIV/0!</v>
      </c>
      <c r="AA302" s="2"/>
      <c r="AD302" s="32" t="e">
        <f t="shared" si="110"/>
        <v>#DIV/0!</v>
      </c>
    </row>
    <row r="303" spans="1:30" s="40" customFormat="1" ht="41.25" customHeight="1">
      <c r="A303" s="33" t="s">
        <v>221</v>
      </c>
      <c r="B303" s="34" t="s">
        <v>222</v>
      </c>
      <c r="C303" s="35" t="s">
        <v>223</v>
      </c>
      <c r="D303" s="33" t="s">
        <v>228</v>
      </c>
      <c r="E303" s="33"/>
      <c r="F303" s="36" t="s">
        <v>264</v>
      </c>
      <c r="G303" s="36" t="s">
        <v>225</v>
      </c>
      <c r="H303" s="26">
        <f>'2023'!H305</f>
        <v>17654.136000000002</v>
      </c>
      <c r="I303" s="26">
        <f>'2023'!I305</f>
        <v>16940.304</v>
      </c>
      <c r="J303" s="26">
        <f>'2023'!J305</f>
        <v>17371.645</v>
      </c>
      <c r="K303" s="26">
        <f>'2023'!K305</f>
        <v>17425.745999999999</v>
      </c>
      <c r="L303" s="26">
        <f t="shared" si="102"/>
        <v>69391.831000000006</v>
      </c>
      <c r="M303" s="38">
        <f>'2024'!N303</f>
        <v>106.44</v>
      </c>
      <c r="N303" s="27">
        <v>114.95520000000002</v>
      </c>
      <c r="O303" s="38">
        <v>79</v>
      </c>
      <c r="P303" s="27">
        <f t="shared" ref="P303:P310" si="114">O303*1.04</f>
        <v>82.16</v>
      </c>
      <c r="Q303" s="27">
        <f t="shared" ref="Q303:Q310" si="115">(M303-O303)*H303</f>
        <v>484429.49184000003</v>
      </c>
      <c r="R303" s="27">
        <f t="shared" ref="R303:S310" si="116">(M303-O303)*I303</f>
        <v>464841.94175999996</v>
      </c>
      <c r="S303" s="27">
        <f t="shared" si="116"/>
        <v>569706.57210400037</v>
      </c>
      <c r="T303" s="27">
        <f t="shared" ref="T303:T310" si="117">(N303-P303)*K303</f>
        <v>571480.82521920034</v>
      </c>
      <c r="U303" s="27">
        <f t="shared" si="104"/>
        <v>2090458.8309232006</v>
      </c>
      <c r="V303" s="119"/>
      <c r="W303" s="119"/>
      <c r="X303" s="119"/>
      <c r="Y303" s="29">
        <f t="shared" si="111"/>
        <v>108.00000000000003</v>
      </c>
      <c r="Z303" s="30">
        <f t="shared" si="112"/>
        <v>104</v>
      </c>
      <c r="AA303" s="2"/>
      <c r="AD303" s="32">
        <f t="shared" si="110"/>
        <v>0</v>
      </c>
    </row>
    <row r="304" spans="1:30" s="40" customFormat="1" ht="41.25" customHeight="1">
      <c r="A304" s="33" t="s">
        <v>221</v>
      </c>
      <c r="B304" s="34" t="s">
        <v>222</v>
      </c>
      <c r="C304" s="35" t="s">
        <v>223</v>
      </c>
      <c r="D304" s="33" t="s">
        <v>226</v>
      </c>
      <c r="E304" s="33"/>
      <c r="F304" s="36" t="s">
        <v>264</v>
      </c>
      <c r="G304" s="36" t="s">
        <v>227</v>
      </c>
      <c r="H304" s="26">
        <f>'2023'!H306</f>
        <v>3141.8799999999997</v>
      </c>
      <c r="I304" s="26">
        <f>'2023'!I306</f>
        <v>3561.7330000000002</v>
      </c>
      <c r="J304" s="26">
        <f>'2023'!J306</f>
        <v>3751.0550000000003</v>
      </c>
      <c r="K304" s="26">
        <f>'2023'!K306</f>
        <v>3189.8450000000003</v>
      </c>
      <c r="L304" s="26">
        <f t="shared" si="102"/>
        <v>13644.512999999999</v>
      </c>
      <c r="M304" s="38">
        <f>'2024'!N304</f>
        <v>289.45</v>
      </c>
      <c r="N304" s="27">
        <v>312.60600000000005</v>
      </c>
      <c r="O304" s="38">
        <f>'2024'!P304</f>
        <v>173.13171200000002</v>
      </c>
      <c r="P304" s="27">
        <f t="shared" si="114"/>
        <v>180.05698048000002</v>
      </c>
      <c r="Q304" s="27">
        <f t="shared" si="115"/>
        <v>365458.10270143987</v>
      </c>
      <c r="R304" s="27">
        <f t="shared" si="116"/>
        <v>414294.68487310392</v>
      </c>
      <c r="S304" s="27">
        <f t="shared" si="116"/>
        <v>497198.66241559375</v>
      </c>
      <c r="T304" s="27">
        <f t="shared" si="117"/>
        <v>422810.82717077452</v>
      </c>
      <c r="U304" s="27">
        <f t="shared" si="104"/>
        <v>1699762.2771609121</v>
      </c>
      <c r="V304" s="119"/>
      <c r="W304" s="119"/>
      <c r="X304" s="119"/>
      <c r="Y304" s="29">
        <f t="shared" si="111"/>
        <v>108.00000000000003</v>
      </c>
      <c r="Z304" s="30">
        <f t="shared" si="112"/>
        <v>104</v>
      </c>
      <c r="AA304" s="2"/>
      <c r="AD304" s="32">
        <f t="shared" si="110"/>
        <v>0</v>
      </c>
    </row>
    <row r="305" spans="1:30" s="40" customFormat="1" ht="41.25" customHeight="1">
      <c r="A305" s="33" t="s">
        <v>221</v>
      </c>
      <c r="B305" s="34" t="s">
        <v>222</v>
      </c>
      <c r="C305" s="35" t="s">
        <v>223</v>
      </c>
      <c r="D305" s="33" t="s">
        <v>224</v>
      </c>
      <c r="E305" s="33"/>
      <c r="F305" s="36" t="s">
        <v>264</v>
      </c>
      <c r="G305" s="36" t="s">
        <v>227</v>
      </c>
      <c r="H305" s="26">
        <f>'2023'!H307</f>
        <v>1251.556</v>
      </c>
      <c r="I305" s="26">
        <f>'2023'!I307</f>
        <v>1315.431</v>
      </c>
      <c r="J305" s="26">
        <f>'2023'!J307</f>
        <v>1447.4880000000001</v>
      </c>
      <c r="K305" s="26">
        <f>'2023'!K307</f>
        <v>1582.1669999999999</v>
      </c>
      <c r="L305" s="26">
        <f t="shared" si="102"/>
        <v>5596.6419999999998</v>
      </c>
      <c r="M305" s="38">
        <f>'2024'!N305</f>
        <v>232.12</v>
      </c>
      <c r="N305" s="27">
        <v>250.68960000000004</v>
      </c>
      <c r="O305" s="38">
        <f>'2024'!P305</f>
        <v>107.0784</v>
      </c>
      <c r="P305" s="27">
        <f t="shared" si="114"/>
        <v>111.361536</v>
      </c>
      <c r="Q305" s="27">
        <f t="shared" si="115"/>
        <v>156496.56472960001</v>
      </c>
      <c r="R305" s="27">
        <f t="shared" si="116"/>
        <v>164483.5969296</v>
      </c>
      <c r="S305" s="27">
        <f t="shared" si="116"/>
        <v>201675.70070323205</v>
      </c>
      <c r="T305" s="27">
        <f t="shared" si="117"/>
        <v>220440.26503468805</v>
      </c>
      <c r="U305" s="27">
        <f t="shared" si="104"/>
        <v>743096.12739712012</v>
      </c>
      <c r="V305" s="119"/>
      <c r="W305" s="119"/>
      <c r="X305" s="119"/>
      <c r="Y305" s="29">
        <f t="shared" si="111"/>
        <v>108</v>
      </c>
      <c r="Z305" s="30">
        <f t="shared" si="112"/>
        <v>104</v>
      </c>
      <c r="AA305" s="2"/>
      <c r="AD305" s="32">
        <f t="shared" si="110"/>
        <v>0</v>
      </c>
    </row>
    <row r="306" spans="1:30" s="40" customFormat="1" ht="41.25" customHeight="1">
      <c r="A306" s="33" t="s">
        <v>229</v>
      </c>
      <c r="B306" s="34" t="s">
        <v>230</v>
      </c>
      <c r="C306" s="35" t="s">
        <v>223</v>
      </c>
      <c r="D306" s="33" t="s">
        <v>231</v>
      </c>
      <c r="E306" s="33"/>
      <c r="F306" s="36" t="s">
        <v>264</v>
      </c>
      <c r="G306" s="36"/>
      <c r="H306" s="26">
        <f>'2023'!H308</f>
        <v>18042.21</v>
      </c>
      <c r="I306" s="26">
        <f>'2023'!I308</f>
        <v>18093.43</v>
      </c>
      <c r="J306" s="26">
        <f>'2023'!J308</f>
        <v>18065.07</v>
      </c>
      <c r="K306" s="26">
        <f>'2023'!K308</f>
        <v>16614.990000000002</v>
      </c>
      <c r="L306" s="26">
        <f t="shared" si="102"/>
        <v>70815.7</v>
      </c>
      <c r="M306" s="38">
        <f>'2024'!N306</f>
        <v>159.63</v>
      </c>
      <c r="N306" s="27">
        <v>172.40039999999999</v>
      </c>
      <c r="O306" s="38">
        <f>'2024'!P306</f>
        <v>90.162176000000002</v>
      </c>
      <c r="P306" s="27">
        <f t="shared" si="114"/>
        <v>93.768663040000007</v>
      </c>
      <c r="Q306" s="27">
        <f t="shared" si="115"/>
        <v>1253353.0688510397</v>
      </c>
      <c r="R306" s="27">
        <f t="shared" si="116"/>
        <v>1256911.2107963199</v>
      </c>
      <c r="S306" s="27">
        <f t="shared" si="116"/>
        <v>1420487.8324039869</v>
      </c>
      <c r="T306" s="27">
        <f t="shared" si="117"/>
        <v>1306465.5232730303</v>
      </c>
      <c r="U306" s="27">
        <f t="shared" si="104"/>
        <v>5237217.6353243766</v>
      </c>
      <c r="V306" s="119"/>
      <c r="W306" s="119"/>
      <c r="X306" s="119"/>
      <c r="Y306" s="29">
        <f t="shared" si="111"/>
        <v>108</v>
      </c>
      <c r="Z306" s="30">
        <f t="shared" si="112"/>
        <v>104</v>
      </c>
      <c r="AA306" s="2"/>
      <c r="AD306" s="32">
        <f t="shared" si="110"/>
        <v>0</v>
      </c>
    </row>
    <row r="307" spans="1:30" s="40" customFormat="1" ht="41.25" customHeight="1">
      <c r="A307" s="33" t="s">
        <v>229</v>
      </c>
      <c r="B307" s="34" t="s">
        <v>230</v>
      </c>
      <c r="C307" s="35" t="s">
        <v>223</v>
      </c>
      <c r="D307" s="33" t="s">
        <v>232</v>
      </c>
      <c r="E307" s="33"/>
      <c r="F307" s="36" t="s">
        <v>264</v>
      </c>
      <c r="G307" s="36"/>
      <c r="H307" s="26">
        <f>'2023'!H309</f>
        <v>5357.9</v>
      </c>
      <c r="I307" s="26">
        <f>'2023'!I309</f>
        <v>6010.7800000000007</v>
      </c>
      <c r="J307" s="26">
        <f>'2023'!J309</f>
        <v>5149.09</v>
      </c>
      <c r="K307" s="26">
        <f>'2023'!K309</f>
        <v>5469.76</v>
      </c>
      <c r="L307" s="26">
        <f t="shared" si="102"/>
        <v>21987.53</v>
      </c>
      <c r="M307" s="38">
        <f>'2024'!N307</f>
        <v>263.33</v>
      </c>
      <c r="N307" s="27">
        <v>284.39640000000003</v>
      </c>
      <c r="O307" s="38">
        <f>'2024'!P307</f>
        <v>134.60085849600003</v>
      </c>
      <c r="P307" s="27">
        <f t="shared" si="114"/>
        <v>139.98489283584004</v>
      </c>
      <c r="Q307" s="27">
        <f t="shared" si="115"/>
        <v>689717.86726428126</v>
      </c>
      <c r="R307" s="27">
        <f t="shared" si="116"/>
        <v>773762.54916941293</v>
      </c>
      <c r="S307" s="27">
        <f t="shared" si="116"/>
        <v>743587.84742390458</v>
      </c>
      <c r="T307" s="27">
        <f t="shared" si="117"/>
        <v>789896.28542623576</v>
      </c>
      <c r="U307" s="27">
        <f t="shared" si="104"/>
        <v>2996964.5492838346</v>
      </c>
      <c r="V307" s="119"/>
      <c r="W307" s="119"/>
      <c r="X307" s="119"/>
      <c r="Y307" s="29">
        <f t="shared" si="111"/>
        <v>108</v>
      </c>
      <c r="Z307" s="30">
        <f t="shared" si="112"/>
        <v>104</v>
      </c>
      <c r="AA307" s="2"/>
      <c r="AD307" s="32">
        <f t="shared" si="110"/>
        <v>0</v>
      </c>
    </row>
    <row r="308" spans="1:30" s="40" customFormat="1" ht="41.25" customHeight="1">
      <c r="A308" s="33" t="s">
        <v>233</v>
      </c>
      <c r="B308" s="34" t="s">
        <v>234</v>
      </c>
      <c r="C308" s="35" t="s">
        <v>223</v>
      </c>
      <c r="D308" s="33" t="s">
        <v>235</v>
      </c>
      <c r="E308" s="33"/>
      <c r="F308" s="36" t="s">
        <v>264</v>
      </c>
      <c r="G308" s="36"/>
      <c r="H308" s="26">
        <f>'2023'!H310</f>
        <v>3474.6820000000002</v>
      </c>
      <c r="I308" s="26">
        <f>'2023'!I310</f>
        <v>3025.404</v>
      </c>
      <c r="J308" s="26">
        <f>'2023'!J310</f>
        <v>2890.5309999999999</v>
      </c>
      <c r="K308" s="26">
        <f>'2023'!K310</f>
        <v>2926.7240000000002</v>
      </c>
      <c r="L308" s="26">
        <f>H308+I308+J308+K308</f>
        <v>12317.341</v>
      </c>
      <c r="M308" s="38">
        <f>'2024'!N308</f>
        <v>335.55</v>
      </c>
      <c r="N308" s="27">
        <v>362.39400000000006</v>
      </c>
      <c r="O308" s="38">
        <f>'2024'!P308</f>
        <v>175.38144000000003</v>
      </c>
      <c r="P308" s="27">
        <f t="shared" si="114"/>
        <v>182.39669760000004</v>
      </c>
      <c r="Q308" s="27">
        <f t="shared" si="115"/>
        <v>556534.81239791994</v>
      </c>
      <c r="R308" s="27">
        <f t="shared" si="116"/>
        <v>484574.60209823994</v>
      </c>
      <c r="S308" s="27">
        <f t="shared" si="116"/>
        <v>520287.78250357445</v>
      </c>
      <c r="T308" s="27">
        <f t="shared" si="117"/>
        <v>526802.4248693377</v>
      </c>
      <c r="U308" s="27">
        <f t="shared" si="104"/>
        <v>2088199.6218690719</v>
      </c>
      <c r="V308" s="119"/>
      <c r="W308" s="119"/>
      <c r="X308" s="119"/>
      <c r="Y308" s="29">
        <f t="shared" si="111"/>
        <v>108</v>
      </c>
      <c r="Z308" s="30">
        <f t="shared" si="112"/>
        <v>104</v>
      </c>
      <c r="AA308" s="2"/>
      <c r="AD308" s="32">
        <f t="shared" si="110"/>
        <v>0</v>
      </c>
    </row>
    <row r="309" spans="1:30" s="40" customFormat="1" ht="41.25" customHeight="1">
      <c r="A309" s="33" t="s">
        <v>276</v>
      </c>
      <c r="B309" s="34" t="s">
        <v>241</v>
      </c>
      <c r="C309" s="35" t="s">
        <v>223</v>
      </c>
      <c r="D309" s="33" t="s">
        <v>242</v>
      </c>
      <c r="E309" s="33"/>
      <c r="F309" s="36" t="s">
        <v>264</v>
      </c>
      <c r="G309" s="36"/>
      <c r="H309" s="26">
        <f>'2023'!H311</f>
        <v>8714.4499999999989</v>
      </c>
      <c r="I309" s="26">
        <f>'2023'!I311</f>
        <v>7547.76</v>
      </c>
      <c r="J309" s="26">
        <f>'2023'!J311</f>
        <v>7405.7800000000007</v>
      </c>
      <c r="K309" s="26">
        <f>'2023'!K311</f>
        <v>7982.4</v>
      </c>
      <c r="L309" s="26">
        <f t="shared" si="102"/>
        <v>31650.39</v>
      </c>
      <c r="M309" s="38">
        <f>'2024'!N309</f>
        <v>167.16</v>
      </c>
      <c r="N309" s="27">
        <v>180.53279999999998</v>
      </c>
      <c r="O309" s="38">
        <f>'2024'!P309</f>
        <v>107.07840000000002</v>
      </c>
      <c r="P309" s="27">
        <f t="shared" si="114"/>
        <v>111.36153600000002</v>
      </c>
      <c r="Q309" s="27">
        <f t="shared" si="115"/>
        <v>523578.09911999974</v>
      </c>
      <c r="R309" s="27">
        <f t="shared" si="116"/>
        <v>453481.49721599987</v>
      </c>
      <c r="S309" s="27">
        <f t="shared" si="116"/>
        <v>512267.1635059198</v>
      </c>
      <c r="T309" s="27">
        <f t="shared" si="117"/>
        <v>552152.69775359973</v>
      </c>
      <c r="U309" s="27">
        <f t="shared" si="104"/>
        <v>2041479.4575955193</v>
      </c>
      <c r="V309" s="119"/>
      <c r="W309" s="119"/>
      <c r="X309" s="119"/>
      <c r="Y309" s="29">
        <f t="shared" si="111"/>
        <v>107.99999999999999</v>
      </c>
      <c r="Z309" s="30">
        <f t="shared" si="112"/>
        <v>104</v>
      </c>
      <c r="AA309" s="2"/>
      <c r="AD309" s="32">
        <f t="shared" si="110"/>
        <v>0</v>
      </c>
    </row>
    <row r="310" spans="1:30" s="40" customFormat="1" ht="41.25" customHeight="1">
      <c r="A310" s="33" t="s">
        <v>236</v>
      </c>
      <c r="B310" s="34" t="s">
        <v>237</v>
      </c>
      <c r="C310" s="35" t="s">
        <v>223</v>
      </c>
      <c r="D310" s="33" t="s">
        <v>44</v>
      </c>
      <c r="E310" s="33"/>
      <c r="F310" s="36" t="s">
        <v>264</v>
      </c>
      <c r="G310" s="36"/>
      <c r="H310" s="26">
        <f>'2023'!H312</f>
        <v>401.25800000000004</v>
      </c>
      <c r="I310" s="26">
        <f>'2023'!I312</f>
        <v>369.53300000000002</v>
      </c>
      <c r="J310" s="26">
        <f>'2023'!J312</f>
        <v>438.09899999999999</v>
      </c>
      <c r="K310" s="26">
        <f>'2023'!K312</f>
        <v>438.09899999999999</v>
      </c>
      <c r="L310" s="26">
        <f t="shared" si="102"/>
        <v>1646.989</v>
      </c>
      <c r="M310" s="38">
        <f>'2024'!N310</f>
        <v>89.041679999999999</v>
      </c>
      <c r="N310" s="27">
        <f>M310</f>
        <v>89.041679999999999</v>
      </c>
      <c r="O310" s="38">
        <f>'2024'!P310</f>
        <v>52.633522672640005</v>
      </c>
      <c r="P310" s="27">
        <f t="shared" si="114"/>
        <v>54.738863579545608</v>
      </c>
      <c r="Q310" s="27">
        <f t="shared" si="115"/>
        <v>14609.064392861817</v>
      </c>
      <c r="R310" s="27">
        <f t="shared" si="116"/>
        <v>13454.015601651321</v>
      </c>
      <c r="S310" s="27">
        <f t="shared" si="116"/>
        <v>15028.029570984649</v>
      </c>
      <c r="T310" s="27">
        <f t="shared" si="117"/>
        <v>15028.029570984649</v>
      </c>
      <c r="U310" s="27">
        <f t="shared" si="104"/>
        <v>58119.13913648243</v>
      </c>
      <c r="V310" s="119"/>
      <c r="W310" s="119"/>
      <c r="X310" s="119"/>
      <c r="Y310" s="29">
        <f t="shared" si="111"/>
        <v>100</v>
      </c>
      <c r="Z310" s="30">
        <f t="shared" si="112"/>
        <v>104</v>
      </c>
      <c r="AA310" s="2"/>
      <c r="AD310" s="32">
        <f t="shared" si="110"/>
        <v>0</v>
      </c>
    </row>
    <row r="311" spans="1:30" s="40" customFormat="1" ht="15" customHeight="1">
      <c r="A311" s="33"/>
      <c r="B311" s="34"/>
      <c r="C311" s="35"/>
      <c r="D311" s="33"/>
      <c r="E311" s="33"/>
      <c r="F311" s="36"/>
      <c r="G311" s="36"/>
      <c r="H311" s="26"/>
      <c r="I311" s="26"/>
      <c r="J311" s="26"/>
      <c r="K311" s="26"/>
      <c r="L311" s="37"/>
      <c r="M311" s="41"/>
      <c r="N311" s="41"/>
      <c r="O311" s="41"/>
      <c r="P311" s="41"/>
      <c r="Q311" s="27"/>
      <c r="R311" s="27"/>
      <c r="S311" s="27"/>
      <c r="T311" s="27"/>
      <c r="U311" s="27"/>
      <c r="V311" s="119"/>
      <c r="W311" s="119"/>
      <c r="X311" s="119"/>
      <c r="Y311" s="29" t="e">
        <f t="shared" si="111"/>
        <v>#DIV/0!</v>
      </c>
      <c r="Z311" s="30" t="e">
        <f t="shared" si="112"/>
        <v>#DIV/0!</v>
      </c>
      <c r="AA311" s="2"/>
      <c r="AD311" s="32" t="e">
        <f t="shared" si="110"/>
        <v>#DIV/0!</v>
      </c>
    </row>
    <row r="312" spans="1:30" s="40" customFormat="1" ht="63.75" customHeight="1">
      <c r="A312" s="33" t="s">
        <v>243</v>
      </c>
      <c r="B312" s="34" t="s">
        <v>244</v>
      </c>
      <c r="C312" s="35" t="s">
        <v>245</v>
      </c>
      <c r="D312" s="33" t="s">
        <v>246</v>
      </c>
      <c r="E312" s="33"/>
      <c r="F312" s="36" t="s">
        <v>264</v>
      </c>
      <c r="G312" s="36"/>
      <c r="H312" s="26">
        <f>'2023'!H314</f>
        <v>2521.14</v>
      </c>
      <c r="I312" s="26">
        <f>'2023'!I314</f>
        <v>2471.29</v>
      </c>
      <c r="J312" s="26">
        <f>'2023'!J314</f>
        <v>2432.6279999999997</v>
      </c>
      <c r="K312" s="26">
        <f>'2023'!K314</f>
        <v>2416.5</v>
      </c>
      <c r="L312" s="26">
        <f t="shared" si="102"/>
        <v>9841.5580000000009</v>
      </c>
      <c r="M312" s="38">
        <f>'2024'!N312</f>
        <v>88.29</v>
      </c>
      <c r="N312" s="27">
        <f>M312</f>
        <v>88.29</v>
      </c>
      <c r="O312" s="38">
        <f>'2024'!P312</f>
        <v>45.64</v>
      </c>
      <c r="P312" s="27">
        <f>O312*1.04</f>
        <v>47.465600000000002</v>
      </c>
      <c r="Q312" s="27">
        <f>(M312-O312)*H312</f>
        <v>107526.62100000001</v>
      </c>
      <c r="R312" s="27">
        <f>(M312-O312)*I312</f>
        <v>105400.51850000001</v>
      </c>
      <c r="S312" s="27">
        <f>(N312-P312)*J312</f>
        <v>99310.578523200005</v>
      </c>
      <c r="T312" s="27">
        <f>(N312-P312)*K312</f>
        <v>98652.162600000011</v>
      </c>
      <c r="U312" s="27">
        <f t="shared" si="104"/>
        <v>410889.88062320009</v>
      </c>
      <c r="V312" s="119"/>
      <c r="W312" s="119"/>
      <c r="X312" s="119"/>
      <c r="Y312" s="29">
        <f t="shared" si="111"/>
        <v>100</v>
      </c>
      <c r="Z312" s="30">
        <f t="shared" si="112"/>
        <v>104</v>
      </c>
      <c r="AA312" s="2"/>
      <c r="AD312" s="32">
        <f t="shared" si="110"/>
        <v>0</v>
      </c>
    </row>
    <row r="313" spans="1:30" s="40" customFormat="1" ht="36" customHeight="1">
      <c r="A313" s="153" t="s">
        <v>451</v>
      </c>
      <c r="B313" s="154"/>
      <c r="C313" s="154"/>
      <c r="D313" s="154"/>
      <c r="E313" s="154"/>
      <c r="F313" s="154"/>
      <c r="G313" s="154"/>
      <c r="H313" s="37">
        <f>SUM(H8:H312)</f>
        <v>18336918.872307882</v>
      </c>
      <c r="I313" s="37">
        <f>SUM(I8:I312)</f>
        <v>18111772.561307866</v>
      </c>
      <c r="J313" s="37">
        <f>SUM(J8:J312)</f>
        <v>17427797.456307862</v>
      </c>
      <c r="K313" s="37">
        <f>SUM(K8:K312)</f>
        <v>18297047.436307866</v>
      </c>
      <c r="L313" s="37">
        <f>SUM(L8:L312)</f>
        <v>72173536.32623148</v>
      </c>
      <c r="M313" s="37"/>
      <c r="N313" s="37"/>
      <c r="O313" s="37"/>
      <c r="P313" s="37"/>
      <c r="Q313" s="38">
        <f>SUM(Q8:Q312)</f>
        <v>703022397.6922096</v>
      </c>
      <c r="R313" s="38">
        <f>SUM(R8:R312)</f>
        <v>690810565.63677788</v>
      </c>
      <c r="S313" s="38">
        <f>SUM(S8:S312)</f>
        <v>754580520.93086147</v>
      </c>
      <c r="T313" s="38">
        <f>SUM(T8:T312)</f>
        <v>790524629.16501772</v>
      </c>
      <c r="U313" s="38">
        <f>SUM(U8:U312)</f>
        <v>2938938113.4248657</v>
      </c>
      <c r="V313" s="38"/>
      <c r="W313" s="38"/>
      <c r="X313" s="38"/>
      <c r="Y313" s="37" t="e">
        <f>SUM(Y13:Y312)</f>
        <v>#DIV/0!</v>
      </c>
      <c r="Z313" s="37" t="e">
        <f>SUM(Z13:Z312)</f>
        <v>#DIV/0!</v>
      </c>
      <c r="AA313" s="37">
        <f>SUM(AA13:AA312)</f>
        <v>0</v>
      </c>
      <c r="AD313" s="32"/>
    </row>
    <row r="314" spans="1:30" s="40" customFormat="1" ht="15" customHeight="1">
      <c r="A314" s="33"/>
      <c r="B314" s="34"/>
      <c r="C314" s="35"/>
      <c r="D314" s="33"/>
      <c r="E314" s="33"/>
      <c r="F314" s="36"/>
      <c r="G314" s="36"/>
      <c r="H314" s="26"/>
      <c r="I314" s="26"/>
      <c r="J314" s="26"/>
      <c r="K314" s="26"/>
      <c r="L314" s="26"/>
      <c r="M314" s="38"/>
      <c r="N314" s="27"/>
      <c r="O314" s="38"/>
      <c r="P314" s="27"/>
      <c r="Q314" s="27"/>
      <c r="R314" s="27"/>
      <c r="S314" s="27"/>
      <c r="T314" s="27"/>
      <c r="U314" s="27"/>
      <c r="V314" s="119"/>
      <c r="W314" s="119"/>
      <c r="X314" s="119"/>
      <c r="Y314" s="29"/>
      <c r="Z314" s="30"/>
      <c r="AA314" s="2"/>
      <c r="AD314" s="32"/>
    </row>
    <row r="315" spans="1:30" s="40" customFormat="1" ht="36" customHeight="1">
      <c r="A315" s="153" t="s">
        <v>445</v>
      </c>
      <c r="B315" s="154"/>
      <c r="C315" s="154"/>
      <c r="D315" s="154"/>
      <c r="E315" s="154"/>
      <c r="F315" s="154"/>
      <c r="G315" s="154"/>
      <c r="H315" s="37"/>
      <c r="I315" s="37"/>
      <c r="J315" s="37"/>
      <c r="K315" s="37"/>
      <c r="L315" s="26"/>
      <c r="M315" s="38"/>
      <c r="N315" s="27"/>
      <c r="O315" s="38"/>
      <c r="P315" s="27"/>
      <c r="Q315" s="27"/>
      <c r="R315" s="27"/>
      <c r="S315" s="27"/>
      <c r="T315" s="27"/>
      <c r="U315" s="27"/>
      <c r="V315" s="119"/>
      <c r="W315" s="119"/>
      <c r="X315" s="119"/>
      <c r="Y315" s="29"/>
      <c r="Z315" s="30"/>
      <c r="AA315" s="2"/>
      <c r="AD315" s="32"/>
    </row>
    <row r="316" spans="1:30" s="40" customFormat="1" ht="51" customHeight="1">
      <c r="A316" s="34">
        <v>2901308154</v>
      </c>
      <c r="B316" s="34" t="s">
        <v>423</v>
      </c>
      <c r="C316" s="34" t="s">
        <v>62</v>
      </c>
      <c r="D316" s="33" t="s">
        <v>424</v>
      </c>
      <c r="E316" s="33" t="s">
        <v>424</v>
      </c>
      <c r="F316" s="36" t="s">
        <v>446</v>
      </c>
      <c r="G316" s="36"/>
      <c r="H316" s="37">
        <f>32346/4</f>
        <v>8086.5</v>
      </c>
      <c r="I316" s="37">
        <v>8086.5</v>
      </c>
      <c r="J316" s="37">
        <v>8086.5</v>
      </c>
      <c r="K316" s="37">
        <v>8086.5</v>
      </c>
      <c r="L316" s="26">
        <f t="shared" ref="L316" si="118">H316+I316+J316+K316</f>
        <v>32346</v>
      </c>
      <c r="M316" s="38">
        <f>'2024'!N316</f>
        <v>101.4953426392368</v>
      </c>
      <c r="N316" s="27">
        <f>90.9436403686222*1.2</f>
        <v>109.13236844234663</v>
      </c>
      <c r="O316" s="38">
        <f>'2024'!P320</f>
        <v>46.834742323200011</v>
      </c>
      <c r="P316" s="27">
        <f t="shared" ref="P316:P321" si="119">O316*1.04</f>
        <v>48.708132016128012</v>
      </c>
      <c r="Q316" s="27">
        <f t="shared" ref="Q316:Q321" si="120">(M316-O316)*H316</f>
        <v>442012.94445563148</v>
      </c>
      <c r="R316" s="27">
        <f t="shared" ref="R316:S321" si="121">(M316-O316)*I316</f>
        <v>442012.94445563148</v>
      </c>
      <c r="S316" s="27">
        <f t="shared" si="121"/>
        <v>488620.58786061686</v>
      </c>
      <c r="T316" s="27">
        <f t="shared" ref="T316:T321" si="122">(N316-P316)*K316</f>
        <v>488620.58786061686</v>
      </c>
      <c r="U316" s="27">
        <f t="shared" ref="U316:U321" si="123">Q316+R316+S316+T316</f>
        <v>1861267.0646324968</v>
      </c>
      <c r="V316" s="119"/>
      <c r="W316" s="119"/>
      <c r="X316" s="119"/>
      <c r="Y316" s="29"/>
      <c r="Z316" s="30"/>
      <c r="AA316" s="2"/>
      <c r="AD316" s="32"/>
    </row>
    <row r="317" spans="1:30" s="40" customFormat="1" ht="51" customHeight="1">
      <c r="A317" s="34">
        <v>2901308154</v>
      </c>
      <c r="B317" s="34" t="s">
        <v>423</v>
      </c>
      <c r="C317" s="34" t="s">
        <v>62</v>
      </c>
      <c r="D317" s="33" t="s">
        <v>424</v>
      </c>
      <c r="E317" s="33" t="s">
        <v>424</v>
      </c>
      <c r="F317" s="36" t="s">
        <v>447</v>
      </c>
      <c r="G317" s="36"/>
      <c r="H317" s="37">
        <f>1969.8714/4</f>
        <v>492.46785</v>
      </c>
      <c r="I317" s="37">
        <v>492.46785</v>
      </c>
      <c r="J317" s="37">
        <v>492.46785</v>
      </c>
      <c r="K317" s="37">
        <v>492.46785</v>
      </c>
      <c r="L317" s="26">
        <f>H317+I317+J317+K317</f>
        <v>1969.8714</v>
      </c>
      <c r="M317" s="38">
        <f>'2024'!N317</f>
        <v>21318.74</v>
      </c>
      <c r="N317" s="27">
        <v>22999.61</v>
      </c>
      <c r="O317" s="38">
        <f>'2024'!P321</f>
        <v>2130.7520000000004</v>
      </c>
      <c r="P317" s="27">
        <f t="shared" si="119"/>
        <v>2215.9820800000007</v>
      </c>
      <c r="Q317" s="27">
        <f t="shared" si="120"/>
        <v>9449467.1961858012</v>
      </c>
      <c r="R317" s="27">
        <f t="shared" si="121"/>
        <v>9449467.1961858012</v>
      </c>
      <c r="S317" s="27">
        <f t="shared" si="121"/>
        <v>10235268.556962371</v>
      </c>
      <c r="T317" s="27">
        <f t="shared" si="122"/>
        <v>10235268.556962371</v>
      </c>
      <c r="U317" s="27">
        <f t="shared" si="123"/>
        <v>39369471.506296344</v>
      </c>
      <c r="V317" s="119"/>
      <c r="W317" s="119"/>
      <c r="X317" s="119"/>
      <c r="Y317" s="29"/>
      <c r="Z317" s="30"/>
      <c r="AA317" s="2"/>
      <c r="AD317" s="32"/>
    </row>
    <row r="318" spans="1:30" s="40" customFormat="1" ht="51" customHeight="1">
      <c r="A318" s="34">
        <v>2901308154</v>
      </c>
      <c r="B318" s="34" t="s">
        <v>423</v>
      </c>
      <c r="C318" s="34" t="s">
        <v>62</v>
      </c>
      <c r="D318" s="33" t="s">
        <v>425</v>
      </c>
      <c r="E318" s="33" t="s">
        <v>425</v>
      </c>
      <c r="F318" s="36" t="s">
        <v>446</v>
      </c>
      <c r="G318" s="36"/>
      <c r="H318" s="37">
        <f>39630/4</f>
        <v>9907.5</v>
      </c>
      <c r="I318" s="37">
        <v>9907.5</v>
      </c>
      <c r="J318" s="37">
        <v>9907.5</v>
      </c>
      <c r="K318" s="37">
        <v>9907.5</v>
      </c>
      <c r="L318" s="26">
        <f>H318+I318+J318+K318</f>
        <v>39630</v>
      </c>
      <c r="M318" s="38">
        <f>M316</f>
        <v>101.4953426392368</v>
      </c>
      <c r="N318" s="27">
        <f>N316</f>
        <v>109.13236844234663</v>
      </c>
      <c r="O318" s="38">
        <f>O316</f>
        <v>46.834742323200011</v>
      </c>
      <c r="P318" s="27">
        <f t="shared" si="119"/>
        <v>48.708132016128012</v>
      </c>
      <c r="Q318" s="27">
        <f t="shared" si="120"/>
        <v>541549.89763113449</v>
      </c>
      <c r="R318" s="27">
        <f t="shared" si="121"/>
        <v>541549.89763113449</v>
      </c>
      <c r="S318" s="27">
        <f t="shared" si="121"/>
        <v>598653.12239276094</v>
      </c>
      <c r="T318" s="27">
        <f t="shared" si="122"/>
        <v>598653.12239276094</v>
      </c>
      <c r="U318" s="27">
        <f t="shared" si="123"/>
        <v>2280406.0400477909</v>
      </c>
      <c r="V318" s="119"/>
      <c r="W318" s="119"/>
      <c r="X318" s="119"/>
      <c r="Y318" s="29"/>
      <c r="Z318" s="30"/>
      <c r="AA318" s="2"/>
      <c r="AD318" s="32"/>
    </row>
    <row r="319" spans="1:30" s="40" customFormat="1" ht="51" customHeight="1">
      <c r="A319" s="34">
        <v>2901308154</v>
      </c>
      <c r="B319" s="34" t="s">
        <v>423</v>
      </c>
      <c r="C319" s="34" t="s">
        <v>62</v>
      </c>
      <c r="D319" s="33" t="s">
        <v>425</v>
      </c>
      <c r="E319" s="33" t="s">
        <v>425</v>
      </c>
      <c r="F319" s="36" t="s">
        <v>447</v>
      </c>
      <c r="G319" s="36"/>
      <c r="H319" s="37">
        <f>2413.467/4</f>
        <v>603.36675000000002</v>
      </c>
      <c r="I319" s="37">
        <v>603.36675000000002</v>
      </c>
      <c r="J319" s="37">
        <v>603.36675000000002</v>
      </c>
      <c r="K319" s="37">
        <v>603.36675000000002</v>
      </c>
      <c r="L319" s="26">
        <f t="shared" ref="L319:L321" si="124">H319+I319+J319+K319</f>
        <v>2413.4670000000001</v>
      </c>
      <c r="M319" s="38">
        <f>M317</f>
        <v>21318.74</v>
      </c>
      <c r="N319" s="27">
        <v>22999.61</v>
      </c>
      <c r="O319" s="38">
        <f>O317</f>
        <v>2130.7520000000004</v>
      </c>
      <c r="P319" s="27">
        <f t="shared" si="119"/>
        <v>2215.9820800000007</v>
      </c>
      <c r="Q319" s="27">
        <f t="shared" si="120"/>
        <v>11577393.958599001</v>
      </c>
      <c r="R319" s="27">
        <f t="shared" si="121"/>
        <v>11577393.958599001</v>
      </c>
      <c r="S319" s="27">
        <f t="shared" si="121"/>
        <v>12540150.03129966</v>
      </c>
      <c r="T319" s="27">
        <f t="shared" si="122"/>
        <v>12540150.03129966</v>
      </c>
      <c r="U319" s="27">
        <f t="shared" si="123"/>
        <v>48235087.979797319</v>
      </c>
      <c r="V319" s="119"/>
      <c r="W319" s="119"/>
      <c r="X319" s="119"/>
      <c r="Y319" s="29"/>
      <c r="Z319" s="30"/>
      <c r="AA319" s="2"/>
      <c r="AD319" s="32"/>
    </row>
    <row r="320" spans="1:30" s="40" customFormat="1" ht="51" customHeight="1">
      <c r="A320" s="34">
        <v>2901308154</v>
      </c>
      <c r="B320" s="34" t="s">
        <v>423</v>
      </c>
      <c r="C320" s="34" t="s">
        <v>62</v>
      </c>
      <c r="D320" s="33" t="s">
        <v>426</v>
      </c>
      <c r="E320" s="33" t="s">
        <v>426</v>
      </c>
      <c r="F320" s="36" t="s">
        <v>446</v>
      </c>
      <c r="G320" s="36"/>
      <c r="H320" s="37">
        <f>128384/4</f>
        <v>32096</v>
      </c>
      <c r="I320" s="37">
        <v>32096</v>
      </c>
      <c r="J320" s="37">
        <v>32096</v>
      </c>
      <c r="K320" s="37">
        <v>32096</v>
      </c>
      <c r="L320" s="88">
        <f t="shared" si="124"/>
        <v>128384</v>
      </c>
      <c r="M320" s="38">
        <f>M318</f>
        <v>101.4953426392368</v>
      </c>
      <c r="N320" s="38">
        <f>N318</f>
        <v>109.13236844234663</v>
      </c>
      <c r="O320" s="38">
        <f>O318</f>
        <v>46.834742323200011</v>
      </c>
      <c r="P320" s="27">
        <f t="shared" si="119"/>
        <v>48.708132016128012</v>
      </c>
      <c r="Q320" s="38">
        <f t="shared" si="120"/>
        <v>1754386.6277435166</v>
      </c>
      <c r="R320" s="38">
        <f t="shared" si="121"/>
        <v>1754386.6277435166</v>
      </c>
      <c r="S320" s="38">
        <f t="shared" si="121"/>
        <v>1939376.2923359128</v>
      </c>
      <c r="T320" s="38">
        <f t="shared" si="122"/>
        <v>1939376.2923359128</v>
      </c>
      <c r="U320" s="38">
        <f t="shared" si="123"/>
        <v>7387525.8401588583</v>
      </c>
      <c r="V320" s="119"/>
      <c r="W320" s="119"/>
      <c r="X320" s="121"/>
      <c r="Y320" s="29"/>
      <c r="Z320" s="30"/>
      <c r="AA320" s="2"/>
      <c r="AD320" s="32"/>
    </row>
    <row r="321" spans="1:30" s="40" customFormat="1" ht="51" customHeight="1">
      <c r="A321" s="34">
        <v>2901308154</v>
      </c>
      <c r="B321" s="34" t="s">
        <v>423</v>
      </c>
      <c r="C321" s="34" t="s">
        <v>62</v>
      </c>
      <c r="D321" s="33" t="s">
        <v>426</v>
      </c>
      <c r="E321" s="33" t="s">
        <v>426</v>
      </c>
      <c r="F321" s="36" t="s">
        <v>447</v>
      </c>
      <c r="G321" s="36"/>
      <c r="H321" s="37">
        <f>7818.5839/4</f>
        <v>1954.6459749999999</v>
      </c>
      <c r="I321" s="37">
        <v>1954.6459749999999</v>
      </c>
      <c r="J321" s="37">
        <v>1954.6459749999999</v>
      </c>
      <c r="K321" s="37">
        <v>1954.6459749999999</v>
      </c>
      <c r="L321" s="88">
        <f t="shared" si="124"/>
        <v>7818.5838999999996</v>
      </c>
      <c r="M321" s="38">
        <v>3027.97</v>
      </c>
      <c r="N321" s="27">
        <v>3367.05</v>
      </c>
      <c r="O321" s="38">
        <f>O319</f>
        <v>2130.7520000000004</v>
      </c>
      <c r="P321" s="27">
        <f t="shared" si="119"/>
        <v>2215.9820800000007</v>
      </c>
      <c r="Q321" s="38">
        <f t="shared" si="120"/>
        <v>1753743.5523975487</v>
      </c>
      <c r="R321" s="38">
        <f t="shared" si="121"/>
        <v>1753743.5523975487</v>
      </c>
      <c r="S321" s="38">
        <f t="shared" si="121"/>
        <v>2249930.2767796209</v>
      </c>
      <c r="T321" s="38">
        <f t="shared" si="122"/>
        <v>2249930.2767796209</v>
      </c>
      <c r="U321" s="38">
        <f t="shared" si="123"/>
        <v>8007347.6583543392</v>
      </c>
      <c r="V321" s="119"/>
      <c r="W321" s="119"/>
      <c r="X321" s="121"/>
      <c r="Y321" s="29"/>
      <c r="Z321" s="30"/>
      <c r="AA321" s="2"/>
      <c r="AD321" s="32"/>
    </row>
    <row r="322" spans="1:30" s="40" customFormat="1" ht="36" customHeight="1">
      <c r="A322" s="153" t="s">
        <v>448</v>
      </c>
      <c r="B322" s="154"/>
      <c r="C322" s="154"/>
      <c r="D322" s="154"/>
      <c r="E322" s="154"/>
      <c r="F322" s="154"/>
      <c r="G322" s="154"/>
      <c r="H322" s="37"/>
      <c r="I322" s="37"/>
      <c r="J322" s="37"/>
      <c r="K322" s="37"/>
      <c r="L322" s="37"/>
      <c r="M322" s="38"/>
      <c r="N322" s="38"/>
      <c r="O322" s="38"/>
      <c r="P322" s="38"/>
      <c r="Q322" s="38">
        <f>SUM(Q316:Q321)</f>
        <v>25518554.177012634</v>
      </c>
      <c r="R322" s="38">
        <f t="shared" ref="R322:U322" si="125">SUM(R316:R321)</f>
        <v>25518554.177012634</v>
      </c>
      <c r="S322" s="38">
        <f t="shared" si="125"/>
        <v>28051998.867630944</v>
      </c>
      <c r="T322" s="38">
        <f t="shared" si="125"/>
        <v>28051998.867630944</v>
      </c>
      <c r="U322" s="38">
        <f t="shared" si="125"/>
        <v>107141106.08928716</v>
      </c>
      <c r="V322" s="119"/>
      <c r="W322" s="119"/>
      <c r="X322" s="119"/>
      <c r="Y322" s="29"/>
      <c r="Z322" s="30"/>
      <c r="AA322" s="2"/>
      <c r="AD322" s="32"/>
    </row>
    <row r="323" spans="1:30" s="40" customFormat="1" ht="15" customHeight="1">
      <c r="A323" s="34"/>
      <c r="B323" s="34"/>
      <c r="C323" s="34"/>
      <c r="D323" s="33"/>
      <c r="E323" s="33"/>
      <c r="F323" s="36"/>
      <c r="G323" s="36"/>
      <c r="H323" s="37"/>
      <c r="I323" s="37"/>
      <c r="J323" s="37"/>
      <c r="K323" s="37"/>
      <c r="L323" s="37"/>
      <c r="M323" s="38"/>
      <c r="N323" s="38"/>
      <c r="O323" s="38"/>
      <c r="P323" s="38"/>
      <c r="Q323" s="38"/>
      <c r="R323" s="38"/>
      <c r="S323" s="38"/>
      <c r="T323" s="38"/>
      <c r="U323" s="120"/>
      <c r="V323" s="121"/>
      <c r="W323" s="119"/>
      <c r="X323" s="119"/>
      <c r="Y323" s="29"/>
      <c r="Z323" s="30"/>
      <c r="AA323" s="2"/>
      <c r="AD323" s="32"/>
    </row>
    <row r="324" spans="1:30" ht="36" customHeight="1">
      <c r="A324" s="153" t="s">
        <v>449</v>
      </c>
      <c r="B324" s="154"/>
      <c r="C324" s="154"/>
      <c r="D324" s="154"/>
      <c r="E324" s="154"/>
      <c r="F324" s="154"/>
      <c r="G324" s="154"/>
      <c r="H324" s="69"/>
      <c r="I324" s="69"/>
      <c r="J324" s="69"/>
      <c r="K324" s="69"/>
      <c r="L324" s="69"/>
      <c r="M324" s="69"/>
      <c r="N324" s="69"/>
      <c r="O324" s="69"/>
      <c r="P324" s="69"/>
      <c r="Q324" s="220">
        <f>Q325+Q326</f>
        <v>728540951.86922228</v>
      </c>
      <c r="R324" s="220">
        <f t="shared" ref="R324:V324" si="126">R325+R326</f>
        <v>716329119.81379056</v>
      </c>
      <c r="S324" s="220">
        <f t="shared" si="126"/>
        <v>782632519.79849231</v>
      </c>
      <c r="T324" s="220">
        <f t="shared" si="126"/>
        <v>818576628.03264856</v>
      </c>
      <c r="U324" s="220">
        <f>U325+U326</f>
        <v>3046079219.5141525</v>
      </c>
      <c r="V324" s="220">
        <f t="shared" si="126"/>
        <v>240224583.10762092</v>
      </c>
      <c r="W324" s="220">
        <f>W325+W326</f>
        <v>272858876.01088285</v>
      </c>
      <c r="X324" s="220">
        <f>X325+X326</f>
        <v>3013444926.6108909</v>
      </c>
      <c r="Y324" s="29" t="e">
        <f>N324/M324*100</f>
        <v>#DIV/0!</v>
      </c>
      <c r="Z324" s="30" t="e">
        <f>P324/O324*100</f>
        <v>#DIV/0!</v>
      </c>
      <c r="AD324" s="32" t="e">
        <f t="shared" ref="AD324" si="127">104-Z324</f>
        <v>#DIV/0!</v>
      </c>
    </row>
    <row r="325" spans="1:30" s="104" customFormat="1" ht="30" customHeight="1">
      <c r="A325" s="167" t="s">
        <v>450</v>
      </c>
      <c r="B325" s="168"/>
      <c r="C325" s="168"/>
      <c r="D325" s="168"/>
      <c r="E325" s="168"/>
      <c r="F325" s="168"/>
      <c r="G325" s="168"/>
      <c r="H325" s="169">
        <f>H313+H316+H318+H320</f>
        <v>18387008.872307882</v>
      </c>
      <c r="I325" s="169">
        <f t="shared" ref="I325:T325" si="128">I313+I316+I318+I320</f>
        <v>18161862.561307866</v>
      </c>
      <c r="J325" s="169">
        <f t="shared" si="128"/>
        <v>17477887.456307862</v>
      </c>
      <c r="K325" s="169">
        <f t="shared" si="128"/>
        <v>18347137.436307866</v>
      </c>
      <c r="L325" s="169">
        <f t="shared" si="128"/>
        <v>72373896.32623148</v>
      </c>
      <c r="M325" s="169"/>
      <c r="N325" s="169"/>
      <c r="O325" s="169"/>
      <c r="P325" s="169"/>
      <c r="Q325" s="221">
        <f>Q313+Q316+Q318+Q320</f>
        <v>705760347.16203988</v>
      </c>
      <c r="R325" s="221">
        <f t="shared" si="128"/>
        <v>693548515.10660815</v>
      </c>
      <c r="S325" s="221">
        <f t="shared" si="128"/>
        <v>757607170.9334507</v>
      </c>
      <c r="T325" s="221">
        <f t="shared" si="128"/>
        <v>793551279.16760695</v>
      </c>
      <c r="U325" s="221">
        <f>U313+U316+U318+U320</f>
        <v>2950467312.3697047</v>
      </c>
      <c r="V325" s="221">
        <f>'2024'!W325</f>
        <v>232631048.20522681</v>
      </c>
      <c r="W325" s="222">
        <f>T325/3</f>
        <v>264517093.05586898</v>
      </c>
      <c r="X325" s="221">
        <f>U325+V325-W325</f>
        <v>2918581267.5190625</v>
      </c>
      <c r="Y325" s="101"/>
      <c r="Z325" s="102"/>
      <c r="AA325" s="103"/>
      <c r="AD325" s="105"/>
    </row>
    <row r="326" spans="1:30" s="104" customFormat="1" ht="30" customHeight="1">
      <c r="A326" s="167" t="s">
        <v>431</v>
      </c>
      <c r="B326" s="168"/>
      <c r="C326" s="168"/>
      <c r="D326" s="168"/>
      <c r="E326" s="168"/>
      <c r="F326" s="168"/>
      <c r="G326" s="168"/>
      <c r="H326" s="169">
        <f>H317+H319+H321</f>
        <v>3050.480575</v>
      </c>
      <c r="I326" s="169">
        <f t="shared" ref="I326:U326" si="129">I317+I319+I321</f>
        <v>3050.480575</v>
      </c>
      <c r="J326" s="169">
        <f t="shared" si="129"/>
        <v>3050.480575</v>
      </c>
      <c r="K326" s="169">
        <f t="shared" si="129"/>
        <v>3050.480575</v>
      </c>
      <c r="L326" s="169">
        <f t="shared" si="129"/>
        <v>12201.9223</v>
      </c>
      <c r="M326" s="169"/>
      <c r="N326" s="169"/>
      <c r="O326" s="169"/>
      <c r="P326" s="169"/>
      <c r="Q326" s="221">
        <f t="shared" si="129"/>
        <v>22780604.707182351</v>
      </c>
      <c r="R326" s="221">
        <f t="shared" si="129"/>
        <v>22780604.707182351</v>
      </c>
      <c r="S326" s="221">
        <f t="shared" si="129"/>
        <v>25025348.865041651</v>
      </c>
      <c r="T326" s="221">
        <f t="shared" si="129"/>
        <v>25025348.865041651</v>
      </c>
      <c r="U326" s="221">
        <f t="shared" si="129"/>
        <v>95611907.144448012</v>
      </c>
      <c r="V326" s="221">
        <f>'2024'!W326</f>
        <v>7593534.9023941169</v>
      </c>
      <c r="W326" s="222">
        <f>T326/3</f>
        <v>8341782.9550138833</v>
      </c>
      <c r="X326" s="221">
        <f>U326+V326-W326</f>
        <v>94863659.091828242</v>
      </c>
      <c r="Y326" s="101"/>
      <c r="Z326" s="102"/>
      <c r="AA326" s="103"/>
      <c r="AD326" s="105"/>
    </row>
    <row r="327" spans="1:30" ht="15" customHeight="1">
      <c r="A327" s="87"/>
      <c r="B327" s="93"/>
      <c r="C327" s="93"/>
      <c r="D327" s="94"/>
      <c r="E327" s="94"/>
      <c r="F327" s="94"/>
      <c r="G327" s="94"/>
      <c r="H327" s="94"/>
      <c r="I327" s="94"/>
      <c r="J327" s="94"/>
      <c r="K327" s="94"/>
      <c r="L327" s="94"/>
      <c r="M327" s="83"/>
      <c r="N327" s="84"/>
      <c r="O327" s="85"/>
      <c r="P327" s="84"/>
      <c r="Q327" s="38"/>
      <c r="R327" s="38"/>
      <c r="S327" s="38"/>
      <c r="T327" s="38"/>
      <c r="U327" s="38"/>
      <c r="V327" s="38"/>
      <c r="W327" s="124"/>
      <c r="X327" s="125"/>
      <c r="Y327" s="29"/>
      <c r="Z327" s="30"/>
      <c r="AD327" s="32"/>
    </row>
    <row r="328" spans="1:30" ht="36" customHeight="1">
      <c r="A328" s="223" t="s">
        <v>278</v>
      </c>
      <c r="B328" s="224"/>
      <c r="C328" s="224"/>
      <c r="D328" s="225"/>
      <c r="E328" s="225"/>
      <c r="F328" s="226"/>
      <c r="G328" s="226"/>
      <c r="H328" s="226"/>
      <c r="I328" s="226"/>
      <c r="J328" s="226"/>
      <c r="K328" s="226"/>
      <c r="L328" s="226"/>
      <c r="M328" s="227"/>
      <c r="N328" s="174"/>
      <c r="O328" s="174"/>
      <c r="P328" s="174"/>
      <c r="Q328" s="228"/>
      <c r="R328" s="228"/>
      <c r="S328" s="228"/>
      <c r="T328" s="228"/>
      <c r="U328" s="228"/>
      <c r="V328" s="229"/>
      <c r="W328" s="229"/>
      <c r="X328" s="233"/>
      <c r="Y328" s="29" t="e">
        <f t="shared" ref="Y328:Y352" si="130">N328/M328*100</f>
        <v>#DIV/0!</v>
      </c>
      <c r="Z328" s="30" t="e">
        <f t="shared" ref="Z328:Z352" si="131">P328/O328*100</f>
        <v>#DIV/0!</v>
      </c>
      <c r="AD328" s="32" t="e">
        <f t="shared" si="110"/>
        <v>#DIV/0!</v>
      </c>
    </row>
    <row r="329" spans="1:30" ht="51" customHeight="1">
      <c r="A329" s="34">
        <v>2901070303</v>
      </c>
      <c r="B329" s="34" t="s">
        <v>279</v>
      </c>
      <c r="C329" s="34" t="s">
        <v>107</v>
      </c>
      <c r="D329" s="33" t="s">
        <v>108</v>
      </c>
      <c r="E329" s="22"/>
      <c r="F329" s="25" t="s">
        <v>264</v>
      </c>
      <c r="G329" s="25"/>
      <c r="H329" s="26">
        <f>'2023'!H331</f>
        <v>186.03</v>
      </c>
      <c r="I329" s="26">
        <f>'2023'!I331</f>
        <v>179.82900000000001</v>
      </c>
      <c r="J329" s="26">
        <f>'2023'!J331</f>
        <v>167.42699999999999</v>
      </c>
      <c r="K329" s="26">
        <f>'2023'!K331</f>
        <v>165.35999999999999</v>
      </c>
      <c r="L329" s="26">
        <f t="shared" si="102"/>
        <v>698.64600000000007</v>
      </c>
      <c r="M329" s="72">
        <f>'2024'!N329</f>
        <v>199.54459420000001</v>
      </c>
      <c r="N329" s="27">
        <v>207.79459176800003</v>
      </c>
      <c r="O329" s="72">
        <f>'2024'!P329</f>
        <v>59.295605857280009</v>
      </c>
      <c r="P329" s="27">
        <v>61.667430091571212</v>
      </c>
      <c r="Q329" s="27">
        <f t="shared" ref="Q329:Q352" si="132">(M329-O329)*H329</f>
        <v>26090.519301396202</v>
      </c>
      <c r="R329" s="27">
        <f t="shared" ref="R329:R352" si="133">(M329-O329)*I329</f>
        <v>25220.835324682994</v>
      </c>
      <c r="S329" s="27">
        <f t="shared" ref="S329:S352" si="134">(N329-P329)*J329</f>
        <v>24465.632297999447</v>
      </c>
      <c r="T329" s="27">
        <f t="shared" ref="T329:T352" si="135">(N329-P329)*K329</f>
        <v>24163.587454814267</v>
      </c>
      <c r="U329" s="27">
        <f t="shared" si="104"/>
        <v>99940.574378892896</v>
      </c>
      <c r="V329" s="27"/>
      <c r="W329" s="27"/>
      <c r="X329" s="126"/>
      <c r="Y329" s="29">
        <f t="shared" si="130"/>
        <v>104.13441296221295</v>
      </c>
      <c r="Z329" s="30">
        <f t="shared" si="131"/>
        <v>104</v>
      </c>
      <c r="AD329" s="32">
        <f t="shared" si="110"/>
        <v>0</v>
      </c>
    </row>
    <row r="330" spans="1:30" ht="51" customHeight="1">
      <c r="A330" s="34">
        <v>7729314745</v>
      </c>
      <c r="B330" s="34" t="s">
        <v>280</v>
      </c>
      <c r="C330" s="34" t="s">
        <v>62</v>
      </c>
      <c r="D330" s="33"/>
      <c r="E330" s="33"/>
      <c r="F330" s="36" t="s">
        <v>21</v>
      </c>
      <c r="G330" s="36"/>
      <c r="H330" s="26">
        <f>'2023'!H332</f>
        <v>868.68799999999999</v>
      </c>
      <c r="I330" s="26">
        <f>'2023'!I332</f>
        <v>760.20400000000006</v>
      </c>
      <c r="J330" s="26">
        <f>'2023'!J332</f>
        <v>836.22199999999998</v>
      </c>
      <c r="K330" s="26">
        <f>'2023'!K332</f>
        <v>835.82100000000003</v>
      </c>
      <c r="L330" s="26">
        <f t="shared" si="102"/>
        <v>3300.9349999999999</v>
      </c>
      <c r="M330" s="71">
        <f>'2024'!N330</f>
        <v>106.68530000000003</v>
      </c>
      <c r="N330" s="27">
        <v>115.22012400000004</v>
      </c>
      <c r="O330" s="71">
        <f>'2024'!P330</f>
        <v>39.031200000000005</v>
      </c>
      <c r="P330" s="27">
        <f>O330*1.04</f>
        <v>40.592448000000005</v>
      </c>
      <c r="Q330" s="27">
        <f t="shared" si="132"/>
        <v>58770.304820800025</v>
      </c>
      <c r="R330" s="27">
        <f t="shared" si="133"/>
        <v>51430.917436400028</v>
      </c>
      <c r="S330" s="27">
        <f t="shared" si="134"/>
        <v>62405.304480072031</v>
      </c>
      <c r="T330" s="27">
        <f t="shared" si="135"/>
        <v>62375.378781996034</v>
      </c>
      <c r="U330" s="27">
        <f t="shared" si="104"/>
        <v>234981.9055192681</v>
      </c>
      <c r="V330" s="38"/>
      <c r="W330" s="38"/>
      <c r="X330" s="127"/>
      <c r="Y330" s="29">
        <f t="shared" si="130"/>
        <v>108</v>
      </c>
      <c r="Z330" s="30">
        <f t="shared" si="131"/>
        <v>104</v>
      </c>
      <c r="AD330" s="32">
        <f t="shared" si="110"/>
        <v>0</v>
      </c>
    </row>
    <row r="331" spans="1:30" ht="51" customHeight="1">
      <c r="A331" s="34">
        <v>7729314745</v>
      </c>
      <c r="B331" s="34" t="s">
        <v>280</v>
      </c>
      <c r="C331" s="34" t="s">
        <v>86</v>
      </c>
      <c r="D331" s="33" t="s">
        <v>87</v>
      </c>
      <c r="E331" s="33"/>
      <c r="F331" s="36" t="s">
        <v>21</v>
      </c>
      <c r="G331" s="36"/>
      <c r="H331" s="26">
        <f>'2023'!H333</f>
        <v>620.18600000000004</v>
      </c>
      <c r="I331" s="26">
        <f>'2023'!I333</f>
        <v>631.89600000000007</v>
      </c>
      <c r="J331" s="26">
        <f>'2023'!J333</f>
        <v>665.93499999999995</v>
      </c>
      <c r="K331" s="26">
        <f>'2023'!K333</f>
        <v>676.29899999999998</v>
      </c>
      <c r="L331" s="26">
        <f t="shared" si="102"/>
        <v>2594.3159999999998</v>
      </c>
      <c r="M331" s="71">
        <f>'2024'!N331</f>
        <v>208.31720000000004</v>
      </c>
      <c r="N331" s="27">
        <v>224.98257600000008</v>
      </c>
      <c r="O331" s="71">
        <f>'2024'!P331</f>
        <v>45.645600000000002</v>
      </c>
      <c r="P331" s="27">
        <f>O331*1.04</f>
        <v>47.471424000000006</v>
      </c>
      <c r="Q331" s="27">
        <f t="shared" si="132"/>
        <v>100886.64891760003</v>
      </c>
      <c r="R331" s="27">
        <f t="shared" si="133"/>
        <v>102791.53335360004</v>
      </c>
      <c r="S331" s="27">
        <f t="shared" si="134"/>
        <v>118210.88900712003</v>
      </c>
      <c r="T331" s="27">
        <f t="shared" si="135"/>
        <v>120050.61458644803</v>
      </c>
      <c r="U331" s="27">
        <f t="shared" si="104"/>
        <v>441939.68586476811</v>
      </c>
      <c r="V331" s="38"/>
      <c r="W331" s="38"/>
      <c r="X331" s="127"/>
      <c r="Y331" s="29">
        <f t="shared" si="130"/>
        <v>108</v>
      </c>
      <c r="Z331" s="30">
        <f t="shared" si="131"/>
        <v>104</v>
      </c>
      <c r="AD331" s="32">
        <f t="shared" si="110"/>
        <v>0</v>
      </c>
    </row>
    <row r="332" spans="1:30" ht="51" customHeight="1">
      <c r="A332" s="34">
        <v>7729314745</v>
      </c>
      <c r="B332" s="34" t="s">
        <v>280</v>
      </c>
      <c r="C332" s="34" t="s">
        <v>97</v>
      </c>
      <c r="D332" s="33" t="s">
        <v>281</v>
      </c>
      <c r="E332" s="33"/>
      <c r="F332" s="36" t="s">
        <v>21</v>
      </c>
      <c r="G332" s="36"/>
      <c r="H332" s="26">
        <f>'2023'!H334</f>
        <v>2123.7429999999999</v>
      </c>
      <c r="I332" s="26">
        <f>'2023'!I334</f>
        <v>2087.3440000000001</v>
      </c>
      <c r="J332" s="26">
        <f>'2023'!J334</f>
        <v>2091.5520000000001</v>
      </c>
      <c r="K332" s="26">
        <f>'2023'!K334</f>
        <v>3131.3629999999998</v>
      </c>
      <c r="L332" s="26">
        <f t="shared" si="102"/>
        <v>9434.0019999999986</v>
      </c>
      <c r="M332" s="71">
        <f>'2024'!N332</f>
        <v>56.324748698400008</v>
      </c>
      <c r="N332" s="27">
        <v>60.83072859427201</v>
      </c>
      <c r="O332" s="71">
        <f>'2024'!P332</f>
        <v>29.64</v>
      </c>
      <c r="P332" s="27">
        <v>30.82</v>
      </c>
      <c r="Q332" s="27">
        <f t="shared" si="132"/>
        <v>56671.548254986126</v>
      </c>
      <c r="R332" s="27">
        <f t="shared" si="133"/>
        <v>55700.250087113069</v>
      </c>
      <c r="S332" s="27">
        <f t="shared" si="134"/>
        <v>62768.999412806814</v>
      </c>
      <c r="T332" s="27">
        <f t="shared" si="135"/>
        <v>93974.485123145379</v>
      </c>
      <c r="U332" s="27">
        <f t="shared" si="104"/>
        <v>269115.2828780514</v>
      </c>
      <c r="V332" s="38"/>
      <c r="W332" s="38"/>
      <c r="X332" s="127"/>
      <c r="Y332" s="29">
        <f t="shared" si="130"/>
        <v>108</v>
      </c>
      <c r="Z332" s="30">
        <f t="shared" si="131"/>
        <v>103.98110661268556</v>
      </c>
      <c r="AD332" s="32">
        <f t="shared" si="110"/>
        <v>1.8893387314435017E-2</v>
      </c>
    </row>
    <row r="333" spans="1:30" ht="51" customHeight="1">
      <c r="A333" s="34">
        <v>7729314745</v>
      </c>
      <c r="B333" s="34" t="s">
        <v>280</v>
      </c>
      <c r="C333" s="34" t="s">
        <v>123</v>
      </c>
      <c r="D333" s="33" t="s">
        <v>282</v>
      </c>
      <c r="E333" s="33"/>
      <c r="F333" s="36" t="s">
        <v>21</v>
      </c>
      <c r="G333" s="36"/>
      <c r="H333" s="26">
        <f>'2023'!H335</f>
        <v>60</v>
      </c>
      <c r="I333" s="26">
        <f>'2023'!I335</f>
        <v>35.733000000000004</v>
      </c>
      <c r="J333" s="26">
        <f>'2023'!J335</f>
        <v>36</v>
      </c>
      <c r="K333" s="26">
        <f>'2023'!K335</f>
        <v>36</v>
      </c>
      <c r="L333" s="26">
        <f t="shared" si="102"/>
        <v>167.733</v>
      </c>
      <c r="M333" s="71">
        <f>'2024'!N333</f>
        <v>432.71780000000007</v>
      </c>
      <c r="N333" s="27">
        <v>467.3352240000001</v>
      </c>
      <c r="O333" s="71">
        <f>'2024'!P333</f>
        <v>68.951999999999998</v>
      </c>
      <c r="P333" s="27">
        <f>O333*1.04</f>
        <v>71.710080000000005</v>
      </c>
      <c r="Q333" s="27">
        <f t="shared" si="132"/>
        <v>21825.948000000004</v>
      </c>
      <c r="R333" s="27">
        <f t="shared" si="133"/>
        <v>12998.443331400003</v>
      </c>
      <c r="S333" s="27">
        <f t="shared" si="134"/>
        <v>14242.505184000003</v>
      </c>
      <c r="T333" s="27">
        <f t="shared" si="135"/>
        <v>14242.505184000003</v>
      </c>
      <c r="U333" s="27">
        <f t="shared" si="104"/>
        <v>63309.401699400012</v>
      </c>
      <c r="V333" s="38"/>
      <c r="W333" s="38"/>
      <c r="X333" s="127"/>
      <c r="Y333" s="29">
        <f t="shared" si="130"/>
        <v>108</v>
      </c>
      <c r="Z333" s="30">
        <f t="shared" si="131"/>
        <v>104</v>
      </c>
      <c r="AD333" s="32">
        <f t="shared" si="110"/>
        <v>0</v>
      </c>
    </row>
    <row r="334" spans="1:30" ht="51" customHeight="1">
      <c r="A334" s="34">
        <v>7729314745</v>
      </c>
      <c r="B334" s="34" t="s">
        <v>280</v>
      </c>
      <c r="C334" s="34" t="s">
        <v>283</v>
      </c>
      <c r="D334" s="33" t="s">
        <v>284</v>
      </c>
      <c r="E334" s="33"/>
      <c r="F334" s="36" t="s">
        <v>21</v>
      </c>
      <c r="G334" s="36"/>
      <c r="H334" s="26">
        <f>'2023'!H336</f>
        <v>24455</v>
      </c>
      <c r="I334" s="26">
        <f>'2023'!I336</f>
        <v>24727</v>
      </c>
      <c r="J334" s="26">
        <f>'2023'!J336</f>
        <v>24998</v>
      </c>
      <c r="K334" s="26">
        <f>'2023'!K336</f>
        <v>24998</v>
      </c>
      <c r="L334" s="26">
        <f t="shared" si="102"/>
        <v>99178</v>
      </c>
      <c r="M334" s="71">
        <f>'2024'!N334</f>
        <v>56.150500000000008</v>
      </c>
      <c r="N334" s="27">
        <v>60.642540000000011</v>
      </c>
      <c r="O334" s="71">
        <f>'2024'!P334</f>
        <v>30.014400000000002</v>
      </c>
      <c r="P334" s="27">
        <f>O334*1.04</f>
        <v>31.214976000000004</v>
      </c>
      <c r="Q334" s="27">
        <f t="shared" si="132"/>
        <v>639158.32550000015</v>
      </c>
      <c r="R334" s="27">
        <f t="shared" si="133"/>
        <v>646267.34470000013</v>
      </c>
      <c r="S334" s="27">
        <f t="shared" si="134"/>
        <v>735630.24487200018</v>
      </c>
      <c r="T334" s="27">
        <f t="shared" si="135"/>
        <v>735630.24487200018</v>
      </c>
      <c r="U334" s="27">
        <f t="shared" si="104"/>
        <v>2756686.1599440007</v>
      </c>
      <c r="V334" s="38"/>
      <c r="W334" s="38"/>
      <c r="X334" s="127"/>
      <c r="Y334" s="29">
        <f t="shared" si="130"/>
        <v>108</v>
      </c>
      <c r="Z334" s="30">
        <f t="shared" si="131"/>
        <v>104</v>
      </c>
      <c r="AD334" s="32">
        <f t="shared" si="110"/>
        <v>0</v>
      </c>
    </row>
    <row r="335" spans="1:30" ht="51" customHeight="1">
      <c r="A335" s="34">
        <v>7729314745</v>
      </c>
      <c r="B335" s="34" t="s">
        <v>280</v>
      </c>
      <c r="C335" s="34" t="s">
        <v>170</v>
      </c>
      <c r="D335" s="33" t="s">
        <v>285</v>
      </c>
      <c r="E335" s="33"/>
      <c r="F335" s="36" t="s">
        <v>21</v>
      </c>
      <c r="G335" s="36"/>
      <c r="H335" s="26">
        <f>'2023'!H337</f>
        <v>412.57100000000003</v>
      </c>
      <c r="I335" s="26">
        <f>'2023'!I337</f>
        <v>89.257999999999996</v>
      </c>
      <c r="J335" s="26">
        <f>'2023'!J337</f>
        <v>102.44499999999999</v>
      </c>
      <c r="K335" s="26">
        <f>'2023'!K337</f>
        <v>112.364</v>
      </c>
      <c r="L335" s="26">
        <f t="shared" si="102"/>
        <v>716.63800000000003</v>
      </c>
      <c r="M335" s="71">
        <f>'2024'!N335</f>
        <v>56.150500000000008</v>
      </c>
      <c r="N335" s="27">
        <v>60.642540000000011</v>
      </c>
      <c r="O335" s="71">
        <f>'2024'!P335</f>
        <v>37.211200000000005</v>
      </c>
      <c r="P335" s="27">
        <f>O335*1.04</f>
        <v>38.699648000000003</v>
      </c>
      <c r="Q335" s="27">
        <f t="shared" si="132"/>
        <v>7813.8059403000016</v>
      </c>
      <c r="R335" s="27">
        <f t="shared" si="133"/>
        <v>1690.4840394000003</v>
      </c>
      <c r="S335" s="27">
        <f t="shared" si="134"/>
        <v>2247.9395709400005</v>
      </c>
      <c r="T335" s="27">
        <f t="shared" si="135"/>
        <v>2465.591116688001</v>
      </c>
      <c r="U335" s="27">
        <f t="shared" si="104"/>
        <v>14217.820667328006</v>
      </c>
      <c r="V335" s="38"/>
      <c r="W335" s="38"/>
      <c r="X335" s="127"/>
      <c r="Y335" s="29">
        <f t="shared" si="130"/>
        <v>108</v>
      </c>
      <c r="Z335" s="30">
        <f t="shared" si="131"/>
        <v>104</v>
      </c>
      <c r="AD335" s="32">
        <f t="shared" si="110"/>
        <v>0</v>
      </c>
    </row>
    <row r="336" spans="1:30" ht="51" customHeight="1">
      <c r="A336" s="34">
        <v>7729314745</v>
      </c>
      <c r="B336" s="34" t="s">
        <v>280</v>
      </c>
      <c r="C336" s="34" t="s">
        <v>199</v>
      </c>
      <c r="D336" s="33" t="s">
        <v>286</v>
      </c>
      <c r="E336" s="33"/>
      <c r="F336" s="36" t="s">
        <v>21</v>
      </c>
      <c r="G336" s="36"/>
      <c r="H336" s="26">
        <f>'2023'!H338</f>
        <v>2161.8879999999999</v>
      </c>
      <c r="I336" s="26">
        <f>'2023'!I338</f>
        <v>2095.1870000000004</v>
      </c>
      <c r="J336" s="26">
        <f>'2023'!J338</f>
        <v>2433.174</v>
      </c>
      <c r="K336" s="26">
        <f>'2023'!K338</f>
        <v>2117.125</v>
      </c>
      <c r="L336" s="26">
        <f t="shared" si="102"/>
        <v>8807.3739999999998</v>
      </c>
      <c r="M336" s="71">
        <f>'2024'!N336</f>
        <v>227.7742106</v>
      </c>
      <c r="N336" s="27">
        <v>235.60331242400008</v>
      </c>
      <c r="O336" s="71">
        <f>'2024'!P336</f>
        <v>34.372</v>
      </c>
      <c r="P336" s="27">
        <f>O336*1.04</f>
        <v>35.746880000000004</v>
      </c>
      <c r="Q336" s="27">
        <f t="shared" si="132"/>
        <v>418113.91826961277</v>
      </c>
      <c r="R336" s="27">
        <f t="shared" si="133"/>
        <v>405213.79742038227</v>
      </c>
      <c r="S336" s="27">
        <f t="shared" si="134"/>
        <v>486285.47510683397</v>
      </c>
      <c r="T336" s="27">
        <f t="shared" si="135"/>
        <v>423121.04949566117</v>
      </c>
      <c r="U336" s="27">
        <f t="shared" si="104"/>
        <v>1732734.2402924902</v>
      </c>
      <c r="V336" s="38"/>
      <c r="W336" s="38"/>
      <c r="X336" s="127"/>
      <c r="Y336" s="29">
        <f t="shared" si="130"/>
        <v>103.43722048399455</v>
      </c>
      <c r="Z336" s="30">
        <f t="shared" si="131"/>
        <v>104</v>
      </c>
      <c r="AD336" s="32">
        <f t="shared" si="110"/>
        <v>0</v>
      </c>
    </row>
    <row r="337" spans="1:30" ht="51" customHeight="1">
      <c r="A337" s="34">
        <v>7729314745</v>
      </c>
      <c r="B337" s="34" t="s">
        <v>280</v>
      </c>
      <c r="C337" s="34" t="s">
        <v>287</v>
      </c>
      <c r="D337" s="33"/>
      <c r="E337" s="33"/>
      <c r="F337" s="36" t="s">
        <v>21</v>
      </c>
      <c r="G337" s="36" t="s">
        <v>379</v>
      </c>
      <c r="H337" s="26">
        <f>'2023'!H339</f>
        <v>22785.75</v>
      </c>
      <c r="I337" s="26">
        <f>'2023'!I339</f>
        <v>22785.75</v>
      </c>
      <c r="J337" s="26">
        <f>'2023'!J339</f>
        <v>22785.75</v>
      </c>
      <c r="K337" s="26">
        <f>'2023'!K339</f>
        <v>22785.75</v>
      </c>
      <c r="L337" s="26">
        <f t="shared" si="102"/>
        <v>91143</v>
      </c>
      <c r="M337" s="71">
        <f>'2024'!N337</f>
        <v>184.29</v>
      </c>
      <c r="N337" s="27">
        <v>199.03319999999999</v>
      </c>
      <c r="O337" s="71">
        <f>'2024'!P337</f>
        <v>114.608</v>
      </c>
      <c r="P337" s="27">
        <f>O337*1.04</f>
        <v>119.19232000000001</v>
      </c>
      <c r="Q337" s="27">
        <f t="shared" si="132"/>
        <v>1587756.6314999997</v>
      </c>
      <c r="R337" s="27">
        <f t="shared" si="133"/>
        <v>1587756.6314999997</v>
      </c>
      <c r="S337" s="27">
        <f t="shared" si="134"/>
        <v>1819234.3314599996</v>
      </c>
      <c r="T337" s="27">
        <f t="shared" si="135"/>
        <v>1819234.3314599996</v>
      </c>
      <c r="U337" s="27">
        <f t="shared" si="104"/>
        <v>6813981.9259199984</v>
      </c>
      <c r="V337" s="38"/>
      <c r="W337" s="38"/>
      <c r="X337" s="127"/>
      <c r="Y337" s="29">
        <f t="shared" si="130"/>
        <v>108</v>
      </c>
      <c r="Z337" s="30">
        <f t="shared" si="131"/>
        <v>104</v>
      </c>
      <c r="AD337" s="32">
        <f t="shared" si="110"/>
        <v>0</v>
      </c>
    </row>
    <row r="338" spans="1:30" ht="51" customHeight="1">
      <c r="A338" s="34">
        <v>2911001370</v>
      </c>
      <c r="B338" s="34" t="s">
        <v>289</v>
      </c>
      <c r="C338" s="34" t="s">
        <v>270</v>
      </c>
      <c r="D338" s="33"/>
      <c r="E338" s="22"/>
      <c r="F338" s="28" t="s">
        <v>21</v>
      </c>
      <c r="G338" s="36"/>
      <c r="H338" s="26">
        <f>'2023'!H340</f>
        <v>915</v>
      </c>
      <c r="I338" s="26">
        <f>'2023'!I340</f>
        <v>915</v>
      </c>
      <c r="J338" s="26">
        <f>'2023'!J340</f>
        <v>915</v>
      </c>
      <c r="K338" s="26">
        <f>'2023'!K340</f>
        <v>915</v>
      </c>
      <c r="L338" s="26">
        <f t="shared" ref="L338:L352" si="136">H338+I338+J338+K338</f>
        <v>3660</v>
      </c>
      <c r="M338" s="71">
        <f>'2024'!N338</f>
        <v>25.003629999999998</v>
      </c>
      <c r="N338" s="71">
        <v>27.003920400000002</v>
      </c>
      <c r="O338" s="71">
        <f>'2024'!P338</f>
        <v>24.130496000000001</v>
      </c>
      <c r="P338" s="27">
        <v>25.09571584</v>
      </c>
      <c r="Q338" s="27">
        <f t="shared" si="132"/>
        <v>798.91760999999701</v>
      </c>
      <c r="R338" s="27">
        <f t="shared" si="133"/>
        <v>798.91760999999701</v>
      </c>
      <c r="S338" s="27">
        <f t="shared" si="134"/>
        <v>1746.0071724000013</v>
      </c>
      <c r="T338" s="27">
        <f t="shared" si="135"/>
        <v>1746.0071724000013</v>
      </c>
      <c r="U338" s="27">
        <f t="shared" ref="U338:U352" si="137">Q338+R338+S338+T338</f>
        <v>5089.8495647999971</v>
      </c>
      <c r="V338" s="38"/>
      <c r="W338" s="38"/>
      <c r="X338" s="127"/>
      <c r="Y338" s="29">
        <f t="shared" si="130"/>
        <v>108</v>
      </c>
      <c r="Z338" s="30">
        <f t="shared" si="131"/>
        <v>104</v>
      </c>
      <c r="AD338" s="32">
        <f>104-Z338</f>
        <v>0</v>
      </c>
    </row>
    <row r="339" spans="1:30" ht="51" customHeight="1">
      <c r="A339" s="34">
        <v>7729314745</v>
      </c>
      <c r="B339" s="34" t="s">
        <v>280</v>
      </c>
      <c r="C339" s="34" t="s">
        <v>62</v>
      </c>
      <c r="D339" s="33"/>
      <c r="E339" s="33"/>
      <c r="F339" s="36" t="s">
        <v>264</v>
      </c>
      <c r="G339" s="36"/>
      <c r="H339" s="26">
        <f>'2023'!H341</f>
        <v>962.69500000000005</v>
      </c>
      <c r="I339" s="26">
        <f>'2023'!I341</f>
        <v>860.71599999999989</v>
      </c>
      <c r="J339" s="26">
        <f>'2023'!J341</f>
        <v>802.74599999999998</v>
      </c>
      <c r="K339" s="26">
        <f>'2023'!K341</f>
        <v>1139.7149999999999</v>
      </c>
      <c r="L339" s="26">
        <f t="shared" si="136"/>
        <v>3765.8720000000003</v>
      </c>
      <c r="M339" s="71">
        <f>'2024'!N339</f>
        <v>108.19536000000001</v>
      </c>
      <c r="N339" s="27">
        <v>108.19536000000001</v>
      </c>
      <c r="O339" s="71">
        <f>'2024'!P339</f>
        <v>35.42</v>
      </c>
      <c r="P339" s="27">
        <v>36.83</v>
      </c>
      <c r="Q339" s="27">
        <f t="shared" si="132"/>
        <v>70060.475195200008</v>
      </c>
      <c r="R339" s="27">
        <f t="shared" si="133"/>
        <v>62638.916757759995</v>
      </c>
      <c r="S339" s="27">
        <f t="shared" si="134"/>
        <v>57288.257278560006</v>
      </c>
      <c r="T339" s="27">
        <f t="shared" si="135"/>
        <v>81336.17127240001</v>
      </c>
      <c r="U339" s="27">
        <f t="shared" si="137"/>
        <v>271323.82050392003</v>
      </c>
      <c r="V339" s="38"/>
      <c r="W339" s="38"/>
      <c r="X339" s="127"/>
      <c r="Y339" s="29">
        <f t="shared" si="130"/>
        <v>100</v>
      </c>
      <c r="Z339" s="30">
        <f t="shared" si="131"/>
        <v>103.98080180688876</v>
      </c>
      <c r="AD339" s="32">
        <f t="shared" si="110"/>
        <v>1.9198193111236606E-2</v>
      </c>
    </row>
    <row r="340" spans="1:30" ht="51" customHeight="1">
      <c r="A340" s="34">
        <v>7729314745</v>
      </c>
      <c r="B340" s="34" t="s">
        <v>280</v>
      </c>
      <c r="C340" s="34" t="s">
        <v>86</v>
      </c>
      <c r="D340" s="33" t="s">
        <v>87</v>
      </c>
      <c r="E340" s="33"/>
      <c r="F340" s="36" t="s">
        <v>264</v>
      </c>
      <c r="G340" s="36"/>
      <c r="H340" s="26">
        <f>'2023'!H342</f>
        <v>1264.2050000000002</v>
      </c>
      <c r="I340" s="26">
        <f>'2023'!I342</f>
        <v>1250.8629999999998</v>
      </c>
      <c r="J340" s="26">
        <f>'2023'!J342</f>
        <v>1309.518</v>
      </c>
      <c r="K340" s="26">
        <f>'2023'!K342</f>
        <v>1338.3489999999999</v>
      </c>
      <c r="L340" s="26">
        <f t="shared" si="136"/>
        <v>5162.9350000000004</v>
      </c>
      <c r="M340" s="71">
        <f>'2024'!N340</f>
        <v>198.75731740000003</v>
      </c>
      <c r="N340" s="27">
        <v>198.75731740000003</v>
      </c>
      <c r="O340" s="71">
        <f>'2024'!P340</f>
        <v>74.266400000000004</v>
      </c>
      <c r="P340" s="27">
        <f>O340*1.04</f>
        <v>77.23705600000001</v>
      </c>
      <c r="Q340" s="27">
        <f t="shared" si="132"/>
        <v>157382.04023166705</v>
      </c>
      <c r="R340" s="27">
        <f t="shared" si="133"/>
        <v>155721.08241171623</v>
      </c>
      <c r="S340" s="27">
        <f t="shared" si="134"/>
        <v>159132.96966800524</v>
      </c>
      <c r="T340" s="27">
        <f t="shared" si="135"/>
        <v>162636.52032442862</v>
      </c>
      <c r="U340" s="27">
        <f t="shared" si="137"/>
        <v>634872.61263581715</v>
      </c>
      <c r="V340" s="38"/>
      <c r="W340" s="38"/>
      <c r="X340" s="127"/>
      <c r="Y340" s="29">
        <f t="shared" si="130"/>
        <v>100</v>
      </c>
      <c r="Z340" s="30">
        <f t="shared" si="131"/>
        <v>104</v>
      </c>
      <c r="AD340" s="32">
        <f t="shared" si="110"/>
        <v>0</v>
      </c>
    </row>
    <row r="341" spans="1:30" ht="51" customHeight="1">
      <c r="A341" s="34">
        <v>7729314745</v>
      </c>
      <c r="B341" s="34" t="s">
        <v>280</v>
      </c>
      <c r="C341" s="34" t="s">
        <v>97</v>
      </c>
      <c r="D341" s="33" t="s">
        <v>281</v>
      </c>
      <c r="E341" s="33"/>
      <c r="F341" s="36" t="s">
        <v>264</v>
      </c>
      <c r="G341" s="36"/>
      <c r="H341" s="26">
        <f>'2023'!H343</f>
        <v>3708.7469999999998</v>
      </c>
      <c r="I341" s="26">
        <f>'2023'!I343</f>
        <v>3702.4790000000003</v>
      </c>
      <c r="J341" s="26">
        <f>'2023'!J343</f>
        <v>3793.9589999999998</v>
      </c>
      <c r="K341" s="26">
        <f>'2023'!K343</f>
        <v>6098.7929999999997</v>
      </c>
      <c r="L341" s="26">
        <f t="shared" si="136"/>
        <v>17303.978000000003</v>
      </c>
      <c r="M341" s="71">
        <f>'2024'!N341</f>
        <v>68.385262573000006</v>
      </c>
      <c r="N341" s="27">
        <v>73.856083578840014</v>
      </c>
      <c r="O341" s="71">
        <f>'2024'!P341</f>
        <v>32.119999999999997</v>
      </c>
      <c r="P341" s="27">
        <v>33.409999999999997</v>
      </c>
      <c r="Q341" s="27">
        <f t="shared" si="132"/>
        <v>134498.68377182606</v>
      </c>
      <c r="R341" s="27">
        <f t="shared" si="133"/>
        <v>134271.37310601849</v>
      </c>
      <c r="S341" s="27">
        <f t="shared" si="134"/>
        <v>153450.78280869228</v>
      </c>
      <c r="T341" s="27">
        <f t="shared" si="135"/>
        <v>246672.29140804443</v>
      </c>
      <c r="U341" s="27">
        <f t="shared" si="137"/>
        <v>668893.13109458121</v>
      </c>
      <c r="V341" s="38"/>
      <c r="W341" s="38"/>
      <c r="X341" s="127"/>
      <c r="Y341" s="29">
        <f t="shared" si="130"/>
        <v>108</v>
      </c>
      <c r="Z341" s="30">
        <f t="shared" si="131"/>
        <v>104.0161892901619</v>
      </c>
      <c r="AD341" s="32">
        <f t="shared" si="110"/>
        <v>-1.6189290161904069E-2</v>
      </c>
    </row>
    <row r="342" spans="1:30" ht="51" customHeight="1">
      <c r="A342" s="34">
        <v>7729314745</v>
      </c>
      <c r="B342" s="34" t="s">
        <v>280</v>
      </c>
      <c r="C342" s="34" t="s">
        <v>283</v>
      </c>
      <c r="D342" s="33" t="s">
        <v>284</v>
      </c>
      <c r="E342" s="33"/>
      <c r="F342" s="36" t="s">
        <v>264</v>
      </c>
      <c r="G342" s="36"/>
      <c r="H342" s="26">
        <f>'2023'!H344</f>
        <v>32504</v>
      </c>
      <c r="I342" s="26">
        <f>'2023'!I344</f>
        <v>32864</v>
      </c>
      <c r="J342" s="26">
        <f>'2023'!J344</f>
        <v>33225</v>
      </c>
      <c r="K342" s="26">
        <f>'2023'!K344</f>
        <v>33225</v>
      </c>
      <c r="L342" s="26">
        <f t="shared" si="136"/>
        <v>131818</v>
      </c>
      <c r="M342" s="71">
        <f>'2024'!N342</f>
        <v>47.938800000000008</v>
      </c>
      <c r="N342" s="27">
        <v>47.938800000000008</v>
      </c>
      <c r="O342" s="71">
        <f>'2024'!P342</f>
        <v>28.82</v>
      </c>
      <c r="P342" s="27">
        <v>29.98</v>
      </c>
      <c r="Q342" s="27">
        <f t="shared" si="132"/>
        <v>621437.47520000022</v>
      </c>
      <c r="R342" s="27">
        <f t="shared" si="133"/>
        <v>628320.24320000026</v>
      </c>
      <c r="S342" s="27">
        <f t="shared" si="134"/>
        <v>596681.13000000024</v>
      </c>
      <c r="T342" s="27">
        <f t="shared" si="135"/>
        <v>596681.13000000024</v>
      </c>
      <c r="U342" s="27">
        <f t="shared" si="137"/>
        <v>2443119.9784000013</v>
      </c>
      <c r="V342" s="38"/>
      <c r="W342" s="38"/>
      <c r="X342" s="127"/>
      <c r="Y342" s="8">
        <f t="shared" si="130"/>
        <v>100</v>
      </c>
      <c r="Z342" s="8">
        <f t="shared" si="131"/>
        <v>104.02498265093685</v>
      </c>
      <c r="AA342" s="8"/>
      <c r="AD342" s="8">
        <f t="shared" si="110"/>
        <v>-2.4982650936848927E-2</v>
      </c>
    </row>
    <row r="343" spans="1:30" ht="51" customHeight="1">
      <c r="A343" s="34">
        <v>7729314745</v>
      </c>
      <c r="B343" s="34" t="s">
        <v>280</v>
      </c>
      <c r="C343" s="34" t="s">
        <v>170</v>
      </c>
      <c r="D343" s="33" t="s">
        <v>285</v>
      </c>
      <c r="E343" s="33"/>
      <c r="F343" s="36" t="s">
        <v>264</v>
      </c>
      <c r="G343" s="36"/>
      <c r="H343" s="26">
        <f>'2023'!H345</f>
        <v>407.19399999999996</v>
      </c>
      <c r="I343" s="26">
        <f>'2023'!I345</f>
        <v>422.78399999999999</v>
      </c>
      <c r="J343" s="26">
        <f>'2023'!J345</f>
        <v>418.31599999999997</v>
      </c>
      <c r="K343" s="26">
        <f>'2023'!K345</f>
        <v>415.54999999999995</v>
      </c>
      <c r="L343" s="26">
        <f t="shared" si="136"/>
        <v>1663.8439999999998</v>
      </c>
      <c r="M343" s="71">
        <f>'2024'!N343</f>
        <v>47.938800000000008</v>
      </c>
      <c r="N343" s="27">
        <v>47.938800000000008</v>
      </c>
      <c r="O343" s="71">
        <f>'2024'!P343</f>
        <v>35.411999999999999</v>
      </c>
      <c r="P343" s="27">
        <f>O343*1.04</f>
        <v>36.828479999999999</v>
      </c>
      <c r="Q343" s="27">
        <f t="shared" si="132"/>
        <v>5100.8377992000032</v>
      </c>
      <c r="R343" s="27">
        <f t="shared" si="133"/>
        <v>5296.1306112000038</v>
      </c>
      <c r="S343" s="27">
        <f t="shared" si="134"/>
        <v>4647.6246211200032</v>
      </c>
      <c r="T343" s="27">
        <f t="shared" si="135"/>
        <v>4616.8934760000029</v>
      </c>
      <c r="U343" s="27">
        <f t="shared" si="137"/>
        <v>19661.486507520014</v>
      </c>
      <c r="V343" s="38"/>
      <c r="W343" s="38"/>
      <c r="X343" s="127"/>
      <c r="Y343" s="29">
        <f t="shared" si="130"/>
        <v>100</v>
      </c>
      <c r="Z343" s="30">
        <f t="shared" si="131"/>
        <v>104</v>
      </c>
      <c r="AD343" s="32">
        <f t="shared" si="110"/>
        <v>0</v>
      </c>
    </row>
    <row r="344" spans="1:30" ht="51" customHeight="1">
      <c r="A344" s="34">
        <v>7729314745</v>
      </c>
      <c r="B344" s="34" t="s">
        <v>280</v>
      </c>
      <c r="C344" s="34" t="s">
        <v>199</v>
      </c>
      <c r="D344" s="33" t="s">
        <v>286</v>
      </c>
      <c r="E344" s="33"/>
      <c r="F344" s="36" t="s">
        <v>264</v>
      </c>
      <c r="G344" s="36"/>
      <c r="H344" s="26">
        <f>'2023'!H346</f>
        <v>3344.8969999999999</v>
      </c>
      <c r="I344" s="26">
        <f>'2023'!I346</f>
        <v>3439.52</v>
      </c>
      <c r="J344" s="26">
        <f>'2023'!J346</f>
        <v>3200.1950000000002</v>
      </c>
      <c r="K344" s="26">
        <f>'2023'!K346</f>
        <v>3455.2420000000002</v>
      </c>
      <c r="L344" s="26">
        <f t="shared" si="136"/>
        <v>13439.853999999999</v>
      </c>
      <c r="M344" s="71">
        <f>'2024'!N344</f>
        <v>104.71770000000001</v>
      </c>
      <c r="N344" s="27">
        <v>113.09511600000002</v>
      </c>
      <c r="O344" s="71">
        <f>'2024'!P344</f>
        <v>22.932000000000002</v>
      </c>
      <c r="P344" s="27">
        <f>O344*1.04</f>
        <v>23.849280000000004</v>
      </c>
      <c r="Q344" s="27">
        <f t="shared" si="132"/>
        <v>273564.74257290002</v>
      </c>
      <c r="R344" s="27">
        <f t="shared" si="133"/>
        <v>281303.55086399999</v>
      </c>
      <c r="S344" s="27">
        <f t="shared" si="134"/>
        <v>285604.07813802006</v>
      </c>
      <c r="T344" s="27">
        <f t="shared" si="135"/>
        <v>308365.96087231208</v>
      </c>
      <c r="U344" s="27">
        <f t="shared" si="137"/>
        <v>1148838.3324472322</v>
      </c>
      <c r="V344" s="38"/>
      <c r="W344" s="38"/>
      <c r="X344" s="127"/>
      <c r="Y344" s="29">
        <f t="shared" si="130"/>
        <v>108</v>
      </c>
      <c r="Z344" s="30">
        <f t="shared" si="131"/>
        <v>104</v>
      </c>
      <c r="AD344" s="32">
        <f t="shared" si="110"/>
        <v>0</v>
      </c>
    </row>
    <row r="345" spans="1:30" ht="51" customHeight="1">
      <c r="A345" s="34">
        <v>7729314745</v>
      </c>
      <c r="B345" s="34" t="s">
        <v>280</v>
      </c>
      <c r="C345" s="34" t="s">
        <v>287</v>
      </c>
      <c r="D345" s="33"/>
      <c r="E345" s="33"/>
      <c r="F345" s="36" t="s">
        <v>264</v>
      </c>
      <c r="G345" s="36" t="s">
        <v>379</v>
      </c>
      <c r="H345" s="26">
        <f>'2023'!H347</f>
        <v>37083.25</v>
      </c>
      <c r="I345" s="26">
        <f>'2023'!I347</f>
        <v>37083.25</v>
      </c>
      <c r="J345" s="26">
        <f>'2023'!J347</f>
        <v>37083.25</v>
      </c>
      <c r="K345" s="26">
        <f>'2023'!K347</f>
        <v>37083.25</v>
      </c>
      <c r="L345" s="26">
        <f t="shared" si="136"/>
        <v>148333</v>
      </c>
      <c r="M345" s="71">
        <f>'2024'!N345</f>
        <v>12.623085400000001</v>
      </c>
      <c r="N345" s="27">
        <v>13.632932232000002</v>
      </c>
      <c r="O345" s="71">
        <f>'2024'!P345</f>
        <v>11.57</v>
      </c>
      <c r="P345" s="27">
        <f>O345*1.04</f>
        <v>12.0328</v>
      </c>
      <c r="Q345" s="27">
        <f t="shared" si="132"/>
        <v>39051.82915955002</v>
      </c>
      <c r="R345" s="27">
        <f t="shared" si="133"/>
        <v>39051.82915955002</v>
      </c>
      <c r="S345" s="27">
        <f t="shared" si="134"/>
        <v>59338.103592314066</v>
      </c>
      <c r="T345" s="27">
        <f t="shared" si="135"/>
        <v>59338.103592314066</v>
      </c>
      <c r="U345" s="27">
        <f t="shared" si="137"/>
        <v>196779.86550372816</v>
      </c>
      <c r="V345" s="38"/>
      <c r="W345" s="38"/>
      <c r="X345" s="127"/>
      <c r="Y345" s="29">
        <f t="shared" si="130"/>
        <v>108</v>
      </c>
      <c r="Z345" s="30">
        <f t="shared" si="131"/>
        <v>104</v>
      </c>
      <c r="AA345" s="2" t="s">
        <v>49</v>
      </c>
      <c r="AD345" s="32">
        <f>104-Z345</f>
        <v>0</v>
      </c>
    </row>
    <row r="346" spans="1:30" ht="51" customHeight="1">
      <c r="A346" s="34">
        <v>7729314745</v>
      </c>
      <c r="B346" s="34" t="s">
        <v>280</v>
      </c>
      <c r="C346" s="34" t="s">
        <v>62</v>
      </c>
      <c r="D346" s="33"/>
      <c r="E346" s="33"/>
      <c r="F346" s="36" t="s">
        <v>249</v>
      </c>
      <c r="G346" s="36"/>
      <c r="H346" s="26">
        <f>'2023'!H348</f>
        <v>320.07400000000001</v>
      </c>
      <c r="I346" s="26">
        <f>'2023'!I348</f>
        <v>214.702</v>
      </c>
      <c r="J346" s="26">
        <f>'2023'!J348</f>
        <v>79.492999999999995</v>
      </c>
      <c r="K346" s="26">
        <f>'2023'!K348</f>
        <v>438.90600000000001</v>
      </c>
      <c r="L346" s="26">
        <f t="shared" si="136"/>
        <v>1053.175</v>
      </c>
      <c r="M346" s="71">
        <f>M330</f>
        <v>106.68530000000003</v>
      </c>
      <c r="N346" s="71">
        <f>N330</f>
        <v>115.22012400000004</v>
      </c>
      <c r="O346" s="71">
        <f>'2024'!P346</f>
        <v>39.031200000000005</v>
      </c>
      <c r="P346" s="71">
        <f>P330</f>
        <v>40.592448000000005</v>
      </c>
      <c r="Q346" s="27">
        <f t="shared" si="132"/>
        <v>21654.318403400011</v>
      </c>
      <c r="R346" s="27">
        <f t="shared" si="133"/>
        <v>14525.470578200006</v>
      </c>
      <c r="S346" s="27">
        <f t="shared" si="134"/>
        <v>5932.3778482680027</v>
      </c>
      <c r="T346" s="27">
        <f t="shared" si="135"/>
        <v>32754.534762456016</v>
      </c>
      <c r="U346" s="27">
        <f t="shared" si="137"/>
        <v>74866.70159232404</v>
      </c>
      <c r="V346" s="38"/>
      <c r="W346" s="38"/>
      <c r="X346" s="127"/>
      <c r="Y346" s="29">
        <f t="shared" si="130"/>
        <v>108</v>
      </c>
      <c r="Z346" s="30">
        <f t="shared" si="131"/>
        <v>104</v>
      </c>
      <c r="AD346" s="32">
        <f t="shared" si="110"/>
        <v>0</v>
      </c>
    </row>
    <row r="347" spans="1:30" ht="51" customHeight="1">
      <c r="A347" s="34">
        <v>7729314745</v>
      </c>
      <c r="B347" s="34" t="s">
        <v>280</v>
      </c>
      <c r="C347" s="34" t="s">
        <v>86</v>
      </c>
      <c r="D347" s="33" t="s">
        <v>87</v>
      </c>
      <c r="E347" s="33"/>
      <c r="F347" s="36" t="s">
        <v>249</v>
      </c>
      <c r="G347" s="36"/>
      <c r="H347" s="26">
        <f>'2023'!H349</f>
        <v>671.97400000000005</v>
      </c>
      <c r="I347" s="26">
        <f>'2023'!I349</f>
        <v>647.88</v>
      </c>
      <c r="J347" s="26">
        <f>'2023'!J349</f>
        <v>672.22900000000004</v>
      </c>
      <c r="K347" s="26">
        <f>'2023'!K349</f>
        <v>685.03099999999995</v>
      </c>
      <c r="L347" s="26">
        <f t="shared" si="136"/>
        <v>2677.114</v>
      </c>
      <c r="M347" s="71">
        <f>M331</f>
        <v>208.31720000000004</v>
      </c>
      <c r="N347" s="71">
        <f>N331</f>
        <v>224.98257600000008</v>
      </c>
      <c r="O347" s="71">
        <f>'2024'!P347</f>
        <v>45.645600000000002</v>
      </c>
      <c r="P347" s="71">
        <f>P331</f>
        <v>47.471424000000006</v>
      </c>
      <c r="Q347" s="27">
        <f t="shared" si="132"/>
        <v>109311.08573840004</v>
      </c>
      <c r="R347" s="27">
        <f t="shared" si="133"/>
        <v>105391.67620800002</v>
      </c>
      <c r="S347" s="27">
        <f t="shared" si="134"/>
        <v>119328.14419780805</v>
      </c>
      <c r="T347" s="27">
        <f t="shared" si="135"/>
        <v>121600.64196571204</v>
      </c>
      <c r="U347" s="27">
        <f t="shared" si="137"/>
        <v>455631.54810992011</v>
      </c>
      <c r="V347" s="38"/>
      <c r="W347" s="38"/>
      <c r="X347" s="127"/>
      <c r="Y347" s="29">
        <f t="shared" si="130"/>
        <v>108</v>
      </c>
      <c r="Z347" s="30">
        <f t="shared" si="131"/>
        <v>104</v>
      </c>
      <c r="AD347" s="32">
        <f t="shared" si="110"/>
        <v>0</v>
      </c>
    </row>
    <row r="348" spans="1:30" ht="51" customHeight="1">
      <c r="A348" s="34">
        <v>7729314745</v>
      </c>
      <c r="B348" s="34" t="s">
        <v>280</v>
      </c>
      <c r="C348" s="34" t="s">
        <v>75</v>
      </c>
      <c r="D348" s="33"/>
      <c r="E348" s="33"/>
      <c r="F348" s="36" t="s">
        <v>249</v>
      </c>
      <c r="G348" s="36"/>
      <c r="H348" s="26">
        <f>'2023'!H350</f>
        <v>1935</v>
      </c>
      <c r="I348" s="26">
        <f>'2023'!I350</f>
        <v>1956</v>
      </c>
      <c r="J348" s="26">
        <f>'2023'!J350</f>
        <v>1977</v>
      </c>
      <c r="K348" s="26">
        <f>'2023'!K350</f>
        <v>1977</v>
      </c>
      <c r="L348" s="26">
        <f t="shared" si="136"/>
        <v>7845</v>
      </c>
      <c r="M348" s="71">
        <v>56.150500000000008</v>
      </c>
      <c r="N348" s="27">
        <v>60.642540000000011</v>
      </c>
      <c r="O348" s="71">
        <f>'2024'!P348</f>
        <v>37.585599999999999</v>
      </c>
      <c r="P348" s="27">
        <v>39.089024000000002</v>
      </c>
      <c r="Q348" s="27">
        <f t="shared" si="132"/>
        <v>35923.081500000015</v>
      </c>
      <c r="R348" s="27">
        <f t="shared" si="133"/>
        <v>36312.944400000015</v>
      </c>
      <c r="S348" s="27">
        <f t="shared" si="134"/>
        <v>42611.301132000015</v>
      </c>
      <c r="T348" s="27">
        <f t="shared" si="135"/>
        <v>42611.301132000015</v>
      </c>
      <c r="U348" s="27">
        <f t="shared" si="137"/>
        <v>157458.62816400008</v>
      </c>
      <c r="V348" s="38"/>
      <c r="W348" s="38"/>
      <c r="X348" s="127"/>
      <c r="Y348" s="29">
        <f t="shared" si="130"/>
        <v>108</v>
      </c>
      <c r="Z348" s="30">
        <f t="shared" si="131"/>
        <v>104</v>
      </c>
      <c r="AD348" s="32">
        <f t="shared" si="110"/>
        <v>0</v>
      </c>
    </row>
    <row r="349" spans="1:30" ht="51" customHeight="1">
      <c r="A349" s="34">
        <v>7729314745</v>
      </c>
      <c r="B349" s="34" t="s">
        <v>280</v>
      </c>
      <c r="C349" s="34" t="s">
        <v>97</v>
      </c>
      <c r="D349" s="33" t="s">
        <v>288</v>
      </c>
      <c r="E349" s="33"/>
      <c r="F349" s="36" t="s">
        <v>249</v>
      </c>
      <c r="G349" s="36"/>
      <c r="H349" s="26">
        <f>'2023'!H351</f>
        <v>1679.788</v>
      </c>
      <c r="I349" s="26">
        <f>'2023'!I351</f>
        <v>1685.7869999999998</v>
      </c>
      <c r="J349" s="26">
        <f>'2023'!J351</f>
        <v>1702.4059999999999</v>
      </c>
      <c r="K349" s="26">
        <f>'2023'!K351</f>
        <v>2967.4309999999996</v>
      </c>
      <c r="L349" s="26">
        <f t="shared" si="136"/>
        <v>8035.4119999999994</v>
      </c>
      <c r="M349" s="71">
        <f>M332</f>
        <v>56.324748698400008</v>
      </c>
      <c r="N349" s="71">
        <f>N332</f>
        <v>60.83072859427201</v>
      </c>
      <c r="O349" s="71">
        <f>'2024'!P349</f>
        <v>29.64</v>
      </c>
      <c r="P349" s="71">
        <f>P332</f>
        <v>30.82</v>
      </c>
      <c r="Q349" s="27">
        <f t="shared" si="132"/>
        <v>44824.72064658795</v>
      </c>
      <c r="R349" s="27">
        <f t="shared" si="133"/>
        <v>44984.802454029646</v>
      </c>
      <c r="S349" s="27">
        <f t="shared" si="134"/>
        <v>51090.444423260233</v>
      </c>
      <c r="T349" s="27">
        <f t="shared" si="135"/>
        <v>89054.766363229166</v>
      </c>
      <c r="U349" s="27">
        <f t="shared" si="137"/>
        <v>229954.733887107</v>
      </c>
      <c r="V349" s="38"/>
      <c r="W349" s="38"/>
      <c r="X349" s="127"/>
      <c r="Y349" s="29">
        <f t="shared" si="130"/>
        <v>108</v>
      </c>
      <c r="Z349" s="30">
        <f t="shared" si="131"/>
        <v>103.98110661268556</v>
      </c>
      <c r="AD349" s="32">
        <f t="shared" si="110"/>
        <v>1.8893387314435017E-2</v>
      </c>
    </row>
    <row r="350" spans="1:30" ht="51" customHeight="1">
      <c r="A350" s="34">
        <v>7729314745</v>
      </c>
      <c r="B350" s="34" t="s">
        <v>280</v>
      </c>
      <c r="C350" s="34" t="s">
        <v>283</v>
      </c>
      <c r="D350" s="33" t="s">
        <v>284</v>
      </c>
      <c r="E350" s="33"/>
      <c r="F350" s="36" t="s">
        <v>249</v>
      </c>
      <c r="G350" s="36" t="s">
        <v>378</v>
      </c>
      <c r="H350" s="26">
        <f>'2023'!H352</f>
        <v>7555.75</v>
      </c>
      <c r="I350" s="26">
        <f>'2023'!I352</f>
        <v>7555.75</v>
      </c>
      <c r="J350" s="26">
        <f>'2023'!J352</f>
        <v>7555.75</v>
      </c>
      <c r="K350" s="26">
        <f>'2023'!K352</f>
        <v>7555.75</v>
      </c>
      <c r="L350" s="26">
        <f t="shared" si="136"/>
        <v>30223</v>
      </c>
      <c r="M350" s="71">
        <v>32.989315821313603</v>
      </c>
      <c r="N350" s="71">
        <v>35.436263622794975</v>
      </c>
      <c r="O350" s="71">
        <f>'2024'!P350</f>
        <v>32.551722270912002</v>
      </c>
      <c r="P350" s="27">
        <f>O350*1.04</f>
        <v>33.853791161748482</v>
      </c>
      <c r="Q350" s="27">
        <f t="shared" si="132"/>
        <v>3306.3474684468993</v>
      </c>
      <c r="R350" s="27">
        <f t="shared" si="133"/>
        <v>3306.3474684468993</v>
      </c>
      <c r="S350" s="27">
        <f t="shared" si="134"/>
        <v>11956.766297552036</v>
      </c>
      <c r="T350" s="27">
        <f t="shared" si="135"/>
        <v>11956.766297552036</v>
      </c>
      <c r="U350" s="27">
        <f t="shared" si="137"/>
        <v>30526.227531997873</v>
      </c>
      <c r="V350" s="38"/>
      <c r="W350" s="38"/>
      <c r="X350" s="127"/>
      <c r="Y350" s="29">
        <f t="shared" si="130"/>
        <v>107.41739481574959</v>
      </c>
      <c r="Z350" s="30">
        <f t="shared" si="131"/>
        <v>104</v>
      </c>
      <c r="AD350" s="32">
        <f t="shared" si="110"/>
        <v>0</v>
      </c>
    </row>
    <row r="351" spans="1:30" ht="51" customHeight="1">
      <c r="A351" s="34">
        <v>7729314745</v>
      </c>
      <c r="B351" s="34" t="s">
        <v>280</v>
      </c>
      <c r="C351" s="34" t="s">
        <v>287</v>
      </c>
      <c r="D351" s="33"/>
      <c r="E351" s="33"/>
      <c r="F351" s="36" t="s">
        <v>249</v>
      </c>
      <c r="G351" s="36" t="s">
        <v>378</v>
      </c>
      <c r="H351" s="26">
        <f>'2023'!H353</f>
        <v>11874.75</v>
      </c>
      <c r="I351" s="26">
        <f>'2023'!I353</f>
        <v>11874.75</v>
      </c>
      <c r="J351" s="26">
        <f>'2023'!J353</f>
        <v>11874.75</v>
      </c>
      <c r="K351" s="26">
        <f>'2023'!K353</f>
        <v>11874.75</v>
      </c>
      <c r="L351" s="26">
        <f t="shared" si="136"/>
        <v>47499</v>
      </c>
      <c r="M351" s="71">
        <v>184.29</v>
      </c>
      <c r="N351" s="71">
        <v>199.03319999999999</v>
      </c>
      <c r="O351" s="71">
        <f>'2024'!P351</f>
        <v>114.60581401984001</v>
      </c>
      <c r="P351" s="27">
        <v>119.19004658063362</v>
      </c>
      <c r="Q351" s="27">
        <f t="shared" si="132"/>
        <v>827482.28746790474</v>
      </c>
      <c r="R351" s="27">
        <f t="shared" si="133"/>
        <v>827482.28746790474</v>
      </c>
      <c r="S351" s="27">
        <f t="shared" si="134"/>
        <v>948117.4860666208</v>
      </c>
      <c r="T351" s="27">
        <f t="shared" si="135"/>
        <v>948117.4860666208</v>
      </c>
      <c r="U351" s="27">
        <f t="shared" si="137"/>
        <v>3551199.5470690513</v>
      </c>
      <c r="V351" s="38"/>
      <c r="W351" s="38"/>
      <c r="X351" s="127"/>
      <c r="Y351" s="29">
        <f t="shared" si="130"/>
        <v>108</v>
      </c>
      <c r="Z351" s="30">
        <f t="shared" si="131"/>
        <v>104</v>
      </c>
      <c r="AD351" s="32">
        <f t="shared" si="110"/>
        <v>0</v>
      </c>
    </row>
    <row r="352" spans="1:30" ht="51" customHeight="1">
      <c r="A352" s="34">
        <v>7729314745</v>
      </c>
      <c r="B352" s="34" t="s">
        <v>280</v>
      </c>
      <c r="C352" s="34" t="s">
        <v>199</v>
      </c>
      <c r="D352" s="33" t="s">
        <v>286</v>
      </c>
      <c r="E352" s="33"/>
      <c r="F352" s="36" t="s">
        <v>249</v>
      </c>
      <c r="G352" s="36"/>
      <c r="H352" s="26">
        <f>'2023'!H354</f>
        <v>1375.393</v>
      </c>
      <c r="I352" s="26">
        <f>'2023'!I354</f>
        <v>1153.9479999999999</v>
      </c>
      <c r="J352" s="26">
        <f>'2023'!J354</f>
        <v>767.01900000000001</v>
      </c>
      <c r="K352" s="26">
        <f>'2023'!K354</f>
        <v>1338.114</v>
      </c>
      <c r="L352" s="26">
        <f t="shared" si="136"/>
        <v>4634.4740000000002</v>
      </c>
      <c r="M352" s="71">
        <f>'2024'!N352</f>
        <v>227.7742106</v>
      </c>
      <c r="N352" s="71">
        <v>235.60331242400008</v>
      </c>
      <c r="O352" s="71">
        <f>'2024'!P352</f>
        <v>34.372</v>
      </c>
      <c r="P352" s="27">
        <f>O352*1.04</f>
        <v>35.746880000000004</v>
      </c>
      <c r="Q352" s="27">
        <f t="shared" si="132"/>
        <v>266004.04664376582</v>
      </c>
      <c r="R352" s="27">
        <f t="shared" si="133"/>
        <v>223176.09411744875</v>
      </c>
      <c r="S352" s="27">
        <f t="shared" si="134"/>
        <v>153293.68094142413</v>
      </c>
      <c r="T352" s="27">
        <f t="shared" si="135"/>
        <v>267430.69021660846</v>
      </c>
      <c r="U352" s="27">
        <f t="shared" si="137"/>
        <v>909904.5119192471</v>
      </c>
      <c r="V352" s="38"/>
      <c r="W352" s="38"/>
      <c r="X352" s="127"/>
      <c r="Y352" s="29">
        <f t="shared" si="130"/>
        <v>103.43722048399455</v>
      </c>
      <c r="Z352" s="30">
        <f t="shared" si="131"/>
        <v>104</v>
      </c>
      <c r="AD352" s="32">
        <f t="shared" si="110"/>
        <v>0</v>
      </c>
    </row>
    <row r="353" spans="1:30" s="2" customFormat="1" ht="36" customHeight="1">
      <c r="A353" s="153" t="s">
        <v>452</v>
      </c>
      <c r="B353" s="154"/>
      <c r="C353" s="154"/>
      <c r="D353" s="154"/>
      <c r="E353" s="154"/>
      <c r="F353" s="154"/>
      <c r="G353" s="154"/>
      <c r="H353" s="178">
        <f>SUM(H329:H352)</f>
        <v>159276.57299999997</v>
      </c>
      <c r="I353" s="178">
        <f>SUM(I329:I352)</f>
        <v>159019.63</v>
      </c>
      <c r="J353" s="178">
        <f>SUM(J329:J352)</f>
        <v>159493.13599999997</v>
      </c>
      <c r="K353" s="178">
        <f>SUM(K329:K352)</f>
        <v>165365.96299999999</v>
      </c>
      <c r="L353" s="178">
        <f>SUM(L329:L352)</f>
        <v>643155.30200000003</v>
      </c>
      <c r="M353" s="178"/>
      <c r="N353" s="178"/>
      <c r="O353" s="178"/>
      <c r="P353" s="178"/>
      <c r="Q353" s="230">
        <f>SUM(Q329:Q352)</f>
        <v>5527488.5399135435</v>
      </c>
      <c r="R353" s="230">
        <f>SUM(R329:R352)</f>
        <v>5451651.903607253</v>
      </c>
      <c r="S353" s="230">
        <f>SUM(S329:S352)</f>
        <v>5975710.4755778164</v>
      </c>
      <c r="T353" s="230">
        <f>SUM(T329:T352)</f>
        <v>6270177.0529968301</v>
      </c>
      <c r="U353" s="230">
        <f>SUM(U329:U352)</f>
        <v>23225027.972095445</v>
      </c>
      <c r="V353" s="230">
        <f>'2024'!W353</f>
        <v>1906432.3298744478</v>
      </c>
      <c r="W353" s="230">
        <f>T353/3</f>
        <v>2090059.01766561</v>
      </c>
      <c r="X353" s="230">
        <f>U353+V353-W353</f>
        <v>23041401.284304284</v>
      </c>
      <c r="Y353" s="180"/>
      <c r="Z353" s="55"/>
      <c r="AD353" s="32" t="e">
        <f>SUM(AD10:AD352)</f>
        <v>#DIV/0!</v>
      </c>
    </row>
    <row r="354" spans="1:30" s="109" customFormat="1" ht="58.5" customHeight="1">
      <c r="A354" s="181" t="s">
        <v>453</v>
      </c>
      <c r="B354" s="182"/>
      <c r="C354" s="182"/>
      <c r="D354" s="182"/>
      <c r="E354" s="182"/>
      <c r="F354" s="182"/>
      <c r="G354" s="182"/>
      <c r="H354" s="183"/>
      <c r="I354" s="183"/>
      <c r="J354" s="183"/>
      <c r="K354" s="183"/>
      <c r="L354" s="183"/>
      <c r="M354" s="183">
        <f t="shared" ref="M354:X354" si="138">M355+M356</f>
        <v>0</v>
      </c>
      <c r="N354" s="183">
        <f t="shared" si="138"/>
        <v>0</v>
      </c>
      <c r="O354" s="183">
        <f t="shared" si="138"/>
        <v>0</v>
      </c>
      <c r="P354" s="183">
        <f t="shared" si="138"/>
        <v>0</v>
      </c>
      <c r="Q354" s="231">
        <f t="shared" si="138"/>
        <v>734068440.40913582</v>
      </c>
      <c r="R354" s="231">
        <f t="shared" si="138"/>
        <v>721780771.71739781</v>
      </c>
      <c r="S354" s="231">
        <f t="shared" si="138"/>
        <v>788608230.27407014</v>
      </c>
      <c r="T354" s="231">
        <f t="shared" si="138"/>
        <v>824846805.08564544</v>
      </c>
      <c r="U354" s="231">
        <f t="shared" si="138"/>
        <v>3069304247.486248</v>
      </c>
      <c r="V354" s="231">
        <f t="shared" si="138"/>
        <v>242131015.43749538</v>
      </c>
      <c r="W354" s="231">
        <f t="shared" si="138"/>
        <v>274948935.02854848</v>
      </c>
      <c r="X354" s="231">
        <f t="shared" si="138"/>
        <v>3036486327.895195</v>
      </c>
      <c r="Y354" s="185"/>
      <c r="Z354" s="20"/>
      <c r="AD354" s="110"/>
    </row>
    <row r="355" spans="1:30" s="107" customFormat="1" ht="30" customHeight="1">
      <c r="A355" s="167" t="s">
        <v>450</v>
      </c>
      <c r="B355" s="168"/>
      <c r="C355" s="168"/>
      <c r="D355" s="168"/>
      <c r="E355" s="168"/>
      <c r="F355" s="168"/>
      <c r="G355" s="168"/>
      <c r="H355" s="186">
        <f>H325+H353</f>
        <v>18546285.445307881</v>
      </c>
      <c r="I355" s="186">
        <f t="shared" ref="I355:X355" si="139">I325+I353</f>
        <v>18320882.191307865</v>
      </c>
      <c r="J355" s="186">
        <f t="shared" si="139"/>
        <v>17637380.592307862</v>
      </c>
      <c r="K355" s="186">
        <f t="shared" si="139"/>
        <v>18512503.399307866</v>
      </c>
      <c r="L355" s="186">
        <f t="shared" si="139"/>
        <v>73017051.628231481</v>
      </c>
      <c r="M355" s="186">
        <f t="shared" si="139"/>
        <v>0</v>
      </c>
      <c r="N355" s="186">
        <f t="shared" si="139"/>
        <v>0</v>
      </c>
      <c r="O355" s="186">
        <f t="shared" si="139"/>
        <v>0</v>
      </c>
      <c r="P355" s="186">
        <f t="shared" si="139"/>
        <v>0</v>
      </c>
      <c r="Q355" s="232">
        <f t="shared" si="139"/>
        <v>711287835.70195341</v>
      </c>
      <c r="R355" s="232">
        <f t="shared" si="139"/>
        <v>699000167.0102154</v>
      </c>
      <c r="S355" s="232">
        <f t="shared" si="139"/>
        <v>763582881.40902853</v>
      </c>
      <c r="T355" s="232">
        <f t="shared" si="139"/>
        <v>799821456.22060382</v>
      </c>
      <c r="U355" s="232">
        <f t="shared" si="139"/>
        <v>2973692340.3418002</v>
      </c>
      <c r="V355" s="232">
        <f t="shared" si="139"/>
        <v>234537480.53510126</v>
      </c>
      <c r="W355" s="232">
        <f t="shared" si="139"/>
        <v>266607152.07353461</v>
      </c>
      <c r="X355" s="232">
        <f t="shared" si="139"/>
        <v>2941622668.8033667</v>
      </c>
      <c r="Y355" s="188"/>
      <c r="Z355" s="106"/>
      <c r="AD355" s="108"/>
    </row>
    <row r="356" spans="1:30" s="189" customFormat="1" ht="30" customHeight="1">
      <c r="A356" s="167" t="s">
        <v>431</v>
      </c>
      <c r="B356" s="168"/>
      <c r="C356" s="168"/>
      <c r="D356" s="168"/>
      <c r="E356" s="168"/>
      <c r="F356" s="168"/>
      <c r="G356" s="168"/>
      <c r="H356" s="186">
        <f>H326</f>
        <v>3050.480575</v>
      </c>
      <c r="I356" s="186">
        <f t="shared" ref="I356:X356" si="140">I326</f>
        <v>3050.480575</v>
      </c>
      <c r="J356" s="186">
        <f t="shared" si="140"/>
        <v>3050.480575</v>
      </c>
      <c r="K356" s="186">
        <f t="shared" si="140"/>
        <v>3050.480575</v>
      </c>
      <c r="L356" s="186">
        <f t="shared" si="140"/>
        <v>12201.9223</v>
      </c>
      <c r="M356" s="186">
        <f t="shared" si="140"/>
        <v>0</v>
      </c>
      <c r="N356" s="186">
        <f t="shared" si="140"/>
        <v>0</v>
      </c>
      <c r="O356" s="186">
        <f t="shared" si="140"/>
        <v>0</v>
      </c>
      <c r="P356" s="186">
        <f t="shared" si="140"/>
        <v>0</v>
      </c>
      <c r="Q356" s="232">
        <f t="shared" si="140"/>
        <v>22780604.707182351</v>
      </c>
      <c r="R356" s="232">
        <f t="shared" si="140"/>
        <v>22780604.707182351</v>
      </c>
      <c r="S356" s="232">
        <f t="shared" si="140"/>
        <v>25025348.865041651</v>
      </c>
      <c r="T356" s="232">
        <f t="shared" si="140"/>
        <v>25025348.865041651</v>
      </c>
      <c r="U356" s="232">
        <f t="shared" si="140"/>
        <v>95611907.144448012</v>
      </c>
      <c r="V356" s="232">
        <f t="shared" si="140"/>
        <v>7593534.9023941169</v>
      </c>
      <c r="W356" s="232">
        <f t="shared" si="140"/>
        <v>8341782.9550138833</v>
      </c>
      <c r="X356" s="232">
        <f t="shared" si="140"/>
        <v>94863659.091828242</v>
      </c>
      <c r="Z356" s="106"/>
      <c r="AA356" s="107"/>
      <c r="AD356" s="108"/>
    </row>
    <row r="357" spans="1:30" s="192" customFormat="1" ht="48.75" customHeight="1">
      <c r="A357" s="190"/>
      <c r="B357" s="191"/>
      <c r="C357" s="191"/>
      <c r="D357" s="191"/>
      <c r="E357" s="191"/>
      <c r="F357" s="191"/>
    </row>
    <row r="358" spans="1:30" s="195" customFormat="1" ht="67.5" hidden="1" customHeight="1">
      <c r="A358" s="193"/>
      <c r="B358" s="194"/>
      <c r="C358" s="194"/>
      <c r="D358" s="194"/>
      <c r="H358" s="196" t="s">
        <v>422</v>
      </c>
      <c r="I358" s="196"/>
      <c r="J358" s="197"/>
      <c r="K358" s="197"/>
      <c r="L358" s="198"/>
      <c r="M358" s="198"/>
      <c r="S358" s="199"/>
      <c r="T358" s="199"/>
      <c r="U358" s="200"/>
    </row>
    <row r="359" spans="1:30" s="195" customFormat="1" ht="98.25" hidden="1" customHeight="1">
      <c r="A359" s="193"/>
      <c r="B359" s="194"/>
      <c r="C359" s="194"/>
      <c r="D359" s="194"/>
      <c r="H359" s="196" t="s">
        <v>455</v>
      </c>
      <c r="I359" s="196"/>
      <c r="J359" s="196"/>
      <c r="K359" s="201"/>
      <c r="L359" s="202"/>
      <c r="M359" s="203" t="s">
        <v>456</v>
      </c>
      <c r="N359" s="203"/>
    </row>
    <row r="360" spans="1:30" s="195" customFormat="1" ht="66.75" hidden="1" customHeight="1">
      <c r="A360" s="193"/>
      <c r="B360" s="194"/>
      <c r="C360" s="194"/>
      <c r="D360" s="194"/>
      <c r="E360" s="204"/>
      <c r="H360" s="205"/>
      <c r="I360" s="206"/>
      <c r="K360" s="203"/>
      <c r="L360" s="207"/>
      <c r="M360" s="203"/>
      <c r="N360" s="203"/>
    </row>
    <row r="361" spans="1:30" s="195" customFormat="1" ht="66.75" hidden="1" customHeight="1">
      <c r="A361" s="193"/>
      <c r="B361" s="194"/>
      <c r="C361" s="194"/>
      <c r="D361" s="194"/>
      <c r="H361" s="205" t="s">
        <v>457</v>
      </c>
      <c r="I361" s="205"/>
      <c r="J361" s="194"/>
      <c r="K361" s="208"/>
      <c r="L361" s="208"/>
      <c r="M361" s="198" t="s">
        <v>458</v>
      </c>
      <c r="N361" s="198"/>
    </row>
    <row r="362" spans="1:30" s="211" customFormat="1" ht="12.75" hidden="1" customHeight="1">
      <c r="A362" s="209"/>
      <c r="B362" s="210"/>
      <c r="C362" s="210"/>
      <c r="D362" s="210"/>
      <c r="E362" s="210"/>
      <c r="F362" s="210"/>
      <c r="H362" s="205"/>
      <c r="I362" s="205"/>
      <c r="K362" s="198"/>
      <c r="L362" s="198"/>
      <c r="M362" s="198"/>
      <c r="N362" s="198"/>
    </row>
    <row r="363" spans="1:30" s="211" customFormat="1" ht="12.75" hidden="1" customHeight="1">
      <c r="A363" s="209"/>
      <c r="B363" s="210"/>
      <c r="C363" s="210"/>
      <c r="D363" s="210"/>
      <c r="E363" s="210"/>
      <c r="F363" s="210"/>
      <c r="H363" s="205"/>
      <c r="I363" s="205"/>
      <c r="J363" s="198"/>
      <c r="K363" s="198"/>
      <c r="L363" s="198"/>
      <c r="M363" s="198"/>
    </row>
    <row r="364" spans="1:30" s="211" customFormat="1" ht="12.75" hidden="1" customHeight="1">
      <c r="A364" s="209"/>
      <c r="B364" s="210"/>
      <c r="C364" s="210"/>
      <c r="D364" s="210"/>
      <c r="E364" s="210"/>
      <c r="F364" s="210"/>
      <c r="H364" s="205"/>
      <c r="I364" s="205"/>
      <c r="J364" s="198"/>
      <c r="K364" s="198"/>
      <c r="L364" s="198"/>
      <c r="M364" s="198"/>
    </row>
    <row r="365" spans="1:30" ht="34.5" customHeight="1">
      <c r="A365" s="31"/>
      <c r="B365" s="56"/>
      <c r="C365" s="57"/>
      <c r="D365" s="31"/>
      <c r="E365" s="31"/>
      <c r="F365" s="31"/>
      <c r="G365" s="31"/>
      <c r="H365" s="58"/>
      <c r="I365" s="31"/>
      <c r="J365" s="31"/>
      <c r="K365" s="31"/>
      <c r="L365" s="58"/>
      <c r="M365" s="31"/>
      <c r="N365" s="31"/>
      <c r="O365" s="31"/>
      <c r="P365" s="58"/>
      <c r="Q365" s="31"/>
      <c r="R365" s="31"/>
      <c r="S365" s="31"/>
      <c r="T365" s="58"/>
      <c r="U365" s="31"/>
      <c r="V365" s="31"/>
      <c r="W365" s="31"/>
      <c r="X365" s="58"/>
      <c r="Y365" s="58"/>
      <c r="Z365" s="55"/>
    </row>
    <row r="366" spans="1:30" ht="18.75" customHeight="1">
      <c r="A366" s="136"/>
      <c r="B366" s="136"/>
      <c r="C366" s="136"/>
      <c r="D366" s="136"/>
      <c r="E366" s="136"/>
      <c r="F366" s="136"/>
      <c r="G366" s="31"/>
      <c r="H366" s="58"/>
      <c r="I366" s="31"/>
      <c r="J366" s="31"/>
      <c r="K366" s="31"/>
      <c r="L366" s="58"/>
      <c r="M366" s="31"/>
      <c r="N366" s="31"/>
      <c r="O366" s="31"/>
      <c r="P366" s="58"/>
      <c r="Q366" s="31"/>
      <c r="R366" s="31"/>
      <c r="S366" s="31"/>
      <c r="T366" s="58"/>
      <c r="U366" s="31"/>
      <c r="V366" s="31"/>
      <c r="W366" s="31"/>
      <c r="X366" s="58"/>
      <c r="Y366" s="58"/>
    </row>
    <row r="367" spans="1:30" ht="20.25" customHeight="1">
      <c r="A367" s="135"/>
      <c r="B367" s="135"/>
      <c r="C367" s="135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  <c r="N367" s="135"/>
      <c r="O367" s="135"/>
      <c r="P367" s="135"/>
      <c r="Q367" s="31"/>
      <c r="R367" s="31"/>
      <c r="S367" s="31"/>
      <c r="T367" s="58"/>
      <c r="U367" s="31"/>
      <c r="V367" s="31"/>
      <c r="W367" s="31"/>
      <c r="X367" s="58"/>
      <c r="Y367" s="58"/>
    </row>
    <row r="368" spans="1:30" ht="21" customHeight="1">
      <c r="A368" s="135"/>
      <c r="B368" s="135"/>
      <c r="C368" s="135"/>
      <c r="D368" s="135"/>
      <c r="E368" s="135"/>
      <c r="F368" s="135"/>
      <c r="G368" s="135"/>
      <c r="H368" s="135"/>
      <c r="I368" s="135"/>
      <c r="J368" s="135"/>
      <c r="K368" s="135"/>
      <c r="L368" s="135"/>
      <c r="M368" s="135"/>
      <c r="N368" s="135"/>
      <c r="O368" s="135"/>
      <c r="P368" s="135"/>
    </row>
    <row r="369" spans="1:16" ht="24.75" customHeight="1">
      <c r="A369" s="135"/>
      <c r="B369" s="135"/>
      <c r="C369" s="135"/>
      <c r="D369" s="135"/>
      <c r="E369" s="135"/>
      <c r="F369" s="135"/>
      <c r="G369" s="135"/>
      <c r="H369" s="135"/>
      <c r="I369" s="135"/>
      <c r="J369" s="135"/>
      <c r="K369" s="135"/>
      <c r="L369" s="135"/>
      <c r="M369" s="135"/>
      <c r="N369" s="135"/>
      <c r="O369" s="135"/>
      <c r="P369" s="135"/>
    </row>
    <row r="370" spans="1:16" ht="19.5" customHeight="1">
      <c r="A370" s="135"/>
      <c r="B370" s="135"/>
      <c r="C370" s="135"/>
      <c r="D370" s="135"/>
      <c r="E370" s="135"/>
      <c r="F370" s="135"/>
      <c r="G370" s="135"/>
      <c r="H370" s="135"/>
      <c r="I370" s="135"/>
      <c r="J370" s="135"/>
      <c r="K370" s="135"/>
      <c r="L370" s="135"/>
      <c r="M370" s="135"/>
      <c r="N370" s="135"/>
      <c r="O370" s="135"/>
      <c r="P370" s="135"/>
    </row>
    <row r="371" spans="1:16" ht="24.75" customHeight="1">
      <c r="A371" s="135"/>
      <c r="B371" s="135"/>
      <c r="C371" s="135"/>
      <c r="D371" s="135"/>
      <c r="E371" s="135"/>
      <c r="F371" s="135"/>
      <c r="G371" s="135"/>
      <c r="H371" s="135"/>
      <c r="I371" s="135"/>
      <c r="J371" s="135"/>
      <c r="K371" s="135"/>
      <c r="L371" s="135"/>
      <c r="M371" s="135"/>
      <c r="N371" s="135"/>
      <c r="O371" s="135"/>
      <c r="P371" s="135"/>
    </row>
  </sheetData>
  <autoFilter ref="A5:AE364"/>
  <mergeCells count="43">
    <mergeCell ref="A7:G7"/>
    <mergeCell ref="A6:G6"/>
    <mergeCell ref="A370:P370"/>
    <mergeCell ref="A371:P371"/>
    <mergeCell ref="A366:F366"/>
    <mergeCell ref="A367:P367"/>
    <mergeCell ref="A368:P368"/>
    <mergeCell ref="A369:P369"/>
    <mergeCell ref="H358:I358"/>
    <mergeCell ref="H359:J359"/>
    <mergeCell ref="A315:G315"/>
    <mergeCell ref="A356:G356"/>
    <mergeCell ref="S358:T358"/>
    <mergeCell ref="A354:G354"/>
    <mergeCell ref="A355:G355"/>
    <mergeCell ref="AA3:AA4"/>
    <mergeCell ref="AA75:AA76"/>
    <mergeCell ref="A328:C328"/>
    <mergeCell ref="X3:X4"/>
    <mergeCell ref="Y3:Z3"/>
    <mergeCell ref="W3:W4"/>
    <mergeCell ref="A322:G322"/>
    <mergeCell ref="A324:G324"/>
    <mergeCell ref="A325:G325"/>
    <mergeCell ref="A326:G326"/>
    <mergeCell ref="A353:G353"/>
    <mergeCell ref="V3:V4"/>
    <mergeCell ref="A313:G31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P3"/>
    <mergeCell ref="Q3:U3"/>
    <mergeCell ref="H1:L1"/>
    <mergeCell ref="M1:P1"/>
    <mergeCell ref="Q1:U1"/>
    <mergeCell ref="V1:X1"/>
  </mergeCells>
  <pageMargins left="0.39370078740157483" right="0.19685039370078741" top="0.82677165354330717" bottom="0.59055118110236227" header="0" footer="0.39370078740157483"/>
  <pageSetup paperSize="9" scale="32" fitToWidth="0" fitToHeight="0" orientation="landscape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2023</vt:lpstr>
      <vt:lpstr>2024</vt:lpstr>
      <vt:lpstr>2025</vt:lpstr>
      <vt:lpstr>'2023'!Заголовки_для_печати</vt:lpstr>
      <vt:lpstr>'2024'!Заголовки_для_печати</vt:lpstr>
      <vt:lpstr>'2025'!Заголовки_для_печати</vt:lpstr>
      <vt:lpstr>'2023'!Область_печати</vt:lpstr>
      <vt:lpstr>'2024'!Область_печати</vt:lpstr>
      <vt:lpstr>'2025'!Область_печати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Блинова Екатерина Николаевна</dc:creator>
  <cp:lastModifiedBy>minfin user</cp:lastModifiedBy>
  <cp:lastPrinted>2022-10-11T16:20:10Z</cp:lastPrinted>
  <dcterms:created xsi:type="dcterms:W3CDTF">2022-03-10T13:14:07Z</dcterms:created>
  <dcterms:modified xsi:type="dcterms:W3CDTF">2022-10-11T16:22:06Z</dcterms:modified>
</cp:coreProperties>
</file>