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Водный транспорт" sheetId="1" r:id="rId1"/>
    <sheet name="Лизинг" sheetId="3" state="hidden" r:id="rId2"/>
    <sheet name="авиа расчет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2">'авиа расчет'!$A$1:$P$30</definedName>
    <definedName name="_xlnm.Print_Area" localSheetId="0">'Водный транспорт'!$A$1:$BR$29</definedName>
  </definedNames>
  <calcPr calcId="125725"/>
</workbook>
</file>

<file path=xl/calcChain.xml><?xml version="1.0" encoding="utf-8"?>
<calcChain xmlns="http://schemas.openxmlformats.org/spreadsheetml/2006/main">
  <c r="O26" i="4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7"/>
  <c r="I16"/>
  <c r="I15"/>
  <c r="I14"/>
  <c r="E14"/>
  <c r="I12"/>
  <c r="I8" s="1"/>
  <c r="E12"/>
  <c r="I10"/>
  <c r="E10"/>
  <c r="M9"/>
  <c r="L7"/>
  <c r="L9" s="1"/>
  <c r="I7"/>
  <c r="E7"/>
  <c r="I6"/>
  <c r="E6"/>
  <c r="I5"/>
  <c r="E5"/>
  <c r="O4"/>
  <c r="P29" s="1"/>
  <c r="N4"/>
  <c r="L4"/>
  <c r="Q16" i="3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B18" s="1"/>
  <c r="I15"/>
  <c r="I14"/>
  <c r="I13"/>
  <c r="I12"/>
  <c r="I11"/>
  <c r="I10"/>
  <c r="I9"/>
  <c r="I8"/>
  <c r="I7"/>
  <c r="BG28" i="1"/>
  <c r="BG26"/>
  <c r="BG24" s="1"/>
  <c r="BA26"/>
  <c r="BG25"/>
  <c r="BA25"/>
  <c r="BQ24"/>
  <c r="BL24"/>
  <c r="AV24"/>
  <c r="AZ23"/>
  <c r="AY23"/>
  <c r="BE23" s="1"/>
  <c r="BJ23" s="1"/>
  <c r="AX23"/>
  <c r="BA23" s="1"/>
  <c r="BC23" s="1"/>
  <c r="AV23"/>
  <c r="AU23"/>
  <c r="AQ23"/>
  <c r="AI23"/>
  <c r="AP23" s="1"/>
  <c r="AC23"/>
  <c r="AJ23" s="1"/>
  <c r="V23"/>
  <c r="AB23" s="1"/>
  <c r="S23"/>
  <c r="R23"/>
  <c r="AD23" s="1"/>
  <c r="Q23"/>
  <c r="M23"/>
  <c r="P23" s="1"/>
  <c r="BJ22"/>
  <c r="BO22" s="1"/>
  <c r="BP22" s="1"/>
  <c r="BF22"/>
  <c r="BE22"/>
  <c r="AX22"/>
  <c r="BD22" s="1"/>
  <c r="BC21"/>
  <c r="BA21"/>
  <c r="BG21" s="1"/>
  <c r="BA20"/>
  <c r="BG20" s="1"/>
  <c r="AI20"/>
  <c r="AJ20" s="1"/>
  <c r="AE20"/>
  <c r="BE19"/>
  <c r="BF19" s="1"/>
  <c r="AZ19"/>
  <c r="AY19"/>
  <c r="AU19"/>
  <c r="AS19"/>
  <c r="AV19" s="1"/>
  <c r="AR19"/>
  <c r="AP19"/>
  <c r="AC19"/>
  <c r="AJ19" s="1"/>
  <c r="X19"/>
  <c r="V19"/>
  <c r="AB19" s="1"/>
  <c r="S19"/>
  <c r="R19"/>
  <c r="AD19" s="1"/>
  <c r="Q19"/>
  <c r="N19"/>
  <c r="M19"/>
  <c r="P19" s="1"/>
  <c r="L19"/>
  <c r="J19"/>
  <c r="H19"/>
  <c r="BE18"/>
  <c r="BF18" s="1"/>
  <c r="AY18"/>
  <c r="AZ18" s="1"/>
  <c r="AX18"/>
  <c r="BD18" s="1"/>
  <c r="AV18"/>
  <c r="AU18"/>
  <c r="AN18"/>
  <c r="AQ18" s="1"/>
  <c r="AC18"/>
  <c r="AI18" s="1"/>
  <c r="AB18"/>
  <c r="AE18" s="1"/>
  <c r="AF18" s="1"/>
  <c r="AA18"/>
  <c r="Z18"/>
  <c r="Z17" s="1"/>
  <c r="X18"/>
  <c r="S18"/>
  <c r="R18"/>
  <c r="AD18" s="1"/>
  <c r="Q18"/>
  <c r="P18"/>
  <c r="N18"/>
  <c r="L18"/>
  <c r="J18"/>
  <c r="H18"/>
  <c r="AG17"/>
  <c r="AG18" s="1"/>
  <c r="AC17"/>
  <c r="AJ17" s="1"/>
  <c r="AB17"/>
  <c r="AE17" s="1"/>
  <c r="X17"/>
  <c r="S17"/>
  <c r="R17"/>
  <c r="AD17" s="1"/>
  <c r="Q17"/>
  <c r="P17"/>
  <c r="N17"/>
  <c r="L17"/>
  <c r="J17"/>
  <c r="H17"/>
  <c r="BE16"/>
  <c r="BJ16" s="1"/>
  <c r="BD16"/>
  <c r="BG16" s="1"/>
  <c r="BA16"/>
  <c r="AT16"/>
  <c r="AS16"/>
  <c r="AQ16"/>
  <c r="AP16"/>
  <c r="AJ16"/>
  <c r="AC16"/>
  <c r="V16"/>
  <c r="AB16" s="1"/>
  <c r="R16"/>
  <c r="AD16" s="1"/>
  <c r="Q16"/>
  <c r="M16"/>
  <c r="N16" s="1"/>
  <c r="L16"/>
  <c r="J16"/>
  <c r="H16"/>
  <c r="BD15"/>
  <c r="AY15"/>
  <c r="AZ15" s="1"/>
  <c r="AX15"/>
  <c r="BA15" s="1"/>
  <c r="BC15" s="1"/>
  <c r="AU15"/>
  <c r="AS15"/>
  <c r="AV15" s="1"/>
  <c r="AW15" s="1"/>
  <c r="AQ15"/>
  <c r="AP15"/>
  <c r="AC15"/>
  <c r="AJ15" s="1"/>
  <c r="X15"/>
  <c r="V15"/>
  <c r="AB15" s="1"/>
  <c r="S15"/>
  <c r="R15"/>
  <c r="AD15" s="1"/>
  <c r="Q15"/>
  <c r="P15"/>
  <c r="N15"/>
  <c r="L15"/>
  <c r="J15"/>
  <c r="H15"/>
  <c r="D15"/>
  <c r="B15"/>
  <c r="AX14"/>
  <c r="AT14"/>
  <c r="AV14" s="1"/>
  <c r="AW14" s="1"/>
  <c r="AQ14"/>
  <c r="AR14" s="1"/>
  <c r="AP14"/>
  <c r="AM14"/>
  <c r="AI14"/>
  <c r="AH14"/>
  <c r="AO13"/>
  <c r="AN13"/>
  <c r="BD12"/>
  <c r="BI12" s="1"/>
  <c r="AY12"/>
  <c r="BA12" s="1"/>
  <c r="AU12"/>
  <c r="AS12"/>
  <c r="AV12" s="1"/>
  <c r="AW12" s="1"/>
  <c r="AQ12"/>
  <c r="AK12"/>
  <c r="AR12" s="1"/>
  <c r="AI12"/>
  <c r="AP12" s="1"/>
  <c r="AC12"/>
  <c r="AB12"/>
  <c r="W12"/>
  <c r="V12"/>
  <c r="R12"/>
  <c r="Q12"/>
  <c r="P12"/>
  <c r="M12"/>
  <c r="N12" s="1"/>
  <c r="L12"/>
  <c r="J12"/>
  <c r="H12"/>
  <c r="B12"/>
  <c r="BO11"/>
  <c r="BP11" s="1"/>
  <c r="BJ11"/>
  <c r="BK11" s="1"/>
  <c r="BI11"/>
  <c r="BL11" s="1"/>
  <c r="BM11" s="1"/>
  <c r="BH11"/>
  <c r="BG11"/>
  <c r="BF11"/>
  <c r="BB11"/>
  <c r="BA11"/>
  <c r="AZ11"/>
  <c r="AV11"/>
  <c r="BC11" s="1"/>
  <c r="AU11"/>
  <c r="AQ11"/>
  <c r="AP11"/>
  <c r="AK11"/>
  <c r="AM11" s="1"/>
  <c r="AJ11"/>
  <c r="AH11"/>
  <c r="AC11"/>
  <c r="X11"/>
  <c r="V11"/>
  <c r="AB11" s="1"/>
  <c r="AE11" s="1"/>
  <c r="AF11" s="1"/>
  <c r="S11"/>
  <c r="R11"/>
  <c r="AD11" s="1"/>
  <c r="Q11"/>
  <c r="P11"/>
  <c r="N11"/>
  <c r="L11"/>
  <c r="J11"/>
  <c r="H11"/>
  <c r="BJ10"/>
  <c r="BO10" s="1"/>
  <c r="BP10" s="1"/>
  <c r="BI10"/>
  <c r="BN10" s="1"/>
  <c r="BQ10" s="1"/>
  <c r="BG10"/>
  <c r="AX10"/>
  <c r="AU10"/>
  <c r="AT10"/>
  <c r="AY10" s="1"/>
  <c r="AS10"/>
  <c r="AQ10"/>
  <c r="AP10"/>
  <c r="AJ10"/>
  <c r="AC10"/>
  <c r="V10"/>
  <c r="AB10" s="1"/>
  <c r="R10"/>
  <c r="AD10" s="1"/>
  <c r="Q10"/>
  <c r="M10"/>
  <c r="P10" s="1"/>
  <c r="L10"/>
  <c r="J10"/>
  <c r="H10"/>
  <c r="AT9"/>
  <c r="AU9" s="1"/>
  <c r="AQ9"/>
  <c r="AI9"/>
  <c r="AC9"/>
  <c r="V9"/>
  <c r="X9" s="1"/>
  <c r="S9"/>
  <c r="R9"/>
  <c r="Q9"/>
  <c r="P9"/>
  <c r="N9"/>
  <c r="L9"/>
  <c r="J9"/>
  <c r="H9"/>
  <c r="BK8"/>
  <c r="BJ8"/>
  <c r="BO8" s="1"/>
  <c r="BP8" s="1"/>
  <c r="BE8"/>
  <c r="BD8"/>
  <c r="BG8" s="1"/>
  <c r="BB8"/>
  <c r="BB7" s="1"/>
  <c r="AY8"/>
  <c r="BA8" s="1"/>
  <c r="AT8"/>
  <c r="AT7" s="1"/>
  <c r="AS8"/>
  <c r="AQ8"/>
  <c r="AP8"/>
  <c r="AC8"/>
  <c r="AJ8" s="1"/>
  <c r="X8"/>
  <c r="V8"/>
  <c r="AB8" s="1"/>
  <c r="S8"/>
  <c r="R8"/>
  <c r="AD8" s="1"/>
  <c r="Q8"/>
  <c r="P8"/>
  <c r="N8"/>
  <c r="L8"/>
  <c r="J8"/>
  <c r="H8"/>
  <c r="AO7"/>
  <c r="AN7"/>
  <c r="AI7"/>
  <c r="T19" l="1"/>
  <c r="U19" s="1"/>
  <c r="T11"/>
  <c r="U11" s="1"/>
  <c r="T17"/>
  <c r="U17" s="1"/>
  <c r="AV32"/>
  <c r="AW19"/>
  <c r="AU14"/>
  <c r="BE15"/>
  <c r="BJ15" s="1"/>
  <c r="BC16"/>
  <c r="AH17"/>
  <c r="AK17" s="1"/>
  <c r="AX19"/>
  <c r="AV8"/>
  <c r="AY9"/>
  <c r="AY14"/>
  <c r="AY13" s="1"/>
  <c r="AQ13"/>
  <c r="BG15"/>
  <c r="BH15" s="1"/>
  <c r="AT13"/>
  <c r="AU13" s="1"/>
  <c r="AH18"/>
  <c r="AK18" s="1"/>
  <c r="BA18"/>
  <c r="BC18" s="1"/>
  <c r="X23"/>
  <c r="I18" i="4"/>
  <c r="AS9" i="1"/>
  <c r="AP7"/>
  <c r="AQ7"/>
  <c r="T10"/>
  <c r="U10" s="1"/>
  <c r="AV10"/>
  <c r="AW10" s="1"/>
  <c r="AH12"/>
  <c r="BA14"/>
  <c r="P16"/>
  <c r="AV16"/>
  <c r="AW16" s="1"/>
  <c r="BJ18"/>
  <c r="BK18" s="1"/>
  <c r="BJ19"/>
  <c r="BK19" s="1"/>
  <c r="AK20"/>
  <c r="BD23"/>
  <c r="BG23" s="1"/>
  <c r="BH23" s="1"/>
  <c r="BA24"/>
  <c r="AU7"/>
  <c r="BL10"/>
  <c r="BM10" s="1"/>
  <c r="AS7"/>
  <c r="AU8"/>
  <c r="AJ9"/>
  <c r="X10"/>
  <c r="BK10"/>
  <c r="AW11"/>
  <c r="AM12"/>
  <c r="BC12"/>
  <c r="BH16"/>
  <c r="BC20"/>
  <c r="BA22"/>
  <c r="BK22"/>
  <c r="AW23"/>
  <c r="I16" i="3"/>
  <c r="I17" s="1"/>
  <c r="N18"/>
  <c r="I26" i="4"/>
  <c r="N5" s="1"/>
  <c r="E8"/>
  <c r="AD9" i="1"/>
  <c r="X12"/>
  <c r="T18"/>
  <c r="U18" s="1"/>
  <c r="T12"/>
  <c r="U12" s="1"/>
  <c r="T23"/>
  <c r="U23" s="1"/>
  <c r="AD12"/>
  <c r="T15"/>
  <c r="U15" s="1"/>
  <c r="T9"/>
  <c r="U9" s="1"/>
  <c r="T8"/>
  <c r="U8" s="1"/>
  <c r="AE12"/>
  <c r="AF12" s="1"/>
  <c r="T16"/>
  <c r="U16" s="1"/>
  <c r="BH21"/>
  <c r="BL21"/>
  <c r="AE10"/>
  <c r="AF10" s="1"/>
  <c r="AH10"/>
  <c r="AK10" s="1"/>
  <c r="P9" i="4"/>
  <c r="BA10" i="1"/>
  <c r="D18" i="3"/>
  <c r="P27" i="4"/>
  <c r="P28" s="1"/>
  <c r="P30" s="1"/>
  <c r="E24" s="1"/>
  <c r="E18" s="1"/>
  <c r="E26" s="1"/>
  <c r="AR18" i="1"/>
  <c r="AW8"/>
  <c r="AE15"/>
  <c r="AF15" s="1"/>
  <c r="AH15"/>
  <c r="AK15" s="1"/>
  <c r="AE16"/>
  <c r="AF16" s="1"/>
  <c r="AH16"/>
  <c r="AK16" s="1"/>
  <c r="AH8"/>
  <c r="AE8"/>
  <c r="AF8" s="1"/>
  <c r="BC8"/>
  <c r="BO15"/>
  <c r="BP15" s="1"/>
  <c r="BK15"/>
  <c r="AL17"/>
  <c r="AM17"/>
  <c r="AH19"/>
  <c r="AK19" s="1"/>
  <c r="AL19" s="1"/>
  <c r="AE19"/>
  <c r="AF19" s="1"/>
  <c r="AZ10"/>
  <c r="BF10"/>
  <c r="BN12"/>
  <c r="AM18"/>
  <c r="AL18"/>
  <c r="AH23"/>
  <c r="AK23" s="1"/>
  <c r="AR23" s="1"/>
  <c r="AE23"/>
  <c r="AF23" s="1"/>
  <c r="J18" i="3"/>
  <c r="BC14" i="1"/>
  <c r="BO16"/>
  <c r="BP16" s="1"/>
  <c r="BK16"/>
  <c r="BH20"/>
  <c r="BL20"/>
  <c r="AJ18"/>
  <c r="AI13"/>
  <c r="AP13" s="1"/>
  <c r="AP18"/>
  <c r="BG18"/>
  <c r="BH18" s="1"/>
  <c r="BI18"/>
  <c r="BG22"/>
  <c r="BI22"/>
  <c r="BN22" s="1"/>
  <c r="BO23"/>
  <c r="BP23" s="1"/>
  <c r="BK23"/>
  <c r="AF17"/>
  <c r="F18" i="3"/>
  <c r="AR11" i="1"/>
  <c r="BE12"/>
  <c r="BE14"/>
  <c r="BO18"/>
  <c r="BP18" s="1"/>
  <c r="BO19"/>
  <c r="BP19" s="1"/>
  <c r="AZ16"/>
  <c r="AW18"/>
  <c r="BI8"/>
  <c r="AP9"/>
  <c r="AZ8"/>
  <c r="BH8"/>
  <c r="BQ8"/>
  <c r="N10"/>
  <c r="AL11"/>
  <c r="AZ12"/>
  <c r="AX13"/>
  <c r="AZ14"/>
  <c r="BF15"/>
  <c r="X16"/>
  <c r="AU16"/>
  <c r="BF16"/>
  <c r="BF23"/>
  <c r="BF8"/>
  <c r="AB9"/>
  <c r="AV13"/>
  <c r="AY7"/>
  <c r="AZ7" s="1"/>
  <c r="BN11"/>
  <c r="BQ11" s="1"/>
  <c r="BR11" s="1"/>
  <c r="BD14"/>
  <c r="BI16"/>
  <c r="AS13"/>
  <c r="BI15"/>
  <c r="BI23"/>
  <c r="BR10" l="1"/>
  <c r="AM20"/>
  <c r="AL20"/>
  <c r="BE9"/>
  <c r="AZ9"/>
  <c r="AX9"/>
  <c r="AV9"/>
  <c r="AZ13"/>
  <c r="BD19"/>
  <c r="BA19"/>
  <c r="M5" i="4"/>
  <c r="O5"/>
  <c r="L5"/>
  <c r="AV29" i="1"/>
  <c r="AW13"/>
  <c r="AM15"/>
  <c r="AR15"/>
  <c r="AK13"/>
  <c r="AL15"/>
  <c r="BM21"/>
  <c r="BQ21"/>
  <c r="BR21" s="1"/>
  <c r="BL16"/>
  <c r="BM16" s="1"/>
  <c r="BN16"/>
  <c r="BQ16" s="1"/>
  <c r="AL23"/>
  <c r="AM23"/>
  <c r="AL16"/>
  <c r="AM16"/>
  <c r="BH22"/>
  <c r="BL22"/>
  <c r="BL15"/>
  <c r="BM15" s="1"/>
  <c r="BN15"/>
  <c r="BQ15" s="1"/>
  <c r="BJ12"/>
  <c r="BF12"/>
  <c r="BG12"/>
  <c r="AM10"/>
  <c r="AR10"/>
  <c r="AL10"/>
  <c r="BL8"/>
  <c r="BL23"/>
  <c r="BM23" s="1"/>
  <c r="BN23"/>
  <c r="BQ23" s="1"/>
  <c r="AE9"/>
  <c r="AF9" s="1"/>
  <c r="AH9"/>
  <c r="AK9" s="1"/>
  <c r="BJ14"/>
  <c r="BF14"/>
  <c r="BE13"/>
  <c r="BF13" s="1"/>
  <c r="BL18"/>
  <c r="BM18" s="1"/>
  <c r="BN18"/>
  <c r="BQ18" s="1"/>
  <c r="AR16"/>
  <c r="BD13"/>
  <c r="BG14"/>
  <c r="BI14"/>
  <c r="BM20"/>
  <c r="BQ20"/>
  <c r="BR20" s="1"/>
  <c r="AK8"/>
  <c r="AH7"/>
  <c r="BC10"/>
  <c r="BH10"/>
  <c r="AH13"/>
  <c r="BI19" l="1"/>
  <c r="BG19"/>
  <c r="BH19" s="1"/>
  <c r="BC19"/>
  <c r="BA13"/>
  <c r="BA9"/>
  <c r="AX7"/>
  <c r="BH9"/>
  <c r="AV7"/>
  <c r="AW7" s="1"/>
  <c r="AW9"/>
  <c r="BJ9"/>
  <c r="BD9"/>
  <c r="BF9"/>
  <c r="BE7"/>
  <c r="BF7" s="1"/>
  <c r="BM8"/>
  <c r="M10" i="4"/>
  <c r="BH14" i="1"/>
  <c r="BG13"/>
  <c r="N10" i="4"/>
  <c r="BI13" i="1"/>
  <c r="BL14"/>
  <c r="BN14"/>
  <c r="BK12"/>
  <c r="BO12"/>
  <c r="BL12"/>
  <c r="BM12" s="1"/>
  <c r="BJ7"/>
  <c r="BK7" s="1"/>
  <c r="BM22"/>
  <c r="BQ22"/>
  <c r="BR22" s="1"/>
  <c r="L10" i="4"/>
  <c r="P5"/>
  <c r="BR18" i="1"/>
  <c r="BR23"/>
  <c r="AL9"/>
  <c r="AM9"/>
  <c r="AR9"/>
  <c r="BH12"/>
  <c r="BG7"/>
  <c r="BK14"/>
  <c r="BO14"/>
  <c r="BJ13"/>
  <c r="BK13" s="1"/>
  <c r="AL8"/>
  <c r="AM8"/>
  <c r="AK7"/>
  <c r="AR7" s="1"/>
  <c r="AR8"/>
  <c r="BR15"/>
  <c r="BR16"/>
  <c r="AM13"/>
  <c r="AR13" s="1"/>
  <c r="BR8"/>
  <c r="BA29" l="1"/>
  <c r="BC13"/>
  <c r="BC9"/>
  <c r="BA7"/>
  <c r="BC7" s="1"/>
  <c r="BN19"/>
  <c r="BQ19" s="1"/>
  <c r="BL19"/>
  <c r="BM19" s="1"/>
  <c r="BO9"/>
  <c r="BP9" s="1"/>
  <c r="BK9"/>
  <c r="BI9"/>
  <c r="BD7"/>
  <c r="BN13"/>
  <c r="BQ14"/>
  <c r="BP14"/>
  <c r="BO13"/>
  <c r="BP13" s="1"/>
  <c r="BM14"/>
  <c r="BP12"/>
  <c r="BQ12"/>
  <c r="BR12" s="1"/>
  <c r="BG29"/>
  <c r="BH29" s="1"/>
  <c r="BH13"/>
  <c r="AM7"/>
  <c r="BL13" l="1"/>
  <c r="BR19"/>
  <c r="BL9"/>
  <c r="BI7"/>
  <c r="BN9"/>
  <c r="BO7"/>
  <c r="BP7" s="1"/>
  <c r="BH7"/>
  <c r="BR14"/>
  <c r="BQ13"/>
  <c r="BL29"/>
  <c r="BM13"/>
  <c r="BQ9" l="1"/>
  <c r="BN7"/>
  <c r="BM9"/>
  <c r="BL7"/>
  <c r="BM7" s="1"/>
  <c r="BR13"/>
  <c r="BQ29"/>
  <c r="P10" i="4"/>
  <c r="BR9" i="1" l="1"/>
  <c r="BQ7"/>
  <c r="BR7" s="1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<sst xmlns="http://schemas.openxmlformats.org/spreadsheetml/2006/main" count="235" uniqueCount="162">
  <si>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</si>
  <si>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</si>
  <si>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</si>
  <si>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</si>
  <si>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</si>
  <si>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</si>
  <si>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</si>
  <si>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</si>
  <si>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</si>
  <si>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</si>
  <si>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</si>
  <si>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Фактически выплаченная субсидия за 2017 год</t>
  </si>
  <si>
    <t>2018 год - прогнозная оценка АТиЦ</t>
  </si>
  <si>
    <t>2018 год</t>
  </si>
  <si>
    <t>2019 год - прогноз</t>
  </si>
  <si>
    <t>2019 год</t>
  </si>
  <si>
    <t>2020 год - прогноз</t>
  </si>
  <si>
    <t>2021 год (бюджет)</t>
  </si>
  <si>
    <t>2022 год  (бюджет)</t>
  </si>
  <si>
    <t>2023 год - прогноз</t>
  </si>
  <si>
    <t>2024 год - прогноз</t>
  </si>
  <si>
    <t>2025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</si>
  <si>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</si>
  <si>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</si>
  <si>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</si>
  <si>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</si>
  <si>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</si>
  <si>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</si>
  <si>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</si>
  <si>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</si>
  <si>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</si>
  <si>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</si>
  <si>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</si>
  <si>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</si>
  <si>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</si>
  <si>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</si>
  <si>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</si>
  <si>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</si>
  <si>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</si>
  <si>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</si>
  <si>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Областной закон от 23.12.2016                   № 503-31-ОЗ</t>
  </si>
  <si>
    <t>Рост тарифов к 2016 г., %</t>
  </si>
  <si>
    <t>Рост к 2017 г., %</t>
  </si>
  <si>
    <t>Областной закон от 15.12.2017                   № 581-40-ОЗ</t>
  </si>
  <si>
    <t>Рост к 2018 г., %</t>
  </si>
  <si>
    <t>В областном законе</t>
  </si>
  <si>
    <t>Потебность средств ОБ</t>
  </si>
  <si>
    <t>Рост к 2019 г., %</t>
  </si>
  <si>
    <t>Рост доходов, %</t>
  </si>
  <si>
    <t>Рост к 2020 г., %</t>
  </si>
  <si>
    <t>Рост к 2022 г., %</t>
  </si>
  <si>
    <t>Рост к 2023 г., %</t>
  </si>
  <si>
    <t>1. Межмуниципальные перевозки</t>
  </si>
  <si>
    <t>ООО "Судоходная компания "Арктикрейд" (Архангельск - Соловки)</t>
  </si>
  <si>
    <t xml:space="preserve">ИП Сидоров А.Б. (Архангельск - Патракеевка)
</t>
  </si>
  <si>
    <t>МУП "НЕСК" (Новодвинск - Ягодник - Дедов Полой)</t>
  </si>
  <si>
    <t>ИП Емельянов В.В. (Котлас - Песчаница)</t>
  </si>
  <si>
    <t>ОАО "Архангельский речной порт" (межмуниципальные)</t>
  </si>
  <si>
    <t>ОАО "Архангельский речной порт" (город Архангельск)</t>
  </si>
  <si>
    <t>ИП Сидоров А.Б. или АО "СРП" (В. Тойма - Н. Тойма)</t>
  </si>
  <si>
    <t xml:space="preserve">ИП Муковозов Н.П. (п. Порог - с. Усть Кожа )   </t>
  </si>
  <si>
    <t>ИП Цурко Е.Ю. (г. Онега - с. Лямца) Онежск</t>
  </si>
  <si>
    <t xml:space="preserve">ИП Цурко Е.Ю. (г. Онега - пос. Легашевская запань) </t>
  </si>
  <si>
    <t xml:space="preserve">ООО "Устьпинежский ЛПХ" (дер. Хорьково - дер. Кузьмино, дер.Черный Яр - дер. Дедов Полой) </t>
  </si>
  <si>
    <t>-</t>
  </si>
  <si>
    <t xml:space="preserve"> ИП Сидоров (Емецк -Подгор - Челмохта)</t>
  </si>
  <si>
    <t>ИП Кабичев (Сосновка-Мамониха) Пинега</t>
  </si>
  <si>
    <t>ООО "Сиверко" (пос. Каменка - г. Мезень)</t>
  </si>
  <si>
    <t xml:space="preserve"> - </t>
  </si>
  <si>
    <t>Онежский район (аренда причала, пластиковые понтоны, остановочные павильоны)</t>
  </si>
  <si>
    <t>Приморский район (остановочные павильоны)</t>
  </si>
  <si>
    <t>Котласский район (остановочные павильоны)</t>
  </si>
  <si>
    <t>Мезенский район (остановочные павильоны)</t>
  </si>
  <si>
    <t>ИТОГО средства ИМБТ муниципальным образованиям на организацию транспортного обслуживания</t>
  </si>
  <si>
    <t>Расчет затрат по договорма лизинга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</si>
  <si>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</si>
  <si>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</si>
  <si>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</si>
  <si>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</si>
  <si>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</si>
  <si>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</si>
  <si>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</si>
  <si>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</si>
  <si>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</si>
  <si>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</si>
  <si>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</si>
  <si>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</si>
  <si>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</si>
  <si>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</si>
  <si>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</si>
  <si>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</si>
  <si>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</si>
  <si>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</si>
  <si>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</si>
  <si>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</si>
  <si>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</si>
  <si>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</si>
  <si>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</si>
  <si>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</si>
  <si>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</si>
  <si>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</si>
  <si>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</si>
  <si>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</si>
  <si>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</si>
  <si>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</si>
  <si>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</si>
  <si>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</si>
  <si>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</si>
  <si>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</si>
  <si>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</si>
  <si>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</si>
  <si>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</si>
  <si>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</si>
  <si>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</si>
  <si>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</si>
  <si>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</si>
  <si>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</si>
  <si>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</si>
  <si>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</si>
  <si>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</si>
  <si>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</si>
  <si>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</si>
  <si>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</si>
  <si>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</si>
  <si>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</si>
  <si>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</si>
  <si>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</si>
  <si>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</si>
  <si>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</si>
  <si>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</si>
  <si>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</si>
  <si>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</si>
  <si>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</si>
  <si>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</si>
  <si>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</si>
  <si>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</si>
  <si>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</si>
  <si>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</si>
  <si>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</si>
  <si>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</si>
  <si>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</si>
  <si>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</si>
  <si>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</si>
  <si>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</si>
  <si>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</si>
  <si>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</si>
  <si>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</si>
  <si>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</si>
  <si>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</si>
  <si>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</si>
  <si>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</si>
  <si>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</si>
  <si>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</si>
  <si>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</si>
  <si>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</si>
  <si>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>Создание условий для организации перевозок</t>
  </si>
  <si>
    <t>2. Муниципальные перевозки</t>
  </si>
  <si>
    <t>рублей</t>
  </si>
  <si>
    <t xml:space="preserve">Расчет прогнозируемого размера средств областного бюджета на организацию транспортного обслуживания населения водным транспортом на 2023 год и плановый период 2024 и 2025 годов                                                                                                                                                                              </t>
  </si>
  <si>
    <t>Приложение № 19</t>
  </si>
  <si>
    <t>к пояснительной записке</t>
  </si>
  <si>
    <t>МУП "Коммунальное" (с. Черевково-Ракулка) Красноборский р-н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</si>
</sst>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0.0"/>
    <numFmt numFmtId="166" formatCode="0.0%"/>
    <numFmt numFmtId="167" formatCode="0.0000"/>
    <numFmt numFmtId="168" formatCode="0.000"/>
    <numFmt numFmtId="169" formatCode="#,##0.000"/>
  </numFmts>
  <fonts count="44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2"/>
      <name val="Times New Roman"/>
    </font>
    <font>
      <b/>
      <sz val="18"/>
      <name val="Times New Roman"/>
    </font>
    <font>
      <b/>
      <sz val="12"/>
      <name val="Times New Roman"/>
    </font>
    <font>
      <i/>
      <sz val="12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</patternFill>
    </fill>
    <fill>
      <patternFill patternType="solid">
        <fgColor theme="0"/>
        <bgColor theme="0" tint="-0.249977111117893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2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164" fontId="37" fillId="0" borderId="0" applyFon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420">
    <xf numFmtId="0" fontId="0" fillId="0" borderId="0" xfId="0"/>
    <xf numFmtId="0" fontId="21" fillId="25" borderId="0" xfId="0" applyFont="1" applyFill="1"/>
    <xf numFmtId="165" fontId="21" fillId="25" borderId="48" xfId="0" applyNumberFormat="1" applyFont="1" applyFill="1" applyBorder="1" applyAlignment="1">
      <alignment horizontal="left" wrapText="1"/>
    </xf>
    <xf numFmtId="165" fontId="21" fillId="25" borderId="49" xfId="0" applyNumberFormat="1" applyFont="1" applyFill="1" applyBorder="1" applyAlignment="1">
      <alignment horizontal="left"/>
    </xf>
    <xf numFmtId="0" fontId="21" fillId="25" borderId="49" xfId="0" applyFont="1" applyFill="1" applyBorder="1"/>
    <xf numFmtId="0" fontId="23" fillId="25" borderId="49" xfId="0" applyFont="1" applyFill="1" applyBorder="1" applyAlignment="1">
      <alignment horizontal="center"/>
    </xf>
    <xf numFmtId="4" fontId="21" fillId="25" borderId="49" xfId="0" applyNumberFormat="1" applyFont="1" applyFill="1" applyBorder="1" applyAlignment="1">
      <alignment horizontal="center" vertical="center"/>
    </xf>
    <xf numFmtId="4" fontId="21" fillId="25" borderId="49" xfId="931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26" fillId="0" borderId="58" xfId="0" applyFont="1" applyBorder="1" applyAlignment="1">
      <alignment wrapText="1"/>
    </xf>
    <xf numFmtId="4" fontId="0" fillId="0" borderId="48" xfId="0" applyNumberFormat="1" applyBorder="1" applyAlignment="1">
      <alignment wrapText="1"/>
    </xf>
    <xf numFmtId="0" fontId="26" fillId="0" borderId="59" xfId="0" applyFont="1" applyBorder="1" applyAlignment="1">
      <alignment wrapText="1"/>
    </xf>
    <xf numFmtId="4" fontId="0" fillId="0" borderId="49" xfId="0" applyNumberFormat="1" applyBorder="1" applyAlignment="1">
      <alignment wrapText="1"/>
    </xf>
    <xf numFmtId="4" fontId="0" fillId="0" borderId="50" xfId="0" applyNumberFormat="1" applyBorder="1" applyAlignment="1">
      <alignment wrapText="1"/>
    </xf>
    <xf numFmtId="0" fontId="0" fillId="0" borderId="60" xfId="0" applyBorder="1" applyAlignment="1">
      <alignment wrapText="1"/>
    </xf>
    <xf numFmtId="0" fontId="0" fillId="0" borderId="39" xfId="0" applyBorder="1" applyAlignment="1">
      <alignment wrapText="1"/>
    </xf>
    <xf numFmtId="4" fontId="0" fillId="0" borderId="40" xfId="0" applyNumberFormat="1" applyBorder="1" applyAlignment="1">
      <alignment wrapText="1"/>
    </xf>
    <xf numFmtId="4" fontId="0" fillId="0" borderId="38" xfId="0" applyNumberFormat="1" applyBorder="1" applyAlignment="1">
      <alignment wrapText="1"/>
    </xf>
    <xf numFmtId="4" fontId="0" fillId="0" borderId="41" xfId="0" applyNumberFormat="1" applyBorder="1" applyAlignment="1">
      <alignment wrapText="1"/>
    </xf>
    <xf numFmtId="0" fontId="26" fillId="0" borderId="60" xfId="0" applyFon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27" xfId="0" applyNumberForma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0" xfId="0" applyNumberFormat="1" applyBorder="1" applyAlignment="1">
      <alignment wrapText="1"/>
    </xf>
    <xf numFmtId="0" fontId="27" fillId="0" borderId="10" xfId="0" applyFont="1" applyBorder="1" applyAlignment="1">
      <alignment wrapText="1"/>
    </xf>
    <xf numFmtId="4" fontId="27" fillId="0" borderId="15" xfId="0" applyNumberFormat="1" applyFont="1" applyBorder="1" applyAlignment="1">
      <alignment wrapText="1"/>
    </xf>
    <xf numFmtId="4" fontId="27" fillId="0" borderId="18" xfId="0" applyNumberFormat="1" applyFont="1" applyBorder="1" applyAlignment="1">
      <alignment wrapText="1"/>
    </xf>
    <xf numFmtId="4" fontId="27" fillId="0" borderId="16" xfId="0" applyNumberFormat="1" applyFont="1" applyBorder="1" applyAlignment="1">
      <alignment wrapText="1"/>
    </xf>
    <xf numFmtId="0" fontId="27" fillId="0" borderId="36" xfId="0" applyFont="1" applyBorder="1" applyAlignment="1">
      <alignment wrapText="1"/>
    </xf>
    <xf numFmtId="4" fontId="27" fillId="0" borderId="40" xfId="0" applyNumberFormat="1" applyFont="1" applyBorder="1" applyAlignment="1">
      <alignment wrapText="1"/>
    </xf>
    <xf numFmtId="4" fontId="27" fillId="0" borderId="38" xfId="0" applyNumberFormat="1" applyFont="1" applyBorder="1" applyAlignment="1">
      <alignment wrapText="1"/>
    </xf>
    <xf numFmtId="4" fontId="27" fillId="0" borderId="41" xfId="0" applyNumberFormat="1" applyFont="1" applyBorder="1" applyAlignment="1">
      <alignment wrapText="1"/>
    </xf>
    <xf numFmtId="0" fontId="27" fillId="0" borderId="42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7" fillId="0" borderId="21" xfId="0" applyFont="1" applyBorder="1" applyAlignment="1">
      <alignment horizontal="center" vertical="center"/>
    </xf>
    <xf numFmtId="0" fontId="28" fillId="0" borderId="14" xfId="0" applyFont="1" applyBorder="1" applyAlignment="1">
      <alignment vertical="center"/>
    </xf>
    <xf numFmtId="0" fontId="28" fillId="0" borderId="67" xfId="0" applyFont="1" applyBorder="1" applyAlignment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31" fillId="0" borderId="20" xfId="0" applyFont="1" applyBorder="1" applyAlignment="1">
      <alignment vertical="center" wrapText="1"/>
    </xf>
    <xf numFmtId="3" fontId="32" fillId="0" borderId="15" xfId="0" applyNumberFormat="1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3" fontId="32" fillId="0" borderId="16" xfId="0" applyNumberFormat="1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0" fillId="0" borderId="40" xfId="0" applyBorder="1" applyAlignment="1">
      <alignment vertical="center"/>
    </xf>
    <xf numFmtId="4" fontId="0" fillId="0" borderId="38" xfId="0" applyNumberFormat="1" applyBorder="1" applyAlignment="1">
      <alignment horizontal="center" vertical="center"/>
    </xf>
    <xf numFmtId="4" fontId="27" fillId="0" borderId="41" xfId="0" applyNumberFormat="1" applyFont="1" applyBorder="1" applyAlignment="1">
      <alignment vertical="center"/>
    </xf>
    <xf numFmtId="0" fontId="31" fillId="0" borderId="60" xfId="0" applyFont="1" applyBorder="1" applyAlignment="1">
      <alignment vertical="center" wrapText="1"/>
    </xf>
    <xf numFmtId="3" fontId="32" fillId="0" borderId="40" xfId="0" applyNumberFormat="1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3" fontId="32" fillId="0" borderId="41" xfId="0" applyNumberFormat="1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27" fillId="0" borderId="41" xfId="0" applyFont="1" applyBorder="1" applyAlignment="1">
      <alignment vertical="center"/>
    </xf>
    <xf numFmtId="0" fontId="0" fillId="0" borderId="40" xfId="0" applyBorder="1" applyAlignment="1">
      <alignment vertical="center" wrapText="1"/>
    </xf>
    <xf numFmtId="0" fontId="34" fillId="0" borderId="60" xfId="0" applyFont="1" applyBorder="1" applyAlignment="1">
      <alignment horizontal="center" vertical="center" wrapText="1"/>
    </xf>
    <xf numFmtId="0" fontId="35" fillId="0" borderId="60" xfId="0" applyFont="1" applyBorder="1" applyAlignment="1">
      <alignment vertical="center" wrapText="1"/>
    </xf>
    <xf numFmtId="3" fontId="0" fillId="0" borderId="40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3" fontId="26" fillId="0" borderId="40" xfId="0" applyNumberFormat="1" applyFont="1" applyBorder="1" applyAlignment="1">
      <alignment vertical="center"/>
    </xf>
    <xf numFmtId="3" fontId="26" fillId="0" borderId="41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4" fontId="0" fillId="0" borderId="44" xfId="0" applyNumberFormat="1" applyBorder="1" applyAlignment="1">
      <alignment horizontal="center" vertical="center"/>
    </xf>
    <xf numFmtId="4" fontId="27" fillId="0" borderId="47" xfId="0" applyNumberFormat="1" applyFont="1" applyBorder="1" applyAlignment="1">
      <alignment vertical="center"/>
    </xf>
    <xf numFmtId="0" fontId="0" fillId="0" borderId="24" xfId="0" applyBorder="1" applyAlignment="1">
      <alignment wrapText="1"/>
    </xf>
    <xf numFmtId="0" fontId="0" fillId="0" borderId="5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26" fillId="0" borderId="15" xfId="0" applyFont="1" applyBorder="1" applyAlignment="1">
      <alignment wrapText="1"/>
    </xf>
    <xf numFmtId="4" fontId="0" fillId="0" borderId="18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35" fillId="0" borderId="60" xfId="0" applyNumberFormat="1" applyFont="1" applyBorder="1" applyAlignment="1">
      <alignment vertic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26" borderId="38" xfId="0" applyFill="1" applyBorder="1" applyAlignment="1">
      <alignment horizontal="center"/>
    </xf>
    <xf numFmtId="0" fontId="27" fillId="26" borderId="38" xfId="0" applyFont="1" applyFill="1" applyBorder="1" applyAlignment="1">
      <alignment horizontal="center"/>
    </xf>
    <xf numFmtId="0" fontId="26" fillId="0" borderId="40" xfId="0" applyFont="1" applyBorder="1" applyAlignment="1">
      <alignment wrapText="1"/>
    </xf>
    <xf numFmtId="0" fontId="36" fillId="26" borderId="38" xfId="0" applyFont="1" applyFill="1" applyBorder="1" applyAlignment="1">
      <alignment horizontal="center"/>
    </xf>
    <xf numFmtId="0" fontId="0" fillId="0" borderId="38" xfId="0" applyBorder="1" applyAlignment="1">
      <alignment wrapText="1"/>
    </xf>
    <xf numFmtId="165" fontId="36" fillId="26" borderId="38" xfId="0" applyNumberFormat="1" applyFont="1" applyFill="1" applyBorder="1" applyAlignment="1">
      <alignment horizontal="center"/>
    </xf>
    <xf numFmtId="167" fontId="36" fillId="26" borderId="38" xfId="0" applyNumberFormat="1" applyFont="1" applyFill="1" applyBorder="1" applyAlignment="1">
      <alignment horizontal="center"/>
    </xf>
    <xf numFmtId="2" fontId="36" fillId="26" borderId="38" xfId="0" applyNumberFormat="1" applyFont="1" applyFill="1" applyBorder="1" applyAlignment="1">
      <alignment horizontal="center"/>
    </xf>
    <xf numFmtId="0" fontId="31" fillId="0" borderId="60" xfId="0" applyFont="1" applyBorder="1" applyAlignment="1">
      <alignment horizontal="left" vertical="center" wrapText="1"/>
    </xf>
    <xf numFmtId="168" fontId="36" fillId="26" borderId="38" xfId="0" applyNumberFormat="1" applyFont="1" applyFill="1" applyBorder="1" applyAlignment="1">
      <alignment horizontal="center"/>
    </xf>
    <xf numFmtId="0" fontId="26" fillId="0" borderId="39" xfId="0" applyFont="1" applyBorder="1" applyAlignment="1">
      <alignment vertical="center"/>
    </xf>
    <xf numFmtId="3" fontId="26" fillId="27" borderId="40" xfId="0" applyNumberFormat="1" applyFont="1" applyFill="1" applyBorder="1" applyAlignment="1">
      <alignment vertical="center"/>
    </xf>
    <xf numFmtId="3" fontId="26" fillId="27" borderId="41" xfId="0" applyNumberFormat="1" applyFont="1" applyFill="1" applyBorder="1" applyAlignment="1">
      <alignment vertical="center"/>
    </xf>
    <xf numFmtId="3" fontId="26" fillId="25" borderId="40" xfId="0" applyNumberFormat="1" applyFont="1" applyFill="1" applyBorder="1" applyAlignment="1">
      <alignment vertical="center"/>
    </xf>
    <xf numFmtId="3" fontId="26" fillId="25" borderId="41" xfId="0" applyNumberFormat="1" applyFont="1" applyFill="1" applyBorder="1" applyAlignment="1">
      <alignment vertical="center"/>
    </xf>
    <xf numFmtId="0" fontId="35" fillId="0" borderId="3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3" fontId="32" fillId="0" borderId="46" xfId="0" applyNumberFormat="1" applyFont="1" applyBorder="1" applyAlignment="1">
      <alignment vertical="center"/>
    </xf>
    <xf numFmtId="0" fontId="32" fillId="0" borderId="45" xfId="0" applyFont="1" applyBorder="1" applyAlignment="1">
      <alignment vertical="center"/>
    </xf>
    <xf numFmtId="4" fontId="32" fillId="24" borderId="46" xfId="0" applyNumberFormat="1" applyFont="1" applyFill="1" applyBorder="1" applyAlignment="1">
      <alignment vertical="center"/>
    </xf>
    <xf numFmtId="4" fontId="32" fillId="24" borderId="47" xfId="0" applyNumberFormat="1" applyFont="1" applyFill="1" applyBorder="1" applyAlignment="1">
      <alignment vertical="center"/>
    </xf>
    <xf numFmtId="4" fontId="32" fillId="0" borderId="45" xfId="0" applyNumberFormat="1" applyFont="1" applyBorder="1" applyAlignment="1">
      <alignment vertical="center"/>
    </xf>
    <xf numFmtId="169" fontId="32" fillId="24" borderId="46" xfId="0" applyNumberFormat="1" applyFont="1" applyFill="1" applyBorder="1" applyAlignment="1">
      <alignment vertical="center"/>
    </xf>
    <xf numFmtId="0" fontId="27" fillId="0" borderId="40" xfId="0" applyFont="1" applyBorder="1" applyAlignment="1">
      <alignment wrapText="1"/>
    </xf>
    <xf numFmtId="0" fontId="27" fillId="0" borderId="27" xfId="0" applyFont="1" applyBorder="1" applyAlignment="1">
      <alignment wrapText="1"/>
    </xf>
    <xf numFmtId="4" fontId="27" fillId="0" borderId="30" xfId="0" applyNumberFormat="1" applyFont="1" applyBorder="1" applyAlignment="1">
      <alignment wrapText="1"/>
    </xf>
    <xf numFmtId="4" fontId="27" fillId="0" borderId="28" xfId="0" applyNumberFormat="1" applyFont="1" applyBorder="1" applyAlignment="1">
      <alignment wrapText="1"/>
    </xf>
    <xf numFmtId="0" fontId="25" fillId="0" borderId="0" xfId="0" applyFont="1"/>
    <xf numFmtId="4" fontId="0" fillId="0" borderId="16" xfId="0" applyNumberFormat="1" applyBorder="1" applyAlignment="1">
      <alignment wrapText="1"/>
    </xf>
    <xf numFmtId="0" fontId="0" fillId="0" borderId="41" xfId="0" applyBorder="1" applyAlignment="1">
      <alignment horizontal="center" wrapText="1"/>
    </xf>
    <xf numFmtId="4" fontId="27" fillId="0" borderId="4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2" xfId="0" applyBorder="1" applyAlignment="1">
      <alignment wrapText="1"/>
    </xf>
    <xf numFmtId="0" fontId="0" fillId="0" borderId="63" xfId="0" applyBorder="1"/>
    <xf numFmtId="0" fontId="0" fillId="0" borderId="73" xfId="0" applyBorder="1"/>
    <xf numFmtId="4" fontId="23" fillId="25" borderId="49" xfId="0" applyNumberFormat="1" applyFont="1" applyFill="1" applyBorder="1" applyAlignment="1">
      <alignment horizontal="center" vertical="center"/>
    </xf>
    <xf numFmtId="4" fontId="23" fillId="25" borderId="50" xfId="0" applyNumberFormat="1" applyFont="1" applyFill="1" applyBorder="1" applyAlignment="1">
      <alignment horizontal="center" vertical="center"/>
    </xf>
    <xf numFmtId="4" fontId="23" fillId="25" borderId="48" xfId="0" applyNumberFormat="1" applyFont="1" applyFill="1" applyBorder="1" applyAlignment="1">
      <alignment horizontal="center" vertical="center"/>
    </xf>
    <xf numFmtId="4" fontId="21" fillId="25" borderId="50" xfId="0" applyNumberFormat="1" applyFont="1" applyFill="1" applyBorder="1" applyAlignment="1">
      <alignment horizontal="center" vertical="center"/>
    </xf>
    <xf numFmtId="4" fontId="23" fillId="25" borderId="52" xfId="0" applyNumberFormat="1" applyFont="1" applyFill="1" applyBorder="1" applyAlignment="1">
      <alignment horizontal="center" vertical="center"/>
    </xf>
    <xf numFmtId="0" fontId="21" fillId="28" borderId="0" xfId="0" applyFont="1" applyFill="1"/>
    <xf numFmtId="0" fontId="23" fillId="28" borderId="0" xfId="0" applyFont="1" applyFill="1" applyAlignment="1">
      <alignment horizontal="right"/>
    </xf>
    <xf numFmtId="165" fontId="21" fillId="28" borderId="0" xfId="0" applyNumberFormat="1" applyFont="1" applyFill="1"/>
    <xf numFmtId="0" fontId="23" fillId="28" borderId="0" xfId="0" applyFont="1" applyFill="1"/>
    <xf numFmtId="0" fontId="23" fillId="29" borderId="11" xfId="0" applyFont="1" applyFill="1" applyBorder="1" applyAlignment="1">
      <alignment horizontal="center" vertical="center" wrapText="1"/>
    </xf>
    <xf numFmtId="0" fontId="23" fillId="29" borderId="12" xfId="0" applyFont="1" applyFill="1" applyBorder="1" applyAlignment="1">
      <alignment horizontal="center" vertical="center" wrapText="1"/>
    </xf>
    <xf numFmtId="0" fontId="23" fillId="29" borderId="20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29" borderId="23" xfId="0" applyFont="1" applyFill="1" applyBorder="1" applyAlignment="1">
      <alignment horizontal="center" vertical="center" wrapText="1"/>
    </xf>
    <xf numFmtId="0" fontId="23" fillId="29" borderId="24" xfId="0" applyFont="1" applyFill="1" applyBorder="1" applyAlignment="1">
      <alignment horizontal="center" vertical="center" wrapText="1"/>
    </xf>
    <xf numFmtId="0" fontId="23" fillId="29" borderId="25" xfId="0" applyFont="1" applyFill="1" applyBorder="1" applyAlignment="1">
      <alignment horizontal="center" vertical="center" wrapText="1"/>
    </xf>
    <xf numFmtId="0" fontId="23" fillId="29" borderId="21" xfId="0" applyFont="1" applyFill="1" applyBorder="1" applyAlignment="1">
      <alignment horizontal="center" vertical="center" wrapText="1"/>
    </xf>
    <xf numFmtId="0" fontId="23" fillId="29" borderId="26" xfId="0" applyFont="1" applyFill="1" applyBorder="1" applyAlignment="1">
      <alignment horizontal="center" vertical="center" wrapText="1"/>
    </xf>
    <xf numFmtId="0" fontId="23" fillId="29" borderId="27" xfId="0" applyFont="1" applyFill="1" applyBorder="1" applyAlignment="1">
      <alignment horizontal="center" vertical="center" wrapText="1"/>
    </xf>
    <xf numFmtId="0" fontId="23" fillId="29" borderId="28" xfId="0" applyFont="1" applyFill="1" applyBorder="1" applyAlignment="1">
      <alignment horizontal="center" vertical="center" wrapText="1"/>
    </xf>
    <xf numFmtId="0" fontId="23" fillId="29" borderId="29" xfId="0" applyFont="1" applyFill="1" applyBorder="1" applyAlignment="1">
      <alignment horizontal="center" vertical="center" wrapText="1"/>
    </xf>
    <xf numFmtId="0" fontId="23" fillId="29" borderId="30" xfId="0" applyFont="1" applyFill="1" applyBorder="1" applyAlignment="1">
      <alignment horizontal="center" vertical="center" wrapText="1"/>
    </xf>
    <xf numFmtId="0" fontId="23" fillId="29" borderId="31" xfId="0" applyFont="1" applyFill="1" applyBorder="1" applyAlignment="1">
      <alignment horizontal="center" vertical="center" wrapText="1"/>
    </xf>
    <xf numFmtId="0" fontId="23" fillId="29" borderId="32" xfId="0" applyFont="1" applyFill="1" applyBorder="1" applyAlignment="1">
      <alignment horizontal="center" vertical="center" wrapText="1"/>
    </xf>
    <xf numFmtId="0" fontId="23" fillId="29" borderId="22" xfId="0" applyFont="1" applyFill="1" applyBorder="1" applyAlignment="1">
      <alignment horizontal="center" vertical="center" wrapText="1"/>
    </xf>
    <xf numFmtId="0" fontId="23" fillId="29" borderId="34" xfId="0" applyFont="1" applyFill="1" applyBorder="1" applyAlignment="1">
      <alignment horizontal="center" vertical="center" wrapText="1"/>
    </xf>
    <xf numFmtId="0" fontId="23" fillId="29" borderId="35" xfId="0" applyFont="1" applyFill="1" applyBorder="1" applyAlignment="1">
      <alignment horizontal="center" vertical="center" wrapText="1"/>
    </xf>
    <xf numFmtId="0" fontId="23" fillId="29" borderId="33" xfId="0" applyFont="1" applyFill="1" applyBorder="1" applyAlignment="1">
      <alignment horizontal="center" vertical="center" wrapText="1"/>
    </xf>
    <xf numFmtId="0" fontId="23" fillId="29" borderId="17" xfId="0" applyFont="1" applyFill="1" applyBorder="1" applyAlignment="1">
      <alignment horizontal="center" vertical="center" wrapText="1"/>
    </xf>
    <xf numFmtId="0" fontId="23" fillId="29" borderId="18" xfId="0" applyFont="1" applyFill="1" applyBorder="1" applyAlignment="1">
      <alignment horizontal="center" vertical="center" wrapText="1"/>
    </xf>
    <xf numFmtId="0" fontId="23" fillId="29" borderId="19" xfId="0" applyFont="1" applyFill="1" applyBorder="1" applyAlignment="1">
      <alignment horizontal="center" vertical="center" wrapText="1"/>
    </xf>
    <xf numFmtId="4" fontId="23" fillId="29" borderId="15" xfId="0" applyNumberFormat="1" applyFont="1" applyFill="1" applyBorder="1" applyAlignment="1">
      <alignment horizontal="center" vertical="center" wrapText="1"/>
    </xf>
    <xf numFmtId="4" fontId="23" fillId="29" borderId="18" xfId="0" applyNumberFormat="1" applyFont="1" applyFill="1" applyBorder="1" applyAlignment="1">
      <alignment horizontal="center" vertical="center" wrapText="1"/>
    </xf>
    <xf numFmtId="0" fontId="23" fillId="29" borderId="16" xfId="0" applyFont="1" applyFill="1" applyBorder="1" applyAlignment="1">
      <alignment horizontal="center" vertical="center" wrapText="1"/>
    </xf>
    <xf numFmtId="4" fontId="23" fillId="29" borderId="10" xfId="0" applyNumberFormat="1" applyFont="1" applyFill="1" applyBorder="1" applyAlignment="1">
      <alignment horizontal="center" vertical="center" wrapText="1"/>
    </xf>
    <xf numFmtId="10" fontId="21" fillId="29" borderId="18" xfId="0" applyNumberFormat="1" applyFont="1" applyFill="1" applyBorder="1" applyAlignment="1">
      <alignment horizontal="center" vertical="center" wrapText="1"/>
    </xf>
    <xf numFmtId="166" fontId="24" fillId="29" borderId="16" xfId="886" applyNumberFormat="1" applyFont="1" applyFill="1" applyBorder="1" applyAlignment="1">
      <alignment horizontal="center" vertical="center"/>
    </xf>
    <xf numFmtId="3" fontId="23" fillId="29" borderId="15" xfId="0" applyNumberFormat="1" applyFont="1" applyFill="1" applyBorder="1" applyAlignment="1">
      <alignment horizontal="center" vertical="center" wrapText="1"/>
    </xf>
    <xf numFmtId="3" fontId="23" fillId="29" borderId="18" xfId="0" applyNumberFormat="1" applyFont="1" applyFill="1" applyBorder="1" applyAlignment="1">
      <alignment horizontal="center" vertical="center" wrapText="1"/>
    </xf>
    <xf numFmtId="9" fontId="23" fillId="29" borderId="18" xfId="0" applyNumberFormat="1" applyFont="1" applyFill="1" applyBorder="1" applyAlignment="1">
      <alignment horizontal="center" vertical="center" wrapText="1"/>
    </xf>
    <xf numFmtId="4" fontId="24" fillId="29" borderId="19" xfId="886" applyNumberFormat="1" applyFont="1" applyFill="1" applyBorder="1" applyAlignment="1">
      <alignment horizontal="center" vertical="center"/>
    </xf>
    <xf numFmtId="4" fontId="24" fillId="29" borderId="16" xfId="886" applyNumberFormat="1" applyFont="1" applyFill="1" applyBorder="1" applyAlignment="1">
      <alignment horizontal="center" vertical="center"/>
    </xf>
    <xf numFmtId="4" fontId="23" fillId="28" borderId="38" xfId="0" applyNumberFormat="1" applyFont="1" applyFill="1" applyBorder="1" applyAlignment="1">
      <alignment horizontal="center" vertical="center"/>
    </xf>
    <xf numFmtId="4" fontId="23" fillId="28" borderId="44" xfId="0" applyNumberFormat="1" applyFont="1" applyFill="1" applyBorder="1" applyAlignment="1">
      <alignment horizontal="center" vertical="center"/>
    </xf>
    <xf numFmtId="165" fontId="23" fillId="29" borderId="17" xfId="0" applyNumberFormat="1" applyFont="1" applyFill="1" applyBorder="1" applyAlignment="1">
      <alignment horizontal="center" vertical="center" wrapText="1"/>
    </xf>
    <xf numFmtId="165" fontId="23" fillId="29" borderId="18" xfId="0" applyNumberFormat="1" applyFont="1" applyFill="1" applyBorder="1" applyAlignment="1">
      <alignment horizontal="center" vertical="center" wrapText="1"/>
    </xf>
    <xf numFmtId="0" fontId="23" fillId="29" borderId="18" xfId="0" applyFont="1" applyFill="1" applyBorder="1" applyAlignment="1">
      <alignment horizontal="center" vertical="center"/>
    </xf>
    <xf numFmtId="165" fontId="24" fillId="29" borderId="18" xfId="0" applyNumberFormat="1" applyFont="1" applyFill="1" applyBorder="1" applyAlignment="1">
      <alignment horizontal="center" vertical="center"/>
    </xf>
    <xf numFmtId="165" fontId="23" fillId="29" borderId="18" xfId="0" applyNumberFormat="1" applyFont="1" applyFill="1" applyBorder="1" applyAlignment="1">
      <alignment horizontal="center" vertical="center"/>
    </xf>
    <xf numFmtId="165" fontId="24" fillId="29" borderId="18" xfId="0" applyNumberFormat="1" applyFont="1" applyFill="1" applyBorder="1" applyAlignment="1">
      <alignment horizontal="center" vertical="center" wrapText="1"/>
    </xf>
    <xf numFmtId="166" fontId="24" fillId="29" borderId="18" xfId="0" applyNumberFormat="1" applyFont="1" applyFill="1" applyBorder="1" applyAlignment="1">
      <alignment horizontal="center" vertical="center" wrapText="1"/>
    </xf>
    <xf numFmtId="4" fontId="23" fillId="29" borderId="18" xfId="0" applyNumberFormat="1" applyFont="1" applyFill="1" applyBorder="1" applyAlignment="1">
      <alignment horizontal="center" vertical="center"/>
    </xf>
    <xf numFmtId="4" fontId="24" fillId="29" borderId="18" xfId="0" applyNumberFormat="1" applyFont="1" applyFill="1" applyBorder="1" applyAlignment="1">
      <alignment horizontal="center" vertical="center"/>
    </xf>
    <xf numFmtId="4" fontId="21" fillId="29" borderId="18" xfId="0" applyNumberFormat="1" applyFont="1" applyFill="1" applyBorder="1" applyAlignment="1">
      <alignment horizontal="center" vertical="center"/>
    </xf>
    <xf numFmtId="166" fontId="24" fillId="29" borderId="18" xfId="886" applyNumberFormat="1" applyFont="1" applyFill="1" applyBorder="1" applyAlignment="1">
      <alignment horizontal="center" vertical="center"/>
    </xf>
    <xf numFmtId="4" fontId="23" fillId="29" borderId="19" xfId="886" applyNumberFormat="1" applyFont="1" applyFill="1" applyBorder="1" applyAlignment="1">
      <alignment horizontal="center" vertical="center"/>
    </xf>
    <xf numFmtId="4" fontId="23" fillId="29" borderId="10" xfId="886" applyNumberFormat="1" applyFont="1" applyFill="1" applyBorder="1" applyAlignment="1">
      <alignment horizontal="center" vertical="center"/>
    </xf>
    <xf numFmtId="10" fontId="21" fillId="29" borderId="18" xfId="0" applyNumberFormat="1" applyFont="1" applyFill="1" applyBorder="1" applyAlignment="1">
      <alignment horizontal="center" vertical="center"/>
    </xf>
    <xf numFmtId="3" fontId="23" fillId="29" borderId="15" xfId="0" applyNumberFormat="1" applyFont="1" applyFill="1" applyBorder="1" applyAlignment="1">
      <alignment horizontal="center" vertical="center"/>
    </xf>
    <xf numFmtId="3" fontId="23" fillId="29" borderId="18" xfId="0" applyNumberFormat="1" applyFont="1" applyFill="1" applyBorder="1" applyAlignment="1">
      <alignment horizontal="center" vertical="center"/>
    </xf>
    <xf numFmtId="9" fontId="21" fillId="29" borderId="18" xfId="0" applyNumberFormat="1" applyFont="1" applyFill="1" applyBorder="1" applyAlignment="1">
      <alignment horizontal="center" vertical="center"/>
    </xf>
    <xf numFmtId="4" fontId="23" fillId="29" borderId="15" xfId="0" applyNumberFormat="1" applyFont="1" applyFill="1" applyBorder="1" applyAlignment="1">
      <alignment horizontal="center" vertical="center"/>
    </xf>
    <xf numFmtId="4" fontId="23" fillId="29" borderId="19" xfId="0" applyNumberFormat="1" applyFont="1" applyFill="1" applyBorder="1" applyAlignment="1">
      <alignment horizontal="center" vertical="center"/>
    </xf>
    <xf numFmtId="4" fontId="23" fillId="29" borderId="48" xfId="0" applyNumberFormat="1" applyFont="1" applyFill="1" applyBorder="1" applyAlignment="1">
      <alignment horizontal="center" vertical="center"/>
    </xf>
    <xf numFmtId="4" fontId="23" fillId="29" borderId="49" xfId="0" applyNumberFormat="1" applyFont="1" applyFill="1" applyBorder="1" applyAlignment="1">
      <alignment horizontal="center" vertical="center"/>
    </xf>
    <xf numFmtId="4" fontId="21" fillId="29" borderId="49" xfId="0" applyNumberFormat="1" applyFont="1" applyFill="1" applyBorder="1" applyAlignment="1">
      <alignment horizontal="center" vertical="center"/>
    </xf>
    <xf numFmtId="4" fontId="24" fillId="29" borderId="50" xfId="886" applyNumberFormat="1" applyFont="1" applyFill="1" applyBorder="1" applyAlignment="1">
      <alignment horizontal="center" vertical="center"/>
    </xf>
    <xf numFmtId="4" fontId="21" fillId="28" borderId="38" xfId="0" applyNumberFormat="1" applyFont="1" applyFill="1" applyBorder="1" applyAlignment="1">
      <alignment horizontal="center" vertical="center"/>
    </xf>
    <xf numFmtId="165" fontId="21" fillId="29" borderId="18" xfId="0" applyNumberFormat="1" applyFont="1" applyFill="1" applyBorder="1" applyAlignment="1">
      <alignment horizontal="left"/>
    </xf>
    <xf numFmtId="0" fontId="21" fillId="29" borderId="18" xfId="0" applyFont="1" applyFill="1" applyBorder="1"/>
    <xf numFmtId="0" fontId="23" fillId="29" borderId="18" xfId="0" applyFont="1" applyFill="1" applyBorder="1" applyAlignment="1">
      <alignment horizontal="center"/>
    </xf>
    <xf numFmtId="4" fontId="21" fillId="29" borderId="16" xfId="0" applyNumberFormat="1" applyFont="1" applyFill="1" applyBorder="1" applyAlignment="1">
      <alignment horizontal="center" vertical="center"/>
    </xf>
    <xf numFmtId="4" fontId="21" fillId="29" borderId="15" xfId="0" applyNumberFormat="1" applyFont="1" applyFill="1" applyBorder="1" applyAlignment="1">
      <alignment horizontal="center" vertical="center"/>
    </xf>
    <xf numFmtId="4" fontId="23" fillId="29" borderId="51" xfId="931" applyNumberFormat="1" applyFont="1" applyFill="1" applyBorder="1" applyAlignment="1">
      <alignment horizontal="center" vertical="center"/>
    </xf>
    <xf numFmtId="4" fontId="21" fillId="29" borderId="17" xfId="0" applyNumberFormat="1" applyFont="1" applyFill="1" applyBorder="1" applyAlignment="1">
      <alignment horizontal="center" vertical="center"/>
    </xf>
    <xf numFmtId="4" fontId="23" fillId="29" borderId="18" xfId="931" applyNumberFormat="1" applyFont="1" applyFill="1" applyBorder="1" applyAlignment="1">
      <alignment horizontal="center" vertical="center"/>
    </xf>
    <xf numFmtId="0" fontId="21" fillId="29" borderId="0" xfId="0" applyFont="1" applyFill="1"/>
    <xf numFmtId="4" fontId="21" fillId="28" borderId="38" xfId="931" applyNumberFormat="1" applyFont="1" applyFill="1" applyBorder="1" applyAlignment="1">
      <alignment horizontal="center" vertical="center"/>
    </xf>
    <xf numFmtId="0" fontId="21" fillId="28" borderId="38" xfId="0" applyFont="1" applyFill="1" applyBorder="1"/>
    <xf numFmtId="0" fontId="21" fillId="28" borderId="38" xfId="0" applyFont="1" applyFill="1" applyBorder="1" applyAlignment="1">
      <alignment horizontal="center"/>
    </xf>
    <xf numFmtId="4" fontId="21" fillId="28" borderId="41" xfId="0" applyNumberFormat="1" applyFont="1" applyFill="1" applyBorder="1" applyAlignment="1">
      <alignment horizontal="center" vertical="center"/>
    </xf>
    <xf numFmtId="4" fontId="21" fillId="28" borderId="40" xfId="0" applyNumberFormat="1" applyFont="1" applyFill="1" applyBorder="1" applyAlignment="1">
      <alignment horizontal="center" vertical="center"/>
    </xf>
    <xf numFmtId="4" fontId="21" fillId="28" borderId="37" xfId="0" applyNumberFormat="1" applyFont="1" applyFill="1" applyBorder="1" applyAlignment="1">
      <alignment horizontal="center" vertical="center"/>
    </xf>
    <xf numFmtId="0" fontId="21" fillId="28" borderId="40" xfId="0" applyFont="1" applyFill="1" applyBorder="1" applyAlignment="1">
      <alignment horizontal="left" vertical="center" wrapText="1"/>
    </xf>
    <xf numFmtId="0" fontId="21" fillId="28" borderId="38" xfId="0" applyFont="1" applyFill="1" applyBorder="1" applyAlignment="1">
      <alignment horizontal="left" vertical="center" wrapText="1"/>
    </xf>
    <xf numFmtId="4" fontId="21" fillId="28" borderId="38" xfId="0" applyNumberFormat="1" applyFont="1" applyFill="1" applyBorder="1"/>
    <xf numFmtId="0" fontId="21" fillId="28" borderId="46" xfId="0" applyFont="1" applyFill="1" applyBorder="1" applyAlignment="1">
      <alignment horizontal="left" vertical="center" wrapText="1"/>
    </xf>
    <xf numFmtId="0" fontId="21" fillId="28" borderId="44" xfId="0" applyFont="1" applyFill="1" applyBorder="1" applyAlignment="1">
      <alignment horizontal="left" vertical="center" wrapText="1"/>
    </xf>
    <xf numFmtId="0" fontId="21" fillId="28" borderId="44" xfId="0" applyFont="1" applyFill="1" applyBorder="1"/>
    <xf numFmtId="4" fontId="21" fillId="28" borderId="44" xfId="0" applyNumberFormat="1" applyFont="1" applyFill="1" applyBorder="1"/>
    <xf numFmtId="0" fontId="21" fillId="28" borderId="44" xfId="0" applyFont="1" applyFill="1" applyBorder="1" applyAlignment="1">
      <alignment horizontal="center"/>
    </xf>
    <xf numFmtId="4" fontId="21" fillId="28" borderId="44" xfId="0" applyNumberFormat="1" applyFont="1" applyFill="1" applyBorder="1" applyAlignment="1">
      <alignment horizontal="center" vertical="center"/>
    </xf>
    <xf numFmtId="4" fontId="21" fillId="28" borderId="47" xfId="0" applyNumberFormat="1" applyFont="1" applyFill="1" applyBorder="1" applyAlignment="1">
      <alignment horizontal="center" vertical="center"/>
    </xf>
    <xf numFmtId="4" fontId="21" fillId="28" borderId="46" xfId="0" applyNumberFormat="1" applyFont="1" applyFill="1" applyBorder="1" applyAlignment="1">
      <alignment horizontal="center" vertical="center"/>
    </xf>
    <xf numFmtId="4" fontId="21" fillId="28" borderId="44" xfId="931" applyNumberFormat="1" applyFont="1" applyFill="1" applyBorder="1" applyAlignment="1">
      <alignment horizontal="center" vertical="center"/>
    </xf>
    <xf numFmtId="4" fontId="21" fillId="28" borderId="43" xfId="0" applyNumberFormat="1" applyFont="1" applyFill="1" applyBorder="1" applyAlignment="1">
      <alignment horizontal="center" vertical="center"/>
    </xf>
    <xf numFmtId="0" fontId="23" fillId="31" borderId="53" xfId="0" applyFont="1" applyFill="1" applyBorder="1" applyAlignment="1">
      <alignment vertical="center" wrapText="1"/>
    </xf>
    <xf numFmtId="0" fontId="21" fillId="31" borderId="54" xfId="0" applyFont="1" applyFill="1" applyBorder="1"/>
    <xf numFmtId="4" fontId="21" fillId="31" borderId="54" xfId="0" applyNumberFormat="1" applyFont="1" applyFill="1" applyBorder="1"/>
    <xf numFmtId="3" fontId="23" fillId="31" borderId="54" xfId="0" applyNumberFormat="1" applyFont="1" applyFill="1" applyBorder="1" applyAlignment="1">
      <alignment horizontal="center" vertical="center"/>
    </xf>
    <xf numFmtId="0" fontId="21" fillId="31" borderId="54" xfId="0" applyFont="1" applyFill="1" applyBorder="1" applyAlignment="1">
      <alignment vertical="center"/>
    </xf>
    <xf numFmtId="4" fontId="21" fillId="31" borderId="54" xfId="0" applyNumberFormat="1" applyFont="1" applyFill="1" applyBorder="1" applyAlignment="1">
      <alignment horizontal="center" vertical="center"/>
    </xf>
    <xf numFmtId="4" fontId="23" fillId="31" borderId="54" xfId="0" applyNumberFormat="1" applyFont="1" applyFill="1" applyBorder="1" applyAlignment="1">
      <alignment horizontal="center" vertical="center"/>
    </xf>
    <xf numFmtId="4" fontId="21" fillId="31" borderId="55" xfId="0" applyNumberFormat="1" applyFont="1" applyFill="1" applyBorder="1" applyAlignment="1">
      <alignment horizontal="center" vertical="center"/>
    </xf>
    <xf numFmtId="4" fontId="21" fillId="31" borderId="53" xfId="0" applyNumberFormat="1" applyFont="1" applyFill="1" applyBorder="1" applyAlignment="1">
      <alignment horizontal="center" vertical="center"/>
    </xf>
    <xf numFmtId="4" fontId="21" fillId="31" borderId="56" xfId="0" applyNumberFormat="1" applyFont="1" applyFill="1" applyBorder="1" applyAlignment="1">
      <alignment horizontal="center" vertical="center"/>
    </xf>
    <xf numFmtId="4" fontId="21" fillId="28" borderId="0" xfId="0" applyNumberFormat="1" applyFont="1" applyFill="1"/>
    <xf numFmtId="3" fontId="21" fillId="28" borderId="0" xfId="0" applyNumberFormat="1" applyFont="1" applyFill="1"/>
    <xf numFmtId="0" fontId="41" fillId="28" borderId="36" xfId="0" applyFont="1" applyFill="1" applyBorder="1" applyAlignment="1">
      <alignment horizontal="left" vertical="center" wrapText="1"/>
    </xf>
    <xf numFmtId="165" fontId="41" fillId="28" borderId="37" xfId="0" applyNumberFormat="1" applyFont="1" applyFill="1" applyBorder="1" applyAlignment="1">
      <alignment horizontal="center" vertical="center" wrapText="1"/>
    </xf>
    <xf numFmtId="165" fontId="41" fillId="28" borderId="38" xfId="0" applyNumberFormat="1" applyFont="1" applyFill="1" applyBorder="1" applyAlignment="1">
      <alignment horizontal="center" vertical="center" wrapText="1"/>
    </xf>
    <xf numFmtId="0" fontId="41" fillId="30" borderId="38" xfId="0" applyFont="1" applyFill="1" applyBorder="1" applyAlignment="1">
      <alignment horizontal="center" vertical="center"/>
    </xf>
    <xf numFmtId="165" fontId="42" fillId="28" borderId="38" xfId="0" applyNumberFormat="1" applyFont="1" applyFill="1" applyBorder="1" applyAlignment="1">
      <alignment horizontal="center" vertical="center"/>
    </xf>
    <xf numFmtId="165" fontId="41" fillId="28" borderId="38" xfId="0" applyNumberFormat="1" applyFont="1" applyFill="1" applyBorder="1" applyAlignment="1">
      <alignment horizontal="center" vertical="center"/>
    </xf>
    <xf numFmtId="165" fontId="41" fillId="30" borderId="38" xfId="0" applyNumberFormat="1" applyFont="1" applyFill="1" applyBorder="1" applyAlignment="1">
      <alignment horizontal="center" vertical="center"/>
    </xf>
    <xf numFmtId="165" fontId="42" fillId="30" borderId="38" xfId="0" applyNumberFormat="1" applyFont="1" applyFill="1" applyBorder="1" applyAlignment="1">
      <alignment horizontal="center" vertical="center" wrapText="1"/>
    </xf>
    <xf numFmtId="165" fontId="41" fillId="30" borderId="38" xfId="0" applyNumberFormat="1" applyFont="1" applyFill="1" applyBorder="1" applyAlignment="1">
      <alignment horizontal="center" vertical="center" wrapText="1"/>
    </xf>
    <xf numFmtId="4" fontId="41" fillId="30" borderId="38" xfId="0" applyNumberFormat="1" applyFont="1" applyFill="1" applyBorder="1" applyAlignment="1">
      <alignment horizontal="center" vertical="center" wrapText="1"/>
    </xf>
    <xf numFmtId="166" fontId="42" fillId="30" borderId="38" xfId="0" applyNumberFormat="1" applyFont="1" applyFill="1" applyBorder="1" applyAlignment="1">
      <alignment horizontal="center" vertical="center" wrapText="1"/>
    </xf>
    <xf numFmtId="4" fontId="41" fillId="30" borderId="38" xfId="0" applyNumberFormat="1" applyFont="1" applyFill="1" applyBorder="1" applyAlignment="1">
      <alignment horizontal="center" vertical="center"/>
    </xf>
    <xf numFmtId="4" fontId="42" fillId="28" borderId="38" xfId="0" applyNumberFormat="1" applyFont="1" applyFill="1" applyBorder="1" applyAlignment="1">
      <alignment horizontal="center" vertical="center"/>
    </xf>
    <xf numFmtId="4" fontId="42" fillId="30" borderId="38" xfId="0" applyNumberFormat="1" applyFont="1" applyFill="1" applyBorder="1" applyAlignment="1">
      <alignment horizontal="center" vertical="center"/>
    </xf>
    <xf numFmtId="166" fontId="42" fillId="28" borderId="38" xfId="886" applyNumberFormat="1" applyFont="1" applyFill="1" applyBorder="1" applyAlignment="1">
      <alignment horizontal="center" vertical="center"/>
    </xf>
    <xf numFmtId="4" fontId="41" fillId="28" borderId="39" xfId="886" applyNumberFormat="1" applyFont="1" applyFill="1" applyBorder="1" applyAlignment="1">
      <alignment horizontal="center" vertical="center"/>
    </xf>
    <xf numFmtId="4" fontId="41" fillId="28" borderId="40" xfId="0" applyNumberFormat="1" applyFont="1" applyFill="1" applyBorder="1" applyAlignment="1">
      <alignment horizontal="center" vertical="center"/>
    </xf>
    <xf numFmtId="4" fontId="41" fillId="28" borderId="38" xfId="0" applyNumberFormat="1" applyFont="1" applyFill="1" applyBorder="1" applyAlignment="1">
      <alignment horizontal="center" vertical="center"/>
    </xf>
    <xf numFmtId="10" fontId="42" fillId="28" borderId="38" xfId="886" applyNumberFormat="1" applyFont="1" applyFill="1" applyBorder="1" applyAlignment="1">
      <alignment horizontal="center" vertical="center"/>
    </xf>
    <xf numFmtId="166" fontId="42" fillId="28" borderId="41" xfId="886" applyNumberFormat="1" applyFont="1" applyFill="1" applyBorder="1" applyAlignment="1">
      <alignment horizontal="center" vertical="center"/>
    </xf>
    <xf numFmtId="4" fontId="41" fillId="28" borderId="36" xfId="886" applyNumberFormat="1" applyFont="1" applyFill="1" applyBorder="1" applyAlignment="1">
      <alignment horizontal="center" vertical="center"/>
    </xf>
    <xf numFmtId="4" fontId="41" fillId="28" borderId="40" xfId="886" applyNumberFormat="1" applyFont="1" applyFill="1" applyBorder="1" applyAlignment="1">
      <alignment horizontal="center" vertical="center"/>
    </xf>
    <xf numFmtId="4" fontId="41" fillId="28" borderId="38" xfId="886" applyNumberFormat="1" applyFont="1" applyFill="1" applyBorder="1" applyAlignment="1">
      <alignment horizontal="center" vertical="center"/>
    </xf>
    <xf numFmtId="3" fontId="41" fillId="28" borderId="40" xfId="0" applyNumberFormat="1" applyFont="1" applyFill="1" applyBorder="1" applyAlignment="1">
      <alignment horizontal="center" vertical="center"/>
    </xf>
    <xf numFmtId="3" fontId="41" fillId="25" borderId="38" xfId="0" applyNumberFormat="1" applyFont="1" applyFill="1" applyBorder="1" applyAlignment="1">
      <alignment horizontal="center" vertical="center"/>
    </xf>
    <xf numFmtId="9" fontId="42" fillId="25" borderId="38" xfId="886" applyNumberFormat="1" applyFont="1" applyFill="1" applyBorder="1" applyAlignment="1">
      <alignment horizontal="center" vertical="center"/>
    </xf>
    <xf numFmtId="4" fontId="42" fillId="28" borderId="38" xfId="886" applyNumberFormat="1" applyFont="1" applyFill="1" applyBorder="1" applyAlignment="1">
      <alignment horizontal="center" vertical="center"/>
    </xf>
    <xf numFmtId="4" fontId="41" fillId="28" borderId="39" xfId="0" applyNumberFormat="1" applyFont="1" applyFill="1" applyBorder="1" applyAlignment="1">
      <alignment horizontal="center" vertical="center"/>
    </xf>
    <xf numFmtId="4" fontId="42" fillId="28" borderId="39" xfId="886" applyNumberFormat="1" applyFont="1" applyFill="1" applyBorder="1" applyAlignment="1">
      <alignment horizontal="center" vertical="center"/>
    </xf>
    <xf numFmtId="4" fontId="42" fillId="28" borderId="41" xfId="886" applyNumberFormat="1" applyFont="1" applyFill="1" applyBorder="1" applyAlignment="1">
      <alignment horizontal="center" vertical="center"/>
    </xf>
    <xf numFmtId="0" fontId="41" fillId="28" borderId="0" xfId="0" applyFont="1" applyFill="1"/>
    <xf numFmtId="165" fontId="41" fillId="30" borderId="37" xfId="0" applyNumberFormat="1" applyFont="1" applyFill="1" applyBorder="1" applyAlignment="1">
      <alignment horizontal="center" vertical="center" wrapText="1"/>
    </xf>
    <xf numFmtId="165" fontId="42" fillId="30" borderId="38" xfId="0" applyNumberFormat="1" applyFont="1" applyFill="1" applyBorder="1" applyAlignment="1">
      <alignment horizontal="center" vertical="center"/>
    </xf>
    <xf numFmtId="165" fontId="41" fillId="28" borderId="43" xfId="0" applyNumberFormat="1" applyFont="1" applyFill="1" applyBorder="1" applyAlignment="1">
      <alignment horizontal="center" vertical="center" wrapText="1"/>
    </xf>
    <xf numFmtId="165" fontId="41" fillId="28" borderId="44" xfId="0" applyNumberFormat="1" applyFont="1" applyFill="1" applyBorder="1" applyAlignment="1">
      <alignment horizontal="center" vertical="center" wrapText="1"/>
    </xf>
    <xf numFmtId="0" fontId="41" fillId="30" borderId="44" xfId="0" applyFont="1" applyFill="1" applyBorder="1" applyAlignment="1">
      <alignment horizontal="center" vertical="center"/>
    </xf>
    <xf numFmtId="165" fontId="42" fillId="28" borderId="44" xfId="0" applyNumberFormat="1" applyFont="1" applyFill="1" applyBorder="1" applyAlignment="1">
      <alignment horizontal="center" vertical="center"/>
    </xf>
    <xf numFmtId="165" fontId="41" fillId="28" borderId="44" xfId="0" applyNumberFormat="1" applyFont="1" applyFill="1" applyBorder="1" applyAlignment="1">
      <alignment horizontal="center" vertical="center"/>
    </xf>
    <xf numFmtId="165" fontId="41" fillId="30" borderId="44" xfId="0" applyNumberFormat="1" applyFont="1" applyFill="1" applyBorder="1" applyAlignment="1">
      <alignment horizontal="center" vertical="center"/>
    </xf>
    <xf numFmtId="165" fontId="42" fillId="30" borderId="44" xfId="0" applyNumberFormat="1" applyFont="1" applyFill="1" applyBorder="1" applyAlignment="1">
      <alignment horizontal="center" vertical="center" wrapText="1"/>
    </xf>
    <xf numFmtId="165" fontId="41" fillId="30" borderId="44" xfId="0" applyNumberFormat="1" applyFont="1" applyFill="1" applyBorder="1" applyAlignment="1">
      <alignment horizontal="center" vertical="center" wrapText="1"/>
    </xf>
    <xf numFmtId="4" fontId="41" fillId="30" borderId="44" xfId="0" applyNumberFormat="1" applyFont="1" applyFill="1" applyBorder="1" applyAlignment="1">
      <alignment horizontal="center" vertical="center" wrapText="1"/>
    </xf>
    <xf numFmtId="166" fontId="42" fillId="30" borderId="44" xfId="0" applyNumberFormat="1" applyFont="1" applyFill="1" applyBorder="1" applyAlignment="1">
      <alignment horizontal="center" vertical="center" wrapText="1"/>
    </xf>
    <xf numFmtId="4" fontId="41" fillId="30" borderId="44" xfId="0" applyNumberFormat="1" applyFont="1" applyFill="1" applyBorder="1" applyAlignment="1">
      <alignment horizontal="center" vertical="center"/>
    </xf>
    <xf numFmtId="4" fontId="42" fillId="28" borderId="44" xfId="0" applyNumberFormat="1" applyFont="1" applyFill="1" applyBorder="1" applyAlignment="1">
      <alignment horizontal="center" vertical="center"/>
    </xf>
    <xf numFmtId="4" fontId="42" fillId="30" borderId="44" xfId="0" applyNumberFormat="1" applyFont="1" applyFill="1" applyBorder="1" applyAlignment="1">
      <alignment horizontal="center" vertical="center"/>
    </xf>
    <xf numFmtId="166" fontId="42" fillId="28" borderId="44" xfId="886" applyNumberFormat="1" applyFont="1" applyFill="1" applyBorder="1" applyAlignment="1">
      <alignment horizontal="center" vertical="center"/>
    </xf>
    <xf numFmtId="4" fontId="41" fillId="28" borderId="45" xfId="886" applyNumberFormat="1" applyFont="1" applyFill="1" applyBorder="1" applyAlignment="1">
      <alignment horizontal="center" vertical="center"/>
    </xf>
    <xf numFmtId="4" fontId="41" fillId="28" borderId="46" xfId="0" applyNumberFormat="1" applyFont="1" applyFill="1" applyBorder="1" applyAlignment="1">
      <alignment horizontal="center" vertical="center"/>
    </xf>
    <xf numFmtId="4" fontId="41" fillId="28" borderId="44" xfId="0" applyNumberFormat="1" applyFont="1" applyFill="1" applyBorder="1" applyAlignment="1">
      <alignment horizontal="center" vertical="center"/>
    </xf>
    <xf numFmtId="10" fontId="42" fillId="28" borderId="44" xfId="886" applyNumberFormat="1" applyFont="1" applyFill="1" applyBorder="1" applyAlignment="1">
      <alignment horizontal="center" vertical="center"/>
    </xf>
    <xf numFmtId="166" fontId="42" fillId="28" borderId="47" xfId="886" applyNumberFormat="1" applyFont="1" applyFill="1" applyBorder="1" applyAlignment="1">
      <alignment horizontal="center" vertical="center"/>
    </xf>
    <xf numFmtId="4" fontId="41" fillId="28" borderId="42" xfId="886" applyNumberFormat="1" applyFont="1" applyFill="1" applyBorder="1" applyAlignment="1">
      <alignment horizontal="center" vertical="center"/>
    </xf>
    <xf numFmtId="4" fontId="41" fillId="28" borderId="46" xfId="886" applyNumberFormat="1" applyFont="1" applyFill="1" applyBorder="1" applyAlignment="1">
      <alignment horizontal="center" vertical="center"/>
    </xf>
    <xf numFmtId="4" fontId="41" fillId="28" borderId="44" xfId="886" applyNumberFormat="1" applyFont="1" applyFill="1" applyBorder="1" applyAlignment="1">
      <alignment horizontal="center" vertical="center"/>
    </xf>
    <xf numFmtId="3" fontId="41" fillId="28" borderId="46" xfId="0" applyNumberFormat="1" applyFont="1" applyFill="1" applyBorder="1" applyAlignment="1">
      <alignment horizontal="center" vertical="center"/>
    </xf>
    <xf numFmtId="3" fontId="41" fillId="25" borderId="44" xfId="0" applyNumberFormat="1" applyFont="1" applyFill="1" applyBorder="1" applyAlignment="1">
      <alignment horizontal="center" vertical="center"/>
    </xf>
    <xf numFmtId="9" fontId="42" fillId="25" borderId="44" xfId="886" applyNumberFormat="1" applyFont="1" applyFill="1" applyBorder="1" applyAlignment="1">
      <alignment horizontal="center" vertical="center"/>
    </xf>
    <xf numFmtId="4" fontId="42" fillId="28" borderId="44" xfId="886" applyNumberFormat="1" applyFont="1" applyFill="1" applyBorder="1" applyAlignment="1">
      <alignment horizontal="center" vertical="center"/>
    </xf>
    <xf numFmtId="4" fontId="41" fillId="28" borderId="45" xfId="0" applyNumberFormat="1" applyFont="1" applyFill="1" applyBorder="1" applyAlignment="1">
      <alignment horizontal="center" vertical="center"/>
    </xf>
    <xf numFmtId="4" fontId="42" fillId="28" borderId="45" xfId="886" applyNumberFormat="1" applyFont="1" applyFill="1" applyBorder="1" applyAlignment="1">
      <alignment horizontal="center" vertical="center"/>
    </xf>
    <xf numFmtId="4" fontId="42" fillId="28" borderId="47" xfId="886" applyNumberFormat="1" applyFont="1" applyFill="1" applyBorder="1" applyAlignment="1">
      <alignment horizontal="center" vertical="center"/>
    </xf>
    <xf numFmtId="3" fontId="41" fillId="28" borderId="38" xfId="0" applyNumberFormat="1" applyFont="1" applyFill="1" applyBorder="1" applyAlignment="1">
      <alignment horizontal="center" vertical="center"/>
    </xf>
    <xf numFmtId="9" fontId="42" fillId="28" borderId="38" xfId="886" applyNumberFormat="1" applyFont="1" applyFill="1" applyBorder="1" applyAlignment="1">
      <alignment horizontal="center" vertical="center"/>
    </xf>
    <xf numFmtId="4" fontId="42" fillId="25" borderId="38" xfId="886" applyNumberFormat="1" applyFont="1" applyFill="1" applyBorder="1" applyAlignment="1">
      <alignment horizontal="center" vertical="center"/>
    </xf>
    <xf numFmtId="4" fontId="42" fillId="25" borderId="39" xfId="886" applyNumberFormat="1" applyFont="1" applyFill="1" applyBorder="1" applyAlignment="1">
      <alignment horizontal="center" vertical="center"/>
    </xf>
    <xf numFmtId="4" fontId="41" fillId="25" borderId="40" xfId="0" applyNumberFormat="1" applyFont="1" applyFill="1" applyBorder="1" applyAlignment="1">
      <alignment horizontal="center" vertical="center"/>
    </xf>
    <xf numFmtId="4" fontId="41" fillId="25" borderId="38" xfId="0" applyNumberFormat="1" applyFont="1" applyFill="1" applyBorder="1" applyAlignment="1">
      <alignment horizontal="center" vertical="center"/>
    </xf>
    <xf numFmtId="4" fontId="42" fillId="25" borderId="41" xfId="886" applyNumberFormat="1" applyFont="1" applyFill="1" applyBorder="1" applyAlignment="1">
      <alignment horizontal="center" vertical="center"/>
    </xf>
    <xf numFmtId="165" fontId="41" fillId="25" borderId="37" xfId="0" applyNumberFormat="1" applyFont="1" applyFill="1" applyBorder="1" applyAlignment="1">
      <alignment horizontal="center" vertical="center" wrapText="1"/>
    </xf>
    <xf numFmtId="165" fontId="41" fillId="25" borderId="38" xfId="0" applyNumberFormat="1" applyFont="1" applyFill="1" applyBorder="1" applyAlignment="1">
      <alignment horizontal="center" vertical="center" wrapText="1"/>
    </xf>
    <xf numFmtId="165" fontId="41" fillId="25" borderId="38" xfId="0" applyNumberFormat="1" applyFont="1" applyFill="1" applyBorder="1" applyAlignment="1">
      <alignment horizontal="center" vertical="center"/>
    </xf>
    <xf numFmtId="165" fontId="42" fillId="25" borderId="38" xfId="0" applyNumberFormat="1" applyFont="1" applyFill="1" applyBorder="1" applyAlignment="1">
      <alignment horizontal="center" vertical="center"/>
    </xf>
    <xf numFmtId="165" fontId="42" fillId="25" borderId="38" xfId="0" applyNumberFormat="1" applyFont="1" applyFill="1" applyBorder="1" applyAlignment="1">
      <alignment horizontal="center" vertical="center" wrapText="1"/>
    </xf>
    <xf numFmtId="4" fontId="41" fillId="25" borderId="38" xfId="0" applyNumberFormat="1" applyFont="1" applyFill="1" applyBorder="1" applyAlignment="1">
      <alignment horizontal="center" vertical="center" wrapText="1"/>
    </xf>
    <xf numFmtId="166" fontId="42" fillId="25" borderId="38" xfId="0" applyNumberFormat="1" applyFont="1" applyFill="1" applyBorder="1" applyAlignment="1">
      <alignment horizontal="center" vertical="center" wrapText="1"/>
    </xf>
    <xf numFmtId="4" fontId="42" fillId="25" borderId="38" xfId="0" applyNumberFormat="1" applyFont="1" applyFill="1" applyBorder="1" applyAlignment="1">
      <alignment horizontal="center" vertical="center"/>
    </xf>
    <xf numFmtId="166" fontId="42" fillId="25" borderId="38" xfId="886" applyNumberFormat="1" applyFont="1" applyFill="1" applyBorder="1" applyAlignment="1">
      <alignment horizontal="center" vertical="center"/>
    </xf>
    <xf numFmtId="4" fontId="41" fillId="25" borderId="39" xfId="886" applyNumberFormat="1" applyFont="1" applyFill="1" applyBorder="1" applyAlignment="1">
      <alignment horizontal="center" vertical="center"/>
    </xf>
    <xf numFmtId="10" fontId="42" fillId="25" borderId="38" xfId="886" applyNumberFormat="1" applyFont="1" applyFill="1" applyBorder="1" applyAlignment="1">
      <alignment horizontal="center" vertical="center"/>
    </xf>
    <xf numFmtId="166" fontId="42" fillId="25" borderId="41" xfId="886" applyNumberFormat="1" applyFont="1" applyFill="1" applyBorder="1" applyAlignment="1">
      <alignment horizontal="center" vertical="center"/>
    </xf>
    <xf numFmtId="3" fontId="41" fillId="25" borderId="36" xfId="886" applyNumberFormat="1" applyFont="1" applyFill="1" applyBorder="1" applyAlignment="1">
      <alignment horizontal="center" vertical="center"/>
    </xf>
    <xf numFmtId="4" fontId="41" fillId="25" borderId="40" xfId="886" applyNumberFormat="1" applyFont="1" applyFill="1" applyBorder="1" applyAlignment="1">
      <alignment horizontal="center" vertical="center"/>
    </xf>
    <xf numFmtId="4" fontId="41" fillId="25" borderId="38" xfId="886" applyNumberFormat="1" applyFont="1" applyFill="1" applyBorder="1" applyAlignment="1">
      <alignment horizontal="center" vertical="center"/>
    </xf>
    <xf numFmtId="3" fontId="41" fillId="25" borderId="40" xfId="0" applyNumberFormat="1" applyFont="1" applyFill="1" applyBorder="1" applyAlignment="1">
      <alignment horizontal="center" vertical="center"/>
    </xf>
    <xf numFmtId="0" fontId="41" fillId="25" borderId="0" xfId="0" applyFont="1" applyFill="1"/>
    <xf numFmtId="3" fontId="41" fillId="28" borderId="36" xfId="886" applyNumberFormat="1" applyFont="1" applyFill="1" applyBorder="1" applyAlignment="1">
      <alignment horizontal="center" vertical="center"/>
    </xf>
    <xf numFmtId="0" fontId="41" fillId="25" borderId="38" xfId="0" applyFont="1" applyFill="1" applyBorder="1" applyAlignment="1">
      <alignment horizontal="center" vertical="center"/>
    </xf>
    <xf numFmtId="4" fontId="41" fillId="25" borderId="36" xfId="886" applyNumberFormat="1" applyFont="1" applyFill="1" applyBorder="1" applyAlignment="1">
      <alignment horizontal="center" vertical="center"/>
    </xf>
    <xf numFmtId="0" fontId="41" fillId="28" borderId="38" xfId="0" applyFont="1" applyFill="1" applyBorder="1" applyAlignment="1">
      <alignment horizontal="center" vertical="center"/>
    </xf>
    <xf numFmtId="165" fontId="42" fillId="28" borderId="38" xfId="0" applyNumberFormat="1" applyFont="1" applyFill="1" applyBorder="1" applyAlignment="1">
      <alignment horizontal="center" vertical="center" wrapText="1"/>
    </xf>
    <xf numFmtId="4" fontId="41" fillId="28" borderId="38" xfId="0" applyNumberFormat="1" applyFont="1" applyFill="1" applyBorder="1" applyAlignment="1">
      <alignment horizontal="center" vertical="center" wrapText="1"/>
    </xf>
    <xf numFmtId="166" fontId="42" fillId="28" borderId="38" xfId="0" applyNumberFormat="1" applyFont="1" applyFill="1" applyBorder="1" applyAlignment="1">
      <alignment horizontal="center" vertical="center" wrapText="1"/>
    </xf>
    <xf numFmtId="0" fontId="41" fillId="25" borderId="36" xfId="0" applyFont="1" applyFill="1" applyBorder="1" applyAlignment="1">
      <alignment horizontal="left" vertical="center" wrapText="1"/>
    </xf>
    <xf numFmtId="0" fontId="41" fillId="25" borderId="22" xfId="0" applyFont="1" applyFill="1" applyBorder="1" applyAlignment="1">
      <alignment horizontal="left" vertical="center" wrapText="1"/>
    </xf>
    <xf numFmtId="4" fontId="41" fillId="25" borderId="27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/>
    </xf>
    <xf numFmtId="10" fontId="42" fillId="25" borderId="30" xfId="886" applyNumberFormat="1" applyFont="1" applyFill="1" applyBorder="1" applyAlignment="1">
      <alignment horizontal="center" vertical="center"/>
    </xf>
    <xf numFmtId="166" fontId="42" fillId="25" borderId="28" xfId="886" applyNumberFormat="1" applyFont="1" applyFill="1" applyBorder="1" applyAlignment="1">
      <alignment horizontal="center" vertical="center"/>
    </xf>
    <xf numFmtId="3" fontId="41" fillId="25" borderId="22" xfId="886" applyNumberFormat="1" applyFont="1" applyFill="1" applyBorder="1" applyAlignment="1">
      <alignment horizontal="center" vertical="center"/>
    </xf>
    <xf numFmtId="4" fontId="41" fillId="25" borderId="27" xfId="886" applyNumberFormat="1" applyFont="1" applyFill="1" applyBorder="1" applyAlignment="1">
      <alignment horizontal="center" vertical="center"/>
    </xf>
    <xf numFmtId="4" fontId="41" fillId="25" borderId="30" xfId="886" applyNumberFormat="1" applyFont="1" applyFill="1" applyBorder="1" applyAlignment="1">
      <alignment horizontal="center" vertical="center"/>
    </xf>
    <xf numFmtId="10" fontId="42" fillId="28" borderId="30" xfId="886" applyNumberFormat="1" applyFont="1" applyFill="1" applyBorder="1" applyAlignment="1">
      <alignment horizontal="center" vertical="center"/>
    </xf>
    <xf numFmtId="166" fontId="42" fillId="28" borderId="28" xfId="886" applyNumberFormat="1" applyFont="1" applyFill="1" applyBorder="1" applyAlignment="1">
      <alignment horizontal="center" vertical="center"/>
    </xf>
    <xf numFmtId="3" fontId="41" fillId="25" borderId="27" xfId="0" applyNumberFormat="1" applyFont="1" applyFill="1" applyBorder="1" applyAlignment="1">
      <alignment horizontal="center" vertical="center"/>
    </xf>
    <xf numFmtId="3" fontId="41" fillId="25" borderId="30" xfId="0" applyNumberFormat="1" applyFont="1" applyFill="1" applyBorder="1" applyAlignment="1">
      <alignment horizontal="center" vertical="center"/>
    </xf>
    <xf numFmtId="9" fontId="42" fillId="25" borderId="30" xfId="886" applyNumberFormat="1" applyFont="1" applyFill="1" applyBorder="1" applyAlignment="1">
      <alignment horizontal="center" vertical="center"/>
    </xf>
    <xf numFmtId="4" fontId="41" fillId="28" borderId="38" xfId="931" applyNumberFormat="1" applyFont="1" applyFill="1" applyBorder="1" applyAlignment="1">
      <alignment horizontal="center" vertical="center"/>
    </xf>
    <xf numFmtId="165" fontId="41" fillId="25" borderId="29" xfId="0" applyNumberFormat="1" applyFont="1" applyFill="1" applyBorder="1" applyAlignment="1">
      <alignment horizontal="center" vertical="center" wrapText="1"/>
    </xf>
    <xf numFmtId="165" fontId="41" fillId="25" borderId="30" xfId="0" applyNumberFormat="1" applyFont="1" applyFill="1" applyBorder="1" applyAlignment="1">
      <alignment horizontal="center" vertical="center" wrapText="1"/>
    </xf>
    <xf numFmtId="0" fontId="41" fillId="25" borderId="30" xfId="0" applyFont="1" applyFill="1" applyBorder="1" applyAlignment="1">
      <alignment horizontal="center" vertical="center"/>
    </xf>
    <xf numFmtId="165" fontId="42" fillId="25" borderId="30" xfId="0" applyNumberFormat="1" applyFont="1" applyFill="1" applyBorder="1" applyAlignment="1">
      <alignment horizontal="center" vertical="center"/>
    </xf>
    <xf numFmtId="165" fontId="41" fillId="25" borderId="30" xfId="0" applyNumberFormat="1" applyFont="1" applyFill="1" applyBorder="1" applyAlignment="1">
      <alignment horizontal="center" vertical="center"/>
    </xf>
    <xf numFmtId="165" fontId="42" fillId="25" borderId="30" xfId="0" applyNumberFormat="1" applyFont="1" applyFill="1" applyBorder="1" applyAlignment="1">
      <alignment horizontal="center" vertical="center" wrapText="1"/>
    </xf>
    <xf numFmtId="4" fontId="41" fillId="25" borderId="30" xfId="0" applyNumberFormat="1" applyFont="1" applyFill="1" applyBorder="1" applyAlignment="1">
      <alignment horizontal="center" vertical="center" wrapText="1"/>
    </xf>
    <xf numFmtId="166" fontId="42" fillId="25" borderId="30" xfId="0" applyNumberFormat="1" applyFont="1" applyFill="1" applyBorder="1" applyAlignment="1">
      <alignment horizontal="center" vertical="center" wrapText="1"/>
    </xf>
    <xf numFmtId="4" fontId="42" fillId="25" borderId="30" xfId="0" applyNumberFormat="1" applyFont="1" applyFill="1" applyBorder="1" applyAlignment="1">
      <alignment horizontal="center" vertical="center"/>
    </xf>
    <xf numFmtId="166" fontId="42" fillId="25" borderId="30" xfId="886" applyNumberFormat="1" applyFont="1" applyFill="1" applyBorder="1" applyAlignment="1">
      <alignment horizontal="center" vertical="center"/>
    </xf>
    <xf numFmtId="4" fontId="41" fillId="25" borderId="31" xfId="886" applyNumberFormat="1" applyFont="1" applyFill="1" applyBorder="1" applyAlignment="1">
      <alignment horizontal="center" vertical="center"/>
    </xf>
    <xf numFmtId="4" fontId="41" fillId="28" borderId="27" xfId="0" applyNumberFormat="1" applyFont="1" applyFill="1" applyBorder="1" applyAlignment="1">
      <alignment horizontal="center" vertical="center"/>
    </xf>
    <xf numFmtId="4" fontId="41" fillId="28" borderId="30" xfId="0" applyNumberFormat="1" applyFont="1" applyFill="1" applyBorder="1" applyAlignment="1">
      <alignment horizontal="center" vertical="center"/>
    </xf>
    <xf numFmtId="4" fontId="42" fillId="25" borderId="30" xfId="886" applyNumberFormat="1" applyFont="1" applyFill="1" applyBorder="1" applyAlignment="1">
      <alignment horizontal="center" vertical="center"/>
    </xf>
    <xf numFmtId="4" fontId="41" fillId="28" borderId="31" xfId="0" applyNumberFormat="1" applyFont="1" applyFill="1" applyBorder="1" applyAlignment="1">
      <alignment horizontal="center" vertical="center"/>
    </xf>
    <xf numFmtId="0" fontId="41" fillId="28" borderId="42" xfId="0" applyFont="1" applyFill="1" applyBorder="1" applyAlignment="1">
      <alignment horizontal="left" vertical="center" wrapText="1"/>
    </xf>
    <xf numFmtId="3" fontId="41" fillId="28" borderId="42" xfId="886" applyNumberFormat="1" applyFont="1" applyFill="1" applyBorder="1" applyAlignment="1">
      <alignment horizontal="center" vertical="center"/>
    </xf>
    <xf numFmtId="3" fontId="41" fillId="28" borderId="44" xfId="0" applyNumberFormat="1" applyFont="1" applyFill="1" applyBorder="1" applyAlignment="1">
      <alignment horizontal="center" vertical="center"/>
    </xf>
    <xf numFmtId="9" fontId="42" fillId="28" borderId="44" xfId="886" applyNumberFormat="1" applyFont="1" applyFill="1" applyBorder="1" applyAlignment="1">
      <alignment horizontal="center" vertical="center"/>
    </xf>
    <xf numFmtId="4" fontId="42" fillId="28" borderId="30" xfId="886" applyNumberFormat="1" applyFont="1" applyFill="1" applyBorder="1" applyAlignment="1">
      <alignment horizontal="center" vertical="center"/>
    </xf>
    <xf numFmtId="4" fontId="42" fillId="28" borderId="28" xfId="886" applyNumberFormat="1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0" fontId="23" fillId="29" borderId="21" xfId="0" applyFont="1" applyFill="1" applyBorder="1" applyAlignment="1">
      <alignment horizontal="center" vertical="center" wrapText="1"/>
    </xf>
    <xf numFmtId="0" fontId="23" fillId="29" borderId="33" xfId="0" applyFont="1" applyFill="1" applyBorder="1" applyAlignment="1">
      <alignment horizontal="center" vertical="center" wrapText="1"/>
    </xf>
    <xf numFmtId="0" fontId="23" fillId="29" borderId="17" xfId="0" applyFont="1" applyFill="1" applyBorder="1" applyAlignment="1">
      <alignment horizontal="center" vertical="center" wrapText="1"/>
    </xf>
    <xf numFmtId="0" fontId="23" fillId="29" borderId="18" xfId="0" applyFont="1" applyFill="1" applyBorder="1" applyAlignment="1">
      <alignment horizontal="center" vertical="center" wrapText="1"/>
    </xf>
    <xf numFmtId="0" fontId="23" fillId="29" borderId="19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16" xfId="0" applyFont="1" applyFill="1" applyBorder="1" applyAlignment="1">
      <alignment horizontal="center" vertical="center" wrapText="1"/>
    </xf>
    <xf numFmtId="0" fontId="23" fillId="29" borderId="13" xfId="0" applyFont="1" applyFill="1" applyBorder="1" applyAlignment="1">
      <alignment horizontal="center" vertical="center" wrapText="1"/>
    </xf>
    <xf numFmtId="0" fontId="23" fillId="29" borderId="14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2" fillId="28" borderId="0" xfId="0" applyFont="1" applyFill="1" applyAlignment="1">
      <alignment horizontal="center" vertical="center" wrapText="1"/>
    </xf>
    <xf numFmtId="0" fontId="0" fillId="28" borderId="0" xfId="0" applyFill="1" applyAlignment="1"/>
    <xf numFmtId="0" fontId="23" fillId="29" borderId="10" xfId="0" applyFont="1" applyFill="1" applyBorder="1" applyAlignment="1">
      <alignment horizontal="center" vertical="center" wrapText="1"/>
    </xf>
    <xf numFmtId="0" fontId="23" fillId="29" borderId="22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4" fontId="27" fillId="26" borderId="61" xfId="0" applyNumberFormat="1" applyFont="1" applyFill="1" applyBorder="1" applyAlignment="1">
      <alignment horizontal="center"/>
    </xf>
    <xf numFmtId="0" fontId="27" fillId="26" borderId="62" xfId="0" applyFont="1" applyFill="1" applyBorder="1" applyAlignment="1">
      <alignment horizontal="center"/>
    </xf>
    <xf numFmtId="4" fontId="27" fillId="26" borderId="46" xfId="0" applyNumberFormat="1" applyFont="1" applyFill="1" applyBorder="1" applyAlignment="1">
      <alignment horizontal="center" wrapText="1"/>
    </xf>
    <xf numFmtId="4" fontId="27" fillId="26" borderId="44" xfId="0" applyNumberFormat="1" applyFont="1" applyFill="1" applyBorder="1" applyAlignment="1">
      <alignment horizontal="center" wrapText="1"/>
    </xf>
    <xf numFmtId="4" fontId="27" fillId="26" borderId="47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57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46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4" fontId="0" fillId="0" borderId="39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28" fillId="0" borderId="63" xfId="0" applyFont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43" fillId="28" borderId="0" xfId="0" applyFont="1" applyFill="1"/>
    <xf numFmtId="0" fontId="40" fillId="29" borderId="10" xfId="0" applyFont="1" applyFill="1" applyBorder="1" applyAlignment="1">
      <alignment horizontal="center" vertical="center" wrapText="1"/>
    </xf>
    <xf numFmtId="165" fontId="40" fillId="29" borderId="15" xfId="0" applyNumberFormat="1" applyFont="1" applyFill="1" applyBorder="1" applyAlignment="1">
      <alignment horizontal="center" vertical="center" wrapText="1"/>
    </xf>
    <xf numFmtId="0" fontId="21" fillId="28" borderId="40" xfId="0" applyFont="1" applyFill="1" applyBorder="1" applyAlignment="1">
      <alignment vertical="center" wrapText="1"/>
    </xf>
    <xf numFmtId="0" fontId="21" fillId="28" borderId="0" xfId="0" applyFont="1" applyFill="1" applyAlignment="1">
      <alignment wrapText="1"/>
    </xf>
  </cellXfs>
  <cellStyles count="952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Финансовый" xfId="931" builtinId="3"/>
    <cellStyle name="Хороший 2" xfId="932"/>
    <cellStyle name="Хороший 2 10" xfId="933"/>
    <cellStyle name="Хороший 2 2" xfId="934"/>
    <cellStyle name="Хороший 2 3" xfId="935"/>
    <cellStyle name="Хороший 2 4" xfId="936"/>
    <cellStyle name="Хороший 2 5" xfId="937"/>
    <cellStyle name="Хороший 2 6" xfId="938"/>
    <cellStyle name="Хороший 2 7" xfId="939"/>
    <cellStyle name="Хороший 2 8" xfId="940"/>
    <cellStyle name="Хороший 2 9" xfId="941"/>
    <cellStyle name="Хороший 3" xfId="942"/>
    <cellStyle name="Хороший 3 10" xfId="943"/>
    <cellStyle name="Хороший 3 2" xfId="944"/>
    <cellStyle name="Хороший 3 3" xfId="945"/>
    <cellStyle name="Хороший 3 4" xfId="946"/>
    <cellStyle name="Хороший 3 5" xfId="947"/>
    <cellStyle name="Хороший 3 6" xfId="948"/>
    <cellStyle name="Хороший 3 7" xfId="949"/>
    <cellStyle name="Хороший 3 8" xfId="950"/>
    <cellStyle name="Хороший 3 9" xfId="9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0;&#1088;&#1082;&#1090;&#1080;&#1082;&#1088;&#1077;&#1081;&#1076;%20&#1041;&#1047;%202017-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3;&#1077;&#1084;&#1072;&#1085;&#1086;&#1074;%20&#1042;.&#1050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0;&#1086;&#1087;&#1080;&#1103;%20&#1052;&#1059;&#1055;%20&#1053;&#1069;&#1057;&#1050;%20&#1073;&#1102;&#1076;&#1078;&#1077;&#1090;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5;&#1084;&#1077;&#1083;&#1100;&#1103;&#1085;&#1086;&#1074;%20&#1042;&#104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88;&#1077;&#1095;&#1087;&#1086;&#1088;&#1090;%20&#1041;&#1047;%202017-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VPopov\LOCALS~1\Temp\&#1059;&#1058;&#1054;&#1063;&#1053;&#1045;&#1053;&#1053;&#1067;&#1049;%20&#1057;&#1042;&#1054;&#1044;&#1053;&#1067;&#1049;%20&#1041;&#1070;&#1044;&#1046;&#1045;&#1058;%202018-2020%20&#1075;&#1086;&#1076;&#1099;%20&#1085;&#1072;%2001.08.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Доход"/>
      <sheetName val="ГСМ"/>
      <sheetName val="Труд"/>
      <sheetName val="Матер"/>
      <sheetName val="Кап. рем"/>
      <sheetName val="Экспл"/>
      <sheetName val="Лист1"/>
    </sheetNames>
    <sheetDataSet>
      <sheetData sheetId="0">
        <row r="12">
          <cell r="AK12">
            <v>1725.2414999999999</v>
          </cell>
        </row>
        <row r="31">
          <cell r="AK31">
            <v>9677.3529327128963</v>
          </cell>
        </row>
        <row r="75">
          <cell r="AS75">
            <v>105.5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7">
          <cell r="DW17">
            <v>900.95</v>
          </cell>
        </row>
        <row r="46">
          <cell r="DW46">
            <v>4161.8025014495461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СМ"/>
      <sheetName val="Лист1"/>
      <sheetName val="Лист2"/>
      <sheetName val="Лист3"/>
      <sheetName val="общех."/>
      <sheetName val="пассажиропоток"/>
    </sheetNames>
    <sheetDataSet>
      <sheetData sheetId="0"/>
      <sheetData sheetId="1">
        <row r="59">
          <cell r="FD59">
            <v>3759516.8579686605</v>
          </cell>
        </row>
        <row r="71">
          <cell r="FD71">
            <v>867507.51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DF18">
            <v>105.5</v>
          </cell>
        </row>
        <row r="21">
          <cell r="CW21">
            <v>1837535.9478834653</v>
          </cell>
        </row>
        <row r="24">
          <cell r="CW24">
            <v>294925.95084846462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тр"/>
      <sheetName val="ФР 2007г."/>
      <sheetName val="Тариф 2008"/>
      <sheetName val="ФР2007"/>
      <sheetName val="Управленч"/>
      <sheetName val="Лист1"/>
      <sheetName val="Вспом.произв"/>
      <sheetName val="СВФ"/>
      <sheetName val="Вспом.cуд"/>
      <sheetName val="Распред"/>
      <sheetName val="Причалы"/>
      <sheetName val="Д ОС"/>
      <sheetName val="Доход"/>
      <sheetName val="ФР 2011"/>
      <sheetName val="РАСПР бз 2013-2015"/>
      <sheetName val="РАСПР 2014-2016"/>
      <sheetName val="РАСПР 2015-2017"/>
      <sheetName val="РАСПР 2016-2018"/>
      <sheetName val="ЗП"/>
      <sheetName val="доходы"/>
      <sheetName val="Тарифы"/>
      <sheetName val="Свод"/>
      <sheetName val="Зар.пл"/>
      <sheetName val="Топливо"/>
      <sheetName val="КР"/>
      <sheetName val="Кап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G9">
            <v>32462.455499999996</v>
          </cell>
        </row>
        <row r="38">
          <cell r="BG38">
            <v>99784.710618600016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ная"/>
      <sheetName val="Прогноз тарифов"/>
      <sheetName val="Бюджет Речпорт"/>
      <sheetName val="Бюджет"/>
      <sheetName val="речпорт факт 2016"/>
      <sheetName val="речпорт прогноз 2018"/>
      <sheetName val="речпорт база для расчета 2018"/>
    </sheetNames>
    <sheetDataSet>
      <sheetData sheetId="0" refreshError="1"/>
      <sheetData sheetId="1" refreshError="1"/>
      <sheetData sheetId="2" refreshError="1">
        <row r="29">
          <cell r="V29">
            <v>95309.482000000004</v>
          </cell>
          <cell r="W29">
            <v>29289.112000000001</v>
          </cell>
          <cell r="AA29">
            <v>102462.27557212667</v>
          </cell>
          <cell r="AB29">
            <v>33746.326391102404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3"/>
  <sheetViews>
    <sheetView tabSelected="1" view="pageBreakPreview" zoomScale="60" zoomScaleNormal="72" workbookViewId="0">
      <pane xSplit="25" ySplit="6" topLeftCell="AW7" activePane="bottomRight" state="frozen"/>
      <selection activeCell="BL28" sqref="BL28"/>
      <selection pane="topRight"/>
      <selection pane="bottomLeft"/>
      <selection pane="bottomRight" activeCell="A3" sqref="A3:BR3"/>
    </sheetView>
  </sheetViews>
  <sheetFormatPr defaultColWidth="55" defaultRowHeight="15.75" outlineLevelCol="1"/>
  <cols>
    <col min="1" max="1" width="42.140625" style="127" customWidth="1"/>
    <col min="2" max="2" width="2.5703125" style="127" hidden="1" customWidth="1" outlineLevel="1"/>
    <col min="3" max="3" width="3.28515625" style="127" hidden="1" customWidth="1" outlineLevel="1"/>
    <col min="4" max="4" width="16.5703125" style="127" hidden="1" customWidth="1" outlineLevel="1"/>
    <col min="5" max="5" width="18.28515625" style="127" hidden="1" customWidth="1" outlineLevel="1"/>
    <col min="6" max="6" width="14.7109375" style="127" hidden="1" customWidth="1" outlineLevel="1"/>
    <col min="7" max="7" width="17.28515625" style="127" hidden="1" customWidth="1" outlineLevel="1"/>
    <col min="8" max="8" width="10" style="127" hidden="1" customWidth="1" outlineLevel="1"/>
    <col min="9" max="9" width="17.140625" style="127" hidden="1" customWidth="1" outlineLevel="1"/>
    <col min="10" max="10" width="10" style="127" hidden="1" customWidth="1" outlineLevel="1"/>
    <col min="11" max="11" width="17.140625" style="127" hidden="1" customWidth="1" outlineLevel="1"/>
    <col min="12" max="12" width="10.28515625" style="127" hidden="1" customWidth="1" outlineLevel="1"/>
    <col min="13" max="13" width="17.140625" style="127" hidden="1" customWidth="1" outlineLevel="1"/>
    <col min="14" max="14" width="10.28515625" style="127" hidden="1" customWidth="1" outlineLevel="1"/>
    <col min="15" max="15" width="17.140625" style="127" hidden="1" customWidth="1" outlineLevel="1" collapsed="1"/>
    <col min="16" max="16" width="23.5703125" style="127" hidden="1" customWidth="1" outlineLevel="1"/>
    <col min="17" max="17" width="13.140625" style="127" hidden="1" customWidth="1" outlineLevel="1"/>
    <col min="18" max="18" width="12.28515625" style="127" hidden="1" customWidth="1" outlineLevel="1"/>
    <col min="19" max="19" width="12.140625" style="127" hidden="1" customWidth="1" outlineLevel="1"/>
    <col min="20" max="20" width="11.28515625" style="127" hidden="1" customWidth="1" outlineLevel="1"/>
    <col min="21" max="21" width="9.42578125" style="127" hidden="1" customWidth="1" outlineLevel="1"/>
    <col min="22" max="22" width="13.42578125" style="127" hidden="1" customWidth="1" outlineLevel="1"/>
    <col min="23" max="23" width="12.5703125" style="127" hidden="1" customWidth="1" outlineLevel="1"/>
    <col min="24" max="24" width="13.28515625" style="127" hidden="1" customWidth="1" outlineLevel="1"/>
    <col min="25" max="25" width="9.42578125" style="127" hidden="1" customWidth="1" outlineLevel="1" collapsed="1"/>
    <col min="26" max="26" width="17.85546875" style="127" hidden="1" customWidth="1" collapsed="1"/>
    <col min="27" max="27" width="17" style="127" hidden="1" customWidth="1"/>
    <col min="28" max="28" width="14.85546875" style="127" hidden="1" customWidth="1"/>
    <col min="29" max="29" width="14.7109375" style="127" hidden="1" customWidth="1"/>
    <col min="30" max="30" width="12.140625" style="127" hidden="1" customWidth="1"/>
    <col min="31" max="31" width="14.7109375" style="127" hidden="1" customWidth="1"/>
    <col min="32" max="32" width="11.7109375" style="127" hidden="1" customWidth="1"/>
    <col min="33" max="33" width="18.7109375" style="127" hidden="1" customWidth="1"/>
    <col min="34" max="34" width="17" style="127" hidden="1" customWidth="1"/>
    <col min="35" max="35" width="16" style="127" hidden="1" customWidth="1"/>
    <col min="36" max="36" width="14.7109375" style="127" hidden="1" customWidth="1"/>
    <col min="37" max="37" width="16.42578125" style="127" hidden="1" customWidth="1"/>
    <col min="38" max="38" width="12.5703125" style="127" hidden="1" customWidth="1"/>
    <col min="39" max="39" width="17" style="127" hidden="1" customWidth="1"/>
    <col min="40" max="40" width="15.85546875" style="127" hidden="1" customWidth="1"/>
    <col min="41" max="42" width="13.140625" style="127" hidden="1" customWidth="1"/>
    <col min="43" max="43" width="15.85546875" style="127" hidden="1" customWidth="1"/>
    <col min="44" max="44" width="12.85546875" style="127" hidden="1" customWidth="1"/>
    <col min="45" max="45" width="17.140625" style="127" hidden="1" customWidth="1"/>
    <col min="46" max="46" width="14.140625" style="127" hidden="1" customWidth="1"/>
    <col min="47" max="47" width="12.28515625" style="127" hidden="1" customWidth="1"/>
    <col min="48" max="48" width="14.42578125" style="127" hidden="1" customWidth="1"/>
    <col min="49" max="49" width="15.5703125" style="127" hidden="1" customWidth="1"/>
    <col min="50" max="50" width="16.85546875" style="127" customWidth="1"/>
    <col min="51" max="51" width="16.28515625" style="127" customWidth="1"/>
    <col min="52" max="52" width="11.42578125" style="127" bestFit="1" customWidth="1"/>
    <col min="53" max="53" width="16.85546875" style="127" customWidth="1"/>
    <col min="54" max="54" width="15.7109375" style="127" hidden="1" customWidth="1"/>
    <col min="55" max="55" width="12.140625" style="127" bestFit="1" customWidth="1"/>
    <col min="56" max="56" width="17.5703125" style="127" customWidth="1"/>
    <col min="57" max="57" width="15.42578125" style="127" customWidth="1"/>
    <col min="58" max="58" width="15.7109375" style="127" bestFit="1" customWidth="1"/>
    <col min="59" max="59" width="17.42578125" style="127" customWidth="1"/>
    <col min="60" max="60" width="12.28515625" style="127" bestFit="1" customWidth="1"/>
    <col min="61" max="61" width="16.7109375" style="127" bestFit="1" customWidth="1"/>
    <col min="62" max="62" width="17.5703125" style="127" bestFit="1" customWidth="1"/>
    <col min="63" max="63" width="16.140625" style="127" bestFit="1" customWidth="1"/>
    <col min="64" max="64" width="17.85546875" style="127" customWidth="1"/>
    <col min="65" max="65" width="17.42578125" style="127" bestFit="1" customWidth="1"/>
    <col min="66" max="70" width="18.7109375" style="127" customWidth="1"/>
    <col min="71" max="16384" width="55" style="127"/>
  </cols>
  <sheetData>
    <row r="1" spans="1:70" ht="18.75">
      <c r="BQ1" s="415" t="s">
        <v>159</v>
      </c>
    </row>
    <row r="2" spans="1:70" ht="18.75">
      <c r="BQ2" s="415" t="s">
        <v>160</v>
      </c>
    </row>
    <row r="3" spans="1:70" ht="60" customHeight="1">
      <c r="A3" s="371" t="s">
        <v>158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2"/>
      <c r="BO3" s="372"/>
      <c r="BP3" s="372"/>
      <c r="BQ3" s="372"/>
      <c r="BR3" s="372"/>
    </row>
    <row r="4" spans="1:70" ht="14.25" customHeight="1">
      <c r="B4" s="128"/>
      <c r="C4" s="128"/>
      <c r="D4" s="128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S4" s="129"/>
      <c r="BM4" s="130"/>
      <c r="BR4" s="360" t="s">
        <v>157</v>
      </c>
    </row>
    <row r="5" spans="1:70" ht="30.75" customHeight="1">
      <c r="A5" s="373"/>
      <c r="B5" s="131" t="s">
        <v>0</v>
      </c>
      <c r="C5" s="132" t="s">
        <v>1</v>
      </c>
      <c r="D5" s="368" t="s">
        <v>2</v>
      </c>
      <c r="E5" s="370"/>
      <c r="F5" s="368" t="s">
        <v>3</v>
      </c>
      <c r="G5" s="369"/>
      <c r="H5" s="369"/>
      <c r="I5" s="368" t="s">
        <v>4</v>
      </c>
      <c r="J5" s="370"/>
      <c r="K5" s="369" t="s">
        <v>5</v>
      </c>
      <c r="L5" s="370"/>
      <c r="M5" s="368" t="s">
        <v>6</v>
      </c>
      <c r="N5" s="369"/>
      <c r="O5" s="366" t="s">
        <v>7</v>
      </c>
      <c r="P5" s="367"/>
      <c r="Q5" s="363" t="s">
        <v>8</v>
      </c>
      <c r="R5" s="364"/>
      <c r="S5" s="364"/>
      <c r="T5" s="364"/>
      <c r="U5" s="364"/>
      <c r="V5" s="364" t="s">
        <v>9</v>
      </c>
      <c r="W5" s="364"/>
      <c r="X5" s="364"/>
      <c r="Y5" s="365"/>
      <c r="Z5" s="133" t="s">
        <v>10</v>
      </c>
      <c r="AA5" s="361" t="s">
        <v>11</v>
      </c>
      <c r="AB5" s="363" t="s">
        <v>12</v>
      </c>
      <c r="AC5" s="364"/>
      <c r="AD5" s="364"/>
      <c r="AE5" s="364"/>
      <c r="AF5" s="365"/>
      <c r="AG5" s="133" t="s">
        <v>13</v>
      </c>
      <c r="AH5" s="366" t="s">
        <v>14</v>
      </c>
      <c r="AI5" s="364"/>
      <c r="AJ5" s="364"/>
      <c r="AK5" s="364"/>
      <c r="AL5" s="367"/>
      <c r="AM5" s="134" t="s">
        <v>15</v>
      </c>
      <c r="AN5" s="368" t="s">
        <v>16</v>
      </c>
      <c r="AO5" s="369"/>
      <c r="AP5" s="369"/>
      <c r="AQ5" s="369"/>
      <c r="AR5" s="370"/>
      <c r="AS5" s="366" t="s">
        <v>17</v>
      </c>
      <c r="AT5" s="364"/>
      <c r="AU5" s="364"/>
      <c r="AV5" s="364"/>
      <c r="AW5" s="365"/>
      <c r="AX5" s="366" t="s">
        <v>18</v>
      </c>
      <c r="AY5" s="364"/>
      <c r="AZ5" s="364"/>
      <c r="BA5" s="364"/>
      <c r="BB5" s="365"/>
      <c r="BC5" s="365"/>
      <c r="BD5" s="366" t="s">
        <v>19</v>
      </c>
      <c r="BE5" s="364"/>
      <c r="BF5" s="364"/>
      <c r="BG5" s="364"/>
      <c r="BH5" s="367"/>
      <c r="BI5" s="366" t="s">
        <v>20</v>
      </c>
      <c r="BJ5" s="364"/>
      <c r="BK5" s="364"/>
      <c r="BL5" s="364"/>
      <c r="BM5" s="367"/>
      <c r="BN5" s="366" t="s">
        <v>21</v>
      </c>
      <c r="BO5" s="364"/>
      <c r="BP5" s="364"/>
      <c r="BQ5" s="364"/>
      <c r="BR5" s="367"/>
    </row>
    <row r="6" spans="1:70" ht="74.25" customHeight="1">
      <c r="A6" s="374"/>
      <c r="B6" s="135" t="s">
        <v>22</v>
      </c>
      <c r="C6" s="136" t="s">
        <v>23</v>
      </c>
      <c r="D6" s="136" t="s">
        <v>24</v>
      </c>
      <c r="E6" s="136" t="s">
        <v>25</v>
      </c>
      <c r="F6" s="136" t="s">
        <v>24</v>
      </c>
      <c r="G6" s="137" t="s">
        <v>26</v>
      </c>
      <c r="H6" s="138" t="s">
        <v>27</v>
      </c>
      <c r="I6" s="137" t="s">
        <v>28</v>
      </c>
      <c r="J6" s="139" t="s">
        <v>29</v>
      </c>
      <c r="K6" s="140" t="s">
        <v>30</v>
      </c>
      <c r="L6" s="139" t="s">
        <v>29</v>
      </c>
      <c r="M6" s="137" t="s">
        <v>31</v>
      </c>
      <c r="N6" s="138" t="s">
        <v>32</v>
      </c>
      <c r="O6" s="141" t="s">
        <v>33</v>
      </c>
      <c r="P6" s="142" t="s">
        <v>34</v>
      </c>
      <c r="Q6" s="143" t="s">
        <v>35</v>
      </c>
      <c r="R6" s="144" t="s">
        <v>36</v>
      </c>
      <c r="S6" s="144" t="s">
        <v>37</v>
      </c>
      <c r="T6" s="144" t="s">
        <v>38</v>
      </c>
      <c r="U6" s="144" t="s">
        <v>39</v>
      </c>
      <c r="V6" s="144" t="s">
        <v>35</v>
      </c>
      <c r="W6" s="144" t="s">
        <v>36</v>
      </c>
      <c r="X6" s="144" t="s">
        <v>38</v>
      </c>
      <c r="Y6" s="145"/>
      <c r="Z6" s="146" t="s">
        <v>40</v>
      </c>
      <c r="AA6" s="362"/>
      <c r="AB6" s="143" t="s">
        <v>35</v>
      </c>
      <c r="AC6" s="144" t="s">
        <v>36</v>
      </c>
      <c r="AD6" s="144" t="s">
        <v>41</v>
      </c>
      <c r="AE6" s="144" t="s">
        <v>38</v>
      </c>
      <c r="AF6" s="145" t="s">
        <v>42</v>
      </c>
      <c r="AG6" s="146" t="s">
        <v>43</v>
      </c>
      <c r="AH6" s="141" t="s">
        <v>35</v>
      </c>
      <c r="AI6" s="144" t="s">
        <v>36</v>
      </c>
      <c r="AJ6" s="144" t="s">
        <v>37</v>
      </c>
      <c r="AK6" s="144" t="s">
        <v>38</v>
      </c>
      <c r="AL6" s="142" t="s">
        <v>44</v>
      </c>
      <c r="AM6" s="147" t="s">
        <v>45</v>
      </c>
      <c r="AN6" s="148" t="s">
        <v>35</v>
      </c>
      <c r="AO6" s="149" t="s">
        <v>36</v>
      </c>
      <c r="AP6" s="149" t="s">
        <v>37</v>
      </c>
      <c r="AQ6" s="149" t="s">
        <v>46</v>
      </c>
      <c r="AR6" s="150" t="s">
        <v>47</v>
      </c>
      <c r="AS6" s="141" t="s">
        <v>35</v>
      </c>
      <c r="AT6" s="144" t="s">
        <v>36</v>
      </c>
      <c r="AU6" s="144" t="s">
        <v>48</v>
      </c>
      <c r="AV6" s="149" t="s">
        <v>46</v>
      </c>
      <c r="AW6" s="145" t="s">
        <v>49</v>
      </c>
      <c r="AX6" s="141" t="s">
        <v>35</v>
      </c>
      <c r="AY6" s="144" t="s">
        <v>36</v>
      </c>
      <c r="AZ6" s="144" t="s">
        <v>37</v>
      </c>
      <c r="BA6" s="144" t="s">
        <v>46</v>
      </c>
      <c r="BB6" s="145"/>
      <c r="BC6" s="145" t="s">
        <v>49</v>
      </c>
      <c r="BD6" s="141" t="s">
        <v>35</v>
      </c>
      <c r="BE6" s="144" t="s">
        <v>36</v>
      </c>
      <c r="BF6" s="144" t="s">
        <v>37</v>
      </c>
      <c r="BG6" s="144" t="s">
        <v>46</v>
      </c>
      <c r="BH6" s="142" t="s">
        <v>50</v>
      </c>
      <c r="BI6" s="141" t="s">
        <v>35</v>
      </c>
      <c r="BJ6" s="144" t="s">
        <v>36</v>
      </c>
      <c r="BK6" s="144" t="s">
        <v>37</v>
      </c>
      <c r="BL6" s="144" t="s">
        <v>46</v>
      </c>
      <c r="BM6" s="142" t="s">
        <v>51</v>
      </c>
      <c r="BN6" s="141" t="s">
        <v>35</v>
      </c>
      <c r="BO6" s="144" t="s">
        <v>36</v>
      </c>
      <c r="BP6" s="144" t="s">
        <v>37</v>
      </c>
      <c r="BQ6" s="144" t="s">
        <v>46</v>
      </c>
      <c r="BR6" s="142" t="s">
        <v>49</v>
      </c>
    </row>
    <row r="7" spans="1:70" ht="41.25" customHeight="1">
      <c r="A7" s="134" t="s">
        <v>52</v>
      </c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3"/>
      <c r="AH7" s="154">
        <f>SUM(AH8:AH12)</f>
        <v>86418.324373197538</v>
      </c>
      <c r="AI7" s="155">
        <f>SUM(AI8:AI12)</f>
        <v>20869.082697176244</v>
      </c>
      <c r="AJ7" s="152"/>
      <c r="AK7" s="155">
        <f>SUM(AK8:AK12)</f>
        <v>65549.24167602128</v>
      </c>
      <c r="AL7" s="156"/>
      <c r="AM7" s="157">
        <f>SUM(AM8:AM12)</f>
        <v>65549.24167602128</v>
      </c>
      <c r="AN7" s="154">
        <f>SUM(AN8:AN12)</f>
        <v>107862.51699999999</v>
      </c>
      <c r="AO7" s="155">
        <f>SUM(AO8:AO12)</f>
        <v>20981.96</v>
      </c>
      <c r="AP7" s="158">
        <f t="shared" ref="AP7:AP14" si="0">AO7/AI7</f>
        <v>1.0054088291498806</v>
      </c>
      <c r="AQ7" s="155">
        <f>SUM(AQ8:AQ12)</f>
        <v>86880.557000000001</v>
      </c>
      <c r="AR7" s="159">
        <f t="shared" ref="AR7:AR12" si="1">AQ7/AK7</f>
        <v>1.3254242883450775</v>
      </c>
      <c r="AS7" s="160">
        <f>SUM(AS8:AS12)</f>
        <v>118433943.3</v>
      </c>
      <c r="AT7" s="161">
        <f>SUM(AT8:AT12)</f>
        <v>22465510.059999999</v>
      </c>
      <c r="AU7" s="162">
        <f t="shared" ref="AU7:AU11" si="2">AT7/AO7</f>
        <v>1070.7059807568025</v>
      </c>
      <c r="AV7" s="161">
        <f>SUM(AV8:AV12)</f>
        <v>95968433.24000001</v>
      </c>
      <c r="AW7" s="159">
        <f t="shared" ref="AW7:AW12" si="3">AV7/AQ7</f>
        <v>1104.6019564538474</v>
      </c>
      <c r="AX7" s="154">
        <f>SUM(AX8:AX12)</f>
        <v>140276494.7869688</v>
      </c>
      <c r="AY7" s="155">
        <f>SUM(AY8:AY12)</f>
        <v>23017224.612000003</v>
      </c>
      <c r="AZ7" s="155">
        <f t="shared" ref="AZ7:AZ11" si="4">AY7/AT7</f>
        <v>1.0245582918227321</v>
      </c>
      <c r="BA7" s="155">
        <f>SUM(BA8:BA12)</f>
        <v>117259270.17496879</v>
      </c>
      <c r="BB7" s="155">
        <f>SUM(BB8:BB12)</f>
        <v>118557971.12</v>
      </c>
      <c r="BC7" s="163">
        <f t="shared" ref="BC7:BC8" si="5">BA7/AV7</f>
        <v>1.2218525010377546</v>
      </c>
      <c r="BD7" s="154">
        <f>SUM(BD8:BD12)</f>
        <v>148469686.65248001</v>
      </c>
      <c r="BE7" s="155">
        <f>SUM(BE8:BE12)</f>
        <v>23744709.825480003</v>
      </c>
      <c r="BF7" s="155">
        <f t="shared" ref="BF7:BF11" si="6">BE7/AY7</f>
        <v>1.0316061221864572</v>
      </c>
      <c r="BG7" s="155">
        <f>SUM(BG8:BG12)</f>
        <v>124222846.21700001</v>
      </c>
      <c r="BH7" s="164">
        <f t="shared" ref="BH7:BH8" si="7">BG7/BA7</f>
        <v>1.0593861451776094</v>
      </c>
      <c r="BI7" s="154">
        <f>SUM(BI8:BI12)</f>
        <v>154408474.11857921</v>
      </c>
      <c r="BJ7" s="155">
        <f>SUM(BJ8:BJ12)</f>
        <v>24694498.218499202</v>
      </c>
      <c r="BK7" s="155">
        <f t="shared" ref="BK7:BK11" si="8">BJ7/BE7</f>
        <v>1.04</v>
      </c>
      <c r="BL7" s="155">
        <f>SUM(BL8:BL12)</f>
        <v>128753294.98008001</v>
      </c>
      <c r="BM7" s="164">
        <f t="shared" ref="BM7:BM8" si="9">BL7/BG7</f>
        <v>1.0364703345724822</v>
      </c>
      <c r="BN7" s="154">
        <f>SUM(BN8:BN12)</f>
        <v>156810130.72332239</v>
      </c>
      <c r="BO7" s="155">
        <f>SUM(BO8:BO12)</f>
        <v>25682278.147239171</v>
      </c>
      <c r="BP7" s="155">
        <f t="shared" ref="BP7:BP16" si="10">BO7/BJ7</f>
        <v>1.04</v>
      </c>
      <c r="BQ7" s="155">
        <f>SUM(BQ8:BQ12)</f>
        <v>131127852.57608321</v>
      </c>
      <c r="BR7" s="164">
        <f t="shared" ref="BR7:BR8" si="11">BQ7/BL7</f>
        <v>1.0184426938073359</v>
      </c>
    </row>
    <row r="8" spans="1:70" s="261" customFormat="1" ht="53.25" customHeight="1">
      <c r="A8" s="231" t="s">
        <v>53</v>
      </c>
      <c r="B8" s="232">
        <v>3459.6</v>
      </c>
      <c r="C8" s="233">
        <v>3502.6</v>
      </c>
      <c r="D8" s="233">
        <v>5047.8</v>
      </c>
      <c r="E8" s="233">
        <v>5344.1</v>
      </c>
      <c r="F8" s="233"/>
      <c r="G8" s="234">
        <v>4509.1000000000004</v>
      </c>
      <c r="H8" s="235">
        <f t="shared" ref="H8:H11" si="12">G8/E8*100</f>
        <v>84.375292378510878</v>
      </c>
      <c r="I8" s="236">
        <v>4746.6000000000004</v>
      </c>
      <c r="J8" s="235">
        <f t="shared" ref="J8:J11" si="13">I8/G8*100</f>
        <v>105.26712647756757</v>
      </c>
      <c r="K8" s="237">
        <v>6523.8</v>
      </c>
      <c r="L8" s="238">
        <f t="shared" ref="L8:L11" si="14">K8/I8*100</f>
        <v>137.44153710024017</v>
      </c>
      <c r="M8" s="239">
        <v>6686.4</v>
      </c>
      <c r="N8" s="238">
        <f t="shared" ref="N8:N11" si="15">M8/K8*100</f>
        <v>102.49241239768232</v>
      </c>
      <c r="O8" s="240">
        <v>7174.1</v>
      </c>
      <c r="P8" s="241">
        <f t="shared" ref="P8:P11" si="16">O8/M8</f>
        <v>1.0729391002632209</v>
      </c>
      <c r="Q8" s="242">
        <f>[1]Свод!$AK$31</f>
        <v>9677.3529327128963</v>
      </c>
      <c r="R8" s="242">
        <f>[1]Свод!$AK$12</f>
        <v>1725.2414999999999</v>
      </c>
      <c r="S8" s="243">
        <f>[1]Свод!$AS$75</f>
        <v>105.5</v>
      </c>
      <c r="T8" s="242">
        <f t="shared" ref="T8:T11" si="17">Q8-R8</f>
        <v>7952.1114327128962</v>
      </c>
      <c r="U8" s="244">
        <f t="shared" ref="U8:U11" si="18">T8/O8*100</f>
        <v>110.84472522982529</v>
      </c>
      <c r="V8" s="242">
        <f>1583.4771+8024.1</f>
        <v>9607.5771000000004</v>
      </c>
      <c r="W8" s="242">
        <v>1583.4771000000001</v>
      </c>
      <c r="X8" s="242">
        <f t="shared" ref="X8:X11" si="19">V8-W8</f>
        <v>8024.1</v>
      </c>
      <c r="Y8" s="242"/>
      <c r="Z8" s="242">
        <v>7952.1</v>
      </c>
      <c r="AA8" s="242">
        <v>7952.1</v>
      </c>
      <c r="AB8" s="242">
        <f t="shared" ref="AB8:AB11" si="20">V8*1.045*1.036</f>
        <v>10401.355120001999</v>
      </c>
      <c r="AC8" s="242">
        <f>W8*1.1*1.04</f>
        <v>1811.4978024000004</v>
      </c>
      <c r="AD8" s="243">
        <f t="shared" ref="AD8:AD11" si="21">AC8/R8*100</f>
        <v>104.9996654033653</v>
      </c>
      <c r="AE8" s="242">
        <f t="shared" ref="AE8:AE11" si="22">AB8-AC8</f>
        <v>8589.8573176019981</v>
      </c>
      <c r="AF8" s="245">
        <f t="shared" ref="AF8:AF11" si="23">AE8/Z8</f>
        <v>1.0801998613702037</v>
      </c>
      <c r="AG8" s="246">
        <v>8589.857</v>
      </c>
      <c r="AH8" s="247">
        <f>AB8*1.04</f>
        <v>10817.40932480208</v>
      </c>
      <c r="AI8" s="248">
        <v>1296.72</v>
      </c>
      <c r="AJ8" s="249">
        <f t="shared" ref="AJ8:AJ11" si="24">AI8/AC8</f>
        <v>0.71582753138425759</v>
      </c>
      <c r="AK8" s="248">
        <f t="shared" ref="AK8:AK11" si="25">AH8-AI8</f>
        <v>9520.6893248020806</v>
      </c>
      <c r="AL8" s="250">
        <f t="shared" ref="AL8:AL11" si="26">AK8/AG8</f>
        <v>1.1083641235007848</v>
      </c>
      <c r="AM8" s="251">
        <f t="shared" ref="AM8:AM11" si="27">AK8</f>
        <v>9520.6893248020806</v>
      </c>
      <c r="AN8" s="252">
        <v>14962.4</v>
      </c>
      <c r="AO8" s="253">
        <v>1366.48</v>
      </c>
      <c r="AP8" s="249">
        <f t="shared" si="0"/>
        <v>1.0537972731198717</v>
      </c>
      <c r="AQ8" s="253">
        <f t="shared" ref="AQ8:AQ11" si="28">AN8-AO8</f>
        <v>13595.92</v>
      </c>
      <c r="AR8" s="250">
        <f t="shared" si="1"/>
        <v>1.4280394555656437</v>
      </c>
      <c r="AS8" s="254">
        <f>AN8*1.04*1000</f>
        <v>15560896</v>
      </c>
      <c r="AT8" s="255">
        <f>AO8*1.037*1000</f>
        <v>1417039.7599999998</v>
      </c>
      <c r="AU8" s="256">
        <f t="shared" si="2"/>
        <v>1036.9999999999998</v>
      </c>
      <c r="AV8" s="255">
        <f t="shared" ref="AV8:AV11" si="29">AS8-AT8</f>
        <v>14143856.24</v>
      </c>
      <c r="AW8" s="250">
        <f t="shared" si="3"/>
        <v>1040.3015198677251</v>
      </c>
      <c r="AX8" s="247">
        <v>16484700</v>
      </c>
      <c r="AY8" s="248">
        <f>1300000*1.03</f>
        <v>1339000</v>
      </c>
      <c r="AZ8" s="257">
        <f t="shared" si="4"/>
        <v>0.94492761445169349</v>
      </c>
      <c r="BA8" s="248">
        <f t="shared" ref="BA8:BA11" si="30">AX8-AY8</f>
        <v>15145700</v>
      </c>
      <c r="BB8" s="258">
        <f>16800*1000</f>
        <v>16800000</v>
      </c>
      <c r="BC8" s="259">
        <f t="shared" si="5"/>
        <v>1.0708324337436845</v>
      </c>
      <c r="BD8" s="247">
        <f>19974.6*1000</f>
        <v>19974600</v>
      </c>
      <c r="BE8" s="248">
        <f>1500*1000*104/100</f>
        <v>1560000</v>
      </c>
      <c r="BF8" s="257">
        <f t="shared" si="6"/>
        <v>1.1650485436893203</v>
      </c>
      <c r="BG8" s="248">
        <f>BD8-BE8</f>
        <v>18414600</v>
      </c>
      <c r="BH8" s="260">
        <f t="shared" si="7"/>
        <v>1.2158302356444404</v>
      </c>
      <c r="BI8" s="247">
        <f>BD8*104/100</f>
        <v>20773584</v>
      </c>
      <c r="BJ8" s="248">
        <f>BE8*104/100</f>
        <v>1622400</v>
      </c>
      <c r="BK8" s="257">
        <f t="shared" si="8"/>
        <v>1.04</v>
      </c>
      <c r="BL8" s="248">
        <f t="shared" ref="BL8:BL11" si="31">BI8-BJ8</f>
        <v>19151184</v>
      </c>
      <c r="BM8" s="260">
        <f t="shared" si="9"/>
        <v>1.04</v>
      </c>
      <c r="BN8" s="247">
        <v>17829845</v>
      </c>
      <c r="BO8" s="248">
        <f t="shared" ref="BO8:BO12" si="32">BJ8*1.04</f>
        <v>1687296</v>
      </c>
      <c r="BP8" s="257">
        <f t="shared" si="10"/>
        <v>1.04</v>
      </c>
      <c r="BQ8" s="248">
        <f t="shared" ref="BQ8:BQ11" si="33">BN8-BO8</f>
        <v>16142549</v>
      </c>
      <c r="BR8" s="260">
        <f t="shared" si="11"/>
        <v>0.84290083579166697</v>
      </c>
    </row>
    <row r="9" spans="1:70" s="261" customFormat="1" ht="46.5" customHeight="1">
      <c r="A9" s="231" t="s">
        <v>54</v>
      </c>
      <c r="B9" s="232">
        <v>1588</v>
      </c>
      <c r="C9" s="233">
        <v>1614.2</v>
      </c>
      <c r="D9" s="233">
        <v>3013.1</v>
      </c>
      <c r="E9" s="233">
        <v>2508.6</v>
      </c>
      <c r="F9" s="233"/>
      <c r="G9" s="237">
        <v>3183.9</v>
      </c>
      <c r="H9" s="235">
        <f t="shared" si="12"/>
        <v>126.91939727337957</v>
      </c>
      <c r="I9" s="236">
        <v>3189.3</v>
      </c>
      <c r="J9" s="235">
        <f t="shared" si="13"/>
        <v>100.1696033166871</v>
      </c>
      <c r="K9" s="237">
        <v>3141.5</v>
      </c>
      <c r="L9" s="238">
        <f t="shared" si="14"/>
        <v>98.501238516288836</v>
      </c>
      <c r="M9" s="239">
        <v>2935.9</v>
      </c>
      <c r="N9" s="238">
        <f t="shared" si="15"/>
        <v>93.455355721788962</v>
      </c>
      <c r="O9" s="240">
        <v>3637.3</v>
      </c>
      <c r="P9" s="241">
        <f t="shared" si="16"/>
        <v>1.2389045948431487</v>
      </c>
      <c r="Q9" s="242">
        <f>[2]Лист2!$DW$46</f>
        <v>4161.8025014495461</v>
      </c>
      <c r="R9" s="242">
        <f>[2]Лист2!$DW$17</f>
        <v>900.95</v>
      </c>
      <c r="S9" s="243">
        <f>420/400*100</f>
        <v>105</v>
      </c>
      <c r="T9" s="242">
        <f t="shared" si="17"/>
        <v>3260.8525014495463</v>
      </c>
      <c r="U9" s="244">
        <f t="shared" si="18"/>
        <v>89.650358822465734</v>
      </c>
      <c r="V9" s="242">
        <f>3437.3+915.425</f>
        <v>4352.7250000000004</v>
      </c>
      <c r="W9" s="242">
        <v>915.42499999999995</v>
      </c>
      <c r="X9" s="242">
        <f t="shared" si="19"/>
        <v>3437.3</v>
      </c>
      <c r="Y9" s="242"/>
      <c r="Z9" s="242">
        <v>3437.3</v>
      </c>
      <c r="AA9" s="242">
        <v>3305</v>
      </c>
      <c r="AB9" s="242">
        <f t="shared" si="20"/>
        <v>4712.3471395000006</v>
      </c>
      <c r="AC9" s="242">
        <f>W9*1.1*1.034</f>
        <v>1041.2043950000002</v>
      </c>
      <c r="AD9" s="243">
        <f t="shared" si="21"/>
        <v>115.56738942227651</v>
      </c>
      <c r="AE9" s="242">
        <f t="shared" si="22"/>
        <v>3671.1427445000004</v>
      </c>
      <c r="AF9" s="245">
        <f t="shared" si="23"/>
        <v>1.0680309383818696</v>
      </c>
      <c r="AG9" s="246">
        <v>5859.143</v>
      </c>
      <c r="AH9" s="247">
        <f>AB9*1.04+1043.48</f>
        <v>5944.3210250800003</v>
      </c>
      <c r="AI9" s="248">
        <f>750.98</f>
        <v>750.98</v>
      </c>
      <c r="AJ9" s="249">
        <f t="shared" si="24"/>
        <v>0.72126088173110325</v>
      </c>
      <c r="AK9" s="248">
        <f t="shared" si="25"/>
        <v>5193.3410250800007</v>
      </c>
      <c r="AL9" s="250">
        <f t="shared" si="26"/>
        <v>0.88636529695213118</v>
      </c>
      <c r="AM9" s="251">
        <f t="shared" si="27"/>
        <v>5193.3410250800007</v>
      </c>
      <c r="AN9" s="252">
        <v>6386.9170000000004</v>
      </c>
      <c r="AO9" s="253">
        <v>344.01</v>
      </c>
      <c r="AP9" s="249">
        <f t="shared" si="0"/>
        <v>0.45808144025140479</v>
      </c>
      <c r="AQ9" s="253">
        <f t="shared" si="28"/>
        <v>6042.9070000000002</v>
      </c>
      <c r="AR9" s="250">
        <f t="shared" si="1"/>
        <v>1.1635875577623775</v>
      </c>
      <c r="AS9" s="254">
        <f>(6110000+AT9)</f>
        <v>6464330.2999999998</v>
      </c>
      <c r="AT9" s="255">
        <f>AO9*1.03*1000</f>
        <v>354330.30000000005</v>
      </c>
      <c r="AU9" s="256">
        <f t="shared" si="2"/>
        <v>1030.0000000000002</v>
      </c>
      <c r="AV9" s="255">
        <f t="shared" si="29"/>
        <v>6110000</v>
      </c>
      <c r="AW9" s="250">
        <f t="shared" si="3"/>
        <v>1011.102768915689</v>
      </c>
      <c r="AX9" s="247">
        <f>AS9*1.0399993</f>
        <v>6722898.9869687902</v>
      </c>
      <c r="AY9" s="248">
        <f t="shared" ref="AX9:AY10" si="34">AT9*1.04</f>
        <v>368503.51200000005</v>
      </c>
      <c r="AZ9" s="257">
        <f t="shared" si="4"/>
        <v>1.04</v>
      </c>
      <c r="BA9" s="248">
        <f t="shared" si="30"/>
        <v>6354395.4749687901</v>
      </c>
      <c r="BB9" s="258">
        <v>6350000</v>
      </c>
      <c r="BC9" s="259">
        <f>BA9/AV9*100%</f>
        <v>1.0399992594056939</v>
      </c>
      <c r="BD9" s="247">
        <f>BG9+BE9</f>
        <v>6983243.6524799997</v>
      </c>
      <c r="BE9" s="248">
        <f>AY9*1.04</f>
        <v>383243.65248000005</v>
      </c>
      <c r="BF9" s="257">
        <f t="shared" si="6"/>
        <v>1.04</v>
      </c>
      <c r="BG9" s="248">
        <v>6600000</v>
      </c>
      <c r="BH9" s="260">
        <f>BG9/AV9</f>
        <v>1.0801963993453356</v>
      </c>
      <c r="BI9" s="247">
        <f t="shared" ref="BI9:BI12" si="35">BD9*1.04</f>
        <v>7262573.3985791998</v>
      </c>
      <c r="BJ9" s="248">
        <f t="shared" ref="BJ9:BJ12" si="36">BE9*1.04</f>
        <v>398573.39857920009</v>
      </c>
      <c r="BK9" s="257">
        <f t="shared" si="8"/>
        <v>1.04</v>
      </c>
      <c r="BL9" s="248">
        <f t="shared" si="31"/>
        <v>6864000</v>
      </c>
      <c r="BM9" s="260">
        <f>BL9/BA9</f>
        <v>1.0801971685644436</v>
      </c>
      <c r="BN9" s="247">
        <f t="shared" ref="BN9:BN12" si="37">BI9*1.04</f>
        <v>7553076.3345223684</v>
      </c>
      <c r="BO9" s="248">
        <f t="shared" si="32"/>
        <v>414516.3345223681</v>
      </c>
      <c r="BP9" s="257">
        <f t="shared" si="10"/>
        <v>1.04</v>
      </c>
      <c r="BQ9" s="248">
        <f t="shared" si="33"/>
        <v>7138560</v>
      </c>
      <c r="BR9" s="260">
        <f>BQ9/BF9</f>
        <v>6864000</v>
      </c>
    </row>
    <row r="10" spans="1:70" s="261" customFormat="1" ht="48" customHeight="1">
      <c r="A10" s="231" t="s">
        <v>55</v>
      </c>
      <c r="B10" s="232">
        <v>1924.7</v>
      </c>
      <c r="C10" s="233">
        <v>1514.7</v>
      </c>
      <c r="D10" s="233">
        <v>2932.1</v>
      </c>
      <c r="E10" s="233">
        <v>1886.8</v>
      </c>
      <c r="F10" s="233"/>
      <c r="G10" s="234">
        <v>1659.7</v>
      </c>
      <c r="H10" s="235">
        <f t="shared" si="12"/>
        <v>87.963748145007429</v>
      </c>
      <c r="I10" s="236">
        <v>2062.4</v>
      </c>
      <c r="J10" s="235">
        <f t="shared" si="13"/>
        <v>124.26342110019884</v>
      </c>
      <c r="K10" s="237">
        <v>2025.7</v>
      </c>
      <c r="L10" s="238">
        <f t="shared" si="14"/>
        <v>98.220519782777345</v>
      </c>
      <c r="M10" s="239">
        <f>2070.9+100</f>
        <v>2170.9</v>
      </c>
      <c r="N10" s="238">
        <f t="shared" si="15"/>
        <v>107.16789258034261</v>
      </c>
      <c r="O10" s="240">
        <v>2866.3</v>
      </c>
      <c r="P10" s="241">
        <f t="shared" si="16"/>
        <v>1.3203279745727579</v>
      </c>
      <c r="Q10" s="242">
        <f>[3]Лист1!$FD$59/1000</f>
        <v>3759.5168579686606</v>
      </c>
      <c r="R10" s="242">
        <f>[3]Лист1!$FD$71/1000</f>
        <v>867.50751000000002</v>
      </c>
      <c r="S10" s="243">
        <v>105.5</v>
      </c>
      <c r="T10" s="242">
        <f t="shared" si="17"/>
        <v>2892.0093479686607</v>
      </c>
      <c r="U10" s="244">
        <f t="shared" si="18"/>
        <v>100.8969524463127</v>
      </c>
      <c r="V10" s="242">
        <f>772.566+2674.613</f>
        <v>3447.1790000000001</v>
      </c>
      <c r="W10" s="242">
        <v>772.56600000000003</v>
      </c>
      <c r="X10" s="242">
        <f t="shared" si="19"/>
        <v>2674.6130000000003</v>
      </c>
      <c r="Y10" s="242"/>
      <c r="Z10" s="242">
        <v>2792</v>
      </c>
      <c r="AA10" s="242">
        <v>2862.3</v>
      </c>
      <c r="AB10" s="242">
        <f t="shared" si="20"/>
        <v>3731.9849289799999</v>
      </c>
      <c r="AC10" s="242">
        <f>W10*1.078*1.04</f>
        <v>866.13919392000014</v>
      </c>
      <c r="AD10" s="243">
        <f t="shared" si="21"/>
        <v>99.842270405244122</v>
      </c>
      <c r="AE10" s="242">
        <f t="shared" si="22"/>
        <v>2865.8457350599997</v>
      </c>
      <c r="AF10" s="245">
        <f t="shared" si="23"/>
        <v>1.0264490455085959</v>
      </c>
      <c r="AG10" s="246">
        <v>2865.846</v>
      </c>
      <c r="AH10" s="247">
        <f>AB10*1.04</f>
        <v>3881.2643261392</v>
      </c>
      <c r="AI10" s="248">
        <v>859.54</v>
      </c>
      <c r="AJ10" s="249">
        <f t="shared" si="24"/>
        <v>0.99238090832706305</v>
      </c>
      <c r="AK10" s="248">
        <f t="shared" si="25"/>
        <v>3021.7243261392</v>
      </c>
      <c r="AL10" s="250">
        <f t="shared" si="26"/>
        <v>1.0543917314954119</v>
      </c>
      <c r="AM10" s="251">
        <f t="shared" si="27"/>
        <v>3021.7243261392</v>
      </c>
      <c r="AN10" s="252">
        <v>4322.2</v>
      </c>
      <c r="AO10" s="253">
        <v>905.1</v>
      </c>
      <c r="AP10" s="249">
        <f t="shared" si="0"/>
        <v>1.053005095748889</v>
      </c>
      <c r="AQ10" s="253">
        <f t="shared" si="28"/>
        <v>3417.1</v>
      </c>
      <c r="AR10" s="250">
        <f t="shared" si="1"/>
        <v>1.130844389225262</v>
      </c>
      <c r="AS10" s="254">
        <f>(4682.7-223)*1000</f>
        <v>4459700</v>
      </c>
      <c r="AT10" s="255">
        <f>AO10*1000</f>
        <v>905100</v>
      </c>
      <c r="AU10" s="256">
        <f t="shared" si="2"/>
        <v>1000</v>
      </c>
      <c r="AV10" s="255">
        <f t="shared" si="29"/>
        <v>3554600</v>
      </c>
      <c r="AW10" s="250">
        <f t="shared" si="3"/>
        <v>1040.2387989815927</v>
      </c>
      <c r="AX10" s="247">
        <f t="shared" si="34"/>
        <v>4638088</v>
      </c>
      <c r="AY10" s="248">
        <f t="shared" si="34"/>
        <v>941304</v>
      </c>
      <c r="AZ10" s="257">
        <f t="shared" si="4"/>
        <v>1.04</v>
      </c>
      <c r="BA10" s="248">
        <f t="shared" si="30"/>
        <v>3696784</v>
      </c>
      <c r="BB10" s="258">
        <v>3958372</v>
      </c>
      <c r="BC10" s="259">
        <f t="shared" ref="BC10:BC11" si="38">BA10/AV10</f>
        <v>1.04</v>
      </c>
      <c r="BD10" s="247">
        <v>4818064.45</v>
      </c>
      <c r="BE10" s="248">
        <v>818822.06</v>
      </c>
      <c r="BF10" s="257">
        <f t="shared" si="6"/>
        <v>0.86988056993277418</v>
      </c>
      <c r="BG10" s="248">
        <f t="shared" ref="BG10:BG11" si="39">BD10-BE10</f>
        <v>3999242.39</v>
      </c>
      <c r="BH10" s="260">
        <f t="shared" ref="BH10:BH11" si="40">BG10/BA10</f>
        <v>1.0818166249367018</v>
      </c>
      <c r="BI10" s="247">
        <f t="shared" si="35"/>
        <v>5010787.0279999999</v>
      </c>
      <c r="BJ10" s="248">
        <f t="shared" si="36"/>
        <v>851574.94240000006</v>
      </c>
      <c r="BK10" s="257">
        <f t="shared" si="8"/>
        <v>1.04</v>
      </c>
      <c r="BL10" s="248">
        <f t="shared" si="31"/>
        <v>4159212.0855999999</v>
      </c>
      <c r="BM10" s="260">
        <f t="shared" ref="BM10:BM11" si="41">BL10/BG10</f>
        <v>1.04</v>
      </c>
      <c r="BN10" s="247">
        <f t="shared" si="37"/>
        <v>5211218.5091200005</v>
      </c>
      <c r="BO10" s="248">
        <f t="shared" si="32"/>
        <v>885637.94009600009</v>
      </c>
      <c r="BP10" s="257">
        <f t="shared" si="10"/>
        <v>1.04</v>
      </c>
      <c r="BQ10" s="248">
        <f t="shared" si="33"/>
        <v>4325580.5690240003</v>
      </c>
      <c r="BR10" s="260">
        <f t="shared" ref="BR10:BR16" si="42">BQ10/BL10</f>
        <v>1.04</v>
      </c>
    </row>
    <row r="11" spans="1:70" s="261" customFormat="1" ht="47.25" customHeight="1">
      <c r="A11" s="231" t="s">
        <v>56</v>
      </c>
      <c r="B11" s="262">
        <v>850</v>
      </c>
      <c r="C11" s="239">
        <v>898</v>
      </c>
      <c r="D11" s="239">
        <v>1134.2</v>
      </c>
      <c r="E11" s="239">
        <v>1031.5999999999999</v>
      </c>
      <c r="F11" s="239"/>
      <c r="G11" s="237">
        <v>1161.9000000000001</v>
      </c>
      <c r="H11" s="263">
        <f t="shared" si="12"/>
        <v>112.63086467623111</v>
      </c>
      <c r="I11" s="237">
        <v>1034</v>
      </c>
      <c r="J11" s="263">
        <f t="shared" si="13"/>
        <v>88.992168000688523</v>
      </c>
      <c r="K11" s="237">
        <v>1272.8</v>
      </c>
      <c r="L11" s="238">
        <f t="shared" si="14"/>
        <v>123.09477756286267</v>
      </c>
      <c r="M11" s="239">
        <v>1281.8</v>
      </c>
      <c r="N11" s="238">
        <f t="shared" si="15"/>
        <v>100.70710245128849</v>
      </c>
      <c r="O11" s="240">
        <v>1485.7</v>
      </c>
      <c r="P11" s="241">
        <f t="shared" si="16"/>
        <v>1.1590731783429553</v>
      </c>
      <c r="Q11" s="242">
        <f>[4]Лист1!$CW$21/1000</f>
        <v>1837.5359478834653</v>
      </c>
      <c r="R11" s="242">
        <f>[4]Лист1!$CW$24/1000</f>
        <v>294.92595084846459</v>
      </c>
      <c r="S11" s="243">
        <f>[4]Лист1!$DF$18</f>
        <v>105.5</v>
      </c>
      <c r="T11" s="242">
        <f t="shared" si="17"/>
        <v>1542.6099970350006</v>
      </c>
      <c r="U11" s="244">
        <f t="shared" si="18"/>
        <v>103.83051740156159</v>
      </c>
      <c r="V11" s="242">
        <f>277.324+1435.7</f>
        <v>1713.0240000000001</v>
      </c>
      <c r="W11" s="242">
        <v>277.32400000000001</v>
      </c>
      <c r="X11" s="242">
        <f t="shared" si="19"/>
        <v>1435.7</v>
      </c>
      <c r="Y11" s="242"/>
      <c r="Z11" s="242">
        <v>1435.7</v>
      </c>
      <c r="AA11" s="242">
        <v>1492.6</v>
      </c>
      <c r="AB11" s="242">
        <f t="shared" si="20"/>
        <v>1854.55404288</v>
      </c>
      <c r="AC11" s="242">
        <f>W11*1*1.04</f>
        <v>288.41696000000002</v>
      </c>
      <c r="AD11" s="243">
        <f t="shared" si="21"/>
        <v>97.79300843830832</v>
      </c>
      <c r="AE11" s="242">
        <f t="shared" si="22"/>
        <v>1566.13708288</v>
      </c>
      <c r="AF11" s="245">
        <f t="shared" si="23"/>
        <v>1.090852603524413</v>
      </c>
      <c r="AG11" s="246">
        <v>1566.1369999999999</v>
      </c>
      <c r="AH11" s="247">
        <f>2965.727-120*1.04</f>
        <v>2840.9269999999997</v>
      </c>
      <c r="AI11" s="248">
        <v>339.35</v>
      </c>
      <c r="AJ11" s="249">
        <f t="shared" si="24"/>
        <v>1.1765951627809961</v>
      </c>
      <c r="AK11" s="248">
        <f t="shared" si="25"/>
        <v>2501.5769999999998</v>
      </c>
      <c r="AL11" s="250">
        <f t="shared" si="26"/>
        <v>1.5972912969938133</v>
      </c>
      <c r="AM11" s="251">
        <f t="shared" si="27"/>
        <v>2501.5769999999998</v>
      </c>
      <c r="AN11" s="252">
        <v>3371.8</v>
      </c>
      <c r="AO11" s="253">
        <v>268.07</v>
      </c>
      <c r="AP11" s="249">
        <f t="shared" si="0"/>
        <v>0.78995137763371148</v>
      </c>
      <c r="AQ11" s="253">
        <f t="shared" si="28"/>
        <v>3103.73</v>
      </c>
      <c r="AR11" s="250">
        <f t="shared" si="1"/>
        <v>1.2407093605353745</v>
      </c>
      <c r="AS11" s="254">
        <v>4045437</v>
      </c>
      <c r="AT11" s="255">
        <v>342470</v>
      </c>
      <c r="AU11" s="256">
        <f t="shared" si="2"/>
        <v>1277.5394486514717</v>
      </c>
      <c r="AV11" s="255">
        <f t="shared" si="29"/>
        <v>3702967</v>
      </c>
      <c r="AW11" s="250">
        <f t="shared" si="3"/>
        <v>1193.0699513166417</v>
      </c>
      <c r="AX11" s="247">
        <v>4087497.8</v>
      </c>
      <c r="AY11" s="248">
        <v>317850</v>
      </c>
      <c r="AZ11" s="257">
        <f t="shared" si="4"/>
        <v>0.92811049142990631</v>
      </c>
      <c r="BA11" s="248">
        <f t="shared" si="30"/>
        <v>3769647.8</v>
      </c>
      <c r="BB11" s="258">
        <f>3158.353*1000</f>
        <v>3158353</v>
      </c>
      <c r="BC11" s="259">
        <f t="shared" si="38"/>
        <v>1.0180073978515065</v>
      </c>
      <c r="BD11" s="247">
        <v>4016736.15</v>
      </c>
      <c r="BE11" s="248">
        <v>330560</v>
      </c>
      <c r="BF11" s="257">
        <f t="shared" si="6"/>
        <v>1.0399874154475381</v>
      </c>
      <c r="BG11" s="248">
        <f t="shared" si="39"/>
        <v>3686176.15</v>
      </c>
      <c r="BH11" s="260">
        <f t="shared" si="40"/>
        <v>0.97785691013362042</v>
      </c>
      <c r="BI11" s="247">
        <f t="shared" si="35"/>
        <v>4177405.5959999999</v>
      </c>
      <c r="BJ11" s="248">
        <f t="shared" si="36"/>
        <v>343782.40000000002</v>
      </c>
      <c r="BK11" s="257">
        <f t="shared" si="8"/>
        <v>1.04</v>
      </c>
      <c r="BL11" s="248">
        <f t="shared" si="31"/>
        <v>3833623.196</v>
      </c>
      <c r="BM11" s="260">
        <f t="shared" si="41"/>
        <v>1.04</v>
      </c>
      <c r="BN11" s="247">
        <f t="shared" si="37"/>
        <v>4344501.81984</v>
      </c>
      <c r="BO11" s="248">
        <f t="shared" si="32"/>
        <v>357533.69600000005</v>
      </c>
      <c r="BP11" s="257">
        <f t="shared" si="10"/>
        <v>1.04</v>
      </c>
      <c r="BQ11" s="248">
        <f t="shared" si="33"/>
        <v>3986968.12384</v>
      </c>
      <c r="BR11" s="260">
        <f t="shared" si="42"/>
        <v>1.04</v>
      </c>
    </row>
    <row r="12" spans="1:70" s="261" customFormat="1" ht="53.25" customHeight="1">
      <c r="A12" s="354" t="s">
        <v>57</v>
      </c>
      <c r="B12" s="264">
        <f>20619.5+16818.7</f>
        <v>37438.199999999997</v>
      </c>
      <c r="C12" s="265">
        <v>52195.3</v>
      </c>
      <c r="D12" s="265">
        <v>54610.400000000001</v>
      </c>
      <c r="E12" s="265">
        <v>41809.199999999997</v>
      </c>
      <c r="F12" s="265"/>
      <c r="G12" s="266">
        <v>58156</v>
      </c>
      <c r="H12" s="267">
        <f t="shared" ref="H12:H19" si="43">G12/E12*100</f>
        <v>139.09857160624935</v>
      </c>
      <c r="I12" s="268">
        <v>68189.5</v>
      </c>
      <c r="J12" s="267">
        <f t="shared" ref="J12:J19" si="44">I12/G12*100</f>
        <v>117.25273402572391</v>
      </c>
      <c r="K12" s="269">
        <v>59184.800000000003</v>
      </c>
      <c r="L12" s="270">
        <f t="shared" ref="L12:L19" si="45">K12/I12*100</f>
        <v>86.794594475689081</v>
      </c>
      <c r="M12" s="271">
        <f>60174+1000</f>
        <v>61174</v>
      </c>
      <c r="N12" s="270">
        <f t="shared" ref="N12:N19" si="46">M12/K12*100</f>
        <v>103.36099809410524</v>
      </c>
      <c r="O12" s="272">
        <v>68144.7</v>
      </c>
      <c r="P12" s="273">
        <f t="shared" ref="P12:P23" si="47">O12/M12</f>
        <v>1.1139487363912772</v>
      </c>
      <c r="Q12" s="274">
        <f>[5]Свод!$BG$38</f>
        <v>99784.710618600016</v>
      </c>
      <c r="R12" s="274">
        <f>[5]Свод!$BG$9</f>
        <v>32462.455499999996</v>
      </c>
      <c r="S12" s="275">
        <v>105.5</v>
      </c>
      <c r="T12" s="274">
        <f>Q12-R12</f>
        <v>67322.25511860002</v>
      </c>
      <c r="U12" s="276">
        <f t="shared" ref="U12:U23" si="48">T12/O12*100</f>
        <v>98.793090465729577</v>
      </c>
      <c r="V12" s="274">
        <f>'[6]Бюджет Речпорт'!V29</f>
        <v>95309.482000000004</v>
      </c>
      <c r="W12" s="274">
        <f>'[6]Бюджет Речпорт'!W29</f>
        <v>29289.112000000001</v>
      </c>
      <c r="X12" s="274">
        <f t="shared" ref="X12:X23" si="49">V12-W12</f>
        <v>66020.37</v>
      </c>
      <c r="Y12" s="274"/>
      <c r="Z12" s="274">
        <v>63322.2</v>
      </c>
      <c r="AA12" s="274">
        <v>63887.4</v>
      </c>
      <c r="AB12" s="274">
        <f>'[6]Бюджет Речпорт'!AA29</f>
        <v>102462.27557212667</v>
      </c>
      <c r="AC12" s="274">
        <f>'[6]Бюджет Речпорт'!AB29</f>
        <v>33746.326391102404</v>
      </c>
      <c r="AD12" s="275">
        <f t="shared" ref="AD12:AD23" si="50">AC12/R12*100</f>
        <v>103.95494078105831</v>
      </c>
      <c r="AE12" s="274">
        <f t="shared" ref="AE12:AE23" si="51">AB12-AC12</f>
        <v>68715.949181024276</v>
      </c>
      <c r="AF12" s="277">
        <f t="shared" ref="AF12:AF23" si="52">AE12/Z12</f>
        <v>1.0851794344009571</v>
      </c>
      <c r="AG12" s="278">
        <v>81545.948999999993</v>
      </c>
      <c r="AH12" s="279">
        <f>AK12+AI12</f>
        <v>62934.402697176251</v>
      </c>
      <c r="AI12" s="280">
        <f>AO12/1.027</f>
        <v>17622.492697176243</v>
      </c>
      <c r="AJ12" s="281"/>
      <c r="AK12" s="280">
        <f>70656.61-AK14</f>
        <v>45311.91</v>
      </c>
      <c r="AL12" s="282"/>
      <c r="AM12" s="283">
        <f>AK12</f>
        <v>45311.91</v>
      </c>
      <c r="AN12" s="284">
        <v>78819.199999999997</v>
      </c>
      <c r="AO12" s="285">
        <v>18098.3</v>
      </c>
      <c r="AP12" s="281">
        <f t="shared" si="0"/>
        <v>1.0269999999999999</v>
      </c>
      <c r="AQ12" s="285">
        <f t="shared" ref="AQ12:AQ23" si="53">AN12-AO12</f>
        <v>60720.899999999994</v>
      </c>
      <c r="AR12" s="282">
        <f t="shared" si="1"/>
        <v>1.3400648968450015</v>
      </c>
      <c r="AS12" s="286">
        <f>(87703.58+200)*1000</f>
        <v>87903580</v>
      </c>
      <c r="AT12" s="287">
        <v>19446570</v>
      </c>
      <c r="AU12" s="288">
        <f t="shared" ref="AU12:AU23" si="54">AT12/AO12</f>
        <v>1074.4970522093236</v>
      </c>
      <c r="AV12" s="287">
        <f t="shared" ref="AV12:AV23" si="55">AS12-AT12</f>
        <v>68457010</v>
      </c>
      <c r="AW12" s="282">
        <f t="shared" si="3"/>
        <v>1127.4044027674163</v>
      </c>
      <c r="AX12" s="279">
        <v>108343310</v>
      </c>
      <c r="AY12" s="280">
        <f>19466.57*1.03*1000</f>
        <v>20050567.100000001</v>
      </c>
      <c r="AZ12" s="289">
        <f t="shared" ref="AZ12:AZ23" si="56">AY12/AT12</f>
        <v>1.0310593127734096</v>
      </c>
      <c r="BA12" s="280">
        <f t="shared" ref="BA12:BA23" si="57">AX12-AY12</f>
        <v>88292742.900000006</v>
      </c>
      <c r="BB12" s="290">
        <v>88291246.120000005</v>
      </c>
      <c r="BC12" s="291">
        <f t="shared" ref="BC12:BC23" si="58">BA12/AV12</f>
        <v>1.2897545905087004</v>
      </c>
      <c r="BD12" s="279">
        <f>AX12*1.04</f>
        <v>112677042.40000001</v>
      </c>
      <c r="BE12" s="280">
        <f>AY12*1.03</f>
        <v>20652084.113000002</v>
      </c>
      <c r="BF12" s="289">
        <f t="shared" ref="BF12:BF23" si="59">BE12/AY12</f>
        <v>1.03</v>
      </c>
      <c r="BG12" s="280">
        <f>(BD12-BE12)-502130.61</f>
        <v>91522827.677000001</v>
      </c>
      <c r="BH12" s="292">
        <f t="shared" ref="BH12:BH23" si="60">BG12/BA12</f>
        <v>1.036583808259965</v>
      </c>
      <c r="BI12" s="279">
        <f t="shared" si="35"/>
        <v>117184124.09600002</v>
      </c>
      <c r="BJ12" s="280">
        <f t="shared" si="36"/>
        <v>21478167.477520004</v>
      </c>
      <c r="BK12" s="289">
        <f t="shared" ref="BK12:BK23" si="61">BJ12/BE12</f>
        <v>1.04</v>
      </c>
      <c r="BL12" s="280">
        <f>(BI12-BJ12)-960680.92</f>
        <v>94745275.69848001</v>
      </c>
      <c r="BM12" s="292">
        <f t="shared" ref="BM12:BM23" si="62">BL12/BG12</f>
        <v>1.0352092270668536</v>
      </c>
      <c r="BN12" s="279">
        <f t="shared" si="37"/>
        <v>121871489.05984002</v>
      </c>
      <c r="BO12" s="280">
        <f t="shared" si="32"/>
        <v>22337294.176620804</v>
      </c>
      <c r="BP12" s="289">
        <f t="shared" si="10"/>
        <v>1.04</v>
      </c>
      <c r="BQ12" s="280">
        <f>BN12-BO12</f>
        <v>99534194.883219212</v>
      </c>
      <c r="BR12" s="292">
        <f t="shared" si="42"/>
        <v>1.050545202907843</v>
      </c>
    </row>
    <row r="13" spans="1:70" ht="33" customHeight="1">
      <c r="A13" s="416" t="s">
        <v>156</v>
      </c>
      <c r="B13" s="167"/>
      <c r="C13" s="168"/>
      <c r="D13" s="168"/>
      <c r="E13" s="168"/>
      <c r="F13" s="168"/>
      <c r="G13" s="169"/>
      <c r="H13" s="170"/>
      <c r="I13" s="171"/>
      <c r="J13" s="170"/>
      <c r="K13" s="171"/>
      <c r="L13" s="172"/>
      <c r="M13" s="168"/>
      <c r="N13" s="172"/>
      <c r="O13" s="155"/>
      <c r="P13" s="173"/>
      <c r="Q13" s="174"/>
      <c r="R13" s="174"/>
      <c r="S13" s="175"/>
      <c r="T13" s="174"/>
      <c r="U13" s="175"/>
      <c r="V13" s="176"/>
      <c r="W13" s="176"/>
      <c r="X13" s="176"/>
      <c r="Y13" s="176"/>
      <c r="Z13" s="176"/>
      <c r="AA13" s="176"/>
      <c r="AB13" s="174"/>
      <c r="AC13" s="174"/>
      <c r="AD13" s="175"/>
      <c r="AE13" s="174"/>
      <c r="AF13" s="177"/>
      <c r="AG13" s="178"/>
      <c r="AH13" s="174">
        <f t="shared" ref="AH13:AI13" si="63">SUM(AH14:AH23)</f>
        <v>62293.664990455713</v>
      </c>
      <c r="AI13" s="174">
        <f t="shared" si="63"/>
        <v>21264.671584441956</v>
      </c>
      <c r="AJ13" s="174"/>
      <c r="AK13" s="174">
        <f>SUM(AK14:AK23)</f>
        <v>41028.993406013753</v>
      </c>
      <c r="AL13" s="159"/>
      <c r="AM13" s="179">
        <f>SUM(AM14:AM23)</f>
        <v>42145.025499053758</v>
      </c>
      <c r="AN13" s="174">
        <f>SUM(AN14:AN23)</f>
        <v>66080.618000000002</v>
      </c>
      <c r="AO13" s="174">
        <f>SUM(AO14:AO23)</f>
        <v>22542.34</v>
      </c>
      <c r="AP13" s="180">
        <f t="shared" si="0"/>
        <v>1.0600840887894472</v>
      </c>
      <c r="AQ13" s="174">
        <f>SUM(AQ14:AQ23)</f>
        <v>44817.57</v>
      </c>
      <c r="AR13" s="159">
        <f>AQ13/AM13</f>
        <v>1.0634130474308585</v>
      </c>
      <c r="AS13" s="181">
        <f>SUM(AS14:AS23)</f>
        <v>71892746.719999999</v>
      </c>
      <c r="AT13" s="182">
        <f>SUM(AT14:AT23)</f>
        <v>19661815.300000001</v>
      </c>
      <c r="AU13" s="183">
        <f t="shared" si="54"/>
        <v>872.21713894830793</v>
      </c>
      <c r="AV13" s="182">
        <f>SUM(AV14:AV23)</f>
        <v>59061931.420000002</v>
      </c>
      <c r="AW13" s="159">
        <f t="shared" ref="AW13:AW23" si="64">AV13/AQ13</f>
        <v>1317.8298470889877</v>
      </c>
      <c r="AX13" s="184">
        <f>SUM(AX14:AX23)</f>
        <v>79241805.588799998</v>
      </c>
      <c r="AY13" s="174">
        <f>SUM(AY14:AY23)</f>
        <v>20700764.216000002</v>
      </c>
      <c r="AZ13" s="176">
        <f t="shared" si="56"/>
        <v>1.0528409457696413</v>
      </c>
      <c r="BA13" s="174">
        <f>SUM(BA14:BA23)</f>
        <v>65645281.3728</v>
      </c>
      <c r="BB13" s="185"/>
      <c r="BC13" s="163">
        <f t="shared" si="58"/>
        <v>1.1114651992327276</v>
      </c>
      <c r="BD13" s="184">
        <f>SUM(BD14:BD23)</f>
        <v>90378374.486543357</v>
      </c>
      <c r="BE13" s="174">
        <f>SUM(BE14:BE23)</f>
        <v>21588769.243439998</v>
      </c>
      <c r="BF13" s="176">
        <f t="shared" si="59"/>
        <v>1.0428972098891711</v>
      </c>
      <c r="BG13" s="174">
        <f>SUM(BG14:BG23)</f>
        <v>76178014.843103364</v>
      </c>
      <c r="BH13" s="164">
        <f t="shared" si="60"/>
        <v>1.1604492089917005</v>
      </c>
      <c r="BI13" s="186">
        <f t="shared" ref="BI13:BJ13" si="65">SUM(BI14:BI23)</f>
        <v>97393509.466005102</v>
      </c>
      <c r="BJ13" s="187">
        <f t="shared" si="65"/>
        <v>22413854.935097601</v>
      </c>
      <c r="BK13" s="188">
        <f t="shared" si="61"/>
        <v>1.0382182829578539</v>
      </c>
      <c r="BL13" s="187">
        <f>SUM(BL14:BL23)</f>
        <v>82663600.514907494</v>
      </c>
      <c r="BM13" s="189">
        <f t="shared" si="62"/>
        <v>1.0851372365788459</v>
      </c>
      <c r="BN13" s="186">
        <f t="shared" ref="BN13:BO13" si="66">SUM(BN14:BN23)</f>
        <v>104289249.84464531</v>
      </c>
      <c r="BO13" s="187">
        <f t="shared" si="66"/>
        <v>23310409.132501509</v>
      </c>
      <c r="BP13" s="188">
        <f t="shared" si="10"/>
        <v>1.0400000000000003</v>
      </c>
      <c r="BQ13" s="187">
        <f>SUM(BQ14:BQ23)</f>
        <v>88970144.53550379</v>
      </c>
      <c r="BR13" s="189">
        <f t="shared" si="42"/>
        <v>1.0762916686584318</v>
      </c>
    </row>
    <row r="14" spans="1:70" s="261" customFormat="1" ht="45.75" customHeight="1">
      <c r="A14" s="231" t="s">
        <v>58</v>
      </c>
      <c r="B14" s="232"/>
      <c r="C14" s="233"/>
      <c r="D14" s="233"/>
      <c r="E14" s="233"/>
      <c r="F14" s="233"/>
      <c r="G14" s="234"/>
      <c r="H14" s="235"/>
      <c r="I14" s="236"/>
      <c r="J14" s="235"/>
      <c r="K14" s="237"/>
      <c r="L14" s="238"/>
      <c r="M14" s="239"/>
      <c r="N14" s="238"/>
      <c r="O14" s="240"/>
      <c r="P14" s="241"/>
      <c r="Q14" s="242"/>
      <c r="R14" s="242"/>
      <c r="S14" s="243"/>
      <c r="T14" s="242"/>
      <c r="U14" s="244"/>
      <c r="V14" s="242"/>
      <c r="W14" s="242"/>
      <c r="X14" s="242"/>
      <c r="Y14" s="242"/>
      <c r="Z14" s="242"/>
      <c r="AA14" s="242"/>
      <c r="AB14" s="242"/>
      <c r="AC14" s="242"/>
      <c r="AD14" s="243"/>
      <c r="AE14" s="242"/>
      <c r="AF14" s="245"/>
      <c r="AG14" s="246"/>
      <c r="AH14" s="247">
        <f>AK14+AI14</f>
        <v>40242.947322297958</v>
      </c>
      <c r="AI14" s="248">
        <f>AO14/1.027</f>
        <v>14898.247322297957</v>
      </c>
      <c r="AJ14" s="249"/>
      <c r="AK14" s="248">
        <v>25344.7</v>
      </c>
      <c r="AL14" s="250"/>
      <c r="AM14" s="251">
        <f>AK14</f>
        <v>25344.7</v>
      </c>
      <c r="AN14" s="252">
        <v>39670.199999999997</v>
      </c>
      <c r="AO14" s="253">
        <v>15300.5</v>
      </c>
      <c r="AP14" s="249">
        <f t="shared" si="0"/>
        <v>1.0269999999999999</v>
      </c>
      <c r="AQ14" s="253">
        <f t="shared" si="53"/>
        <v>24369.699999999997</v>
      </c>
      <c r="AR14" s="250">
        <f t="shared" ref="AR14:AR18" si="67">AQ14/AK14</f>
        <v>0.96153041858850163</v>
      </c>
      <c r="AS14" s="254">
        <v>45025850</v>
      </c>
      <c r="AT14" s="293">
        <f>12192930*1.03</f>
        <v>12558717.9</v>
      </c>
      <c r="AU14" s="294">
        <f t="shared" si="54"/>
        <v>820.80441162053535</v>
      </c>
      <c r="AV14" s="293">
        <f t="shared" si="55"/>
        <v>32467132.100000001</v>
      </c>
      <c r="AW14" s="250">
        <f t="shared" si="64"/>
        <v>1332.2745909879893</v>
      </c>
      <c r="AX14" s="247">
        <f>AS14*1.04</f>
        <v>46826884</v>
      </c>
      <c r="AY14" s="248">
        <f t="shared" ref="AX14:AY23" si="68">AT14*1.04</f>
        <v>13061066.616</v>
      </c>
      <c r="AZ14" s="295">
        <f t="shared" si="56"/>
        <v>1.04</v>
      </c>
      <c r="BA14" s="248">
        <f t="shared" si="57"/>
        <v>33765817.384000003</v>
      </c>
      <c r="BB14" s="258"/>
      <c r="BC14" s="296">
        <f t="shared" si="58"/>
        <v>1.04</v>
      </c>
      <c r="BD14" s="297">
        <f>AX14*1.04</f>
        <v>48699959.359999999</v>
      </c>
      <c r="BE14" s="298">
        <f t="shared" ref="BE14:BE15" si="69">AY14*1.03</f>
        <v>13452898.61448</v>
      </c>
      <c r="BF14" s="295">
        <f t="shared" si="59"/>
        <v>1.03</v>
      </c>
      <c r="BG14" s="298">
        <f t="shared" ref="BG14:BG19" si="70">BD14-BE14</f>
        <v>35247060.745519996</v>
      </c>
      <c r="BH14" s="299">
        <f t="shared" si="60"/>
        <v>1.0438681328123833</v>
      </c>
      <c r="BI14" s="297">
        <f>BD14*1.04</f>
        <v>50647957.734400004</v>
      </c>
      <c r="BJ14" s="298">
        <f t="shared" ref="BJ14:BJ23" si="71">BE14*1.04</f>
        <v>13991014.559059201</v>
      </c>
      <c r="BK14" s="295">
        <f t="shared" si="61"/>
        <v>1.04</v>
      </c>
      <c r="BL14" s="298">
        <f t="shared" ref="BL14:BL19" si="72">BI14-BJ14</f>
        <v>36656943.175340801</v>
      </c>
      <c r="BM14" s="260">
        <f t="shared" si="62"/>
        <v>1.0400000000000003</v>
      </c>
      <c r="BN14" s="297">
        <f>BI14*1.04</f>
        <v>52673876.043776006</v>
      </c>
      <c r="BO14" s="298">
        <f t="shared" ref="BO14:BO23" si="73">BJ14*1.04</f>
        <v>14550655.14142157</v>
      </c>
      <c r="BP14" s="295">
        <f t="shared" si="10"/>
        <v>1.04</v>
      </c>
      <c r="BQ14" s="298">
        <f t="shared" ref="BQ14:BQ19" si="74">BN14-BO14</f>
        <v>38123220.902354434</v>
      </c>
      <c r="BR14" s="260">
        <f t="shared" si="42"/>
        <v>1.04</v>
      </c>
    </row>
    <row r="15" spans="1:70" s="316" customFormat="1" ht="48" customHeight="1">
      <c r="A15" s="324" t="s">
        <v>59</v>
      </c>
      <c r="B15" s="300">
        <f>5945.2+1734.1</f>
        <v>7679.2999999999993</v>
      </c>
      <c r="C15" s="301">
        <v>6113.8</v>
      </c>
      <c r="D15" s="301">
        <f>4850.3+4536</f>
        <v>9386.2999999999993</v>
      </c>
      <c r="E15" s="301">
        <v>7613.9</v>
      </c>
      <c r="F15" s="301"/>
      <c r="G15" s="302">
        <v>7494.8</v>
      </c>
      <c r="H15" s="303">
        <f t="shared" si="43"/>
        <v>98.435755657416053</v>
      </c>
      <c r="I15" s="302">
        <v>4559.1000000000004</v>
      </c>
      <c r="J15" s="303">
        <f t="shared" si="44"/>
        <v>60.830175588407961</v>
      </c>
      <c r="K15" s="302">
        <v>7467.1</v>
      </c>
      <c r="L15" s="304">
        <f t="shared" si="45"/>
        <v>163.78451887433923</v>
      </c>
      <c r="M15" s="301">
        <v>4501.3</v>
      </c>
      <c r="N15" s="304">
        <f t="shared" si="46"/>
        <v>60.281769361599544</v>
      </c>
      <c r="O15" s="305">
        <v>6447.1</v>
      </c>
      <c r="P15" s="306">
        <f t="shared" si="47"/>
        <v>1.4322751205207385</v>
      </c>
      <c r="Q15" s="298">
        <f>'[7]Н-В Тойма'!$AB$33+'[7]Н-В Тойма'!$AB$38</f>
        <v>5503.05</v>
      </c>
      <c r="R15" s="298">
        <f>'[7]Н-В Тойма'!$AB$34</f>
        <v>889.36500000000001</v>
      </c>
      <c r="S15" s="307">
        <f>'[7]Н-В Тойма'!$AM$14</f>
        <v>105.5</v>
      </c>
      <c r="T15" s="298">
        <f t="shared" ref="T15:T23" si="75">Q15-R15</f>
        <v>4613.6850000000004</v>
      </c>
      <c r="U15" s="307">
        <f t="shared" si="48"/>
        <v>71.5621752415815</v>
      </c>
      <c r="V15" s="298">
        <f>5097.488+256.473</f>
        <v>5353.9610000000002</v>
      </c>
      <c r="W15" s="298">
        <v>256.47300000000001</v>
      </c>
      <c r="X15" s="298">
        <f t="shared" si="49"/>
        <v>5097.4880000000003</v>
      </c>
      <c r="Y15" s="298"/>
      <c r="Z15" s="298">
        <v>4513.7</v>
      </c>
      <c r="AA15" s="298">
        <v>4767.7</v>
      </c>
      <c r="AB15" s="298">
        <f t="shared" ref="AB15:AB23" si="76">V15*1.045*1.036</f>
        <v>5796.3052578200004</v>
      </c>
      <c r="AC15" s="298">
        <f>W15*1.0644*1.0353</f>
        <v>282.62640330036004</v>
      </c>
      <c r="AD15" s="307">
        <f t="shared" si="50"/>
        <v>31.778449039523711</v>
      </c>
      <c r="AE15" s="298">
        <f t="shared" si="51"/>
        <v>5513.6788545196405</v>
      </c>
      <c r="AF15" s="308">
        <f t="shared" si="52"/>
        <v>1.221543047725733</v>
      </c>
      <c r="AG15" s="309">
        <v>5513.6790000000001</v>
      </c>
      <c r="AH15" s="297">
        <f t="shared" ref="AH15:AH23" si="77">AB15*1.04</f>
        <v>6028.1574681328002</v>
      </c>
      <c r="AI15" s="298">
        <v>344.84</v>
      </c>
      <c r="AJ15" s="310">
        <f t="shared" ref="AJ15:AJ23" si="78">AI15/AC15</f>
        <v>1.2201266264338464</v>
      </c>
      <c r="AK15" s="298">
        <f t="shared" ref="AK15:AK23" si="79">AH15-AI15</f>
        <v>5683.3174681328001</v>
      </c>
      <c r="AL15" s="311">
        <f t="shared" ref="AL15:AL23" si="80">AK15/AG15</f>
        <v>1.0307668379194364</v>
      </c>
      <c r="AM15" s="312">
        <f>AK15+416</f>
        <v>6099.3174681328001</v>
      </c>
      <c r="AN15" s="313">
        <v>7191</v>
      </c>
      <c r="AO15" s="314">
        <v>863.18</v>
      </c>
      <c r="AP15" s="310">
        <f t="shared" ref="AP15:AP23" si="81">AO15/AI15</f>
        <v>2.5031318872520592</v>
      </c>
      <c r="AQ15" s="314">
        <f t="shared" si="53"/>
        <v>6327.82</v>
      </c>
      <c r="AR15" s="311">
        <f t="shared" si="67"/>
        <v>1.1134025215872632</v>
      </c>
      <c r="AS15" s="315">
        <f>AN15*1.04*1000</f>
        <v>7478640</v>
      </c>
      <c r="AT15" s="255">
        <v>897710</v>
      </c>
      <c r="AU15" s="256">
        <f t="shared" si="54"/>
        <v>1040.0032438193657</v>
      </c>
      <c r="AV15" s="255">
        <f t="shared" si="55"/>
        <v>6580930</v>
      </c>
      <c r="AW15" s="250">
        <f t="shared" si="64"/>
        <v>1039.9995575095372</v>
      </c>
      <c r="AX15" s="247">
        <f>(14646.62556-6000)*1000</f>
        <v>8646625.5600000005</v>
      </c>
      <c r="AY15" s="248">
        <f t="shared" si="68"/>
        <v>933618.4</v>
      </c>
      <c r="AZ15" s="295">
        <f t="shared" si="56"/>
        <v>1.04</v>
      </c>
      <c r="BA15" s="248">
        <f t="shared" si="57"/>
        <v>7713007.1600000001</v>
      </c>
      <c r="BB15" s="258"/>
      <c r="BC15" s="296">
        <f t="shared" si="58"/>
        <v>1.1720238872013531</v>
      </c>
      <c r="BD15" s="297">
        <f>(18822621.2-10123000)+3795000</f>
        <v>12494621.199999999</v>
      </c>
      <c r="BE15" s="298">
        <f t="shared" si="69"/>
        <v>961626.95200000005</v>
      </c>
      <c r="BF15" s="295">
        <f t="shared" si="59"/>
        <v>1.03</v>
      </c>
      <c r="BG15" s="298">
        <f t="shared" si="70"/>
        <v>11532994.248</v>
      </c>
      <c r="BH15" s="299">
        <f t="shared" si="60"/>
        <v>1.4952655959935606</v>
      </c>
      <c r="BI15" s="297">
        <f>BD15*104/100+3400000</f>
        <v>16394406.048</v>
      </c>
      <c r="BJ15" s="298">
        <f>BE15</f>
        <v>961626.95200000005</v>
      </c>
      <c r="BK15" s="295">
        <f t="shared" si="61"/>
        <v>1</v>
      </c>
      <c r="BL15" s="298">
        <f t="shared" si="72"/>
        <v>15432779.096000001</v>
      </c>
      <c r="BM15" s="299">
        <f t="shared" si="62"/>
        <v>1.3381415757383461</v>
      </c>
      <c r="BN15" s="297">
        <f>BI15*1.04+3000000</f>
        <v>20050182.289920002</v>
      </c>
      <c r="BO15" s="298">
        <f t="shared" si="73"/>
        <v>1000092.0300800001</v>
      </c>
      <c r="BP15" s="295">
        <f t="shared" si="10"/>
        <v>1.04</v>
      </c>
      <c r="BQ15" s="298">
        <f t="shared" si="74"/>
        <v>19050090.25984</v>
      </c>
      <c r="BR15" s="299">
        <f t="shared" si="42"/>
        <v>1.2343914301720009</v>
      </c>
    </row>
    <row r="16" spans="1:70" s="261" customFormat="1" ht="45" customHeight="1">
      <c r="A16" s="231" t="s">
        <v>60</v>
      </c>
      <c r="B16" s="262">
        <v>584.9</v>
      </c>
      <c r="C16" s="239">
        <v>1113.4000000000001</v>
      </c>
      <c r="D16" s="239">
        <v>1594.6</v>
      </c>
      <c r="E16" s="239">
        <v>1306.5</v>
      </c>
      <c r="F16" s="239"/>
      <c r="G16" s="234">
        <v>2219.6</v>
      </c>
      <c r="H16" s="263">
        <f t="shared" si="43"/>
        <v>169.88901645618063</v>
      </c>
      <c r="I16" s="237">
        <v>2126.8000000000002</v>
      </c>
      <c r="J16" s="263">
        <f t="shared" si="44"/>
        <v>95.819066498468203</v>
      </c>
      <c r="K16" s="237">
        <v>2132.6999999999998</v>
      </c>
      <c r="L16" s="238">
        <f t="shared" si="45"/>
        <v>100.27741207447806</v>
      </c>
      <c r="M16" s="239">
        <f>2337.8+100</f>
        <v>2437.8000000000002</v>
      </c>
      <c r="N16" s="238">
        <f t="shared" si="46"/>
        <v>114.30580953720637</v>
      </c>
      <c r="O16" s="240">
        <v>2620.1999999999998</v>
      </c>
      <c r="P16" s="241">
        <f t="shared" si="47"/>
        <v>1.0748215604233324</v>
      </c>
      <c r="Q16" s="242">
        <f>[8]расчет!$AU$41+[8]расчет!$AU$49</f>
        <v>3458.0618075324996</v>
      </c>
      <c r="R16" s="242">
        <f>[8]расчет!$AU$44</f>
        <v>731.34710000000007</v>
      </c>
      <c r="S16" s="243">
        <v>105.5</v>
      </c>
      <c r="T16" s="242">
        <f t="shared" si="75"/>
        <v>2726.7147075324997</v>
      </c>
      <c r="U16" s="244">
        <f t="shared" si="48"/>
        <v>104.06513653661933</v>
      </c>
      <c r="V16" s="242">
        <f>2490.2+695.117</f>
        <v>3185.317</v>
      </c>
      <c r="W16" s="242">
        <v>695.11699999999996</v>
      </c>
      <c r="X16" s="242">
        <f t="shared" si="49"/>
        <v>2490.1999999999998</v>
      </c>
      <c r="Y16" s="242"/>
      <c r="Z16" s="242">
        <v>2626.7</v>
      </c>
      <c r="AA16" s="242">
        <v>2626.7</v>
      </c>
      <c r="AB16" s="242">
        <f t="shared" si="76"/>
        <v>3448.4878905399996</v>
      </c>
      <c r="AC16" s="242">
        <f>W16*1.027*1.04</f>
        <v>742.44056535999994</v>
      </c>
      <c r="AD16" s="243">
        <f t="shared" si="50"/>
        <v>101.51685367454111</v>
      </c>
      <c r="AE16" s="242">
        <f t="shared" si="51"/>
        <v>2706.0473251799995</v>
      </c>
      <c r="AF16" s="245">
        <f t="shared" si="52"/>
        <v>1.0302079891803402</v>
      </c>
      <c r="AG16" s="246">
        <v>2706.047</v>
      </c>
      <c r="AH16" s="247">
        <f t="shared" si="77"/>
        <v>3586.4274061615997</v>
      </c>
      <c r="AI16" s="248">
        <v>530.13</v>
      </c>
      <c r="AJ16" s="249">
        <f t="shared" si="78"/>
        <v>0.71403695424824576</v>
      </c>
      <c r="AK16" s="248">
        <f t="shared" si="79"/>
        <v>3056.2974061615996</v>
      </c>
      <c r="AL16" s="250">
        <f t="shared" si="80"/>
        <v>1.1294324918087526</v>
      </c>
      <c r="AM16" s="317">
        <f t="shared" ref="AM16:AM23" si="82">AK16</f>
        <v>3056.2974061615996</v>
      </c>
      <c r="AN16" s="252">
        <v>4145.8</v>
      </c>
      <c r="AO16" s="253">
        <v>552.58000000000004</v>
      </c>
      <c r="AP16" s="249">
        <f t="shared" si="81"/>
        <v>1.0423481032954183</v>
      </c>
      <c r="AQ16" s="253">
        <f t="shared" si="53"/>
        <v>3593.2200000000003</v>
      </c>
      <c r="AR16" s="250">
        <f t="shared" si="67"/>
        <v>1.1756774693313374</v>
      </c>
      <c r="AS16" s="254">
        <f>AN16*1.03*1000</f>
        <v>4270174</v>
      </c>
      <c r="AT16" s="293">
        <f>AO16*1.03*1000</f>
        <v>569157.4</v>
      </c>
      <c r="AU16" s="294">
        <f t="shared" si="54"/>
        <v>1030</v>
      </c>
      <c r="AV16" s="293">
        <f t="shared" si="55"/>
        <v>3701016.6</v>
      </c>
      <c r="AW16" s="250">
        <f t="shared" si="64"/>
        <v>1030</v>
      </c>
      <c r="AX16" s="247">
        <v>4949460</v>
      </c>
      <c r="AY16" s="248">
        <v>650000</v>
      </c>
      <c r="AZ16" s="257">
        <f t="shared" si="56"/>
        <v>1.1420390914710061</v>
      </c>
      <c r="BA16" s="248">
        <f t="shared" si="57"/>
        <v>4299460</v>
      </c>
      <c r="BB16" s="258"/>
      <c r="BC16" s="259">
        <f t="shared" si="58"/>
        <v>1.1616970321073403</v>
      </c>
      <c r="BD16" s="247">
        <f t="shared" ref="BD16:BD23" si="83">AX16*1.04</f>
        <v>5147438.4000000004</v>
      </c>
      <c r="BE16" s="248">
        <f>AY16*1.035</f>
        <v>672750</v>
      </c>
      <c r="BF16" s="257">
        <f t="shared" si="59"/>
        <v>1.0349999999999999</v>
      </c>
      <c r="BG16" s="248">
        <f t="shared" si="70"/>
        <v>4474688.4000000004</v>
      </c>
      <c r="BH16" s="260">
        <f t="shared" si="60"/>
        <v>1.0407559088815805</v>
      </c>
      <c r="BI16" s="247">
        <f t="shared" ref="BI16:BI23" si="84">BD16*1.04</f>
        <v>5353335.9360000007</v>
      </c>
      <c r="BJ16" s="248">
        <f t="shared" si="71"/>
        <v>699660</v>
      </c>
      <c r="BK16" s="257">
        <f t="shared" si="61"/>
        <v>1.04</v>
      </c>
      <c r="BL16" s="248">
        <f t="shared" si="72"/>
        <v>4653675.9360000007</v>
      </c>
      <c r="BM16" s="260">
        <f t="shared" si="62"/>
        <v>1.04</v>
      </c>
      <c r="BN16" s="247">
        <f t="shared" ref="BN16:BN23" si="85">BI16*1.04</f>
        <v>5567469.3734400012</v>
      </c>
      <c r="BO16" s="248">
        <f t="shared" si="73"/>
        <v>727646.4</v>
      </c>
      <c r="BP16" s="257">
        <f t="shared" si="10"/>
        <v>1.04</v>
      </c>
      <c r="BQ16" s="248">
        <f t="shared" si="74"/>
        <v>4839822.9734400008</v>
      </c>
      <c r="BR16" s="260">
        <f t="shared" si="42"/>
        <v>1.04</v>
      </c>
    </row>
    <row r="17" spans="1:70" s="316" customFormat="1" ht="28.5" hidden="1" customHeight="1">
      <c r="A17" s="231" t="s">
        <v>61</v>
      </c>
      <c r="B17" s="300">
        <v>290.39999999999998</v>
      </c>
      <c r="C17" s="301">
        <v>317</v>
      </c>
      <c r="D17" s="301">
        <v>453.6</v>
      </c>
      <c r="E17" s="301">
        <v>362.8</v>
      </c>
      <c r="F17" s="301"/>
      <c r="G17" s="318">
        <v>505.7</v>
      </c>
      <c r="H17" s="303">
        <f t="shared" si="43"/>
        <v>139.38809261300992</v>
      </c>
      <c r="I17" s="302">
        <v>652.9</v>
      </c>
      <c r="J17" s="303">
        <f t="shared" si="44"/>
        <v>129.10816689736998</v>
      </c>
      <c r="K17" s="302">
        <v>677.9</v>
      </c>
      <c r="L17" s="304">
        <f t="shared" si="45"/>
        <v>103.82907030173074</v>
      </c>
      <c r="M17" s="301">
        <v>729.2</v>
      </c>
      <c r="N17" s="304">
        <f t="shared" si="46"/>
        <v>107.56748783006344</v>
      </c>
      <c r="O17" s="305">
        <v>530.29999999999995</v>
      </c>
      <c r="P17" s="306">
        <f t="shared" si="47"/>
        <v>0.72723532638507948</v>
      </c>
      <c r="Q17" s="298">
        <f>[9]Лямца!$AD$25</f>
        <v>792.19978678820542</v>
      </c>
      <c r="R17" s="298">
        <f>[9]Лямца!$AD$11</f>
        <v>157.5</v>
      </c>
      <c r="S17" s="307">
        <f>1050/1000*100</f>
        <v>105</v>
      </c>
      <c r="T17" s="298">
        <f t="shared" si="75"/>
        <v>634.69978678820542</v>
      </c>
      <c r="U17" s="307">
        <f t="shared" si="48"/>
        <v>119.68692943394407</v>
      </c>
      <c r="V17" s="298">
        <v>230.58</v>
      </c>
      <c r="W17" s="298">
        <v>24.49</v>
      </c>
      <c r="X17" s="298">
        <f t="shared" si="49"/>
        <v>206.09</v>
      </c>
      <c r="Y17" s="298"/>
      <c r="Z17" s="298">
        <f>2772.1-Z18</f>
        <v>219.92799999999988</v>
      </c>
      <c r="AA17" s="298">
        <v>219.3</v>
      </c>
      <c r="AB17" s="298">
        <f t="shared" si="76"/>
        <v>249.63051960000001</v>
      </c>
      <c r="AC17" s="298">
        <f>W17*1.1*1.036</f>
        <v>27.908804</v>
      </c>
      <c r="AD17" s="307">
        <f t="shared" si="50"/>
        <v>17.719875555555557</v>
      </c>
      <c r="AE17" s="298">
        <f t="shared" si="51"/>
        <v>221.72171560000001</v>
      </c>
      <c r="AF17" s="308">
        <f t="shared" si="52"/>
        <v>1.0081559219380893</v>
      </c>
      <c r="AG17" s="309">
        <f>AA17</f>
        <v>219.3</v>
      </c>
      <c r="AH17" s="297">
        <f t="shared" si="77"/>
        <v>259.61574038400005</v>
      </c>
      <c r="AI17" s="298">
        <v>83.28</v>
      </c>
      <c r="AJ17" s="310">
        <f t="shared" si="78"/>
        <v>2.9840046173243397</v>
      </c>
      <c r="AK17" s="298">
        <f t="shared" si="79"/>
        <v>176.33574038400005</v>
      </c>
      <c r="AL17" s="311">
        <f t="shared" si="80"/>
        <v>0.80408454347469238</v>
      </c>
      <c r="AM17" s="319">
        <f t="shared" si="82"/>
        <v>176.33574038400005</v>
      </c>
      <c r="AN17" s="313"/>
      <c r="AO17" s="314"/>
      <c r="AP17" s="310"/>
      <c r="AQ17" s="314"/>
      <c r="AR17" s="311"/>
      <c r="AS17" s="315"/>
      <c r="AT17" s="255"/>
      <c r="AU17" s="256"/>
      <c r="AV17" s="255"/>
      <c r="AW17" s="250"/>
      <c r="AX17" s="247"/>
      <c r="AY17" s="248"/>
      <c r="AZ17" s="295"/>
      <c r="BA17" s="248"/>
      <c r="BB17" s="258"/>
      <c r="BC17" s="296"/>
      <c r="BD17" s="247"/>
      <c r="BE17" s="248"/>
      <c r="BF17" s="295"/>
      <c r="BG17" s="298"/>
      <c r="BH17" s="299"/>
      <c r="BI17" s="247"/>
      <c r="BJ17" s="248"/>
      <c r="BK17" s="295"/>
      <c r="BL17" s="298"/>
      <c r="BM17" s="299"/>
      <c r="BN17" s="247"/>
      <c r="BO17" s="248"/>
      <c r="BP17" s="295"/>
      <c r="BQ17" s="298"/>
      <c r="BR17" s="299"/>
    </row>
    <row r="18" spans="1:70" s="261" customFormat="1" ht="41.25" customHeight="1">
      <c r="A18" s="231" t="s">
        <v>62</v>
      </c>
      <c r="B18" s="232">
        <v>1305.0999999999999</v>
      </c>
      <c r="C18" s="233">
        <v>1104.9000000000001</v>
      </c>
      <c r="D18" s="233">
        <v>1471.75</v>
      </c>
      <c r="E18" s="233">
        <v>1236.2</v>
      </c>
      <c r="F18" s="233"/>
      <c r="G18" s="320">
        <v>1309.2</v>
      </c>
      <c r="H18" s="235">
        <f t="shared" si="43"/>
        <v>105.9051933344119</v>
      </c>
      <c r="I18" s="236">
        <v>1367.7</v>
      </c>
      <c r="J18" s="235">
        <f t="shared" si="44"/>
        <v>104.46837763519707</v>
      </c>
      <c r="K18" s="236">
        <v>1553.6</v>
      </c>
      <c r="L18" s="321">
        <f t="shared" si="45"/>
        <v>113.59216202383561</v>
      </c>
      <c r="M18" s="233">
        <v>1797.6</v>
      </c>
      <c r="N18" s="321">
        <f t="shared" si="46"/>
        <v>115.70545829042224</v>
      </c>
      <c r="O18" s="322">
        <v>2231.8000000000002</v>
      </c>
      <c r="P18" s="323">
        <f t="shared" si="47"/>
        <v>1.2415442812639077</v>
      </c>
      <c r="Q18" s="248">
        <f>[9]Легашевская!$AE$28</f>
        <v>5804.5715572328018</v>
      </c>
      <c r="R18" s="248">
        <f>[9]Легашевская!$AE$15</f>
        <v>3565.1853625000003</v>
      </c>
      <c r="S18" s="243">
        <f>37/35*100</f>
        <v>105.71428571428572</v>
      </c>
      <c r="T18" s="248">
        <f t="shared" si="75"/>
        <v>2239.3861947328014</v>
      </c>
      <c r="U18" s="243">
        <f t="shared" si="48"/>
        <v>100.33991373477915</v>
      </c>
      <c r="V18" s="248">
        <v>5284.22</v>
      </c>
      <c r="W18" s="248">
        <v>2827.6</v>
      </c>
      <c r="X18" s="248">
        <f t="shared" si="49"/>
        <v>2456.6200000000003</v>
      </c>
      <c r="Y18" s="248"/>
      <c r="Z18" s="248">
        <f>2774.1*0.92</f>
        <v>2552.172</v>
      </c>
      <c r="AA18" s="248">
        <f>2774.1-AA17</f>
        <v>2554.7999999999997</v>
      </c>
      <c r="AB18" s="248">
        <f t="shared" si="76"/>
        <v>5720.8022564000003</v>
      </c>
      <c r="AC18" s="248">
        <f>W18*1.086*1.026</f>
        <v>3150.6137136000002</v>
      </c>
      <c r="AD18" s="243">
        <f t="shared" si="50"/>
        <v>88.371666358203271</v>
      </c>
      <c r="AE18" s="248">
        <f t="shared" si="51"/>
        <v>2570.1885428000001</v>
      </c>
      <c r="AF18" s="245">
        <f t="shared" si="52"/>
        <v>1.0070592980410411</v>
      </c>
      <c r="AG18" s="246">
        <f>2791.91-AG17</f>
        <v>2572.6099999999997</v>
      </c>
      <c r="AH18" s="247">
        <f t="shared" si="77"/>
        <v>5949.6343466560002</v>
      </c>
      <c r="AI18" s="248">
        <f>AC18*1.04</f>
        <v>3276.6382621440002</v>
      </c>
      <c r="AJ18" s="249">
        <f t="shared" si="78"/>
        <v>1.04</v>
      </c>
      <c r="AK18" s="248">
        <f t="shared" si="79"/>
        <v>2672.9960845119999</v>
      </c>
      <c r="AL18" s="250">
        <f t="shared" si="80"/>
        <v>1.039021104835945</v>
      </c>
      <c r="AM18" s="317">
        <f t="shared" si="82"/>
        <v>2672.9960845119999</v>
      </c>
      <c r="AN18" s="252">
        <f>7744.6+18+185.95</f>
        <v>7948.55</v>
      </c>
      <c r="AO18" s="253">
        <v>3875.87</v>
      </c>
      <c r="AP18" s="249">
        <f t="shared" si="81"/>
        <v>1.1828800404301891</v>
      </c>
      <c r="AQ18" s="253">
        <f t="shared" si="53"/>
        <v>4072.6800000000003</v>
      </c>
      <c r="AR18" s="250">
        <f t="shared" si="67"/>
        <v>1.5236385955064113</v>
      </c>
      <c r="AS18" s="254">
        <v>7708300</v>
      </c>
      <c r="AT18" s="293">
        <v>3608000</v>
      </c>
      <c r="AU18" s="294">
        <f t="shared" si="54"/>
        <v>930.88777487377035</v>
      </c>
      <c r="AV18" s="293">
        <f t="shared" si="55"/>
        <v>4100300</v>
      </c>
      <c r="AW18" s="250">
        <f t="shared" si="64"/>
        <v>1006.7817751456043</v>
      </c>
      <c r="AX18" s="247">
        <f t="shared" si="68"/>
        <v>8016632</v>
      </c>
      <c r="AY18" s="248">
        <f t="shared" si="68"/>
        <v>3752320</v>
      </c>
      <c r="AZ18" s="257">
        <f t="shared" si="56"/>
        <v>1.04</v>
      </c>
      <c r="BA18" s="248">
        <f t="shared" si="57"/>
        <v>4264312</v>
      </c>
      <c r="BB18" s="258"/>
      <c r="BC18" s="259">
        <f t="shared" si="58"/>
        <v>1.04</v>
      </c>
      <c r="BD18" s="247">
        <f t="shared" si="83"/>
        <v>8337297.2800000003</v>
      </c>
      <c r="BE18" s="248">
        <f>AY18*1.022</f>
        <v>3834871.04</v>
      </c>
      <c r="BF18" s="257">
        <f t="shared" si="59"/>
        <v>1.022</v>
      </c>
      <c r="BG18" s="248">
        <f t="shared" si="70"/>
        <v>4502426.24</v>
      </c>
      <c r="BH18" s="260">
        <f t="shared" si="60"/>
        <v>1.0558388410604103</v>
      </c>
      <c r="BI18" s="247">
        <f t="shared" si="84"/>
        <v>8670789.1711999997</v>
      </c>
      <c r="BJ18" s="248">
        <f t="shared" si="71"/>
        <v>3988265.8816</v>
      </c>
      <c r="BK18" s="257">
        <f t="shared" si="61"/>
        <v>1.04</v>
      </c>
      <c r="BL18" s="248">
        <f t="shared" si="72"/>
        <v>4682523.2895999998</v>
      </c>
      <c r="BM18" s="260">
        <f t="shared" si="62"/>
        <v>1.0399999999999998</v>
      </c>
      <c r="BN18" s="247">
        <f t="shared" si="85"/>
        <v>9017620.7380480003</v>
      </c>
      <c r="BO18" s="248">
        <f t="shared" si="73"/>
        <v>4147796.5168639999</v>
      </c>
      <c r="BP18" s="257">
        <f t="shared" ref="BP18:BP23" si="86">BO18/BJ18</f>
        <v>1.04</v>
      </c>
      <c r="BQ18" s="248">
        <f t="shared" si="74"/>
        <v>4869824.2211840004</v>
      </c>
      <c r="BR18" s="260">
        <f t="shared" ref="BR18:BR23" si="87">BQ18/BL18</f>
        <v>1.04</v>
      </c>
    </row>
    <row r="19" spans="1:70" s="261" customFormat="1" ht="63.75" customHeight="1">
      <c r="A19" s="231" t="s">
        <v>63</v>
      </c>
      <c r="B19" s="232">
        <v>461.2</v>
      </c>
      <c r="C19" s="233">
        <v>767.6</v>
      </c>
      <c r="D19" s="233">
        <v>772.8</v>
      </c>
      <c r="E19" s="233">
        <v>767.3</v>
      </c>
      <c r="F19" s="233"/>
      <c r="G19" s="234">
        <v>846.7</v>
      </c>
      <c r="H19" s="235">
        <f t="shared" si="43"/>
        <v>110.34797341326733</v>
      </c>
      <c r="I19" s="236">
        <v>1175</v>
      </c>
      <c r="J19" s="235">
        <f t="shared" si="44"/>
        <v>138.77406401322781</v>
      </c>
      <c r="K19" s="237">
        <v>1313</v>
      </c>
      <c r="L19" s="238">
        <f t="shared" si="45"/>
        <v>111.74468085106383</v>
      </c>
      <c r="M19" s="239">
        <f>1528+50</f>
        <v>1578</v>
      </c>
      <c r="N19" s="238">
        <f t="shared" si="46"/>
        <v>120.18278750952018</v>
      </c>
      <c r="O19" s="240">
        <v>1753.4</v>
      </c>
      <c r="P19" s="241">
        <f t="shared" si="47"/>
        <v>1.1111533586818758</v>
      </c>
      <c r="Q19" s="242">
        <f>[10]Свод!$CW$31/1000</f>
        <v>2221.0256370041843</v>
      </c>
      <c r="R19" s="242">
        <f>[10]Свод!$CW$43/1000</f>
        <v>158.54849999999999</v>
      </c>
      <c r="S19" s="243">
        <f>33/30*100</f>
        <v>110.00000000000001</v>
      </c>
      <c r="T19" s="242">
        <f t="shared" si="75"/>
        <v>2062.4771370041844</v>
      </c>
      <c r="U19" s="244">
        <f t="shared" si="48"/>
        <v>117.62730335372329</v>
      </c>
      <c r="V19" s="242">
        <f>118.3+1740.65</f>
        <v>1858.95</v>
      </c>
      <c r="W19" s="242">
        <v>118.3</v>
      </c>
      <c r="X19" s="242">
        <f t="shared" si="49"/>
        <v>1740.65</v>
      </c>
      <c r="Y19" s="242"/>
      <c r="Z19" s="242">
        <v>1852.5</v>
      </c>
      <c r="AA19" s="242">
        <v>1987.4</v>
      </c>
      <c r="AB19" s="242">
        <f t="shared" si="76"/>
        <v>2012.5364490000002</v>
      </c>
      <c r="AC19" s="242">
        <f>W19*1.11*1.03</f>
        <v>135.25239000000002</v>
      </c>
      <c r="AD19" s="243">
        <f t="shared" si="50"/>
        <v>85.306634878286474</v>
      </c>
      <c r="AE19" s="242">
        <f t="shared" si="51"/>
        <v>1877.2840590000001</v>
      </c>
      <c r="AF19" s="245">
        <f t="shared" si="52"/>
        <v>1.013378709311741</v>
      </c>
      <c r="AG19" s="246">
        <v>1877.2840000000001</v>
      </c>
      <c r="AH19" s="247">
        <f t="shared" si="77"/>
        <v>2093.0379069600003</v>
      </c>
      <c r="AI19" s="248">
        <v>135.27000000000001</v>
      </c>
      <c r="AJ19" s="249">
        <f t="shared" si="78"/>
        <v>1.0001302010263922</v>
      </c>
      <c r="AK19" s="248">
        <f t="shared" si="79"/>
        <v>1957.7679069600003</v>
      </c>
      <c r="AL19" s="250">
        <f t="shared" si="80"/>
        <v>1.0428725259257525</v>
      </c>
      <c r="AM19" s="317">
        <v>2657.8</v>
      </c>
      <c r="AN19" s="252">
        <v>2967.8679999999999</v>
      </c>
      <c r="AO19" s="253">
        <v>166.16</v>
      </c>
      <c r="AP19" s="249">
        <f t="shared" si="81"/>
        <v>1.2283580986175795</v>
      </c>
      <c r="AQ19" s="253">
        <v>3781</v>
      </c>
      <c r="AR19" s="250">
        <f>AQ19/AM19</f>
        <v>1.4226051621641957</v>
      </c>
      <c r="AS19" s="254">
        <f>AN19*1.04*1000</f>
        <v>3086582.7199999997</v>
      </c>
      <c r="AT19" s="293">
        <v>172810</v>
      </c>
      <c r="AU19" s="294">
        <f t="shared" si="54"/>
        <v>1040.0216658642273</v>
      </c>
      <c r="AV19" s="293">
        <f t="shared" si="55"/>
        <v>2913772.7199999997</v>
      </c>
      <c r="AW19" s="250">
        <f t="shared" si="64"/>
        <v>770.63547209732872</v>
      </c>
      <c r="AX19" s="247">
        <f t="shared" si="68"/>
        <v>3210046.0288</v>
      </c>
      <c r="AY19" s="248">
        <f t="shared" si="68"/>
        <v>179722.4</v>
      </c>
      <c r="AZ19" s="257">
        <f t="shared" si="56"/>
        <v>1.04</v>
      </c>
      <c r="BA19" s="248">
        <f t="shared" si="57"/>
        <v>3030323.6288000001</v>
      </c>
      <c r="BB19" s="258"/>
      <c r="BC19" s="259">
        <f t="shared" si="58"/>
        <v>1.04</v>
      </c>
      <c r="BD19" s="247">
        <f>AX19*1.18*1.04</f>
        <v>3939368.4865433597</v>
      </c>
      <c r="BE19" s="248">
        <f>AY19*1.18*1.03</f>
        <v>218434.60495999997</v>
      </c>
      <c r="BF19" s="257">
        <f t="shared" si="59"/>
        <v>1.2153999999999998</v>
      </c>
      <c r="BG19" s="248">
        <f t="shared" si="70"/>
        <v>3720933.8815833596</v>
      </c>
      <c r="BH19" s="260">
        <f t="shared" si="60"/>
        <v>1.2278998342684735</v>
      </c>
      <c r="BI19" s="247">
        <f t="shared" si="84"/>
        <v>4096943.2260050941</v>
      </c>
      <c r="BJ19" s="248">
        <f t="shared" si="71"/>
        <v>227171.98915839999</v>
      </c>
      <c r="BK19" s="257">
        <f t="shared" si="61"/>
        <v>1.04</v>
      </c>
      <c r="BL19" s="248">
        <f t="shared" si="72"/>
        <v>3869771.2368466943</v>
      </c>
      <c r="BM19" s="260">
        <f t="shared" si="62"/>
        <v>1.04</v>
      </c>
      <c r="BN19" s="247">
        <f t="shared" si="85"/>
        <v>4260820.9550452977</v>
      </c>
      <c r="BO19" s="248">
        <f t="shared" si="73"/>
        <v>236258.86872473601</v>
      </c>
      <c r="BP19" s="257">
        <f t="shared" si="86"/>
        <v>1.04</v>
      </c>
      <c r="BQ19" s="248">
        <f t="shared" si="74"/>
        <v>4024562.0863205618</v>
      </c>
      <c r="BR19" s="260">
        <f t="shared" si="87"/>
        <v>1.04</v>
      </c>
    </row>
    <row r="20" spans="1:70" s="316" customFormat="1" ht="49.5" customHeight="1">
      <c r="A20" s="324" t="s">
        <v>161</v>
      </c>
      <c r="B20" s="300"/>
      <c r="C20" s="301"/>
      <c r="D20" s="301"/>
      <c r="E20" s="301"/>
      <c r="F20" s="301"/>
      <c r="G20" s="318"/>
      <c r="H20" s="303"/>
      <c r="I20" s="302"/>
      <c r="J20" s="303"/>
      <c r="K20" s="302"/>
      <c r="L20" s="304"/>
      <c r="M20" s="301"/>
      <c r="N20" s="304"/>
      <c r="O20" s="305"/>
      <c r="P20" s="306"/>
      <c r="Q20" s="298"/>
      <c r="R20" s="298"/>
      <c r="S20" s="307"/>
      <c r="T20" s="298"/>
      <c r="U20" s="307"/>
      <c r="V20" s="298"/>
      <c r="W20" s="298"/>
      <c r="X20" s="298"/>
      <c r="Y20" s="298"/>
      <c r="Z20" s="298">
        <v>0</v>
      </c>
      <c r="AA20" s="298">
        <v>0</v>
      </c>
      <c r="AB20" s="298">
        <v>899.90300000000002</v>
      </c>
      <c r="AC20" s="298">
        <v>246.4</v>
      </c>
      <c r="AD20" s="307"/>
      <c r="AE20" s="298">
        <f t="shared" si="51"/>
        <v>653.50300000000004</v>
      </c>
      <c r="AF20" s="308" t="s">
        <v>64</v>
      </c>
      <c r="AG20" s="309">
        <v>653.50300000000004</v>
      </c>
      <c r="AH20" s="297">
        <v>367.786</v>
      </c>
      <c r="AI20" s="298">
        <f>AC20*1.04</f>
        <v>256.25600000000003</v>
      </c>
      <c r="AJ20" s="310">
        <f t="shared" si="78"/>
        <v>1.04</v>
      </c>
      <c r="AK20" s="298">
        <f t="shared" si="79"/>
        <v>111.52999999999997</v>
      </c>
      <c r="AL20" s="311">
        <f t="shared" si="80"/>
        <v>0.17066486305342127</v>
      </c>
      <c r="AM20" s="312">
        <f t="shared" si="82"/>
        <v>111.52999999999997</v>
      </c>
      <c r="AN20" s="313"/>
      <c r="AO20" s="314"/>
      <c r="AP20" s="249"/>
      <c r="AQ20" s="314"/>
      <c r="AR20" s="250"/>
      <c r="AS20" s="315"/>
      <c r="AT20" s="255"/>
      <c r="AU20" s="294"/>
      <c r="AV20" s="255">
        <v>1431000</v>
      </c>
      <c r="AW20" s="250"/>
      <c r="AX20" s="247"/>
      <c r="AY20" s="248"/>
      <c r="AZ20" s="295"/>
      <c r="BA20" s="248">
        <f t="shared" ref="BA20:BA21" si="88">AV20*1.04</f>
        <v>1488240</v>
      </c>
      <c r="BB20" s="258"/>
      <c r="BC20" s="296">
        <f t="shared" si="58"/>
        <v>1.04</v>
      </c>
      <c r="BD20" s="247"/>
      <c r="BE20" s="248"/>
      <c r="BF20" s="257"/>
      <c r="BG20" s="298">
        <f t="shared" ref="BG20:BG21" si="89">BA20*1.04</f>
        <v>1547769.6</v>
      </c>
      <c r="BH20" s="299">
        <f t="shared" si="60"/>
        <v>1.04</v>
      </c>
      <c r="BI20" s="247"/>
      <c r="BJ20" s="248"/>
      <c r="BK20" s="257"/>
      <c r="BL20" s="298">
        <f>BG20*104/100</f>
        <v>1609680.3840000001</v>
      </c>
      <c r="BM20" s="299">
        <f t="shared" si="62"/>
        <v>1.04</v>
      </c>
      <c r="BN20" s="247"/>
      <c r="BO20" s="248"/>
      <c r="BP20" s="257"/>
      <c r="BQ20" s="298">
        <f>BL20*104/100</f>
        <v>1674067.5993600001</v>
      </c>
      <c r="BR20" s="299">
        <f t="shared" si="87"/>
        <v>1.04</v>
      </c>
    </row>
    <row r="21" spans="1:70" s="316" customFormat="1" ht="48" customHeight="1">
      <c r="A21" s="325" t="s">
        <v>65</v>
      </c>
      <c r="B21" s="300"/>
      <c r="C21" s="301"/>
      <c r="D21" s="301"/>
      <c r="E21" s="301"/>
      <c r="F21" s="301"/>
      <c r="G21" s="318"/>
      <c r="H21" s="303"/>
      <c r="I21" s="302"/>
      <c r="J21" s="303"/>
      <c r="K21" s="302"/>
      <c r="L21" s="304"/>
      <c r="M21" s="301"/>
      <c r="N21" s="304"/>
      <c r="O21" s="305"/>
      <c r="P21" s="306"/>
      <c r="Q21" s="298"/>
      <c r="R21" s="298"/>
      <c r="S21" s="307"/>
      <c r="T21" s="298"/>
      <c r="U21" s="307"/>
      <c r="V21" s="298"/>
      <c r="W21" s="298"/>
      <c r="X21" s="298"/>
      <c r="Y21" s="298"/>
      <c r="Z21" s="298"/>
      <c r="AA21" s="298"/>
      <c r="AB21" s="298"/>
      <c r="AC21" s="298"/>
      <c r="AD21" s="307"/>
      <c r="AE21" s="298"/>
      <c r="AF21" s="308"/>
      <c r="AG21" s="309"/>
      <c r="AH21" s="326"/>
      <c r="AI21" s="327"/>
      <c r="AJ21" s="328"/>
      <c r="AK21" s="327"/>
      <c r="AL21" s="329"/>
      <c r="AM21" s="330"/>
      <c r="AN21" s="331"/>
      <c r="AO21" s="332"/>
      <c r="AP21" s="333"/>
      <c r="AQ21" s="332">
        <v>300</v>
      </c>
      <c r="AR21" s="334"/>
      <c r="AS21" s="335"/>
      <c r="AT21" s="336"/>
      <c r="AU21" s="337"/>
      <c r="AV21" s="336">
        <v>5400000</v>
      </c>
      <c r="AW21" s="250"/>
      <c r="AX21" s="247"/>
      <c r="AY21" s="248"/>
      <c r="AZ21" s="295"/>
      <c r="BA21" s="248">
        <f t="shared" si="88"/>
        <v>5616000</v>
      </c>
      <c r="BB21" s="258"/>
      <c r="BC21" s="296">
        <f t="shared" si="58"/>
        <v>1.04</v>
      </c>
      <c r="BD21" s="247"/>
      <c r="BE21" s="248"/>
      <c r="BF21" s="257"/>
      <c r="BG21" s="298">
        <f t="shared" si="89"/>
        <v>5840640</v>
      </c>
      <c r="BH21" s="299">
        <f t="shared" si="60"/>
        <v>1.04</v>
      </c>
      <c r="BI21" s="247"/>
      <c r="BJ21" s="338"/>
      <c r="BK21" s="257"/>
      <c r="BL21" s="298">
        <f t="shared" ref="BL21:BL22" si="90">BG21*1.04</f>
        <v>6074265.6000000006</v>
      </c>
      <c r="BM21" s="299">
        <f t="shared" si="62"/>
        <v>1.04</v>
      </c>
      <c r="BN21" s="247"/>
      <c r="BO21" s="248"/>
      <c r="BP21" s="257"/>
      <c r="BQ21" s="298">
        <f t="shared" ref="BQ21:BQ22" si="91">BL21*1.04</f>
        <v>6317236.2240000004</v>
      </c>
      <c r="BR21" s="299">
        <f t="shared" si="87"/>
        <v>1.04</v>
      </c>
    </row>
    <row r="22" spans="1:70" s="316" customFormat="1" ht="45.75" customHeight="1">
      <c r="A22" s="325" t="s">
        <v>66</v>
      </c>
      <c r="B22" s="339"/>
      <c r="C22" s="340"/>
      <c r="D22" s="340"/>
      <c r="E22" s="340"/>
      <c r="F22" s="340"/>
      <c r="G22" s="341"/>
      <c r="H22" s="342"/>
      <c r="I22" s="343"/>
      <c r="J22" s="342"/>
      <c r="K22" s="343"/>
      <c r="L22" s="344"/>
      <c r="M22" s="340"/>
      <c r="N22" s="344"/>
      <c r="O22" s="345"/>
      <c r="P22" s="346"/>
      <c r="Q22" s="327"/>
      <c r="R22" s="327"/>
      <c r="S22" s="347"/>
      <c r="T22" s="327"/>
      <c r="U22" s="347"/>
      <c r="V22" s="327"/>
      <c r="W22" s="327"/>
      <c r="X22" s="327"/>
      <c r="Y22" s="327"/>
      <c r="Z22" s="327"/>
      <c r="AA22" s="327"/>
      <c r="AB22" s="327"/>
      <c r="AC22" s="327"/>
      <c r="AD22" s="347"/>
      <c r="AE22" s="327"/>
      <c r="AF22" s="348"/>
      <c r="AG22" s="349"/>
      <c r="AH22" s="326"/>
      <c r="AI22" s="327"/>
      <c r="AJ22" s="328"/>
      <c r="AK22" s="327"/>
      <c r="AL22" s="329"/>
      <c r="AM22" s="330"/>
      <c r="AN22" s="331"/>
      <c r="AO22" s="332"/>
      <c r="AP22" s="333"/>
      <c r="AQ22" s="332"/>
      <c r="AR22" s="334"/>
      <c r="AS22" s="335"/>
      <c r="AT22" s="336"/>
      <c r="AU22" s="337"/>
      <c r="AV22" s="336"/>
      <c r="AW22" s="334"/>
      <c r="AX22" s="350">
        <f>(2949.03+147)*1000</f>
        <v>3096030</v>
      </c>
      <c r="AY22" s="351">
        <v>194400</v>
      </c>
      <c r="AZ22" s="352"/>
      <c r="BA22" s="248">
        <f t="shared" si="57"/>
        <v>2901630</v>
      </c>
      <c r="BB22" s="353"/>
      <c r="BC22" s="296"/>
      <c r="BD22" s="350">
        <f>AX22*1.04*2.2</f>
        <v>7083716.6400000006</v>
      </c>
      <c r="BE22" s="351">
        <f>AY22*1.032*2.2</f>
        <v>441365.76000000007</v>
      </c>
      <c r="BF22" s="257">
        <f t="shared" si="59"/>
        <v>2.2704000000000004</v>
      </c>
      <c r="BG22" s="298">
        <f t="shared" ref="BG22:BG23" si="92">BD22-BE22</f>
        <v>6642350.8800000008</v>
      </c>
      <c r="BH22" s="299">
        <f t="shared" si="60"/>
        <v>2.2891791441362273</v>
      </c>
      <c r="BI22" s="350">
        <f t="shared" si="84"/>
        <v>7367065.3056000005</v>
      </c>
      <c r="BJ22" s="351">
        <f t="shared" si="71"/>
        <v>459020.39040000009</v>
      </c>
      <c r="BK22" s="257">
        <f t="shared" si="61"/>
        <v>1.04</v>
      </c>
      <c r="BL22" s="298">
        <f t="shared" si="90"/>
        <v>6908044.9152000006</v>
      </c>
      <c r="BM22" s="299">
        <f t="shared" si="62"/>
        <v>1.04</v>
      </c>
      <c r="BN22" s="350">
        <f t="shared" si="85"/>
        <v>7661747.9178240011</v>
      </c>
      <c r="BO22" s="351">
        <f t="shared" si="73"/>
        <v>477381.20601600013</v>
      </c>
      <c r="BP22" s="257">
        <f t="shared" si="86"/>
        <v>1.04</v>
      </c>
      <c r="BQ22" s="298">
        <f t="shared" si="91"/>
        <v>7184366.7118080007</v>
      </c>
      <c r="BR22" s="299">
        <f t="shared" si="87"/>
        <v>1.04</v>
      </c>
    </row>
    <row r="23" spans="1:70" s="261" customFormat="1" ht="45.75" customHeight="1">
      <c r="A23" s="354" t="s">
        <v>67</v>
      </c>
      <c r="B23" s="264"/>
      <c r="C23" s="265"/>
      <c r="D23" s="265"/>
      <c r="E23" s="265"/>
      <c r="F23" s="265"/>
      <c r="G23" s="266" t="s">
        <v>68</v>
      </c>
      <c r="H23" s="267" t="s">
        <v>68</v>
      </c>
      <c r="I23" s="268" t="s">
        <v>68</v>
      </c>
      <c r="J23" s="267" t="s">
        <v>68</v>
      </c>
      <c r="K23" s="269" t="s">
        <v>68</v>
      </c>
      <c r="L23" s="270" t="s">
        <v>68</v>
      </c>
      <c r="M23" s="271">
        <f>1595.8+300</f>
        <v>1895.8</v>
      </c>
      <c r="N23" s="270" t="s">
        <v>68</v>
      </c>
      <c r="O23" s="272">
        <v>2292.6</v>
      </c>
      <c r="P23" s="273">
        <f t="shared" si="47"/>
        <v>1.209304778985125</v>
      </c>
      <c r="Q23" s="274">
        <f>[11]Лист1!$M$39</f>
        <v>3044.0185510444007</v>
      </c>
      <c r="R23" s="274">
        <f>[11]Лист1!$M$18</f>
        <v>1020</v>
      </c>
      <c r="S23" s="275">
        <f>75/70*100</f>
        <v>107.14285714285714</v>
      </c>
      <c r="T23" s="274">
        <f t="shared" si="75"/>
        <v>2024.0185510444007</v>
      </c>
      <c r="U23" s="276">
        <f t="shared" si="48"/>
        <v>88.284853487062762</v>
      </c>
      <c r="V23" s="274">
        <f>1353.24+1991.6182</f>
        <v>3344.8581999999997</v>
      </c>
      <c r="W23" s="274">
        <v>1353.24</v>
      </c>
      <c r="X23" s="274">
        <f t="shared" si="49"/>
        <v>1991.6181999999997</v>
      </c>
      <c r="Y23" s="274"/>
      <c r="Z23" s="274">
        <v>2192.8000000000002</v>
      </c>
      <c r="AA23" s="274">
        <v>1974</v>
      </c>
      <c r="AB23" s="274">
        <f t="shared" si="76"/>
        <v>3621.2103844839999</v>
      </c>
      <c r="AC23" s="274">
        <f>W23*1.114*1.026</f>
        <v>1546.7046033600002</v>
      </c>
      <c r="AD23" s="275">
        <f t="shared" si="50"/>
        <v>151.63770621176474</v>
      </c>
      <c r="AE23" s="274">
        <f t="shared" si="51"/>
        <v>2074.5057811239994</v>
      </c>
      <c r="AF23" s="277">
        <f t="shared" si="52"/>
        <v>0.94605334783108319</v>
      </c>
      <c r="AG23" s="278">
        <v>2074.5059999999999</v>
      </c>
      <c r="AH23" s="279">
        <f t="shared" si="77"/>
        <v>3766.05879986336</v>
      </c>
      <c r="AI23" s="280">
        <f>1740.01</f>
        <v>1740.01</v>
      </c>
      <c r="AJ23" s="281">
        <f t="shared" si="78"/>
        <v>1.1249788719966765</v>
      </c>
      <c r="AK23" s="280">
        <f t="shared" si="79"/>
        <v>2026.04879986336</v>
      </c>
      <c r="AL23" s="282">
        <f t="shared" si="80"/>
        <v>0.97664157146971864</v>
      </c>
      <c r="AM23" s="355">
        <f t="shared" si="82"/>
        <v>2026.04879986336</v>
      </c>
      <c r="AN23" s="284">
        <v>4157.2</v>
      </c>
      <c r="AO23" s="285">
        <v>1784.05</v>
      </c>
      <c r="AP23" s="281">
        <f t="shared" si="81"/>
        <v>1.0253101993666702</v>
      </c>
      <c r="AQ23" s="285">
        <f t="shared" si="53"/>
        <v>2373.1499999999996</v>
      </c>
      <c r="AR23" s="282">
        <f>AQ23/AK23</f>
        <v>1.1713192693878098</v>
      </c>
      <c r="AS23" s="286">
        <v>4323200</v>
      </c>
      <c r="AT23" s="356">
        <v>1855420</v>
      </c>
      <c r="AU23" s="357">
        <f t="shared" si="54"/>
        <v>1040.0044841792551</v>
      </c>
      <c r="AV23" s="356">
        <f t="shared" si="55"/>
        <v>2467780</v>
      </c>
      <c r="AW23" s="282">
        <f t="shared" si="64"/>
        <v>1039.8752712639321</v>
      </c>
      <c r="AX23" s="279">
        <f t="shared" si="68"/>
        <v>4496128</v>
      </c>
      <c r="AY23" s="280">
        <f t="shared" si="68"/>
        <v>1929636.8</v>
      </c>
      <c r="AZ23" s="289">
        <f t="shared" si="56"/>
        <v>1.04</v>
      </c>
      <c r="BA23" s="280">
        <f t="shared" si="57"/>
        <v>2566491.2000000002</v>
      </c>
      <c r="BB23" s="290"/>
      <c r="BC23" s="291">
        <f t="shared" si="58"/>
        <v>1.04</v>
      </c>
      <c r="BD23" s="279">
        <f t="shared" si="83"/>
        <v>4675973.1200000001</v>
      </c>
      <c r="BE23" s="280">
        <f>AY23*1.04</f>
        <v>2006822.2720000001</v>
      </c>
      <c r="BF23" s="289">
        <f t="shared" si="59"/>
        <v>1.04</v>
      </c>
      <c r="BG23" s="280">
        <f t="shared" si="92"/>
        <v>2669150.8480000002</v>
      </c>
      <c r="BH23" s="292">
        <f t="shared" si="60"/>
        <v>1.04</v>
      </c>
      <c r="BI23" s="350">
        <f t="shared" si="84"/>
        <v>4863012.0448000003</v>
      </c>
      <c r="BJ23" s="351">
        <f t="shared" si="71"/>
        <v>2087095.1628800002</v>
      </c>
      <c r="BK23" s="358">
        <f t="shared" si="61"/>
        <v>1.04</v>
      </c>
      <c r="BL23" s="351">
        <f>BI23-BJ23</f>
        <v>2775916.8819200001</v>
      </c>
      <c r="BM23" s="359">
        <f t="shared" si="62"/>
        <v>1.04</v>
      </c>
      <c r="BN23" s="350">
        <f t="shared" si="85"/>
        <v>5057532.5265920004</v>
      </c>
      <c r="BO23" s="351">
        <f t="shared" si="73"/>
        <v>2170578.9693952003</v>
      </c>
      <c r="BP23" s="358">
        <f t="shared" si="86"/>
        <v>1.04</v>
      </c>
      <c r="BQ23" s="351">
        <f>BN23-BO23</f>
        <v>2886953.5571968001</v>
      </c>
      <c r="BR23" s="359">
        <f t="shared" si="87"/>
        <v>1.04</v>
      </c>
    </row>
    <row r="24" spans="1:70" s="199" customFormat="1" ht="48.75" customHeight="1">
      <c r="A24" s="417" t="s">
        <v>155</v>
      </c>
      <c r="B24" s="191"/>
      <c r="C24" s="191"/>
      <c r="D24" s="191"/>
      <c r="E24" s="191"/>
      <c r="F24" s="191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3">
        <f>AV25</f>
        <v>358800</v>
      </c>
      <c r="AW24" s="192"/>
      <c r="AX24" s="176"/>
      <c r="AY24" s="176"/>
      <c r="AZ24" s="176"/>
      <c r="BA24" s="174">
        <f>BA25+BA26+BA27</f>
        <v>4500708.5491699995</v>
      </c>
      <c r="BB24" s="174"/>
      <c r="BC24" s="194"/>
      <c r="BD24" s="195"/>
      <c r="BE24" s="176"/>
      <c r="BF24" s="176"/>
      <c r="BG24" s="174">
        <f>BG25+BG26+BG27+BG28</f>
        <v>4000224.24</v>
      </c>
      <c r="BH24" s="194"/>
      <c r="BI24" s="195"/>
      <c r="BJ24" s="176"/>
      <c r="BK24" s="176"/>
      <c r="BL24" s="196">
        <f>BL25</f>
        <v>422257.2</v>
      </c>
      <c r="BM24" s="194"/>
      <c r="BN24" s="197"/>
      <c r="BO24" s="176"/>
      <c r="BP24" s="176"/>
      <c r="BQ24" s="198">
        <f>BQ25</f>
        <v>439992</v>
      </c>
      <c r="BR24" s="194"/>
    </row>
    <row r="25" spans="1:70" s="1" customFormat="1" ht="57" customHeight="1">
      <c r="A25" s="2" t="s">
        <v>69</v>
      </c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5">
        <v>358800</v>
      </c>
      <c r="AW25" s="4"/>
      <c r="AX25" s="6"/>
      <c r="AY25" s="6"/>
      <c r="AZ25" s="6"/>
      <c r="BA25" s="6">
        <f>358800+753029</f>
        <v>1111829</v>
      </c>
      <c r="BB25" s="122"/>
      <c r="BC25" s="123"/>
      <c r="BD25" s="124"/>
      <c r="BE25" s="122"/>
      <c r="BF25" s="122"/>
      <c r="BG25" s="200">
        <f>405237.24+364987</f>
        <v>770224.24</v>
      </c>
      <c r="BH25" s="123"/>
      <c r="BI25" s="124"/>
      <c r="BJ25" s="122"/>
      <c r="BK25" s="122"/>
      <c r="BL25" s="200">
        <v>422257.2</v>
      </c>
      <c r="BM25" s="125"/>
      <c r="BN25" s="126"/>
      <c r="BO25" s="122"/>
      <c r="BP25" s="122"/>
      <c r="BQ25" s="7">
        <v>439992</v>
      </c>
      <c r="BR25" s="125"/>
    </row>
    <row r="26" spans="1:70" ht="51.75" customHeight="1">
      <c r="A26" s="418" t="s">
        <v>70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2"/>
      <c r="AW26" s="201"/>
      <c r="AX26" s="190"/>
      <c r="AY26" s="190"/>
      <c r="AZ26" s="190"/>
      <c r="BA26" s="190">
        <f>(1202.585+1826.299999)*0.83*1000</f>
        <v>2513974.5491699995</v>
      </c>
      <c r="BB26" s="165"/>
      <c r="BC26" s="203"/>
      <c r="BD26" s="204"/>
      <c r="BE26" s="190"/>
      <c r="BF26" s="190"/>
      <c r="BG26" s="200">
        <f>590000+1960000</f>
        <v>2550000</v>
      </c>
      <c r="BH26" s="203"/>
      <c r="BI26" s="204"/>
      <c r="BJ26" s="190"/>
      <c r="BK26" s="190"/>
      <c r="BL26" s="190"/>
      <c r="BM26" s="203"/>
      <c r="BN26" s="205"/>
      <c r="BO26" s="190"/>
      <c r="BP26" s="190"/>
      <c r="BQ26" s="190"/>
      <c r="BR26" s="203"/>
    </row>
    <row r="27" spans="1:70" ht="49.5" customHeight="1">
      <c r="A27" s="206" t="s">
        <v>71</v>
      </c>
      <c r="B27" s="207"/>
      <c r="C27" s="207"/>
      <c r="D27" s="207"/>
      <c r="E27" s="207"/>
      <c r="F27" s="207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8"/>
      <c r="AV27" s="202"/>
      <c r="AW27" s="201"/>
      <c r="AX27" s="190"/>
      <c r="AY27" s="190"/>
      <c r="AZ27" s="190"/>
      <c r="BA27" s="190">
        <v>874905</v>
      </c>
      <c r="BB27" s="165"/>
      <c r="BC27" s="203"/>
      <c r="BD27" s="204"/>
      <c r="BE27" s="190"/>
      <c r="BF27" s="190"/>
      <c r="BG27" s="190"/>
      <c r="BH27" s="203"/>
      <c r="BI27" s="204"/>
      <c r="BJ27" s="190"/>
      <c r="BK27" s="190"/>
      <c r="BL27" s="190"/>
      <c r="BM27" s="203"/>
      <c r="BN27" s="205"/>
      <c r="BO27" s="190"/>
      <c r="BP27" s="190"/>
      <c r="BQ27" s="190"/>
      <c r="BR27" s="203"/>
    </row>
    <row r="28" spans="1:70" ht="45.75" customHeight="1">
      <c r="A28" s="209" t="s">
        <v>72</v>
      </c>
      <c r="B28" s="210"/>
      <c r="C28" s="210"/>
      <c r="D28" s="210"/>
      <c r="E28" s="210"/>
      <c r="F28" s="210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2"/>
      <c r="AV28" s="213"/>
      <c r="AW28" s="211"/>
      <c r="AX28" s="214"/>
      <c r="AY28" s="214"/>
      <c r="AZ28" s="214"/>
      <c r="BA28" s="214"/>
      <c r="BB28" s="166"/>
      <c r="BC28" s="215"/>
      <c r="BD28" s="216"/>
      <c r="BE28" s="214"/>
      <c r="BF28" s="214"/>
      <c r="BG28" s="217">
        <f>340000*2</f>
        <v>680000</v>
      </c>
      <c r="BH28" s="215"/>
      <c r="BI28" s="216"/>
      <c r="BJ28" s="214"/>
      <c r="BK28" s="214"/>
      <c r="BL28" s="214"/>
      <c r="BM28" s="215"/>
      <c r="BN28" s="218"/>
      <c r="BO28" s="214"/>
      <c r="BP28" s="214"/>
      <c r="BQ28" s="214"/>
      <c r="BR28" s="215"/>
    </row>
    <row r="29" spans="1:70" ht="84" customHeight="1">
      <c r="A29" s="219" t="s">
        <v>73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1"/>
      <c r="AR29" s="220"/>
      <c r="AS29" s="220"/>
      <c r="AT29" s="220"/>
      <c r="AU29" s="220"/>
      <c r="AV29" s="222">
        <f>AV13+AV24</f>
        <v>59420731.420000002</v>
      </c>
      <c r="AW29" s="223"/>
      <c r="AX29" s="224"/>
      <c r="AY29" s="224"/>
      <c r="AZ29" s="224"/>
      <c r="BA29" s="225">
        <f>BA13+BA24</f>
        <v>70145989.921969995</v>
      </c>
      <c r="BB29" s="225"/>
      <c r="BC29" s="226"/>
      <c r="BD29" s="227"/>
      <c r="BE29" s="224"/>
      <c r="BF29" s="224"/>
      <c r="BG29" s="225">
        <f>BG13+BG24</f>
        <v>80178239.083103359</v>
      </c>
      <c r="BH29" s="228">
        <f>BG29/BA29*100</f>
        <v>114.30195677941559</v>
      </c>
      <c r="BI29" s="227"/>
      <c r="BJ29" s="224"/>
      <c r="BK29" s="224"/>
      <c r="BL29" s="225">
        <f>BL13+BL24</f>
        <v>83085857.714907497</v>
      </c>
      <c r="BM29" s="228"/>
      <c r="BN29" s="224"/>
      <c r="BO29" s="224"/>
      <c r="BP29" s="224"/>
      <c r="BQ29" s="225">
        <f>BQ13+BQ24</f>
        <v>89410136.53550379</v>
      </c>
      <c r="BR29" s="228"/>
    </row>
    <row r="30" spans="1:70">
      <c r="A30" s="419"/>
    </row>
    <row r="32" spans="1:70" hidden="1">
      <c r="AV32" s="229">
        <f>AV19+AV26</f>
        <v>2913772.7199999997</v>
      </c>
    </row>
    <row r="33" spans="53:54">
      <c r="BA33" s="230"/>
      <c r="BB33" s="230"/>
    </row>
  </sheetData>
  <mergeCells count="19">
    <mergeCell ref="AX5:BC5"/>
    <mergeCell ref="A3:BR3"/>
    <mergeCell ref="BD5:BH5"/>
    <mergeCell ref="BI5:BM5"/>
    <mergeCell ref="BN5:BR5"/>
    <mergeCell ref="A5:A6"/>
    <mergeCell ref="D5:E5"/>
    <mergeCell ref="F5:H5"/>
    <mergeCell ref="I5:J5"/>
    <mergeCell ref="K5:L5"/>
    <mergeCell ref="M5:N5"/>
    <mergeCell ref="O5:P5"/>
    <mergeCell ref="Q5:U5"/>
    <mergeCell ref="V5:Y5"/>
    <mergeCell ref="AA5:AA6"/>
    <mergeCell ref="AB5:AF5"/>
    <mergeCell ref="AH5:AL5"/>
    <mergeCell ref="AN5:AR5"/>
    <mergeCell ref="AS5:AW5"/>
  </mergeCells>
  <pageMargins left="0.51181102362204722" right="0.47244094488188981" top="0.94488188976377963" bottom="0.55118110236220474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383" t="s">
        <v>74</v>
      </c>
      <c r="B1" s="383"/>
      <c r="C1" s="383"/>
      <c r="D1" s="383"/>
      <c r="E1" s="383"/>
      <c r="F1" s="383"/>
      <c r="G1" s="383"/>
      <c r="H1" s="383"/>
      <c r="I1" s="383"/>
    </row>
    <row r="2" spans="1:17">
      <c r="A2" s="384"/>
      <c r="B2" s="375" t="s">
        <v>13</v>
      </c>
      <c r="C2" s="386"/>
      <c r="D2" s="375" t="s">
        <v>15</v>
      </c>
      <c r="E2" s="386"/>
      <c r="F2" s="375" t="s">
        <v>75</v>
      </c>
      <c r="G2" s="376"/>
      <c r="H2" s="376"/>
      <c r="I2" s="377"/>
      <c r="J2" s="375" t="s">
        <v>76</v>
      </c>
      <c r="K2" s="376"/>
      <c r="L2" s="376"/>
      <c r="M2" s="377"/>
      <c r="N2" s="375" t="s">
        <v>77</v>
      </c>
      <c r="O2" s="376"/>
      <c r="P2" s="376"/>
      <c r="Q2" s="377"/>
    </row>
    <row r="3" spans="1:17" ht="45">
      <c r="A3" s="385"/>
      <c r="B3" s="8" t="s">
        <v>78</v>
      </c>
      <c r="C3" s="9" t="s">
        <v>79</v>
      </c>
      <c r="D3" s="8" t="s">
        <v>78</v>
      </c>
      <c r="E3" s="9" t="s">
        <v>79</v>
      </c>
      <c r="F3" s="8" t="s">
        <v>78</v>
      </c>
      <c r="G3" s="10" t="s">
        <v>79</v>
      </c>
      <c r="H3" s="10" t="s">
        <v>80</v>
      </c>
      <c r="I3" s="10" t="s">
        <v>81</v>
      </c>
      <c r="J3" s="8" t="s">
        <v>82</v>
      </c>
      <c r="K3" s="10" t="s">
        <v>83</v>
      </c>
      <c r="L3" s="10" t="s">
        <v>84</v>
      </c>
      <c r="M3" s="10" t="s">
        <v>85</v>
      </c>
      <c r="N3" s="8" t="s">
        <v>86</v>
      </c>
      <c r="O3" s="10" t="s">
        <v>87</v>
      </c>
      <c r="P3" s="10" t="s">
        <v>88</v>
      </c>
      <c r="Q3" s="10" t="s">
        <v>89</v>
      </c>
    </row>
    <row r="4" spans="1:17">
      <c r="A4" s="11" t="s">
        <v>90</v>
      </c>
      <c r="B4" s="12"/>
      <c r="C4" s="13"/>
      <c r="D4" s="12">
        <v>5527594</v>
      </c>
      <c r="E4" s="12">
        <v>4591830</v>
      </c>
      <c r="F4" s="12">
        <v>4185838</v>
      </c>
      <c r="G4" s="14">
        <v>4018569</v>
      </c>
      <c r="H4" s="14">
        <v>6705434.5800000001</v>
      </c>
      <c r="I4" s="15">
        <v>6705434.5800000001</v>
      </c>
      <c r="J4" s="12">
        <v>3691915</v>
      </c>
      <c r="K4" s="14">
        <v>3609011</v>
      </c>
      <c r="L4" s="14">
        <v>5605286.5800000001</v>
      </c>
      <c r="M4" s="14">
        <v>5605286.5800000001</v>
      </c>
      <c r="N4" s="12">
        <v>3408017</v>
      </c>
      <c r="O4" s="14">
        <v>3270491</v>
      </c>
      <c r="P4" s="14">
        <v>5251669.58</v>
      </c>
      <c r="Q4" s="14">
        <v>5251669.58</v>
      </c>
    </row>
    <row r="5" spans="1:17">
      <c r="A5" s="16" t="s">
        <v>91</v>
      </c>
      <c r="B5" s="12"/>
      <c r="C5" s="17"/>
      <c r="D5" s="12">
        <v>7808145</v>
      </c>
      <c r="E5" s="12">
        <v>6860657</v>
      </c>
      <c r="F5" s="18">
        <v>6358036</v>
      </c>
      <c r="G5" s="19">
        <v>6197280</v>
      </c>
      <c r="H5" s="19">
        <v>6681667.5800000001</v>
      </c>
      <c r="I5" s="20">
        <v>6681667.5800000001</v>
      </c>
      <c r="J5" s="18">
        <v>5783929</v>
      </c>
      <c r="K5" s="19">
        <v>5706725</v>
      </c>
      <c r="L5" s="19">
        <v>5571489.5800000001</v>
      </c>
      <c r="M5" s="19">
        <v>5571489.5800000001</v>
      </c>
      <c r="N5" s="18">
        <v>5444338</v>
      </c>
      <c r="O5" s="19">
        <v>5291845</v>
      </c>
      <c r="P5" s="19">
        <v>5223630.58</v>
      </c>
      <c r="Q5" s="19">
        <v>5223630.58</v>
      </c>
    </row>
    <row r="6" spans="1:17">
      <c r="A6" s="21" t="s">
        <v>92</v>
      </c>
      <c r="B6" s="12">
        <v>8489726</v>
      </c>
      <c r="C6" s="12">
        <v>8489726</v>
      </c>
      <c r="D6" s="12">
        <v>5250260</v>
      </c>
      <c r="E6" s="12">
        <v>4381930</v>
      </c>
      <c r="F6" s="18">
        <v>4048210</v>
      </c>
      <c r="G6" s="19">
        <v>3911494</v>
      </c>
      <c r="H6" s="19"/>
      <c r="I6" s="20"/>
      <c r="J6" s="18">
        <v>3570727</v>
      </c>
      <c r="K6" s="19">
        <v>3521186</v>
      </c>
      <c r="L6" s="19">
        <v>5330674.58</v>
      </c>
      <c r="M6" s="19">
        <v>5330674.58</v>
      </c>
      <c r="N6" s="18">
        <v>3342912</v>
      </c>
      <c r="O6" s="19">
        <v>3227365</v>
      </c>
      <c r="P6" s="19">
        <v>5021726.58</v>
      </c>
      <c r="Q6" s="19">
        <v>5021726.58</v>
      </c>
    </row>
    <row r="7" spans="1:17">
      <c r="A7" s="16" t="s">
        <v>93</v>
      </c>
      <c r="B7" s="18">
        <v>6962154</v>
      </c>
      <c r="C7" s="18">
        <v>6962154</v>
      </c>
      <c r="D7" s="18">
        <v>5482857</v>
      </c>
      <c r="E7" s="18">
        <v>4512633</v>
      </c>
      <c r="F7" s="18">
        <v>4090042</v>
      </c>
      <c r="G7" s="19">
        <v>3936136</v>
      </c>
      <c r="H7" s="19">
        <v>4925926</v>
      </c>
      <c r="I7" s="20">
        <f t="shared" ref="I7:I15" si="0">H7</f>
        <v>4925926</v>
      </c>
      <c r="J7" s="18">
        <v>3614673</v>
      </c>
      <c r="K7" s="19">
        <v>3542914</v>
      </c>
      <c r="L7" s="19">
        <v>5501084.5800000001</v>
      </c>
      <c r="M7" s="19">
        <v>5501084.5800000001</v>
      </c>
      <c r="N7" s="18">
        <v>3390448</v>
      </c>
      <c r="O7" s="19">
        <v>3244051</v>
      </c>
      <c r="P7" s="19">
        <v>5165199.58</v>
      </c>
      <c r="Q7" s="19">
        <v>5165199.58</v>
      </c>
    </row>
    <row r="8" spans="1:17">
      <c r="A8" s="21" t="s">
        <v>94</v>
      </c>
      <c r="B8" s="18">
        <v>6836109</v>
      </c>
      <c r="C8" s="18">
        <v>6836109</v>
      </c>
      <c r="D8" s="18"/>
      <c r="E8" s="18">
        <v>4422649</v>
      </c>
      <c r="F8" s="18">
        <v>4008834</v>
      </c>
      <c r="G8" s="19">
        <v>3872639</v>
      </c>
      <c r="H8" s="19">
        <v>5763303.5800000001</v>
      </c>
      <c r="I8" s="20">
        <f t="shared" si="0"/>
        <v>5763303.5800000001</v>
      </c>
      <c r="J8" s="18">
        <v>3555278</v>
      </c>
      <c r="K8" s="19">
        <v>3498713</v>
      </c>
      <c r="L8" s="19">
        <v>5399725.5800000001</v>
      </c>
      <c r="M8" s="19">
        <v>5399725.5800000001</v>
      </c>
      <c r="N8" s="18">
        <v>3364954</v>
      </c>
      <c r="O8" s="19">
        <v>3234889</v>
      </c>
      <c r="P8" s="19">
        <v>5080404.58</v>
      </c>
      <c r="Q8" s="19">
        <v>5080404.58</v>
      </c>
    </row>
    <row r="9" spans="1:17">
      <c r="A9" s="16" t="s">
        <v>95</v>
      </c>
      <c r="B9" s="18">
        <v>6941970</v>
      </c>
      <c r="C9" s="18">
        <v>6941970</v>
      </c>
      <c r="D9" s="18">
        <v>4541276</v>
      </c>
      <c r="E9" s="18">
        <v>4249268</v>
      </c>
      <c r="F9" s="18">
        <v>4005350</v>
      </c>
      <c r="G9" s="19">
        <v>3865782</v>
      </c>
      <c r="H9" s="19">
        <v>5809678.5800000001</v>
      </c>
      <c r="I9" s="20">
        <f t="shared" si="0"/>
        <v>5809678.5800000001</v>
      </c>
      <c r="J9" s="18">
        <v>3543648</v>
      </c>
      <c r="K9" s="19">
        <v>3484334</v>
      </c>
      <c r="L9" s="19">
        <v>5430666.5800000001</v>
      </c>
      <c r="M9" s="19">
        <v>5430666.5800000001</v>
      </c>
      <c r="N9" s="18">
        <v>3375232</v>
      </c>
      <c r="O9" s="19">
        <v>3238376</v>
      </c>
      <c r="P9" s="19">
        <v>5106771.58</v>
      </c>
      <c r="Q9" s="19">
        <v>5106771.58</v>
      </c>
    </row>
    <row r="10" spans="1:17">
      <c r="A10" s="21" t="s">
        <v>96</v>
      </c>
      <c r="B10" s="18">
        <v>6816327</v>
      </c>
      <c r="C10" s="18">
        <v>6816327</v>
      </c>
      <c r="D10" s="18">
        <v>4438963</v>
      </c>
      <c r="E10" s="18">
        <v>4179571</v>
      </c>
      <c r="F10" s="18">
        <v>3925826</v>
      </c>
      <c r="G10" s="19">
        <v>3804903</v>
      </c>
      <c r="H10" s="19">
        <v>5701087.5800000001</v>
      </c>
      <c r="I10" s="20">
        <f t="shared" si="0"/>
        <v>5701087.5800000001</v>
      </c>
      <c r="J10" s="18">
        <v>3485665</v>
      </c>
      <c r="K10" s="19">
        <v>3441480</v>
      </c>
      <c r="L10" s="19">
        <v>5330958.58</v>
      </c>
      <c r="M10" s="19">
        <v>5330958.58</v>
      </c>
      <c r="N10" s="18">
        <v>3350191</v>
      </c>
      <c r="O10" s="19">
        <v>3229393</v>
      </c>
      <c r="P10" s="19">
        <v>5023345.58</v>
      </c>
      <c r="Q10" s="19">
        <v>5023345.58</v>
      </c>
    </row>
    <row r="11" spans="1:17">
      <c r="A11" s="16" t="s">
        <v>97</v>
      </c>
      <c r="B11" s="18">
        <v>5270878</v>
      </c>
      <c r="C11" s="18">
        <v>5270878</v>
      </c>
      <c r="D11" s="18">
        <v>4442780</v>
      </c>
      <c r="E11" s="18">
        <v>4184842</v>
      </c>
      <c r="F11" s="18">
        <v>3918514</v>
      </c>
      <c r="G11" s="19">
        <v>3794095</v>
      </c>
      <c r="H11" s="19">
        <v>5744821.5800000001</v>
      </c>
      <c r="I11" s="20">
        <f t="shared" si="0"/>
        <v>5744821.5800000001</v>
      </c>
      <c r="J11" s="18">
        <v>3470824</v>
      </c>
      <c r="K11" s="19">
        <v>3424645</v>
      </c>
      <c r="L11" s="19">
        <v>5363855.58</v>
      </c>
      <c r="M11" s="19">
        <v>5363855.58</v>
      </c>
      <c r="N11" s="18">
        <v>3359939</v>
      </c>
      <c r="O11" s="19">
        <v>3232691</v>
      </c>
      <c r="P11" s="19">
        <v>5047290.58</v>
      </c>
      <c r="Q11" s="19">
        <v>5047290.58</v>
      </c>
    </row>
    <row r="12" spans="1:17">
      <c r="A12" s="21" t="s">
        <v>98</v>
      </c>
      <c r="B12" s="18">
        <v>5126566</v>
      </c>
      <c r="C12" s="18">
        <v>5126566</v>
      </c>
      <c r="D12" s="18">
        <v>4392928</v>
      </c>
      <c r="E12" s="18">
        <v>4152345</v>
      </c>
      <c r="F12" s="18">
        <v>3874494</v>
      </c>
      <c r="G12" s="19">
        <v>3757861</v>
      </c>
      <c r="H12" s="19">
        <v>8640296.5800000001</v>
      </c>
      <c r="I12" s="20">
        <f t="shared" si="0"/>
        <v>8640296.5800000001</v>
      </c>
      <c r="J12" s="18">
        <v>3438047</v>
      </c>
      <c r="K12" s="19">
        <v>3394434</v>
      </c>
      <c r="L12" s="19">
        <v>8166919.5800000001</v>
      </c>
      <c r="M12" s="19">
        <v>8166919.5800000001</v>
      </c>
      <c r="N12" s="18">
        <v>3352286</v>
      </c>
      <c r="O12" s="19">
        <v>3229848</v>
      </c>
      <c r="P12" s="19">
        <v>7753465.5800000001</v>
      </c>
      <c r="Q12" s="19">
        <v>7753465.5800000001</v>
      </c>
    </row>
    <row r="13" spans="1:17">
      <c r="A13" s="16" t="s">
        <v>99</v>
      </c>
      <c r="B13" s="18">
        <v>4542434</v>
      </c>
      <c r="C13" s="18">
        <v>4542434</v>
      </c>
      <c r="D13" s="18">
        <v>4293565</v>
      </c>
      <c r="E13" s="18">
        <v>4084877</v>
      </c>
      <c r="F13" s="18">
        <v>3797572</v>
      </c>
      <c r="G13" s="19">
        <v>3699463</v>
      </c>
      <c r="H13" s="19">
        <v>5631820.5800000001</v>
      </c>
      <c r="I13" s="20">
        <f t="shared" si="0"/>
        <v>5631820.5800000001</v>
      </c>
      <c r="J13" s="18">
        <v>3411135</v>
      </c>
      <c r="K13" s="19">
        <v>3353647</v>
      </c>
      <c r="L13" s="19">
        <v>5272990.58</v>
      </c>
      <c r="M13" s="19">
        <v>5272990.58</v>
      </c>
      <c r="N13" s="18">
        <v>3327929</v>
      </c>
      <c r="O13" s="19">
        <v>3221133</v>
      </c>
      <c r="P13" s="19">
        <v>4960196.58</v>
      </c>
      <c r="Q13" s="19">
        <v>4960196.58</v>
      </c>
    </row>
    <row r="14" spans="1:17">
      <c r="A14" s="21" t="s">
        <v>100</v>
      </c>
      <c r="B14" s="18">
        <v>4525388</v>
      </c>
      <c r="C14" s="18">
        <v>4525388</v>
      </c>
      <c r="D14" s="18">
        <v>4290677</v>
      </c>
      <c r="E14" s="18">
        <v>4086084</v>
      </c>
      <c r="F14" s="18">
        <v>3784345</v>
      </c>
      <c r="G14" s="19">
        <v>3684134</v>
      </c>
      <c r="H14" s="19">
        <v>5672613.5800000001</v>
      </c>
      <c r="I14" s="20">
        <f t="shared" si="0"/>
        <v>5672613.5800000001</v>
      </c>
      <c r="J14" s="18">
        <v>3423070</v>
      </c>
      <c r="K14" s="19">
        <v>3333043</v>
      </c>
      <c r="L14" s="19">
        <v>5307532.58</v>
      </c>
      <c r="M14" s="19">
        <v>5307532.58</v>
      </c>
      <c r="N14" s="18">
        <v>3336878</v>
      </c>
      <c r="O14" s="19">
        <v>3224149</v>
      </c>
      <c r="P14" s="19">
        <v>4981460.58</v>
      </c>
      <c r="Q14" s="19">
        <v>4981460.58</v>
      </c>
    </row>
    <row r="15" spans="1:17">
      <c r="A15" s="22" t="s">
        <v>101</v>
      </c>
      <c r="B15" s="23">
        <v>4500000</v>
      </c>
      <c r="C15" s="24"/>
      <c r="D15" s="23">
        <v>4193348</v>
      </c>
      <c r="E15" s="23">
        <v>4020139</v>
      </c>
      <c r="F15" s="23">
        <v>3709217</v>
      </c>
      <c r="G15" s="25">
        <v>3627431</v>
      </c>
      <c r="H15" s="25">
        <v>5567235.5800000001</v>
      </c>
      <c r="I15" s="20">
        <f t="shared" si="0"/>
        <v>5567235.5800000001</v>
      </c>
      <c r="J15" s="23">
        <v>3396604</v>
      </c>
      <c r="K15" s="25">
        <v>3293668</v>
      </c>
      <c r="L15" s="25">
        <v>5219401.58</v>
      </c>
      <c r="M15" s="25">
        <v>5219401.58</v>
      </c>
      <c r="N15" s="23">
        <v>3312980</v>
      </c>
      <c r="O15" s="25">
        <v>3215613</v>
      </c>
      <c r="P15" s="25">
        <v>4900971.58</v>
      </c>
      <c r="Q15" s="25">
        <v>4900971.58</v>
      </c>
    </row>
    <row r="16" spans="1:17">
      <c r="A16" s="26" t="s">
        <v>102</v>
      </c>
      <c r="B16" s="27">
        <f t="shared" ref="B16:C16" si="1">SUM(B4:B15)</f>
        <v>60011552</v>
      </c>
      <c r="C16" s="27">
        <f t="shared" si="1"/>
        <v>55511552</v>
      </c>
      <c r="D16" s="27">
        <f t="shared" ref="D16:E16" si="2">SUM(D4:D15)</f>
        <v>54662393</v>
      </c>
      <c r="E16" s="27">
        <f t="shared" si="2"/>
        <v>53726825</v>
      </c>
      <c r="F16" s="27">
        <f t="shared" ref="F16:G16" si="3">SUM(F4:F15)</f>
        <v>49706278</v>
      </c>
      <c r="G16" s="28">
        <f t="shared" si="3"/>
        <v>48169787</v>
      </c>
      <c r="H16" s="28">
        <f>SUM(H4:H15)</f>
        <v>66843885.79999999</v>
      </c>
      <c r="I16" s="29">
        <f>SUM(I4:I15)</f>
        <v>66843885.79999999</v>
      </c>
      <c r="J16" s="27">
        <f t="shared" ref="J16:K16" si="4">SUM(J4:J15)</f>
        <v>44385515</v>
      </c>
      <c r="K16" s="28">
        <f t="shared" si="4"/>
        <v>43603800</v>
      </c>
      <c r="L16" s="28">
        <f>SUM(L4:L15)</f>
        <v>67500585.959999993</v>
      </c>
      <c r="M16" s="29">
        <f>SUM(M4:M15)</f>
        <v>67500585.959999993</v>
      </c>
      <c r="N16" s="27">
        <f t="shared" ref="N16:O16" si="5">SUM(N4:N15)</f>
        <v>42366104</v>
      </c>
      <c r="O16" s="28">
        <f t="shared" si="5"/>
        <v>40859844</v>
      </c>
      <c r="P16" s="28">
        <f>SUM(P4:P15)</f>
        <v>63516132.959999986</v>
      </c>
      <c r="Q16" s="29">
        <f>SUM(Q4:Q15)</f>
        <v>63516132.959999986</v>
      </c>
    </row>
    <row r="17" spans="1:17">
      <c r="A17" s="30" t="s">
        <v>103</v>
      </c>
      <c r="B17" s="31">
        <f>B16/1.18</f>
        <v>50857247.457627118</v>
      </c>
      <c r="C17" s="31">
        <f>C16/1.18</f>
        <v>47043688.135593221</v>
      </c>
      <c r="D17" s="31">
        <f t="shared" ref="D17:E17" si="6">D16/1.2</f>
        <v>45551994.166666672</v>
      </c>
      <c r="E17" s="31">
        <f t="shared" si="6"/>
        <v>44772354.166666672</v>
      </c>
      <c r="F17" s="31">
        <f t="shared" ref="F17:G17" si="7">F16/1.2</f>
        <v>41421898.333333336</v>
      </c>
      <c r="G17" s="32">
        <f t="shared" si="7"/>
        <v>40141489.166666672</v>
      </c>
      <c r="H17" s="32">
        <f>H16/1.2</f>
        <v>55703238.166666657</v>
      </c>
      <c r="I17" s="33">
        <f>I16/1.2</f>
        <v>55703238.166666657</v>
      </c>
      <c r="J17" s="31">
        <f t="shared" ref="J17:K17" si="8">J16/1.2</f>
        <v>36987929.166666672</v>
      </c>
      <c r="K17" s="32">
        <f t="shared" si="8"/>
        <v>36336500</v>
      </c>
      <c r="L17" s="32">
        <f>L16/1.2</f>
        <v>56250488.299999997</v>
      </c>
      <c r="M17" s="33">
        <f>M16/1.2</f>
        <v>56250488.299999997</v>
      </c>
      <c r="N17" s="31">
        <f t="shared" ref="N17:O17" si="9">N16/1.2</f>
        <v>35305086.666666672</v>
      </c>
      <c r="O17" s="32">
        <f t="shared" si="9"/>
        <v>34049870</v>
      </c>
      <c r="P17" s="32">
        <f>P16/1.2</f>
        <v>52930110.79999999</v>
      </c>
      <c r="Q17" s="33">
        <f>Q16/1.2</f>
        <v>52930110.79999999</v>
      </c>
    </row>
    <row r="18" spans="1:17" ht="32.25" customHeight="1">
      <c r="A18" s="34" t="s">
        <v>104</v>
      </c>
      <c r="B18" s="378">
        <f>B17+C17</f>
        <v>97900935.593220338</v>
      </c>
      <c r="C18" s="379"/>
      <c r="D18" s="378">
        <f>D17+E17</f>
        <v>90324348.333333343</v>
      </c>
      <c r="E18" s="379"/>
      <c r="F18" s="380">
        <f>SUM(F17:I17)</f>
        <v>192969863.83333331</v>
      </c>
      <c r="G18" s="381"/>
      <c r="H18" s="381"/>
      <c r="I18" s="382"/>
      <c r="J18" s="380">
        <f>SUM(J17:M17)</f>
        <v>185825405.76666665</v>
      </c>
      <c r="K18" s="381"/>
      <c r="L18" s="381"/>
      <c r="M18" s="382"/>
      <c r="N18" s="380">
        <f>SUM(N17:Q17)</f>
        <v>175215178.26666665</v>
      </c>
      <c r="O18" s="381"/>
      <c r="P18" s="381"/>
      <c r="Q18" s="382"/>
    </row>
    <row r="19" spans="1:17">
      <c r="C19" s="35"/>
    </row>
    <row r="21" spans="1:17">
      <c r="B21" s="35"/>
    </row>
    <row r="27" spans="1:17">
      <c r="F27" t="s">
        <v>105</v>
      </c>
    </row>
  </sheetData>
  <mergeCells count="12">
    <mergeCell ref="A1:I1"/>
    <mergeCell ref="A2:A3"/>
    <mergeCell ref="B2:C2"/>
    <mergeCell ref="D2:E2"/>
    <mergeCell ref="F2:I2"/>
    <mergeCell ref="J2:M2"/>
    <mergeCell ref="N2:Q2"/>
    <mergeCell ref="B18:C18"/>
    <mergeCell ref="D18:E18"/>
    <mergeCell ref="F18:I18"/>
    <mergeCell ref="J18:M18"/>
    <mergeCell ref="N18:Q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36" bestFit="1" customWidth="1"/>
    <col min="13" max="13" width="13.5703125" style="36" bestFit="1" customWidth="1"/>
    <col min="14" max="14" width="15.5703125" style="36" bestFit="1" customWidth="1"/>
    <col min="15" max="15" width="17" style="36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397" t="s">
        <v>106</v>
      </c>
      <c r="B1" s="397"/>
      <c r="C1" s="397"/>
      <c r="D1" s="397"/>
      <c r="E1" s="397"/>
      <c r="F1" s="397"/>
      <c r="G1" s="397"/>
      <c r="H1" s="397"/>
      <c r="I1" s="397"/>
      <c r="K1" s="398" t="s">
        <v>107</v>
      </c>
      <c r="L1" s="398"/>
      <c r="M1" s="398"/>
      <c r="N1" s="398"/>
      <c r="O1" s="398"/>
      <c r="P1" s="398"/>
    </row>
    <row r="2" spans="1:23" s="37" customFormat="1" ht="17.25" customHeight="1">
      <c r="A2" s="399"/>
      <c r="B2" s="402" t="s">
        <v>108</v>
      </c>
      <c r="C2" s="403"/>
      <c r="D2" s="403"/>
      <c r="E2" s="403"/>
      <c r="F2" s="403"/>
      <c r="G2" s="403"/>
      <c r="H2" s="403"/>
      <c r="I2" s="404"/>
      <c r="K2" s="405"/>
      <c r="L2" s="407" t="s">
        <v>109</v>
      </c>
      <c r="M2" s="407" t="s">
        <v>110</v>
      </c>
      <c r="N2" s="409" t="s">
        <v>111</v>
      </c>
      <c r="O2" s="410"/>
      <c r="P2" s="38" t="s">
        <v>102</v>
      </c>
    </row>
    <row r="3" spans="1:23" s="37" customFormat="1" ht="14.25" customHeight="1">
      <c r="A3" s="400"/>
      <c r="C3" s="39"/>
      <c r="D3" s="411" t="s">
        <v>112</v>
      </c>
      <c r="E3" s="412"/>
      <c r="G3" s="40"/>
      <c r="H3" s="413" t="s">
        <v>113</v>
      </c>
      <c r="I3" s="414"/>
      <c r="K3" s="406"/>
      <c r="L3" s="408"/>
      <c r="M3" s="408"/>
      <c r="N3" s="41" t="s">
        <v>113</v>
      </c>
      <c r="O3" s="41" t="s">
        <v>114</v>
      </c>
      <c r="P3" s="42"/>
    </row>
    <row r="4" spans="1:23" s="37" customFormat="1" ht="43.5" customHeight="1">
      <c r="A4" s="401"/>
      <c r="B4" s="43" t="s">
        <v>115</v>
      </c>
      <c r="C4" s="44" t="s">
        <v>116</v>
      </c>
      <c r="D4" s="45" t="s">
        <v>117</v>
      </c>
      <c r="E4" s="46" t="s">
        <v>118</v>
      </c>
      <c r="F4" s="47" t="s">
        <v>115</v>
      </c>
      <c r="G4" s="48" t="s">
        <v>116</v>
      </c>
      <c r="H4" s="8" t="s">
        <v>117</v>
      </c>
      <c r="I4" s="49" t="s">
        <v>118</v>
      </c>
      <c r="K4" s="50" t="s">
        <v>119</v>
      </c>
      <c r="L4" s="51">
        <f>L8*1.6</f>
        <v>270.40000000000003</v>
      </c>
      <c r="M4" s="51">
        <v>301.10000000000002</v>
      </c>
      <c r="N4" s="51">
        <f>(2567.1-O4-M4)*1.1</f>
        <v>1898.71</v>
      </c>
      <c r="O4" s="51">
        <f>210.6+243.3+33.5+52.5</f>
        <v>539.9</v>
      </c>
      <c r="P4" s="52"/>
    </row>
    <row r="5" spans="1:23" s="37" customFormat="1" ht="15.75">
      <c r="A5" s="53" t="s">
        <v>120</v>
      </c>
      <c r="B5" s="54">
        <v>8976699.6984082852</v>
      </c>
      <c r="C5" s="55"/>
      <c r="D5" s="54">
        <v>40708.810024072765</v>
      </c>
      <c r="E5" s="56">
        <f>D5*U16*T16</f>
        <v>44325.787794711629</v>
      </c>
      <c r="F5" s="54">
        <v>49190613.190936193</v>
      </c>
      <c r="G5" s="57"/>
      <c r="H5" s="54">
        <v>29410.548677729334</v>
      </c>
      <c r="I5" s="56">
        <f>H5*U16*T16</f>
        <v>32023.675927745582</v>
      </c>
      <c r="K5" s="58" t="s">
        <v>121</v>
      </c>
      <c r="L5" s="59">
        <f>E26*L4</f>
        <v>70682618.70526363</v>
      </c>
      <c r="M5" s="59">
        <f>M4*E26</f>
        <v>78707605.370395258</v>
      </c>
      <c r="N5" s="59">
        <f>I26*N4</f>
        <v>152688670.31058294</v>
      </c>
      <c r="O5" s="59">
        <f>O4*E26</f>
        <v>141129977.2151325</v>
      </c>
      <c r="P5" s="60">
        <f>L5+M5+N5+O5</f>
        <v>443208871.60137427</v>
      </c>
    </row>
    <row r="6" spans="1:23" s="37" customFormat="1" ht="15" customHeight="1">
      <c r="A6" s="61" t="s">
        <v>122</v>
      </c>
      <c r="B6" s="62">
        <v>3119462.7771668993</v>
      </c>
      <c r="C6" s="63"/>
      <c r="D6" s="62">
        <v>14146.581910874334</v>
      </c>
      <c r="E6" s="64">
        <f>D6*T16*U16</f>
        <v>15403.505713655519</v>
      </c>
      <c r="F6" s="62">
        <v>17350310.768736202</v>
      </c>
      <c r="G6" s="65"/>
      <c r="H6" s="62">
        <v>10373.567767024126</v>
      </c>
      <c r="I6" s="64">
        <f>H6*U16*T16</f>
        <v>11295.259263124219</v>
      </c>
      <c r="K6" s="58" t="s">
        <v>123</v>
      </c>
      <c r="L6" s="66">
        <v>28</v>
      </c>
      <c r="M6" s="66"/>
      <c r="N6" s="66"/>
      <c r="O6" s="66"/>
      <c r="P6" s="67"/>
    </row>
    <row r="7" spans="1:23" s="37" customFormat="1" ht="15.75">
      <c r="A7" s="61" t="s">
        <v>124</v>
      </c>
      <c r="B7" s="62">
        <v>95784.316229978445</v>
      </c>
      <c r="C7" s="63"/>
      <c r="D7" s="62">
        <v>434.37629236759534</v>
      </c>
      <c r="E7" s="64">
        <f>D7</f>
        <v>434.37629236759534</v>
      </c>
      <c r="F7" s="62">
        <v>472628.74838074559</v>
      </c>
      <c r="G7" s="65"/>
      <c r="H7" s="62">
        <v>282.57974253729071</v>
      </c>
      <c r="I7" s="64">
        <f>H7</f>
        <v>282.57974253729071</v>
      </c>
      <c r="K7" s="58" t="s">
        <v>125</v>
      </c>
      <c r="L7" s="66">
        <f>7500*1.037</f>
        <v>7777.4999999999991</v>
      </c>
      <c r="M7" s="66"/>
      <c r="N7" s="66"/>
      <c r="O7" s="66"/>
      <c r="P7" s="67"/>
    </row>
    <row r="8" spans="1:23" s="37" customFormat="1" ht="30">
      <c r="A8" s="61" t="s">
        <v>126</v>
      </c>
      <c r="B8" s="62">
        <v>3425187.2900346247</v>
      </c>
      <c r="C8" s="63"/>
      <c r="D8" s="62">
        <v>15533.024760938846</v>
      </c>
      <c r="E8" s="64">
        <f>E10+E12+E14</f>
        <v>16816.487530885701</v>
      </c>
      <c r="F8" s="62">
        <v>30759500.195529565</v>
      </c>
      <c r="G8" s="65"/>
      <c r="H8" s="62">
        <v>18390.780661582354</v>
      </c>
      <c r="I8" s="64">
        <f>I10+I12+I14+I15+I16+I17</f>
        <v>19910.374086087581</v>
      </c>
      <c r="K8" s="68" t="s">
        <v>127</v>
      </c>
      <c r="L8" s="66">
        <v>169</v>
      </c>
      <c r="M8" s="66"/>
      <c r="N8" s="66"/>
      <c r="O8" s="66"/>
      <c r="P8" s="67"/>
    </row>
    <row r="9" spans="1:23" s="37" customFormat="1" ht="15.75">
      <c r="A9" s="69" t="s">
        <v>128</v>
      </c>
      <c r="B9" s="62"/>
      <c r="C9" s="63"/>
      <c r="D9" s="62"/>
      <c r="E9" s="64"/>
      <c r="F9" s="62"/>
      <c r="G9" s="65"/>
      <c r="H9" s="62"/>
      <c r="I9" s="64"/>
      <c r="K9" s="58" t="s">
        <v>129</v>
      </c>
      <c r="L9" s="59">
        <f>L6*L7*L8</f>
        <v>36803129.999999993</v>
      </c>
      <c r="M9" s="59" t="e">
        <f>#REF!*1000</f>
        <v>#REF!</v>
      </c>
      <c r="N9" s="389">
        <v>68322.31</v>
      </c>
      <c r="O9" s="390"/>
      <c r="P9" s="60" t="e">
        <f>#REF!*1000</f>
        <v>#REF!</v>
      </c>
    </row>
    <row r="10" spans="1:23" s="37" customFormat="1">
      <c r="A10" s="70" t="s">
        <v>130</v>
      </c>
      <c r="B10" s="71">
        <v>2980511.7638669768</v>
      </c>
      <c r="C10" s="72"/>
      <c r="D10" s="73">
        <v>13516.447162790699</v>
      </c>
      <c r="E10" s="74">
        <f>D10*U17*T17</f>
        <v>14633.284158957767</v>
      </c>
      <c r="F10" s="71">
        <v>24392221.669475846</v>
      </c>
      <c r="G10" s="72"/>
      <c r="H10" s="73">
        <v>14583.852004110997</v>
      </c>
      <c r="I10" s="74">
        <f>H10*U17*T17</f>
        <v>15788.88652750668</v>
      </c>
      <c r="K10" s="75" t="s">
        <v>131</v>
      </c>
      <c r="L10" s="76">
        <f>L5-L9</f>
        <v>33879488.705263637</v>
      </c>
      <c r="M10" s="76" t="e">
        <f>M5-M9</f>
        <v>#REF!</v>
      </c>
      <c r="N10" s="391">
        <f>N5+O5-N9</f>
        <v>293750325.21571547</v>
      </c>
      <c r="O10" s="392"/>
      <c r="P10" s="77" t="e">
        <f>#REF!*1000</f>
        <v>#REF!</v>
      </c>
    </row>
    <row r="11" spans="1:23" s="37" customFormat="1">
      <c r="A11" s="70" t="s">
        <v>132</v>
      </c>
      <c r="B11" s="71">
        <v>0</v>
      </c>
      <c r="C11" s="72"/>
      <c r="D11" s="73">
        <v>0</v>
      </c>
      <c r="E11" s="74"/>
      <c r="F11" s="71">
        <v>0</v>
      </c>
      <c r="G11" s="72"/>
      <c r="H11" s="73"/>
      <c r="I11" s="74"/>
    </row>
    <row r="12" spans="1:23" s="37" customFormat="1">
      <c r="A12" s="70" t="s">
        <v>133</v>
      </c>
      <c r="B12" s="71">
        <v>81423.762214159447</v>
      </c>
      <c r="C12" s="72"/>
      <c r="D12" s="73">
        <v>369.25201675279783</v>
      </c>
      <c r="E12" s="74">
        <f>D12*U17*T17</f>
        <v>399.762572393048</v>
      </c>
      <c r="F12" s="71">
        <v>539702.34816745401</v>
      </c>
      <c r="G12" s="72"/>
      <c r="H12" s="73">
        <v>322.68234023942722</v>
      </c>
      <c r="I12" s="74">
        <f>H12*U17*T17</f>
        <v>349.3449366487306</v>
      </c>
      <c r="K12" s="383" t="s">
        <v>74</v>
      </c>
      <c r="L12" s="383"/>
      <c r="M12" s="383"/>
      <c r="N12" s="383"/>
      <c r="O12" s="383"/>
      <c r="P12" s="383"/>
    </row>
    <row r="13" spans="1:23" s="37" customFormat="1" ht="45">
      <c r="A13" s="70" t="s">
        <v>134</v>
      </c>
      <c r="B13" s="71"/>
      <c r="C13" s="72"/>
      <c r="D13" s="73"/>
      <c r="E13" s="74"/>
      <c r="F13" s="71">
        <v>0</v>
      </c>
      <c r="G13" s="72"/>
      <c r="H13" s="73"/>
      <c r="I13" s="74"/>
      <c r="K13" s="78"/>
      <c r="L13" s="79" t="s">
        <v>78</v>
      </c>
      <c r="M13" s="79" t="s">
        <v>79</v>
      </c>
      <c r="N13" s="79" t="s">
        <v>135</v>
      </c>
      <c r="O13" s="79" t="s">
        <v>135</v>
      </c>
      <c r="P13" s="80" t="s">
        <v>136</v>
      </c>
    </row>
    <row r="14" spans="1:23" s="37" customFormat="1" ht="24">
      <c r="A14" s="70" t="s">
        <v>137</v>
      </c>
      <c r="B14" s="71">
        <v>363251.76395348838</v>
      </c>
      <c r="C14" s="72"/>
      <c r="D14" s="73">
        <v>1647.325581395349</v>
      </c>
      <c r="E14" s="74">
        <f>D14*U17*T17</f>
        <v>1783.4407995348838</v>
      </c>
      <c r="F14" s="71">
        <v>2558098.471976704</v>
      </c>
      <c r="G14" s="72"/>
      <c r="H14" s="73">
        <v>1529.4600890715997</v>
      </c>
      <c r="I14" s="74">
        <f>H14*U17*T17</f>
        <v>1655.8363173114076</v>
      </c>
      <c r="K14" s="81" t="s">
        <v>90</v>
      </c>
      <c r="L14" s="82">
        <v>4185838</v>
      </c>
      <c r="M14" s="82">
        <v>4018569</v>
      </c>
      <c r="N14" s="82">
        <v>6705434.5800000001</v>
      </c>
      <c r="O14" s="82">
        <v>6705434.5800000001</v>
      </c>
      <c r="P14" s="83"/>
    </row>
    <row r="15" spans="1:23" s="37" customFormat="1">
      <c r="A15" s="84" t="s">
        <v>138</v>
      </c>
      <c r="B15" s="71"/>
      <c r="C15" s="72"/>
      <c r="D15" s="73"/>
      <c r="E15" s="74"/>
      <c r="F15" s="71">
        <v>3147941.9375128467</v>
      </c>
      <c r="G15" s="72"/>
      <c r="H15" s="73">
        <v>1882.1212744090442</v>
      </c>
      <c r="I15" s="74">
        <f>H15*U17*T17</f>
        <v>2037.6371910709147</v>
      </c>
      <c r="K15" s="85" t="s">
        <v>91</v>
      </c>
      <c r="L15" s="19">
        <v>6358036</v>
      </c>
      <c r="M15" s="19">
        <v>6197280</v>
      </c>
      <c r="N15" s="19">
        <v>6681667.5800000001</v>
      </c>
      <c r="O15" s="19">
        <v>6681667.5800000001</v>
      </c>
      <c r="P15" s="86"/>
      <c r="S15" s="87"/>
      <c r="T15" s="88">
        <v>2019</v>
      </c>
      <c r="U15" s="88">
        <v>2020</v>
      </c>
      <c r="V15" s="88">
        <v>2021</v>
      </c>
      <c r="W15" s="88">
        <v>2022</v>
      </c>
    </row>
    <row r="16" spans="1:23" s="37" customFormat="1" ht="24">
      <c r="A16" s="70" t="s">
        <v>139</v>
      </c>
      <c r="B16" s="71"/>
      <c r="C16" s="72"/>
      <c r="D16" s="73"/>
      <c r="E16" s="74"/>
      <c r="F16" s="71">
        <v>7263.1873244261724</v>
      </c>
      <c r="G16" s="72"/>
      <c r="H16" s="73">
        <v>4.3425830763960258</v>
      </c>
      <c r="I16" s="74">
        <f>H16*U17*T17</f>
        <v>4.701402030832476</v>
      </c>
      <c r="K16" s="89" t="s">
        <v>92</v>
      </c>
      <c r="L16" s="19">
        <v>4048210</v>
      </c>
      <c r="M16" s="19">
        <v>3911494</v>
      </c>
      <c r="N16" s="19"/>
      <c r="O16" s="19"/>
      <c r="P16" s="86"/>
      <c r="S16" s="90" t="s">
        <v>140</v>
      </c>
      <c r="T16" s="90">
        <v>1.05</v>
      </c>
      <c r="U16" s="90">
        <v>1.0369999999999999</v>
      </c>
      <c r="V16" s="87">
        <v>1.04</v>
      </c>
      <c r="W16" s="90">
        <v>1.04</v>
      </c>
    </row>
    <row r="17" spans="1:23" s="37" customFormat="1">
      <c r="A17" s="70" t="s">
        <v>141</v>
      </c>
      <c r="B17" s="71"/>
      <c r="C17" s="72"/>
      <c r="D17" s="73"/>
      <c r="E17" s="74"/>
      <c r="F17" s="71">
        <v>114272.58107228501</v>
      </c>
      <c r="G17" s="72"/>
      <c r="H17" s="73">
        <v>68.32237067488866</v>
      </c>
      <c r="I17" s="74">
        <f>H17*U17*T17</f>
        <v>73.967711519013349</v>
      </c>
      <c r="K17" s="85" t="s">
        <v>93</v>
      </c>
      <c r="L17" s="19">
        <v>4090042</v>
      </c>
      <c r="M17" s="19">
        <v>3936136</v>
      </c>
      <c r="N17" s="91">
        <v>4925926</v>
      </c>
      <c r="O17" s="91">
        <v>4925926</v>
      </c>
      <c r="P17" s="86"/>
      <c r="S17" s="92" t="s">
        <v>142</v>
      </c>
      <c r="T17" s="93">
        <v>1.044</v>
      </c>
      <c r="U17" s="93">
        <v>1.0369999999999999</v>
      </c>
      <c r="V17" s="87">
        <v>1.038</v>
      </c>
      <c r="W17" s="94">
        <v>1.04</v>
      </c>
    </row>
    <row r="18" spans="1:23" s="37" customFormat="1" ht="15" customHeight="1">
      <c r="A18" s="95" t="s">
        <v>143</v>
      </c>
      <c r="B18" s="62">
        <v>51794066.893672287</v>
      </c>
      <c r="C18" s="63"/>
      <c r="D18" s="62">
        <v>234883.07511528861</v>
      </c>
      <c r="E18" s="64">
        <f>E20+E21+E23+E24+E25</f>
        <v>184420.05977364443</v>
      </c>
      <c r="F18" s="62">
        <v>26820319.815585203</v>
      </c>
      <c r="G18" s="63"/>
      <c r="H18" s="62">
        <v>16035.586269818663</v>
      </c>
      <c r="I18" s="64">
        <f>I20+I21+I23+I24+I25</f>
        <v>16905.167987938232</v>
      </c>
      <c r="K18" s="89" t="s">
        <v>94</v>
      </c>
      <c r="L18" s="19">
        <v>4008834</v>
      </c>
      <c r="M18" s="19">
        <v>3872639</v>
      </c>
      <c r="N18" s="19">
        <v>5763303.5800000001</v>
      </c>
      <c r="O18" s="19">
        <v>5763303.5800000001</v>
      </c>
      <c r="P18" s="86"/>
      <c r="S18" s="92" t="s">
        <v>144</v>
      </c>
      <c r="T18" s="93">
        <v>1.0009999999999999</v>
      </c>
      <c r="U18" s="93">
        <v>0.99099999999999999</v>
      </c>
      <c r="V18" s="87">
        <v>1.014</v>
      </c>
      <c r="W18" s="96">
        <v>1.0169999999999999</v>
      </c>
    </row>
    <row r="19" spans="1:23" s="37" customFormat="1">
      <c r="A19" s="69" t="s">
        <v>128</v>
      </c>
      <c r="B19" s="73"/>
      <c r="C19" s="97"/>
      <c r="D19" s="73"/>
      <c r="E19" s="74"/>
      <c r="F19" s="73"/>
      <c r="G19" s="97"/>
      <c r="H19" s="73"/>
      <c r="I19" s="74"/>
      <c r="K19" s="85" t="s">
        <v>95</v>
      </c>
      <c r="L19" s="19">
        <v>4005350</v>
      </c>
      <c r="M19" s="19">
        <v>3865782</v>
      </c>
      <c r="N19" s="19">
        <v>5809678.5800000001</v>
      </c>
      <c r="O19" s="19">
        <v>5809678.5800000001</v>
      </c>
      <c r="P19" s="86"/>
    </row>
    <row r="20" spans="1:23" s="37" customFormat="1" ht="33" customHeight="1">
      <c r="A20" s="70" t="s">
        <v>145</v>
      </c>
      <c r="B20" s="71">
        <v>232636</v>
      </c>
      <c r="C20" s="72"/>
      <c r="D20" s="73">
        <v>1054.9907033694617</v>
      </c>
      <c r="E20" s="74">
        <f>D20*U16*T16</f>
        <v>1148.7266273638384</v>
      </c>
      <c r="F20" s="71">
        <v>215646</v>
      </c>
      <c r="G20" s="72"/>
      <c r="H20" s="73">
        <v>128.93246838659533</v>
      </c>
      <c r="I20" s="74">
        <f>H20*U16*T16</f>
        <v>140.38811820274432</v>
      </c>
      <c r="K20" s="89" t="s">
        <v>96</v>
      </c>
      <c r="L20" s="19">
        <v>3925826</v>
      </c>
      <c r="M20" s="19">
        <v>3804903</v>
      </c>
      <c r="N20" s="19">
        <v>5701087.5800000001</v>
      </c>
      <c r="O20" s="19">
        <v>5701087.5800000001</v>
      </c>
      <c r="P20" s="86"/>
    </row>
    <row r="21" spans="1:23" s="37" customFormat="1" ht="21.75" customHeight="1">
      <c r="A21" s="70" t="s">
        <v>146</v>
      </c>
      <c r="B21" s="71">
        <v>3206083.15</v>
      </c>
      <c r="C21" s="72"/>
      <c r="D21" s="73">
        <v>14539.400253956737</v>
      </c>
      <c r="E21" s="74">
        <f>D21*U16*T16</f>
        <v>15831.225966520791</v>
      </c>
      <c r="F21" s="71">
        <v>8833879.6999999993</v>
      </c>
      <c r="G21" s="72"/>
      <c r="H21" s="73">
        <v>5281.6834773250421</v>
      </c>
      <c r="I21" s="74">
        <f>H21*U16*T16</f>
        <v>5750.9610542853716</v>
      </c>
      <c r="K21" s="85" t="s">
        <v>97</v>
      </c>
      <c r="L21" s="19">
        <v>3918514</v>
      </c>
      <c r="M21" s="19">
        <v>3794095</v>
      </c>
      <c r="N21" s="19">
        <v>5744821.5800000001</v>
      </c>
      <c r="O21" s="19">
        <v>5744821.5800000001</v>
      </c>
      <c r="P21" s="86"/>
    </row>
    <row r="22" spans="1:23" s="37" customFormat="1" ht="15" customHeight="1">
      <c r="A22" s="70" t="s">
        <v>147</v>
      </c>
      <c r="B22" s="71"/>
      <c r="C22" s="72"/>
      <c r="D22" s="73"/>
      <c r="E22" s="74"/>
      <c r="F22" s="71">
        <v>309135</v>
      </c>
      <c r="G22" s="72"/>
      <c r="H22" s="73">
        <v>184.82855520014351</v>
      </c>
      <c r="I22" s="74">
        <f>H22*U16*T16</f>
        <v>201.25057232967626</v>
      </c>
      <c r="K22" s="89" t="s">
        <v>98</v>
      </c>
      <c r="L22" s="19">
        <v>3874494</v>
      </c>
      <c r="M22" s="19">
        <v>3757861</v>
      </c>
      <c r="N22" s="19">
        <v>8640296.5800000001</v>
      </c>
      <c r="O22" s="19">
        <v>8640296.5800000001</v>
      </c>
      <c r="P22" s="86"/>
    </row>
    <row r="23" spans="1:23" s="37" customFormat="1">
      <c r="A23" s="70" t="s">
        <v>148</v>
      </c>
      <c r="B23" s="71">
        <v>64983.784186046512</v>
      </c>
      <c r="C23" s="72"/>
      <c r="D23" s="73">
        <v>294.69767441860466</v>
      </c>
      <c r="E23" s="74">
        <f>D23*U16*T16</f>
        <v>320.88156279069767</v>
      </c>
      <c r="F23" s="71">
        <v>245086.16022610481</v>
      </c>
      <c r="G23" s="72"/>
      <c r="H23" s="73">
        <v>146.5344295991778</v>
      </c>
      <c r="I23" s="74">
        <f>H23*U16*T16</f>
        <v>159.55401366906474</v>
      </c>
      <c r="K23" s="85" t="s">
        <v>99</v>
      </c>
      <c r="L23" s="19">
        <v>3797572</v>
      </c>
      <c r="M23" s="19">
        <v>3699463</v>
      </c>
      <c r="N23" s="19">
        <v>5631820.5800000001</v>
      </c>
      <c r="O23" s="19">
        <v>5631820.5800000001</v>
      </c>
      <c r="P23" s="86"/>
    </row>
    <row r="24" spans="1:23" s="37" customFormat="1" ht="46.5" customHeight="1">
      <c r="A24" s="70" t="s">
        <v>149</v>
      </c>
      <c r="B24" s="71">
        <v>45363118.741000004</v>
      </c>
      <c r="C24" s="72"/>
      <c r="D24" s="98">
        <v>205719.10000000003</v>
      </c>
      <c r="E24" s="99">
        <f>P30</f>
        <v>156264.96081518804</v>
      </c>
      <c r="F24" s="71">
        <v>0</v>
      </c>
      <c r="G24" s="72"/>
      <c r="H24" s="100"/>
      <c r="I24" s="101"/>
      <c r="K24" s="89" t="s">
        <v>100</v>
      </c>
      <c r="L24" s="19">
        <v>3784345</v>
      </c>
      <c r="M24" s="19">
        <v>3684134</v>
      </c>
      <c r="N24" s="19">
        <v>5672613.5800000001</v>
      </c>
      <c r="O24" s="19">
        <v>5672613.5800000001</v>
      </c>
      <c r="P24" s="86"/>
    </row>
    <row r="25" spans="1:23" s="37" customFormat="1" ht="24">
      <c r="A25" s="102" t="s">
        <v>150</v>
      </c>
      <c r="B25" s="71">
        <v>2198166.8103418658</v>
      </c>
      <c r="C25" s="72"/>
      <c r="D25" s="73">
        <v>9968.5583889250647</v>
      </c>
      <c r="E25" s="74">
        <f>D25*U16*T16</f>
        <v>10854.264801781057</v>
      </c>
      <c r="F25" s="71">
        <v>16672912.333396608</v>
      </c>
      <c r="G25" s="72"/>
      <c r="H25" s="73">
        <v>9968.5583889250593</v>
      </c>
      <c r="I25" s="74">
        <f>H25*U16*T16</f>
        <v>10854.264801781052</v>
      </c>
      <c r="K25" s="85" t="s">
        <v>101</v>
      </c>
      <c r="L25" s="19">
        <v>3709217</v>
      </c>
      <c r="M25" s="19">
        <v>3627431</v>
      </c>
      <c r="N25" s="19">
        <v>5567235.5800000001</v>
      </c>
      <c r="O25" s="19">
        <v>5567235.5800000001</v>
      </c>
      <c r="P25" s="86"/>
    </row>
    <row r="26" spans="1:23" s="37" customFormat="1">
      <c r="A26" s="103" t="s">
        <v>151</v>
      </c>
      <c r="B26" s="104">
        <v>67411200.975512072</v>
      </c>
      <c r="C26" s="105">
        <f>220.51+260.39</f>
        <v>480.9</v>
      </c>
      <c r="D26" s="106">
        <v>305705.86810354213</v>
      </c>
      <c r="E26" s="107">
        <f>E5+E6+E7+E8+E18</f>
        <v>261400.21710526489</v>
      </c>
      <c r="F26" s="104">
        <v>124593372.71916789</v>
      </c>
      <c r="G26" s="108">
        <v>1672.55</v>
      </c>
      <c r="H26" s="109">
        <v>74493.063118691774</v>
      </c>
      <c r="I26" s="107">
        <f>I5+I6+I7+I8+I18</f>
        <v>80417.057007432901</v>
      </c>
      <c r="K26" s="110" t="s">
        <v>102</v>
      </c>
      <c r="L26" s="32">
        <f t="shared" ref="L26:M26" si="0">SUM(L14:L25)</f>
        <v>49706278</v>
      </c>
      <c r="M26" s="32">
        <f t="shared" si="0"/>
        <v>48169787</v>
      </c>
      <c r="N26" s="32">
        <f>SUM(N14:N25)</f>
        <v>66843885.79999999</v>
      </c>
      <c r="O26" s="32">
        <f>SUM(O14:O25)</f>
        <v>66843885.79999999</v>
      </c>
      <c r="P26" s="86"/>
    </row>
    <row r="27" spans="1:23" s="37" customFormat="1" ht="29.25" customHeight="1">
      <c r="K27" s="111" t="s">
        <v>103</v>
      </c>
      <c r="L27" s="112">
        <f t="shared" ref="L27:M27" si="1">L26/1.2</f>
        <v>41421898.333333336</v>
      </c>
      <c r="M27" s="112">
        <f t="shared" si="1"/>
        <v>40141489.166666672</v>
      </c>
      <c r="N27" s="112">
        <f>N26/1.2</f>
        <v>55703238.166666657</v>
      </c>
      <c r="O27" s="112">
        <f>O26/1.2</f>
        <v>55703238.166666657</v>
      </c>
      <c r="P27" s="113">
        <f>SUM(L27:O27)</f>
        <v>192969863.83333331</v>
      </c>
      <c r="Q27" s="114"/>
      <c r="R27" s="114"/>
      <c r="S27" s="114"/>
      <c r="T27" s="114"/>
    </row>
    <row r="28" spans="1:23" s="37" customFormat="1" ht="22.5" customHeight="1">
      <c r="K28" s="393" t="s">
        <v>152</v>
      </c>
      <c r="L28" s="394"/>
      <c r="M28" s="394"/>
      <c r="N28" s="394"/>
      <c r="O28" s="394"/>
      <c r="P28" s="115">
        <f>P27*0.9</f>
        <v>173672877.44999999</v>
      </c>
    </row>
    <row r="29" spans="1:23" ht="15" customHeight="1">
      <c r="K29" s="395" t="s">
        <v>153</v>
      </c>
      <c r="L29" s="396"/>
      <c r="M29" s="396"/>
      <c r="N29" s="396"/>
      <c r="O29" s="396"/>
      <c r="P29" s="116">
        <f>O4+L4+M4</f>
        <v>1111.4000000000001</v>
      </c>
    </row>
    <row r="30" spans="1:23" ht="19.5" customHeight="1">
      <c r="K30" s="387" t="s">
        <v>154</v>
      </c>
      <c r="L30" s="388"/>
      <c r="M30" s="388"/>
      <c r="N30" s="388"/>
      <c r="O30" s="388"/>
      <c r="P30" s="117">
        <f>P28/P29</f>
        <v>156264.96081518804</v>
      </c>
    </row>
    <row r="31" spans="1:23" ht="13.5" customHeight="1"/>
    <row r="43" spans="17:19" ht="15" customHeight="1">
      <c r="Q43" s="118"/>
      <c r="R43" s="118"/>
      <c r="S43" s="119"/>
    </row>
    <row r="44" spans="17:19" ht="15.75" customHeight="1">
      <c r="Q44" s="118"/>
      <c r="R44" s="118"/>
      <c r="S44" s="119"/>
    </row>
    <row r="45" spans="17:19">
      <c r="Q45" s="120"/>
      <c r="R45" s="120"/>
      <c r="S45" s="121"/>
    </row>
    <row r="46" spans="17:19" ht="19.5" customHeight="1"/>
    <row r="47" spans="17:19" ht="16.5" customHeight="1"/>
  </sheetData>
  <mergeCells count="16"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  <mergeCell ref="K30:O30"/>
    <mergeCell ref="N9:O9"/>
    <mergeCell ref="N10:O10"/>
    <mergeCell ref="K12:P12"/>
    <mergeCell ref="K28:O28"/>
    <mergeCell ref="K29:O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Водный транспорт</vt:lpstr>
      <vt:lpstr>Лизинг</vt:lpstr>
      <vt:lpstr>авиа расчет</vt:lpstr>
      <vt:lpstr>'авиа расчет'!Область_печати</vt:lpstr>
      <vt:lpstr>'Водный транспорт'!Область_печати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9</cp:revision>
  <cp:lastPrinted>2022-10-10T15:28:25Z</cp:lastPrinted>
  <dcterms:created xsi:type="dcterms:W3CDTF">2017-08-04T07:55:22Z</dcterms:created>
  <dcterms:modified xsi:type="dcterms:W3CDTF">2022-10-10T15:28:28Z</dcterms:modified>
</cp:coreProperties>
</file>