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readedComments/threadedComment2.xml" ContentType="application/vnd.ms-excel.threaded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 firstSheet="2" activeTab="2"/>
  </bookViews>
  <sheets>
    <sheet name="Лизинг" sheetId="3" state="hidden" r:id="rId1"/>
    <sheet name="авиа расчет" sheetId="4" state="hidden" r:id="rId2"/>
    <sheet name="Воздушный транспорт" sheetId="5" r:id="rId3"/>
  </sheets>
  <externalReferences>
    <externalReference r:id="rId4"/>
  </externalReferences>
  <definedNames>
    <definedName name="_xlnm.Print_Area" localSheetId="1">'авиа расчет'!$A$1:$P$30</definedName>
    <definedName name="_xlnm.Print_Area" localSheetId="2">'Воздушный транспорт'!$A$1:$BR$19</definedName>
  </definedNames>
  <calcPr calcId="125725"/>
</workbook>
</file>

<file path=xl/calcChain.xml><?xml version="1.0" encoding="utf-8"?>
<calcChain xmlns="http://schemas.openxmlformats.org/spreadsheetml/2006/main">
  <c r="BF18" i="5"/>
  <c r="BE18"/>
  <c r="BD18"/>
  <c r="AZ18"/>
  <c r="AY18"/>
  <c r="AS18"/>
  <c r="AM18"/>
  <c r="AA18"/>
  <c r="X18"/>
  <c r="W18"/>
  <c r="V18"/>
  <c r="M18"/>
  <c r="N18" s="1"/>
  <c r="K18"/>
  <c r="L18" s="1"/>
  <c r="I18"/>
  <c r="G18"/>
  <c r="H18" s="1"/>
  <c r="F18"/>
  <c r="E18"/>
  <c r="D18"/>
  <c r="C18"/>
  <c r="B18"/>
  <c r="BK17"/>
  <c r="BJ17"/>
  <c r="BO17" s="1"/>
  <c r="BP17" s="1"/>
  <c r="BI17"/>
  <c r="BN17" s="1"/>
  <c r="BG17"/>
  <c r="BH17" s="1"/>
  <c r="BF17"/>
  <c r="BB17"/>
  <c r="AV17"/>
  <c r="BA17" s="1"/>
  <c r="AU17"/>
  <c r="AP17"/>
  <c r="AG17"/>
  <c r="AG18" s="1"/>
  <c r="S17"/>
  <c r="R17"/>
  <c r="AC17" s="1"/>
  <c r="AJ17" s="1"/>
  <c r="Q17"/>
  <c r="AB17" s="1"/>
  <c r="P17"/>
  <c r="BJ16"/>
  <c r="BO16" s="1"/>
  <c r="BP16" s="1"/>
  <c r="BI16"/>
  <c r="BL16" s="1"/>
  <c r="BM16" s="1"/>
  <c r="BG16"/>
  <c r="BF16"/>
  <c r="BB16"/>
  <c r="AW16"/>
  <c r="BC16" s="1"/>
  <c r="AV16"/>
  <c r="BA16" s="1"/>
  <c r="AU16"/>
  <c r="BJ15"/>
  <c r="BO15" s="1"/>
  <c r="BP15" s="1"/>
  <c r="BI15"/>
  <c r="BL15" s="1"/>
  <c r="BM15" s="1"/>
  <c r="BG15"/>
  <c r="BF15"/>
  <c r="BB15"/>
  <c r="BH15" s="1"/>
  <c r="AV15"/>
  <c r="BA15" s="1"/>
  <c r="AU15"/>
  <c r="AW15" s="1"/>
  <c r="BN14"/>
  <c r="BL14"/>
  <c r="BM14" s="1"/>
  <c r="BJ14"/>
  <c r="BO14" s="1"/>
  <c r="BP14" s="1"/>
  <c r="BI14"/>
  <c r="BH14"/>
  <c r="BG14"/>
  <c r="BF14"/>
  <c r="BB14"/>
  <c r="AV14"/>
  <c r="BA14" s="1"/>
  <c r="AU14"/>
  <c r="BL13"/>
  <c r="BJ13"/>
  <c r="BO13" s="1"/>
  <c r="BP13" s="1"/>
  <c r="BI13"/>
  <c r="BN13" s="1"/>
  <c r="BQ13" s="1"/>
  <c r="BR13" s="1"/>
  <c r="BG13"/>
  <c r="BH13" s="1"/>
  <c r="BF13"/>
  <c r="BB13"/>
  <c r="BA13"/>
  <c r="AW13"/>
  <c r="AV13"/>
  <c r="AU13"/>
  <c r="BJ12"/>
  <c r="BO12" s="1"/>
  <c r="BP12" s="1"/>
  <c r="BI12"/>
  <c r="BL12" s="1"/>
  <c r="BM12" s="1"/>
  <c r="BG12"/>
  <c r="BF12"/>
  <c r="BB12"/>
  <c r="AW12"/>
  <c r="BC12" s="1"/>
  <c r="AV12"/>
  <c r="BA12" s="1"/>
  <c r="AU12"/>
  <c r="AD12"/>
  <c r="AC12"/>
  <c r="AB12"/>
  <c r="AE12" s="1"/>
  <c r="T12"/>
  <c r="S12"/>
  <c r="BJ11"/>
  <c r="BO11" s="1"/>
  <c r="BI11"/>
  <c r="BN11" s="1"/>
  <c r="BH11"/>
  <c r="BG11"/>
  <c r="BF11"/>
  <c r="BB11"/>
  <c r="BA11"/>
  <c r="AV11"/>
  <c r="AU11"/>
  <c r="AU18" s="1"/>
  <c r="AC11"/>
  <c r="AD11" s="1"/>
  <c r="AB11"/>
  <c r="U11"/>
  <c r="T11"/>
  <c r="S11"/>
  <c r="P11"/>
  <c r="N11"/>
  <c r="H11"/>
  <c r="AD10"/>
  <c r="AC10"/>
  <c r="AB10"/>
  <c r="AE10" s="1"/>
  <c r="T10"/>
  <c r="U10" s="1"/>
  <c r="P10"/>
  <c r="L10"/>
  <c r="J10"/>
  <c r="H10"/>
  <c r="AP9"/>
  <c r="AO9"/>
  <c r="AI9"/>
  <c r="AI18" s="1"/>
  <c r="AE9"/>
  <c r="AD9"/>
  <c r="AC9"/>
  <c r="AB9"/>
  <c r="Z9"/>
  <c r="T9"/>
  <c r="O9"/>
  <c r="O18" s="1"/>
  <c r="P18" s="1"/>
  <c r="N9"/>
  <c r="L9"/>
  <c r="J9"/>
  <c r="H9"/>
  <c r="O26" i="4"/>
  <c r="O27" s="1"/>
  <c r="N26"/>
  <c r="N27" s="1"/>
  <c r="M26"/>
  <c r="M27" s="1"/>
  <c r="L26"/>
  <c r="L27" s="1"/>
  <c r="C26"/>
  <c r="I25"/>
  <c r="E25"/>
  <c r="I23"/>
  <c r="E23"/>
  <c r="I22"/>
  <c r="I21"/>
  <c r="E21"/>
  <c r="I20"/>
  <c r="E20"/>
  <c r="I17"/>
  <c r="I16"/>
  <c r="I15"/>
  <c r="I14"/>
  <c r="E14"/>
  <c r="I12"/>
  <c r="E12"/>
  <c r="I10"/>
  <c r="E10"/>
  <c r="M9"/>
  <c r="L7"/>
  <c r="L9" s="1"/>
  <c r="AO14" i="5" s="1"/>
  <c r="AO18" s="1"/>
  <c r="I7" i="4"/>
  <c r="E7"/>
  <c r="I6"/>
  <c r="E6"/>
  <c r="I5"/>
  <c r="E5"/>
  <c r="O4"/>
  <c r="N4"/>
  <c r="L4"/>
  <c r="Q16" i="3"/>
  <c r="Q17" s="1"/>
  <c r="P16"/>
  <c r="P17" s="1"/>
  <c r="O16"/>
  <c r="O17" s="1"/>
  <c r="N16"/>
  <c r="N17" s="1"/>
  <c r="N18" s="1"/>
  <c r="M16"/>
  <c r="M17" s="1"/>
  <c r="L16"/>
  <c r="L17" s="1"/>
  <c r="K16"/>
  <c r="K17" s="1"/>
  <c r="J16"/>
  <c r="J17" s="1"/>
  <c r="H16"/>
  <c r="H17" s="1"/>
  <c r="G16"/>
  <c r="G17" s="1"/>
  <c r="F16"/>
  <c r="F17" s="1"/>
  <c r="E16"/>
  <c r="E17" s="1"/>
  <c r="D16"/>
  <c r="D17" s="1"/>
  <c r="C16"/>
  <c r="C17" s="1"/>
  <c r="B16"/>
  <c r="B17" s="1"/>
  <c r="B18" s="1"/>
  <c r="I15"/>
  <c r="I14"/>
  <c r="I13"/>
  <c r="I12"/>
  <c r="I11"/>
  <c r="I10"/>
  <c r="I9"/>
  <c r="I8"/>
  <c r="I7"/>
  <c r="I16" s="1"/>
  <c r="I17" s="1"/>
  <c r="AE17" i="5" l="1"/>
  <c r="AF17" s="1"/>
  <c r="AH17"/>
  <c r="AK17" s="1"/>
  <c r="AL17" s="1"/>
  <c r="AE11"/>
  <c r="AF9" s="1"/>
  <c r="AV18"/>
  <c r="BG18"/>
  <c r="BK11"/>
  <c r="BH12"/>
  <c r="BK13"/>
  <c r="AW14"/>
  <c r="BK14"/>
  <c r="BH16"/>
  <c r="T17"/>
  <c r="U17" s="1"/>
  <c r="BI18"/>
  <c r="I8" i="4"/>
  <c r="U9" i="5"/>
  <c r="BC13"/>
  <c r="BQ14"/>
  <c r="BR14" s="1"/>
  <c r="BN16"/>
  <c r="BQ16" s="1"/>
  <c r="R18"/>
  <c r="S18" s="1"/>
  <c r="P29" i="4"/>
  <c r="I18"/>
  <c r="AC18" i="5"/>
  <c r="AJ9"/>
  <c r="BB18"/>
  <c r="BC15"/>
  <c r="AW17"/>
  <c r="AX17" s="1"/>
  <c r="Q18"/>
  <c r="I26" i="4"/>
  <c r="N5" s="1"/>
  <c r="E8"/>
  <c r="P9" i="5"/>
  <c r="BM13"/>
  <c r="BQ17"/>
  <c r="J18"/>
  <c r="AP18"/>
  <c r="P9" i="4"/>
  <c r="D18" i="3"/>
  <c r="P27" i="4"/>
  <c r="P28" s="1"/>
  <c r="P30" s="1"/>
  <c r="E24" s="1"/>
  <c r="E18" s="1"/>
  <c r="E26" s="1"/>
  <c r="BR16" i="5"/>
  <c r="BO18"/>
  <c r="BP11"/>
  <c r="BA18"/>
  <c r="AX14"/>
  <c r="BC14"/>
  <c r="BQ11"/>
  <c r="J18" i="3"/>
  <c r="AE18" i="5"/>
  <c r="AF18" s="1"/>
  <c r="F18" i="3"/>
  <c r="BL11" i="5"/>
  <c r="BK12"/>
  <c r="BN15"/>
  <c r="BQ15" s="1"/>
  <c r="BR15" s="1"/>
  <c r="BK16"/>
  <c r="AD17"/>
  <c r="BL17"/>
  <c r="BM17" s="1"/>
  <c r="BJ18"/>
  <c r="BK18" s="1"/>
  <c r="AB18"/>
  <c r="AH9"/>
  <c r="AW11"/>
  <c r="BK15"/>
  <c r="BN12"/>
  <c r="BQ12" s="1"/>
  <c r="BR12" s="1"/>
  <c r="AD18" l="1"/>
  <c r="T18"/>
  <c r="U18" s="1"/>
  <c r="BH18"/>
  <c r="BC17"/>
  <c r="BR17"/>
  <c r="AJ18"/>
  <c r="M5" i="4"/>
  <c r="O5"/>
  <c r="L5"/>
  <c r="BC11" i="5"/>
  <c r="AW18"/>
  <c r="AX11"/>
  <c r="BM11"/>
  <c r="BL18"/>
  <c r="BM18" s="1"/>
  <c r="BR11"/>
  <c r="BQ18"/>
  <c r="BR18" s="1"/>
  <c r="BP18"/>
  <c r="AH18"/>
  <c r="AK9"/>
  <c r="BN18"/>
  <c r="M10" i="4" l="1"/>
  <c r="AN17" i="5"/>
  <c r="AQ17" s="1"/>
  <c r="AN9"/>
  <c r="N10" i="4"/>
  <c r="L10"/>
  <c r="AN14" i="5"/>
  <c r="AQ14" s="1"/>
  <c r="P5" i="4"/>
  <c r="AL9" i="5"/>
  <c r="AK18"/>
  <c r="AL18" s="1"/>
  <c r="AX18"/>
  <c r="BC18"/>
  <c r="AN18" l="1"/>
  <c r="AQ9"/>
  <c r="AQ18" l="1"/>
  <c r="AR9"/>
  <c r="AR18" l="1"/>
  <c r="P10" i="4"/>
</calcChain>
</file>

<file path=xl/comments1.xml><?xml version="1.0" encoding="utf-8"?>
<comments xmlns="http://schemas.openxmlformats.org/spreadsheetml/2006/main">
  <authors>
    <author>tc={00290096-009C-42B8-A9F5-003D004800D7}</author>
  </authors>
  <commentList>
    <comment ref="N4" authorId="0">
      <text>
        <r>
          <rPr>
            <b/>
            <sz val="9"/>
            <rFont val="Tahoma"/>
          </rPr>
          <t>Кузнецова Татьяна Юрьевна:</t>
        </r>
        <r>
          <rPr>
            <sz val="9"/>
            <rFont val="Tahoma"/>
          </rPr>
          <t>на 10 % больше, чем в 2019 по предложению тернового</t>
        </r>
      </text>
    </comment>
  </commentList>
</comments>
</file>

<file path=xl/comments2.xml><?xml version="1.0" encoding="utf-8"?>
<comments xmlns="http://schemas.openxmlformats.org/spreadsheetml/2006/main">
  <authors>
    <author>tc={00D80003-00EA-45CD-B351-001A0055000B}</author>
    <author>tc={00860005-0072-4CF2-A36F-008100A9009C}</author>
  </authors>
  <commentList>
    <comment ref="AF9" authorId="0">
      <text>
        <r>
          <rPr>
            <b/>
            <sz val="9"/>
            <rFont val="Tahoma"/>
          </rPr>
          <t>Автор:</t>
        </r>
        <r>
          <rPr>
            <sz val="9"/>
            <rFont val="Tahoma"/>
          </rPr>
          <t>С учетом полетов в 1 квартале 2018 г.+капитальный ремонт</t>
        </r>
      </text>
    </comment>
    <comment ref="I18" authorId="1">
      <text>
        <r>
          <rPr>
            <b/>
            <sz val="9"/>
            <rFont val="Tahoma"/>
          </rPr>
          <t>Автор:</t>
        </r>
        <r>
          <rPr>
            <sz val="9"/>
            <rFont val="Tahoma"/>
          </rPr>
          <t>Учтена линия Архангельск-Котлас, 15346,3</t>
        </r>
      </text>
    </comment>
  </commentList>
</comments>
</file>

<file path=xl/sharedStrings.xml><?xml version="1.0" encoding="utf-8"?>
<sst xmlns="http://schemas.openxmlformats.org/spreadsheetml/2006/main" count="231" uniqueCount="153">
  <si>
    <t>2009 год</t>
  </si>
  <si>
    <t>2010 год</t>
  </si>
  <si>
    <t>2011 год</t>
  </si>
  <si>
    <t>2012 год</t>
  </si>
  <si>
    <t>2013 год</t>
  </si>
  <si>
    <t>2014 год</t>
  </si>
  <si>
    <t>2015 год</t>
  </si>
  <si>
    <t>2016 год</t>
  </si>
  <si>
    <t>2017 год - прогноз</t>
  </si>
  <si>
    <t>Факт 2016 год (по данным Министерства транспорта АО)</t>
  </si>
  <si>
    <t>2017 год</t>
  </si>
  <si>
    <t>Фактически выплаченная субсидия за 2017 год</t>
  </si>
  <si>
    <t>2018 год - прогнозная оценка АТиЦ</t>
  </si>
  <si>
    <t>2018 год</t>
  </si>
  <si>
    <t>2019 год - прогноз</t>
  </si>
  <si>
    <t>2019 год</t>
  </si>
  <si>
    <t>2020 год - прогноз</t>
  </si>
  <si>
    <t>2023 год - прогноз</t>
  </si>
  <si>
    <t>2024 год - прогноз</t>
  </si>
  <si>
    <t>2025 год - прогноз</t>
  </si>
  <si>
    <t>Областной закон от 03.12.2008 г.    № 637-32-ОЗ</t>
  </si>
  <si>
    <t>Областной закон от 15.12.2009 г.                       № 118-9-ОЗ</t>
  </si>
  <si>
    <t>Заявка перевозчиков</t>
  </si>
  <si>
    <t>Областной закон от 21.12.2010 г.                       № 243-18-ОЗ</t>
  </si>
  <si>
    <t>Областной закон от 16.12.2011 г.    № 243-18-ОЗ</t>
  </si>
  <si>
    <t>Рост к 2011 г., %</t>
  </si>
  <si>
    <t xml:space="preserve">Областной закон от 17.12.2012 г.            № 603-36-ОЗ </t>
  </si>
  <si>
    <t>Рост к 2013 г., %</t>
  </si>
  <si>
    <t>Областной закон от 19.12.2013 г.                   № 59-4-ОЗ</t>
  </si>
  <si>
    <t>Областной закон от 16.12.2014 г.                   № 220-13-ОЗ</t>
  </si>
  <si>
    <t>Рост к 2014 г., %</t>
  </si>
  <si>
    <t>Областной закон от 18.12.2015 г.                   № 375-22-ОЗ</t>
  </si>
  <si>
    <t>Рост к 2015 г., %</t>
  </si>
  <si>
    <t>Расходы</t>
  </si>
  <si>
    <t>Доходы</t>
  </si>
  <si>
    <t>Рост тарифов, %</t>
  </si>
  <si>
    <t>Субсидии</t>
  </si>
  <si>
    <t>Рост к 2016 г., %</t>
  </si>
  <si>
    <t>Областной закон от 23.12.2016                   № 503-31-ОЗ</t>
  </si>
  <si>
    <t>Рост тарифов к 2016 г., %</t>
  </si>
  <si>
    <t>Рост к 2017 г., %</t>
  </si>
  <si>
    <t>Областной закон от 15.12.2017                   № 581-40-ОЗ</t>
  </si>
  <si>
    <t>Рост к 2018 г., %</t>
  </si>
  <si>
    <t>Рост к 2019 г., %</t>
  </si>
  <si>
    <t>Рост к 2020 г., %</t>
  </si>
  <si>
    <t xml:space="preserve"> - </t>
  </si>
  <si>
    <t>Примечание:</t>
  </si>
  <si>
    <t>Расчет затрат по договорма лизинга</t>
  </si>
  <si>
    <t>План 2020 год</t>
  </si>
  <si>
    <t>План 2021 год</t>
  </si>
  <si>
    <t>План 2022 год</t>
  </si>
  <si>
    <t>договор №0630-002ФЛ/2017</t>
  </si>
  <si>
    <t>договор №0630-003ФЛ/2017</t>
  </si>
  <si>
    <t>договор №0630-005ФЛ/2019</t>
  </si>
  <si>
    <t>договор №0630-004ФЛ/2019</t>
  </si>
  <si>
    <t>договор №0630-002ФЛ/2018</t>
  </si>
  <si>
    <t>договор №0630-003ФЛ/2018</t>
  </si>
  <si>
    <t>договор №0630-005ФЛ/2020</t>
  </si>
  <si>
    <t>договор №0630-004ФЛ/2020</t>
  </si>
  <si>
    <t>договор №0630-002ФЛ/2019</t>
  </si>
  <si>
    <t>договор №0630-003ФЛ/2019</t>
  </si>
  <si>
    <t>договор №0630-005ФЛ/2021</t>
  </si>
  <si>
    <t>договор №0630-004ФЛ/2021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</si>
  <si>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</si>
  <si>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</si>
  <si>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</si>
  <si>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</si>
  <si>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</si>
  <si>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</si>
  <si>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</si>
  <si>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</si>
  <si>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</si>
  <si>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</si>
  <si>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</si>
  <si>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</si>
  <si>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</si>
  <si>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Итого без НДС</t>
  </si>
  <si>
    <t>Итого в год без НДС</t>
  </si>
  <si>
    <t xml:space="preserve"> </t>
  </si>
  <si>
    <t xml:space="preserve">Себестоимость одного летного часа АО "2-ой Архангельский ОАО" на транспортной работе на субсидируемых рейсах </t>
  </si>
  <si>
    <t>Расчет суммы субсидии на перевозку пассажиров воздушным транспортом</t>
  </si>
  <si>
    <t>ТИП ВС</t>
  </si>
  <si>
    <t>Л-410 Соловки</t>
  </si>
  <si>
    <t>Л-410 Котлас</t>
  </si>
  <si>
    <t>Прочие маршруты</t>
  </si>
  <si>
    <t>L-410</t>
  </si>
  <si>
    <t>Ан-2</t>
  </si>
  <si>
    <t>Л-410</t>
  </si>
  <si>
    <t>Расходы 2018</t>
  </si>
  <si>
    <t>Часы</t>
  </si>
  <si>
    <t>Себестоимость летного часа 2018 год</t>
  </si>
  <si>
    <t>Себестоимость летного часа 2020 год</t>
  </si>
  <si>
    <t>часы</t>
  </si>
  <si>
    <t>1. Заработная плата</t>
  </si>
  <si>
    <t>расходы</t>
  </si>
  <si>
    <t>2. Страховые взносы</t>
  </si>
  <si>
    <t>пассажиры</t>
  </si>
  <si>
    <t>3. Амортизация</t>
  </si>
  <si>
    <t>тариф</t>
  </si>
  <si>
    <t>4. Материальные затраты,</t>
  </si>
  <si>
    <t>количество рейсов</t>
  </si>
  <si>
    <t>в том числе:</t>
  </si>
  <si>
    <t>доходы</t>
  </si>
  <si>
    <t>4.1 АвиаГСМ</t>
  </si>
  <si>
    <t>Субсидия</t>
  </si>
  <si>
    <t>4.2 АвиаГСМ (заправка в чужих аэропортах)</t>
  </si>
  <si>
    <t>4.3 Топливо (Авто ГСМ)</t>
  </si>
  <si>
    <t>4.4 Прочие материалы и запчасти</t>
  </si>
  <si>
    <t>лизинг новый договор</t>
  </si>
  <si>
    <t>Итого сумма лизинговых платежей</t>
  </si>
  <si>
    <t>4.5 Текущий ремонт и тех обслуживание СВАД</t>
  </si>
  <si>
    <t>4.6 Капитальный ремонт СВАД</t>
  </si>
  <si>
    <t>4.7 Текущий ремонт и тех обслуживание агрегатов</t>
  </si>
  <si>
    <t>ИПЦ</t>
  </si>
  <si>
    <t>4.8 Капитальный ремонт агрегатов</t>
  </si>
  <si>
    <t>ИЦП</t>
  </si>
  <si>
    <t>5. Прочие расходы,</t>
  </si>
  <si>
    <t>ГСМ</t>
  </si>
  <si>
    <t>5.1 Аэронавигационное обслуживание</t>
  </si>
  <si>
    <t>5.2 Расходы  на аэропортовое обслуживание ВС в чужих аэропортах (взлет-посадка, базирование и др.)</t>
  </si>
  <si>
    <t>5.3 Метеообеспечение</t>
  </si>
  <si>
    <t>5.4 Страхование ВС. ЛС и имущества</t>
  </si>
  <si>
    <t>5.6 Лизинг ВС</t>
  </si>
  <si>
    <t>5.8 Общехозяйственные расходы (аэропортовые)</t>
  </si>
  <si>
    <t>ВСЕГО РАСХОДОВ</t>
  </si>
  <si>
    <t>На 90 % новые L-410 будут ипользоваться на субсидируемых маршрутах</t>
  </si>
  <si>
    <t>Планируемое количество летных часов L-410 на субсидируемых маршрутах</t>
  </si>
  <si>
    <t xml:space="preserve">Затраты на лизинг на 1 летный час </t>
  </si>
  <si>
    <t>Направление</t>
  </si>
  <si>
    <t>Предложения минтранса  при формировании ОБ на 2020</t>
  </si>
  <si>
    <t>2020 год предусмотрено в ОБ</t>
  </si>
  <si>
    <t>2021 год - прогноз</t>
  </si>
  <si>
    <t xml:space="preserve">2022 год - в бюджете на 2022 год </t>
  </si>
  <si>
    <t>областной закон</t>
  </si>
  <si>
    <t>Рост к  расчету на 2020 г., %</t>
  </si>
  <si>
    <t>Авиаперевозки:</t>
  </si>
  <si>
    <t>АО "2-ой Архангельский ОАО" на территории АО</t>
  </si>
  <si>
    <t xml:space="preserve">ОАО "2-ой Архангельский ОАО" межсубъектные перевозки </t>
  </si>
  <si>
    <t>Архангельск - Лешуконский район</t>
  </si>
  <si>
    <t>Архангельск - Мезенский район</t>
  </si>
  <si>
    <t>Архангельск - Приморский район</t>
  </si>
  <si>
    <t>Архангельск - Соловки</t>
  </si>
  <si>
    <t>Архангельск - Вельск</t>
  </si>
  <si>
    <t>Вертолетное сообщение</t>
  </si>
  <si>
    <t>Архангельск - Котлас</t>
  </si>
  <si>
    <t xml:space="preserve">ИТОГО авиаперевозки </t>
  </si>
  <si>
    <t xml:space="preserve">1.Рост субсидий по воздушному транспорту в 2021 году по сравнению с 2020 годом обусловлен увеличением количества направлений полетов (Вельск, Вертолетное сообщение с Мезенским районом), общим увеличением количества рейсов, а также ростом стоимости одного летного часа воздушного судна Л-410. 
</t>
  </si>
  <si>
    <t xml:space="preserve">2. В соответствии с полетной программой АО «2-ой Архангельский объединенный авиаотряд» общее количество рейсов в 2021 году составит 1370 рейсов, то есть 153 % к ожидаемому количеству рейсов в 2020 году (в 2020 году ожидаемое количество - 898 рейсов ). В течение 2020 года в результате ограничений, введенных в связи с распространением новой коронавирусной инфекции, в период с марта по июнь было значительно сокращено количество авиарейсов. 
</t>
  </si>
  <si>
    <t>3. Значительный рост себестоимости летного часа воздушного судна L-410 UVP – 118,5 % к плановой себестоимости 2020 года обусловлена необходимость дополниетльных выплат по договорам лизинга в 2021 году. В стадии подписания находится дополнительное соглашение между АО «2-ой Архангельский объединенный авиаотряд» и ПАО «ГТЛК» о реструктуризации задолженности предприятия по договорам лизинга. В соответствии с графиком реструктуризации задолженность предприятия по договорам лизинга за период с марта по декабрь 2020 года перераспределяется на 2021 -2023 годы, в результате чего в 2021 году дополнительно к выплатам по заключенным договорам возникает обязанность уплаты задолженности за 2020 год в размере 85,51 млн. руб.</t>
  </si>
  <si>
    <t>рублей</t>
  </si>
  <si>
    <t xml:space="preserve">Расчет прогнозируемого размера субсидий на возмещение недополученных доходов, возникающих в результате  государственного регулирования тарифов на перевозки пассажиров и багажа воздушным транспортом на 2023 год и плановый период 2024 и 2025 годов                                                                                                                                                                              </t>
  </si>
  <si>
    <t>Приложение № 20</t>
  </si>
  <si>
    <t>к пояснительной записике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</si>
</sst>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%"/>
    <numFmt numFmtId="166" formatCode="0.0000"/>
    <numFmt numFmtId="167" formatCode="0.000"/>
    <numFmt numFmtId="168" formatCode="#,##0.000"/>
    <numFmt numFmtId="169" formatCode="#,##0.0"/>
  </numFmts>
  <fonts count="45">
    <font>
      <sz val="11"/>
      <color theme="1"/>
      <name val="Calibri"/>
      <scheme val="minor"/>
    </font>
    <font>
      <sz val="11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Tahoma"/>
    </font>
    <font>
      <sz val="10"/>
      <name val="Arial Cyr"/>
    </font>
    <font>
      <sz val="10"/>
      <name val="Arial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2"/>
      <name val="Times New Roman"/>
    </font>
    <font>
      <b/>
      <sz val="18"/>
      <name val="Times New Roman"/>
    </font>
    <font>
      <b/>
      <sz val="12"/>
      <name val="Times New Roman"/>
    </font>
    <font>
      <i/>
      <sz val="12"/>
      <name val="Times New Roman"/>
    </font>
    <font>
      <sz val="13"/>
      <name val="Times New Roman"/>
    </font>
    <font>
      <b/>
      <i/>
      <sz val="11"/>
      <name val="Arial Cyr"/>
    </font>
    <font>
      <sz val="11"/>
      <name val="Arial Cyr"/>
    </font>
    <font>
      <b/>
      <sz val="11"/>
      <color theme="1"/>
      <name val="Calibri"/>
      <scheme val="minor"/>
    </font>
    <font>
      <b/>
      <i/>
      <sz val="10"/>
      <name val="Arial Cyr"/>
    </font>
    <font>
      <b/>
      <sz val="12"/>
      <color theme="1"/>
      <name val="Calibri"/>
      <scheme val="minor"/>
    </font>
    <font>
      <b/>
      <sz val="10"/>
      <name val="Arial Cyr"/>
    </font>
    <font>
      <b/>
      <sz val="9"/>
      <name val="Arial Cyr"/>
    </font>
    <font>
      <b/>
      <sz val="11"/>
      <name val="Arial Cyr"/>
    </font>
    <font>
      <b/>
      <sz val="12"/>
      <name val="Arial Cyr"/>
    </font>
    <font>
      <b/>
      <i/>
      <sz val="9"/>
      <name val="Arial Cyr"/>
    </font>
    <font>
      <i/>
      <sz val="9"/>
      <name val="Arial Cyr"/>
    </font>
    <font>
      <sz val="11"/>
      <color theme="1"/>
      <name val="Times New Roman"/>
    </font>
    <font>
      <sz val="11"/>
      <color theme="1"/>
      <name val="Calibri"/>
      <scheme val="minor"/>
    </font>
    <font>
      <b/>
      <sz val="9"/>
      <name val="Tahoma"/>
    </font>
    <font>
      <sz val="9"/>
      <name val="Tahoma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5"/>
        <bgColor indexed="5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51">
    <xf numFmtId="0" fontId="0" fillId="0" borderId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3" fillId="0" borderId="0"/>
    <xf numFmtId="0" fontId="13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9" fontId="1" fillId="0" borderId="0" applyFont="0" applyFill="0" applyBorder="0"/>
    <xf numFmtId="9" fontId="1" fillId="0" borderId="0" applyFont="0" applyFill="0" applyBorder="0"/>
    <xf numFmtId="9" fontId="1" fillId="0" borderId="0" applyFont="0" applyFill="0" applyBorder="0"/>
    <xf numFmtId="9" fontId="13" fillId="0" borderId="0" applyFont="0" applyFill="0" applyBorder="0"/>
    <xf numFmtId="9" fontId="1" fillId="0" borderId="0" applyFont="0" applyFill="0" applyBorder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</cellStyleXfs>
  <cellXfs count="373">
    <xf numFmtId="0" fontId="0" fillId="0" borderId="0" xfId="0"/>
    <xf numFmtId="0" fontId="21" fillId="0" borderId="0" xfId="0" applyFont="1"/>
    <xf numFmtId="0" fontId="23" fillId="0" borderId="0" xfId="0" applyFont="1" applyAlignment="1">
      <alignment horizontal="right"/>
    </xf>
    <xf numFmtId="164" fontId="21" fillId="0" borderId="0" xfId="0" applyNumberFormat="1" applyFont="1"/>
    <xf numFmtId="0" fontId="23" fillId="0" borderId="0" xfId="0" applyFont="1"/>
    <xf numFmtId="0" fontId="21" fillId="0" borderId="35" xfId="0" applyFont="1" applyBorder="1" applyAlignment="1">
      <alignment horizontal="left" vertical="center" wrapText="1"/>
    </xf>
    <xf numFmtId="164" fontId="23" fillId="0" borderId="36" xfId="0" applyNumberFormat="1" applyFont="1" applyBorder="1" applyAlignment="1">
      <alignment horizontal="center" vertical="center" wrapText="1"/>
    </xf>
    <xf numFmtId="164" fontId="23" fillId="0" borderId="37" xfId="0" applyNumberFormat="1" applyFont="1" applyBorder="1" applyAlignment="1">
      <alignment horizontal="center" vertical="center" wrapText="1"/>
    </xf>
    <xf numFmtId="164" fontId="24" fillId="0" borderId="37" xfId="0" applyNumberFormat="1" applyFont="1" applyBorder="1" applyAlignment="1">
      <alignment horizontal="center" vertical="center"/>
    </xf>
    <xf numFmtId="164" fontId="23" fillId="0" borderId="37" xfId="0" applyNumberFormat="1" applyFont="1" applyBorder="1" applyAlignment="1">
      <alignment horizontal="center" vertical="center"/>
    </xf>
    <xf numFmtId="164" fontId="23" fillId="25" borderId="37" xfId="0" applyNumberFormat="1" applyFont="1" applyFill="1" applyBorder="1" applyAlignment="1">
      <alignment horizontal="center" vertical="center"/>
    </xf>
    <xf numFmtId="164" fontId="24" fillId="25" borderId="37" xfId="0" applyNumberFormat="1" applyFont="1" applyFill="1" applyBorder="1" applyAlignment="1">
      <alignment horizontal="center" vertical="center" wrapText="1"/>
    </xf>
    <xf numFmtId="164" fontId="23" fillId="25" borderId="37" xfId="0" applyNumberFormat="1" applyFont="1" applyFill="1" applyBorder="1" applyAlignment="1">
      <alignment horizontal="center" vertical="center" wrapText="1"/>
    </xf>
    <xf numFmtId="165" fontId="24" fillId="25" borderId="37" xfId="0" applyNumberFormat="1" applyFont="1" applyFill="1" applyBorder="1" applyAlignment="1">
      <alignment horizontal="center" vertical="center" wrapText="1"/>
    </xf>
    <xf numFmtId="4" fontId="24" fillId="0" borderId="37" xfId="0" applyNumberFormat="1" applyFont="1" applyBorder="1" applyAlignment="1">
      <alignment horizontal="center" vertical="center"/>
    </xf>
    <xf numFmtId="4" fontId="21" fillId="25" borderId="37" xfId="0" applyNumberFormat="1" applyFont="1" applyFill="1" applyBorder="1" applyAlignment="1">
      <alignment horizontal="center" vertical="center"/>
    </xf>
    <xf numFmtId="165" fontId="24" fillId="0" borderId="37" xfId="886" applyNumberFormat="1" applyFont="1" applyBorder="1" applyAlignment="1">
      <alignment horizontal="center" vertical="center"/>
    </xf>
    <xf numFmtId="4" fontId="23" fillId="0" borderId="38" xfId="886" applyNumberFormat="1" applyFont="1" applyBorder="1" applyAlignment="1">
      <alignment horizontal="center" vertical="center"/>
    </xf>
    <xf numFmtId="4" fontId="23" fillId="0" borderId="39" xfId="0" applyNumberFormat="1" applyFont="1" applyBorder="1" applyAlignment="1">
      <alignment horizontal="center" vertical="center"/>
    </xf>
    <xf numFmtId="4" fontId="23" fillId="0" borderId="37" xfId="0" applyNumberFormat="1" applyFont="1" applyBorder="1" applyAlignment="1">
      <alignment horizontal="center" vertical="center"/>
    </xf>
    <xf numFmtId="10" fontId="24" fillId="0" borderId="37" xfId="886" applyNumberFormat="1" applyFont="1" applyBorder="1" applyAlignment="1">
      <alignment horizontal="center" vertical="center"/>
    </xf>
    <xf numFmtId="165" fontId="24" fillId="0" borderId="40" xfId="886" applyNumberFormat="1" applyFont="1" applyBorder="1" applyAlignment="1">
      <alignment horizontal="center" vertical="center"/>
    </xf>
    <xf numFmtId="4" fontId="23" fillId="0" borderId="39" xfId="886" applyNumberFormat="1" applyFont="1" applyBorder="1" applyAlignment="1">
      <alignment horizontal="center" vertical="center"/>
    </xf>
    <xf numFmtId="4" fontId="23" fillId="0" borderId="37" xfId="886" applyNumberFormat="1" applyFont="1" applyBorder="1" applyAlignment="1">
      <alignment horizontal="center" vertical="center"/>
    </xf>
    <xf numFmtId="4" fontId="23" fillId="0" borderId="38" xfId="0" applyNumberFormat="1" applyFont="1" applyBorder="1" applyAlignment="1">
      <alignment horizontal="center" vertical="center"/>
    </xf>
    <xf numFmtId="0" fontId="21" fillId="0" borderId="35" xfId="0" applyFont="1" applyBorder="1" applyAlignment="1">
      <alignment horizontal="left" vertical="center"/>
    </xf>
    <xf numFmtId="9" fontId="24" fillId="0" borderId="37" xfId="886" applyNumberFormat="1" applyFont="1" applyBorder="1" applyAlignment="1">
      <alignment horizontal="center" vertical="center"/>
    </xf>
    <xf numFmtId="165" fontId="24" fillId="0" borderId="37" xfId="0" applyNumberFormat="1" applyFont="1" applyBorder="1" applyAlignment="1">
      <alignment horizontal="center" vertical="center" wrapText="1"/>
    </xf>
    <xf numFmtId="4" fontId="21" fillId="0" borderId="37" xfId="0" applyNumberFormat="1" applyFont="1" applyBorder="1" applyAlignment="1">
      <alignment horizontal="center" vertical="center"/>
    </xf>
    <xf numFmtId="0" fontId="25" fillId="0" borderId="0" xfId="0" applyFont="1"/>
    <xf numFmtId="0" fontId="0" fillId="0" borderId="45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27" fillId="0" borderId="55" xfId="0" applyFont="1" applyBorder="1" applyAlignment="1">
      <alignment wrapText="1"/>
    </xf>
    <xf numFmtId="4" fontId="0" fillId="0" borderId="47" xfId="0" applyNumberFormat="1" applyBorder="1" applyAlignment="1">
      <alignment wrapText="1"/>
    </xf>
    <xf numFmtId="0" fontId="27" fillId="0" borderId="56" xfId="0" applyFont="1" applyBorder="1" applyAlignment="1">
      <alignment wrapText="1"/>
    </xf>
    <xf numFmtId="4" fontId="0" fillId="0" borderId="48" xfId="0" applyNumberFormat="1" applyBorder="1" applyAlignment="1">
      <alignment wrapText="1"/>
    </xf>
    <xf numFmtId="4" fontId="0" fillId="0" borderId="49" xfId="0" applyNumberFormat="1" applyBorder="1" applyAlignment="1">
      <alignment wrapText="1"/>
    </xf>
    <xf numFmtId="0" fontId="0" fillId="0" borderId="57" xfId="0" applyBorder="1" applyAlignment="1">
      <alignment wrapText="1"/>
    </xf>
    <xf numFmtId="0" fontId="0" fillId="0" borderId="38" xfId="0" applyBorder="1" applyAlignment="1">
      <alignment wrapText="1"/>
    </xf>
    <xf numFmtId="4" fontId="0" fillId="0" borderId="39" xfId="0" applyNumberFormat="1" applyBorder="1" applyAlignment="1">
      <alignment wrapText="1"/>
    </xf>
    <xf numFmtId="4" fontId="0" fillId="0" borderId="37" xfId="0" applyNumberFormat="1" applyBorder="1" applyAlignment="1">
      <alignment wrapText="1"/>
    </xf>
    <xf numFmtId="4" fontId="0" fillId="0" borderId="40" xfId="0" applyNumberFormat="1" applyBorder="1" applyAlignment="1">
      <alignment wrapText="1"/>
    </xf>
    <xf numFmtId="0" fontId="27" fillId="0" borderId="57" xfId="0" applyFont="1" applyBorder="1" applyAlignment="1">
      <alignment wrapText="1"/>
    </xf>
    <xf numFmtId="0" fontId="0" fillId="0" borderId="31" xfId="0" applyBorder="1" applyAlignment="1">
      <alignment wrapText="1"/>
    </xf>
    <xf numFmtId="4" fontId="0" fillId="0" borderId="26" xfId="0" applyNumberFormat="1" applyBorder="1" applyAlignment="1">
      <alignment wrapText="1"/>
    </xf>
    <xf numFmtId="0" fontId="0" fillId="0" borderId="30" xfId="0" applyBorder="1" applyAlignment="1">
      <alignment wrapText="1"/>
    </xf>
    <xf numFmtId="4" fontId="0" fillId="0" borderId="29" xfId="0" applyNumberFormat="1" applyBorder="1" applyAlignment="1">
      <alignment wrapText="1"/>
    </xf>
    <xf numFmtId="0" fontId="28" fillId="0" borderId="10" xfId="0" applyFont="1" applyBorder="1" applyAlignment="1">
      <alignment wrapText="1"/>
    </xf>
    <xf numFmtId="4" fontId="28" fillId="0" borderId="15" xfId="0" applyNumberFormat="1" applyFont="1" applyBorder="1" applyAlignment="1">
      <alignment wrapText="1"/>
    </xf>
    <xf numFmtId="4" fontId="28" fillId="0" borderId="18" xfId="0" applyNumberFormat="1" applyFont="1" applyBorder="1" applyAlignment="1">
      <alignment wrapText="1"/>
    </xf>
    <xf numFmtId="4" fontId="28" fillId="0" borderId="16" xfId="0" applyNumberFormat="1" applyFont="1" applyBorder="1" applyAlignment="1">
      <alignment wrapText="1"/>
    </xf>
    <xf numFmtId="0" fontId="28" fillId="0" borderId="35" xfId="0" applyFont="1" applyBorder="1" applyAlignment="1">
      <alignment wrapText="1"/>
    </xf>
    <xf numFmtId="4" fontId="28" fillId="0" borderId="39" xfId="0" applyNumberFormat="1" applyFont="1" applyBorder="1" applyAlignment="1">
      <alignment wrapText="1"/>
    </xf>
    <xf numFmtId="4" fontId="28" fillId="0" borderId="37" xfId="0" applyNumberFormat="1" applyFont="1" applyBorder="1" applyAlignment="1">
      <alignment wrapText="1"/>
    </xf>
    <xf numFmtId="4" fontId="28" fillId="0" borderId="40" xfId="0" applyNumberFormat="1" applyFont="1" applyBorder="1" applyAlignment="1">
      <alignment wrapText="1"/>
    </xf>
    <xf numFmtId="0" fontId="28" fillId="0" borderId="41" xfId="0" applyFont="1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8" fillId="0" borderId="21" xfId="0" applyFont="1" applyBorder="1" applyAlignment="1">
      <alignment horizontal="center" vertical="center"/>
    </xf>
    <xf numFmtId="0" fontId="29" fillId="0" borderId="14" xfId="0" applyFont="1" applyBorder="1" applyAlignment="1">
      <alignment vertical="center"/>
    </xf>
    <xf numFmtId="0" fontId="29" fillId="0" borderId="64" xfId="0" applyFont="1" applyBorder="1" applyAlignment="1">
      <alignment vertical="center"/>
    </xf>
    <xf numFmtId="0" fontId="28" fillId="0" borderId="43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32" fillId="0" borderId="20" xfId="0" applyFont="1" applyBorder="1" applyAlignment="1">
      <alignment vertical="center" wrapText="1"/>
    </xf>
    <xf numFmtId="3" fontId="33" fillId="0" borderId="15" xfId="0" applyNumberFormat="1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3" fontId="33" fillId="0" borderId="16" xfId="0" applyNumberFormat="1" applyFont="1" applyBorder="1" applyAlignment="1">
      <alignment vertical="center"/>
    </xf>
    <xf numFmtId="0" fontId="34" fillId="0" borderId="19" xfId="0" applyFont="1" applyBorder="1" applyAlignment="1">
      <alignment vertical="center"/>
    </xf>
    <xf numFmtId="0" fontId="0" fillId="0" borderId="39" xfId="0" applyBorder="1" applyAlignment="1">
      <alignment vertical="center"/>
    </xf>
    <xf numFmtId="4" fontId="0" fillId="0" borderId="37" xfId="0" applyNumberFormat="1" applyBorder="1" applyAlignment="1">
      <alignment horizontal="center" vertical="center"/>
    </xf>
    <xf numFmtId="4" fontId="28" fillId="0" borderId="40" xfId="0" applyNumberFormat="1" applyFont="1" applyBorder="1" applyAlignment="1">
      <alignment vertical="center"/>
    </xf>
    <xf numFmtId="0" fontId="32" fillId="0" borderId="57" xfId="0" applyFont="1" applyBorder="1" applyAlignment="1">
      <alignment vertical="center" wrapText="1"/>
    </xf>
    <xf numFmtId="3" fontId="33" fillId="0" borderId="39" xfId="0" applyNumberFormat="1" applyFont="1" applyBorder="1" applyAlignment="1">
      <alignment vertical="center"/>
    </xf>
    <xf numFmtId="0" fontId="33" fillId="0" borderId="38" xfId="0" applyFont="1" applyBorder="1" applyAlignment="1">
      <alignment vertical="center"/>
    </xf>
    <xf numFmtId="3" fontId="33" fillId="0" borderId="40" xfId="0" applyNumberFormat="1" applyFont="1" applyBorder="1" applyAlignment="1">
      <alignment vertical="center"/>
    </xf>
    <xf numFmtId="0" fontId="34" fillId="0" borderId="38" xfId="0" applyFont="1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28" fillId="0" borderId="40" xfId="0" applyFont="1" applyBorder="1" applyAlignment="1">
      <alignment vertical="center"/>
    </xf>
    <xf numFmtId="0" fontId="0" fillId="0" borderId="39" xfId="0" applyBorder="1" applyAlignment="1">
      <alignment vertical="center" wrapText="1"/>
    </xf>
    <xf numFmtId="0" fontId="35" fillId="0" borderId="57" xfId="0" applyFont="1" applyBorder="1" applyAlignment="1">
      <alignment horizontal="center" vertical="center" wrapText="1"/>
    </xf>
    <xf numFmtId="0" fontId="36" fillId="0" borderId="57" xfId="0" applyFont="1" applyBorder="1" applyAlignment="1">
      <alignment vertical="center" wrapText="1"/>
    </xf>
    <xf numFmtId="3" fontId="0" fillId="0" borderId="39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3" fontId="27" fillId="0" borderId="39" xfId="0" applyNumberFormat="1" applyFont="1" applyBorder="1" applyAlignment="1">
      <alignment vertical="center"/>
    </xf>
    <xf numFmtId="3" fontId="27" fillId="0" borderId="40" xfId="0" applyNumberFormat="1" applyFont="1" applyBorder="1" applyAlignment="1">
      <alignment vertical="center"/>
    </xf>
    <xf numFmtId="0" fontId="0" fillId="0" borderId="45" xfId="0" applyBorder="1" applyAlignment="1">
      <alignment vertical="center"/>
    </xf>
    <xf numFmtId="4" fontId="0" fillId="0" borderId="43" xfId="0" applyNumberFormat="1" applyBorder="1" applyAlignment="1">
      <alignment horizontal="center" vertical="center"/>
    </xf>
    <xf numFmtId="4" fontId="28" fillId="0" borderId="46" xfId="0" applyNumberFormat="1" applyFont="1" applyBorder="1" applyAlignment="1">
      <alignment vertical="center"/>
    </xf>
    <xf numFmtId="0" fontId="0" fillId="0" borderId="23" xfId="0" applyBorder="1" applyAlignment="1">
      <alignment wrapText="1"/>
    </xf>
    <xf numFmtId="0" fontId="0" fillId="0" borderId="5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27" fillId="0" borderId="15" xfId="0" applyFont="1" applyBorder="1" applyAlignment="1">
      <alignment wrapText="1"/>
    </xf>
    <xf numFmtId="4" fontId="0" fillId="0" borderId="18" xfId="0" applyNumberFormat="1" applyBorder="1" applyAlignment="1">
      <alignment wrapText="1"/>
    </xf>
    <xf numFmtId="0" fontId="0" fillId="0" borderId="16" xfId="0" applyBorder="1" applyAlignment="1">
      <alignment wrapText="1"/>
    </xf>
    <xf numFmtId="49" fontId="36" fillId="0" borderId="57" xfId="0" applyNumberFormat="1" applyFont="1" applyBorder="1" applyAlignment="1">
      <alignment vertical="center" wrapText="1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0" fontId="0" fillId="27" borderId="37" xfId="0" applyFill="1" applyBorder="1" applyAlignment="1">
      <alignment horizontal="center"/>
    </xf>
    <xf numFmtId="0" fontId="28" fillId="27" borderId="37" xfId="0" applyFont="1" applyFill="1" applyBorder="1" applyAlignment="1">
      <alignment horizontal="center"/>
    </xf>
    <xf numFmtId="0" fontId="27" fillId="0" borderId="39" xfId="0" applyFont="1" applyBorder="1" applyAlignment="1">
      <alignment wrapText="1"/>
    </xf>
    <xf numFmtId="0" fontId="37" fillId="27" borderId="37" xfId="0" applyFont="1" applyFill="1" applyBorder="1" applyAlignment="1">
      <alignment horizontal="center"/>
    </xf>
    <xf numFmtId="0" fontId="0" fillId="0" borderId="37" xfId="0" applyBorder="1" applyAlignment="1">
      <alignment wrapText="1"/>
    </xf>
    <xf numFmtId="164" fontId="37" fillId="27" borderId="37" xfId="0" applyNumberFormat="1" applyFont="1" applyFill="1" applyBorder="1" applyAlignment="1">
      <alignment horizontal="center"/>
    </xf>
    <xf numFmtId="166" fontId="37" fillId="27" borderId="37" xfId="0" applyNumberFormat="1" applyFont="1" applyFill="1" applyBorder="1" applyAlignment="1">
      <alignment horizontal="center"/>
    </xf>
    <xf numFmtId="2" fontId="37" fillId="27" borderId="37" xfId="0" applyNumberFormat="1" applyFont="1" applyFill="1" applyBorder="1" applyAlignment="1">
      <alignment horizontal="center"/>
    </xf>
    <xf numFmtId="0" fontId="32" fillId="0" borderId="57" xfId="0" applyFont="1" applyBorder="1" applyAlignment="1">
      <alignment horizontal="left" vertical="center" wrapText="1"/>
    </xf>
    <xf numFmtId="167" fontId="37" fillId="27" borderId="37" xfId="0" applyNumberFormat="1" applyFont="1" applyFill="1" applyBorder="1" applyAlignment="1">
      <alignment horizontal="center"/>
    </xf>
    <xf numFmtId="0" fontId="27" fillId="0" borderId="38" xfId="0" applyFont="1" applyBorder="1" applyAlignment="1">
      <alignment vertical="center"/>
    </xf>
    <xf numFmtId="3" fontId="27" fillId="28" borderId="39" xfId="0" applyNumberFormat="1" applyFont="1" applyFill="1" applyBorder="1" applyAlignment="1">
      <alignment vertical="center"/>
    </xf>
    <xf numFmtId="3" fontId="27" fillId="28" borderId="40" xfId="0" applyNumberFormat="1" applyFont="1" applyFill="1" applyBorder="1" applyAlignment="1">
      <alignment vertical="center"/>
    </xf>
    <xf numFmtId="3" fontId="27" fillId="26" borderId="39" xfId="0" applyNumberFormat="1" applyFont="1" applyFill="1" applyBorder="1" applyAlignment="1">
      <alignment vertical="center"/>
    </xf>
    <xf numFmtId="3" fontId="27" fillId="26" borderId="40" xfId="0" applyNumberFormat="1" applyFont="1" applyFill="1" applyBorder="1" applyAlignment="1">
      <alignment vertical="center"/>
    </xf>
    <xf numFmtId="0" fontId="36" fillId="0" borderId="31" xfId="0" applyFont="1" applyBorder="1" applyAlignment="1">
      <alignment vertical="center" wrapText="1"/>
    </xf>
    <xf numFmtId="0" fontId="32" fillId="0" borderId="13" xfId="0" applyFont="1" applyBorder="1" applyAlignment="1">
      <alignment vertical="center" wrapText="1"/>
    </xf>
    <xf numFmtId="3" fontId="33" fillId="0" borderId="45" xfId="0" applyNumberFormat="1" applyFont="1" applyBorder="1" applyAlignment="1">
      <alignment vertical="center"/>
    </xf>
    <xf numFmtId="0" fontId="33" fillId="0" borderId="44" xfId="0" applyFont="1" applyBorder="1" applyAlignment="1">
      <alignment vertical="center"/>
    </xf>
    <xf numFmtId="4" fontId="33" fillId="24" borderId="45" xfId="0" applyNumberFormat="1" applyFont="1" applyFill="1" applyBorder="1" applyAlignment="1">
      <alignment vertical="center"/>
    </xf>
    <xf numFmtId="4" fontId="33" fillId="24" borderId="46" xfId="0" applyNumberFormat="1" applyFont="1" applyFill="1" applyBorder="1" applyAlignment="1">
      <alignment vertical="center"/>
    </xf>
    <xf numFmtId="4" fontId="33" fillId="0" borderId="44" xfId="0" applyNumberFormat="1" applyFont="1" applyBorder="1" applyAlignment="1">
      <alignment vertical="center"/>
    </xf>
    <xf numFmtId="168" fontId="33" fillId="24" borderId="45" xfId="0" applyNumberFormat="1" applyFont="1" applyFill="1" applyBorder="1" applyAlignment="1">
      <alignment vertical="center"/>
    </xf>
    <xf numFmtId="0" fontId="28" fillId="0" borderId="39" xfId="0" applyFont="1" applyBorder="1" applyAlignment="1">
      <alignment wrapText="1"/>
    </xf>
    <xf numFmtId="0" fontId="28" fillId="0" borderId="26" xfId="0" applyFont="1" applyBorder="1" applyAlignment="1">
      <alignment wrapText="1"/>
    </xf>
    <xf numFmtId="4" fontId="28" fillId="0" borderId="29" xfId="0" applyNumberFormat="1" applyFont="1" applyBorder="1" applyAlignment="1">
      <alignment wrapText="1"/>
    </xf>
    <xf numFmtId="4" fontId="28" fillId="0" borderId="27" xfId="0" applyNumberFormat="1" applyFont="1" applyBorder="1" applyAlignment="1">
      <alignment wrapText="1"/>
    </xf>
    <xf numFmtId="0" fontId="26" fillId="0" borderId="0" xfId="0" applyFont="1"/>
    <xf numFmtId="4" fontId="0" fillId="0" borderId="16" xfId="0" applyNumberFormat="1" applyBorder="1" applyAlignment="1">
      <alignment wrapText="1"/>
    </xf>
    <xf numFmtId="0" fontId="0" fillId="0" borderId="40" xfId="0" applyBorder="1" applyAlignment="1">
      <alignment horizontal="center" wrapText="1"/>
    </xf>
    <xf numFmtId="4" fontId="28" fillId="0" borderId="46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9" xfId="0" applyBorder="1" applyAlignment="1">
      <alignment wrapText="1"/>
    </xf>
    <xf numFmtId="0" fontId="0" fillId="0" borderId="60" xfId="0" applyBorder="1"/>
    <xf numFmtId="0" fontId="0" fillId="0" borderId="70" xfId="0" applyBorder="1"/>
    <xf numFmtId="0" fontId="21" fillId="0" borderId="0" xfId="0" applyFont="1" applyAlignment="1">
      <alignment horizontal="center"/>
    </xf>
    <xf numFmtId="0" fontId="23" fillId="0" borderId="12" xfId="0" applyFont="1" applyBorder="1"/>
    <xf numFmtId="0" fontId="21" fillId="0" borderId="25" xfId="0" applyFont="1" applyBorder="1"/>
    <xf numFmtId="0" fontId="21" fillId="0" borderId="50" xfId="0" applyFont="1" applyBorder="1"/>
    <xf numFmtId="164" fontId="24" fillId="25" borderId="50" xfId="0" applyNumberFormat="1" applyFont="1" applyFill="1" applyBorder="1" applyAlignment="1">
      <alignment horizontal="center" vertical="center" wrapText="1"/>
    </xf>
    <xf numFmtId="165" fontId="24" fillId="25" borderId="50" xfId="0" applyNumberFormat="1" applyFont="1" applyFill="1" applyBorder="1" applyAlignment="1">
      <alignment horizontal="center" vertical="center" wrapText="1"/>
    </xf>
    <xf numFmtId="4" fontId="21" fillId="0" borderId="50" xfId="0" applyNumberFormat="1" applyFont="1" applyBorder="1"/>
    <xf numFmtId="165" fontId="21" fillId="0" borderId="50" xfId="0" applyNumberFormat="1" applyFont="1" applyBorder="1"/>
    <xf numFmtId="165" fontId="23" fillId="0" borderId="24" xfId="0" applyNumberFormat="1" applyFont="1" applyBorder="1"/>
    <xf numFmtId="4" fontId="21" fillId="0" borderId="23" xfId="0" applyNumberFormat="1" applyFont="1" applyBorder="1"/>
    <xf numFmtId="10" fontId="21" fillId="0" borderId="50" xfId="0" applyNumberFormat="1" applyFont="1" applyBorder="1"/>
    <xf numFmtId="165" fontId="21" fillId="0" borderId="21" xfId="0" applyNumberFormat="1" applyFont="1" applyBorder="1"/>
    <xf numFmtId="3" fontId="21" fillId="0" borderId="61" xfId="0" applyNumberFormat="1" applyFont="1" applyBorder="1"/>
    <xf numFmtId="4" fontId="23" fillId="0" borderId="23" xfId="0" applyNumberFormat="1" applyFont="1" applyBorder="1"/>
    <xf numFmtId="4" fontId="23" fillId="0" borderId="50" xfId="0" applyNumberFormat="1" applyFont="1" applyBorder="1"/>
    <xf numFmtId="10" fontId="24" fillId="0" borderId="50" xfId="0" applyNumberFormat="1" applyFont="1" applyBorder="1"/>
    <xf numFmtId="165" fontId="24" fillId="0" borderId="24" xfId="0" applyNumberFormat="1" applyFont="1" applyBorder="1" applyAlignment="1">
      <alignment horizontal="center"/>
    </xf>
    <xf numFmtId="165" fontId="24" fillId="0" borderId="23" xfId="0" applyNumberFormat="1" applyFont="1" applyBorder="1" applyAlignment="1">
      <alignment horizontal="center"/>
    </xf>
    <xf numFmtId="164" fontId="24" fillId="0" borderId="24" xfId="0" applyNumberFormat="1" applyFont="1" applyBorder="1" applyAlignment="1">
      <alignment horizontal="center"/>
    </xf>
    <xf numFmtId="4" fontId="21" fillId="0" borderId="50" xfId="0" applyNumberFormat="1" applyFont="1" applyBorder="1" applyAlignment="1">
      <alignment horizontal="center"/>
    </xf>
    <xf numFmtId="165" fontId="21" fillId="0" borderId="21" xfId="886" applyNumberFormat="1" applyFont="1" applyBorder="1"/>
    <xf numFmtId="4" fontId="21" fillId="0" borderId="25" xfId="0" applyNumberFormat="1" applyFont="1" applyBorder="1"/>
    <xf numFmtId="165" fontId="21" fillId="0" borderId="50" xfId="886" applyNumberFormat="1" applyFont="1" applyBorder="1"/>
    <xf numFmtId="0" fontId="21" fillId="0" borderId="10" xfId="0" applyFont="1" applyBorder="1" applyAlignment="1">
      <alignment horizontal="left" vertical="center"/>
    </xf>
    <xf numFmtId="164" fontId="23" fillId="0" borderId="17" xfId="0" applyNumberFormat="1" applyFont="1" applyBorder="1" applyAlignment="1">
      <alignment horizontal="center" vertical="center" wrapText="1"/>
    </xf>
    <xf numFmtId="164" fontId="23" fillId="0" borderId="18" xfId="0" applyNumberFormat="1" applyFont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/>
    </xf>
    <xf numFmtId="164" fontId="24" fillId="0" borderId="18" xfId="0" applyNumberFormat="1" applyFont="1" applyBorder="1" applyAlignment="1">
      <alignment horizontal="center" vertical="center"/>
    </xf>
    <xf numFmtId="0" fontId="23" fillId="0" borderId="18" xfId="0" applyFont="1" applyBorder="1" applyAlignment="1">
      <alignment horizontal="center"/>
    </xf>
    <xf numFmtId="164" fontId="23" fillId="25" borderId="18" xfId="0" applyNumberFormat="1" applyFont="1" applyFill="1" applyBorder="1" applyAlignment="1">
      <alignment horizontal="center" vertical="center"/>
    </xf>
    <xf numFmtId="164" fontId="24" fillId="25" borderId="18" xfId="0" applyNumberFormat="1" applyFont="1" applyFill="1" applyBorder="1" applyAlignment="1">
      <alignment horizontal="center" vertical="center" wrapText="1"/>
    </xf>
    <xf numFmtId="164" fontId="23" fillId="25" borderId="18" xfId="0" applyNumberFormat="1" applyFont="1" applyFill="1" applyBorder="1" applyAlignment="1">
      <alignment horizontal="center" vertical="center" wrapText="1"/>
    </xf>
    <xf numFmtId="169" fontId="23" fillId="25" borderId="18" xfId="0" applyNumberFormat="1" applyFont="1" applyFill="1" applyBorder="1" applyAlignment="1">
      <alignment horizontal="center" vertical="center" wrapText="1"/>
    </xf>
    <xf numFmtId="165" fontId="24" fillId="25" borderId="18" xfId="0" applyNumberFormat="1" applyFont="1" applyFill="1" applyBorder="1" applyAlignment="1">
      <alignment horizontal="center" vertical="center" wrapText="1"/>
    </xf>
    <xf numFmtId="169" fontId="23" fillId="25" borderId="18" xfId="0" applyNumberFormat="1" applyFont="1" applyFill="1" applyBorder="1" applyAlignment="1">
      <alignment horizontal="center" vertical="center"/>
    </xf>
    <xf numFmtId="169" fontId="24" fillId="0" borderId="18" xfId="0" applyNumberFormat="1" applyFont="1" applyBorder="1" applyAlignment="1">
      <alignment horizontal="center" vertical="center"/>
    </xf>
    <xf numFmtId="169" fontId="21" fillId="0" borderId="18" xfId="0" applyNumberFormat="1" applyFont="1" applyBorder="1" applyAlignment="1">
      <alignment horizontal="center" vertical="center"/>
    </xf>
    <xf numFmtId="4" fontId="21" fillId="25" borderId="18" xfId="0" applyNumberFormat="1" applyFont="1" applyFill="1" applyBorder="1" applyAlignment="1">
      <alignment horizontal="center" vertical="center"/>
    </xf>
    <xf numFmtId="4" fontId="24" fillId="0" borderId="18" xfId="0" applyNumberFormat="1" applyFont="1" applyBorder="1" applyAlignment="1">
      <alignment horizontal="center" vertical="center"/>
    </xf>
    <xf numFmtId="4" fontId="23" fillId="0" borderId="18" xfId="0" applyNumberFormat="1" applyFont="1" applyBorder="1" applyAlignment="1">
      <alignment horizontal="center" vertical="center"/>
    </xf>
    <xf numFmtId="165" fontId="24" fillId="0" borderId="15" xfId="886" applyNumberFormat="1" applyFont="1" applyBorder="1" applyAlignment="1">
      <alignment horizontal="center" vertical="center"/>
    </xf>
    <xf numFmtId="164" fontId="24" fillId="0" borderId="19" xfId="886" applyNumberFormat="1" applyFont="1" applyBorder="1" applyAlignment="1">
      <alignment horizontal="center" vertical="center"/>
    </xf>
    <xf numFmtId="4" fontId="23" fillId="0" borderId="15" xfId="0" applyNumberFormat="1" applyFont="1" applyBorder="1" applyAlignment="1">
      <alignment vertical="center"/>
    </xf>
    <xf numFmtId="4" fontId="23" fillId="0" borderId="18" xfId="0" applyNumberFormat="1" applyFont="1" applyBorder="1" applyAlignment="1">
      <alignment vertical="center"/>
    </xf>
    <xf numFmtId="165" fontId="24" fillId="0" borderId="16" xfId="886" applyNumberFormat="1" applyFont="1" applyBorder="1" applyAlignment="1">
      <alignment vertical="center"/>
    </xf>
    <xf numFmtId="4" fontId="23" fillId="0" borderId="25" xfId="0" applyNumberFormat="1" applyFont="1" applyBorder="1" applyAlignment="1">
      <alignment vertical="center"/>
    </xf>
    <xf numFmtId="4" fontId="23" fillId="0" borderId="50" xfId="0" applyNumberFormat="1" applyFont="1" applyBorder="1" applyAlignment="1">
      <alignment vertical="center"/>
    </xf>
    <xf numFmtId="165" fontId="24" fillId="0" borderId="50" xfId="886" applyNumberFormat="1" applyFont="1" applyBorder="1" applyAlignment="1">
      <alignment vertical="center"/>
    </xf>
    <xf numFmtId="165" fontId="24" fillId="0" borderId="21" xfId="886" applyNumberFormat="1" applyFont="1" applyBorder="1" applyAlignment="1">
      <alignment vertical="center"/>
    </xf>
    <xf numFmtId="4" fontId="23" fillId="0" borderId="23" xfId="0" applyNumberFormat="1" applyFont="1" applyBorder="1" applyAlignment="1">
      <alignment vertical="center"/>
    </xf>
    <xf numFmtId="169" fontId="23" fillId="25" borderId="37" xfId="0" applyNumberFormat="1" applyFont="1" applyFill="1" applyBorder="1" applyAlignment="1">
      <alignment horizontal="center" vertical="center" wrapText="1"/>
    </xf>
    <xf numFmtId="169" fontId="23" fillId="25" borderId="37" xfId="0" applyNumberFormat="1" applyFont="1" applyFill="1" applyBorder="1" applyAlignment="1">
      <alignment horizontal="center" vertical="center"/>
    </xf>
    <xf numFmtId="169" fontId="24" fillId="0" borderId="37" xfId="0" applyNumberFormat="1" applyFont="1" applyBorder="1" applyAlignment="1">
      <alignment horizontal="center" vertical="center"/>
    </xf>
    <xf numFmtId="169" fontId="21" fillId="0" borderId="37" xfId="0" applyNumberFormat="1" applyFont="1" applyBorder="1" applyAlignment="1">
      <alignment horizontal="center" vertical="center"/>
    </xf>
    <xf numFmtId="165" fontId="24" fillId="0" borderId="39" xfId="886" applyNumberFormat="1" applyFont="1" applyBorder="1" applyAlignment="1">
      <alignment horizontal="center" vertical="center"/>
    </xf>
    <xf numFmtId="164" fontId="24" fillId="0" borderId="38" xfId="886" applyNumberFormat="1" applyFont="1" applyBorder="1" applyAlignment="1">
      <alignment horizontal="center" vertical="center"/>
    </xf>
    <xf numFmtId="4" fontId="23" fillId="0" borderId="39" xfId="0" applyNumberFormat="1" applyFont="1" applyBorder="1" applyAlignment="1">
      <alignment vertical="center"/>
    </xf>
    <xf numFmtId="4" fontId="23" fillId="0" borderId="37" xfId="0" applyNumberFormat="1" applyFont="1" applyBorder="1" applyAlignment="1">
      <alignment vertical="center"/>
    </xf>
    <xf numFmtId="165" fontId="24" fillId="0" borderId="40" xfId="886" applyNumberFormat="1" applyFont="1" applyBorder="1" applyAlignment="1">
      <alignment vertical="center"/>
    </xf>
    <xf numFmtId="4" fontId="23" fillId="0" borderId="69" xfId="0" applyNumberFormat="1" applyFont="1" applyBorder="1" applyAlignment="1">
      <alignment vertical="center"/>
    </xf>
    <xf numFmtId="4" fontId="23" fillId="0" borderId="34" xfId="0" applyNumberFormat="1" applyFont="1" applyBorder="1" applyAlignment="1">
      <alignment vertical="center"/>
    </xf>
    <xf numFmtId="165" fontId="24" fillId="0" borderId="34" xfId="886" applyNumberFormat="1" applyFont="1" applyBorder="1" applyAlignment="1">
      <alignment vertical="center"/>
    </xf>
    <xf numFmtId="165" fontId="24" fillId="0" borderId="32" xfId="886" applyNumberFormat="1" applyFont="1" applyBorder="1" applyAlignment="1">
      <alignment vertical="center"/>
    </xf>
    <xf numFmtId="4" fontId="23" fillId="0" borderId="33" xfId="0" applyNumberFormat="1" applyFont="1" applyBorder="1" applyAlignment="1">
      <alignment vertical="center"/>
    </xf>
    <xf numFmtId="3" fontId="21" fillId="0" borderId="39" xfId="0" applyNumberFormat="1" applyFont="1" applyBorder="1" applyAlignment="1">
      <alignment horizontal="center" vertical="center"/>
    </xf>
    <xf numFmtId="3" fontId="21" fillId="0" borderId="37" xfId="0" applyNumberFormat="1" applyFont="1" applyBorder="1" applyAlignment="1">
      <alignment horizontal="center" vertical="center"/>
    </xf>
    <xf numFmtId="9" fontId="24" fillId="0" borderId="40" xfId="886" applyNumberFormat="1" applyFont="1" applyBorder="1" applyAlignment="1">
      <alignment horizontal="center" vertical="center"/>
    </xf>
    <xf numFmtId="4" fontId="21" fillId="0" borderId="39" xfId="886" applyNumberFormat="1" applyFont="1" applyBorder="1" applyAlignment="1">
      <alignment horizontal="center" vertical="center"/>
    </xf>
    <xf numFmtId="169" fontId="23" fillId="0" borderId="37" xfId="0" applyNumberFormat="1" applyFont="1" applyBorder="1" applyAlignment="1">
      <alignment horizontal="center" vertical="center" wrapText="1"/>
    </xf>
    <xf numFmtId="169" fontId="23" fillId="0" borderId="37" xfId="0" applyNumberFormat="1" applyFont="1" applyBorder="1" applyAlignment="1">
      <alignment horizontal="center" vertical="center"/>
    </xf>
    <xf numFmtId="165" fontId="24" fillId="0" borderId="37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4" fontId="25" fillId="0" borderId="0" xfId="0" applyNumberFormat="1" applyFont="1"/>
    <xf numFmtId="0" fontId="23" fillId="0" borderId="0" xfId="0" applyFont="1" applyAlignment="1">
      <alignment horizontal="left" vertical="center" wrapText="1"/>
    </xf>
    <xf numFmtId="164" fontId="23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3" fontId="21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 vertical="center" wrapText="1"/>
    </xf>
    <xf numFmtId="9" fontId="24" fillId="0" borderId="40" xfId="886" applyNumberFormat="1" applyFont="1" applyBorder="1" applyAlignment="1">
      <alignment horizontal="center" vertical="center"/>
    </xf>
    <xf numFmtId="165" fontId="24" fillId="0" borderId="40" xfId="886" applyNumberFormat="1" applyFont="1" applyBorder="1" applyAlignment="1">
      <alignment horizontal="center" vertical="center"/>
    </xf>
    <xf numFmtId="165" fontId="24" fillId="0" borderId="37" xfId="886" applyNumberFormat="1" applyFont="1" applyBorder="1" applyAlignment="1">
      <alignment horizontal="center" vertical="center"/>
    </xf>
    <xf numFmtId="3" fontId="21" fillId="0" borderId="36" xfId="0" applyNumberFormat="1" applyFont="1" applyBorder="1" applyAlignment="1">
      <alignment horizontal="center" vertical="center"/>
    </xf>
    <xf numFmtId="0" fontId="42" fillId="0" borderId="41" xfId="0" applyFont="1" applyBorder="1" applyAlignment="1">
      <alignment horizontal="left" vertical="center" wrapText="1"/>
    </xf>
    <xf numFmtId="164" fontId="42" fillId="0" borderId="42" xfId="0" applyNumberFormat="1" applyFont="1" applyBorder="1" applyAlignment="1">
      <alignment horizontal="center" vertical="center" wrapText="1"/>
    </xf>
    <xf numFmtId="164" fontId="42" fillId="0" borderId="43" xfId="0" applyNumberFormat="1" applyFont="1" applyBorder="1" applyAlignment="1">
      <alignment horizontal="center" vertical="center" wrapText="1"/>
    </xf>
    <xf numFmtId="164" fontId="42" fillId="25" borderId="43" xfId="0" applyNumberFormat="1" applyFont="1" applyFill="1" applyBorder="1" applyAlignment="1">
      <alignment horizontal="center" vertical="center"/>
    </xf>
    <xf numFmtId="164" fontId="43" fillId="0" borderId="43" xfId="0" applyNumberFormat="1" applyFont="1" applyBorder="1" applyAlignment="1">
      <alignment horizontal="center" vertical="center"/>
    </xf>
    <xf numFmtId="164" fontId="42" fillId="0" borderId="43" xfId="0" applyNumberFormat="1" applyFont="1" applyBorder="1" applyAlignment="1">
      <alignment horizontal="center" vertical="center"/>
    </xf>
    <xf numFmtId="164" fontId="43" fillId="25" borderId="43" xfId="0" applyNumberFormat="1" applyFont="1" applyFill="1" applyBorder="1" applyAlignment="1">
      <alignment horizontal="center" vertical="center" wrapText="1"/>
    </xf>
    <xf numFmtId="164" fontId="42" fillId="25" borderId="43" xfId="0" applyNumberFormat="1" applyFont="1" applyFill="1" applyBorder="1" applyAlignment="1">
      <alignment horizontal="center" vertical="center" wrapText="1"/>
    </xf>
    <xf numFmtId="169" fontId="42" fillId="25" borderId="43" xfId="0" applyNumberFormat="1" applyFont="1" applyFill="1" applyBorder="1" applyAlignment="1">
      <alignment horizontal="center" vertical="center" wrapText="1"/>
    </xf>
    <xf numFmtId="165" fontId="43" fillId="25" borderId="43" xfId="0" applyNumberFormat="1" applyFont="1" applyFill="1" applyBorder="1" applyAlignment="1">
      <alignment horizontal="center" vertical="center" wrapText="1"/>
    </xf>
    <xf numFmtId="169" fontId="42" fillId="25" borderId="43" xfId="0" applyNumberFormat="1" applyFont="1" applyFill="1" applyBorder="1" applyAlignment="1">
      <alignment horizontal="center" vertical="center"/>
    </xf>
    <xf numFmtId="169" fontId="43" fillId="0" borderId="43" xfId="0" applyNumberFormat="1" applyFont="1" applyBorder="1" applyAlignment="1">
      <alignment horizontal="center" vertical="center"/>
    </xf>
    <xf numFmtId="169" fontId="42" fillId="0" borderId="43" xfId="0" applyNumberFormat="1" applyFont="1" applyBorder="1" applyAlignment="1">
      <alignment horizontal="center" vertical="center"/>
    </xf>
    <xf numFmtId="4" fontId="42" fillId="25" borderId="43" xfId="0" applyNumberFormat="1" applyFont="1" applyFill="1" applyBorder="1" applyAlignment="1">
      <alignment horizontal="center" vertical="center"/>
    </xf>
    <xf numFmtId="4" fontId="43" fillId="0" borderId="43" xfId="0" applyNumberFormat="1" applyFont="1" applyBorder="1" applyAlignment="1">
      <alignment horizontal="center" vertical="center"/>
    </xf>
    <xf numFmtId="165" fontId="43" fillId="0" borderId="43" xfId="886" applyNumberFormat="1" applyFont="1" applyBorder="1" applyAlignment="1">
      <alignment horizontal="center" vertical="center"/>
    </xf>
    <xf numFmtId="4" fontId="42" fillId="0" borderId="44" xfId="886" applyNumberFormat="1" applyFont="1" applyBorder="1" applyAlignment="1">
      <alignment horizontal="center" vertical="center"/>
    </xf>
    <xf numFmtId="4" fontId="42" fillId="0" borderId="45" xfId="0" applyNumberFormat="1" applyFont="1" applyBorder="1" applyAlignment="1">
      <alignment horizontal="center" vertical="center"/>
    </xf>
    <xf numFmtId="4" fontId="42" fillId="0" borderId="43" xfId="0" applyNumberFormat="1" applyFont="1" applyBorder="1" applyAlignment="1">
      <alignment horizontal="center" vertical="center"/>
    </xf>
    <xf numFmtId="10" fontId="43" fillId="0" borderId="43" xfId="886" applyNumberFormat="1" applyFont="1" applyBorder="1" applyAlignment="1">
      <alignment horizontal="center" vertical="center"/>
    </xf>
    <xf numFmtId="165" fontId="43" fillId="0" borderId="46" xfId="886" applyNumberFormat="1" applyFont="1" applyBorder="1" applyAlignment="1">
      <alignment horizontal="center" vertical="center"/>
    </xf>
    <xf numFmtId="169" fontId="42" fillId="0" borderId="72" xfId="886" applyNumberFormat="1" applyFont="1" applyBorder="1" applyAlignment="1">
      <alignment horizontal="center" vertical="center"/>
    </xf>
    <xf numFmtId="4" fontId="42" fillId="0" borderId="45" xfId="886" applyNumberFormat="1" applyFont="1" applyBorder="1" applyAlignment="1">
      <alignment horizontal="center" vertical="center"/>
    </xf>
    <xf numFmtId="4" fontId="42" fillId="0" borderId="43" xfId="886" applyNumberFormat="1" applyFont="1" applyBorder="1" applyAlignment="1">
      <alignment horizontal="center" vertical="center"/>
    </xf>
    <xf numFmtId="165" fontId="43" fillId="0" borderId="44" xfId="886" applyNumberFormat="1" applyFont="1" applyBorder="1" applyAlignment="1">
      <alignment horizontal="center" vertical="center"/>
    </xf>
    <xf numFmtId="3" fontId="42" fillId="0" borderId="45" xfId="886" applyNumberFormat="1" applyFont="1" applyBorder="1" applyAlignment="1">
      <alignment horizontal="center" vertical="center"/>
    </xf>
    <xf numFmtId="3" fontId="42" fillId="0" borderId="43" xfId="886" applyNumberFormat="1" applyFont="1" applyBorder="1" applyAlignment="1">
      <alignment horizontal="center" vertical="center"/>
    </xf>
    <xf numFmtId="169" fontId="42" fillId="0" borderId="43" xfId="886" applyNumberFormat="1" applyFont="1" applyBorder="1" applyAlignment="1">
      <alignment horizontal="center" vertical="center"/>
    </xf>
    <xf numFmtId="9" fontId="43" fillId="0" borderId="46" xfId="886" applyNumberFormat="1" applyFont="1" applyBorder="1" applyAlignment="1">
      <alignment horizontal="center" vertical="center"/>
    </xf>
    <xf numFmtId="4" fontId="42" fillId="0" borderId="42" xfId="886" applyNumberFormat="1" applyFont="1" applyBorder="1" applyAlignment="1">
      <alignment horizontal="center" vertical="center"/>
    </xf>
    <xf numFmtId="9" fontId="43" fillId="0" borderId="43" xfId="886" applyNumberFormat="1" applyFont="1" applyBorder="1" applyAlignment="1">
      <alignment horizontal="center" vertical="center"/>
    </xf>
    <xf numFmtId="0" fontId="42" fillId="0" borderId="0" xfId="0" applyFont="1"/>
    <xf numFmtId="0" fontId="26" fillId="0" borderId="0" xfId="0" applyFont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54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4" fontId="28" fillId="27" borderId="58" xfId="0" applyNumberFormat="1" applyFont="1" applyFill="1" applyBorder="1" applyAlignment="1">
      <alignment horizontal="center"/>
    </xf>
    <xf numFmtId="0" fontId="28" fillId="27" borderId="59" xfId="0" applyFont="1" applyFill="1" applyBorder="1" applyAlignment="1">
      <alignment horizontal="center"/>
    </xf>
    <xf numFmtId="4" fontId="28" fillId="27" borderId="45" xfId="0" applyNumberFormat="1" applyFont="1" applyFill="1" applyBorder="1" applyAlignment="1">
      <alignment horizontal="center" wrapText="1"/>
    </xf>
    <xf numFmtId="4" fontId="28" fillId="27" borderId="43" xfId="0" applyNumberFormat="1" applyFont="1" applyFill="1" applyBorder="1" applyAlignment="1">
      <alignment horizontal="center" wrapText="1"/>
    </xf>
    <xf numFmtId="4" fontId="28" fillId="27" borderId="46" xfId="0" applyNumberFormat="1" applyFont="1" applyFill="1" applyBorder="1" applyAlignment="1">
      <alignment horizontal="center" wrapText="1"/>
    </xf>
    <xf numFmtId="0" fontId="29" fillId="0" borderId="60" xfId="0" applyFont="1" applyBorder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0" fillId="0" borderId="45" xfId="0" applyBorder="1" applyAlignment="1">
      <alignment horizontal="left" wrapText="1"/>
    </xf>
    <xf numFmtId="0" fontId="0" fillId="0" borderId="43" xfId="0" applyBorder="1" applyAlignment="1">
      <alignment horizontal="left" wrapText="1"/>
    </xf>
    <xf numFmtId="4" fontId="0" fillId="0" borderId="38" xfId="0" applyNumberFormat="1" applyBorder="1" applyAlignment="1">
      <alignment horizontal="center" vertical="center"/>
    </xf>
    <xf numFmtId="4" fontId="0" fillId="0" borderId="36" xfId="0" applyNumberFormat="1" applyBorder="1" applyAlignment="1">
      <alignment horizontal="center" vertical="center"/>
    </xf>
    <xf numFmtId="4" fontId="0" fillId="0" borderId="44" xfId="0" applyNumberFormat="1" applyBorder="1" applyAlignment="1">
      <alignment horizontal="center" vertical="center"/>
    </xf>
    <xf numFmtId="4" fontId="0" fillId="0" borderId="42" xfId="0" applyNumberFormat="1" applyBorder="1" applyAlignment="1">
      <alignment horizontal="center" vertical="center"/>
    </xf>
    <xf numFmtId="0" fontId="0" fillId="0" borderId="15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39" xfId="0" applyBorder="1" applyAlignment="1">
      <alignment horizontal="left" wrapText="1"/>
    </xf>
    <xf numFmtId="0" fontId="0" fillId="0" borderId="37" xfId="0" applyBorder="1" applyAlignment="1">
      <alignment horizontal="left" wrapText="1"/>
    </xf>
    <xf numFmtId="0" fontId="21" fillId="0" borderId="50" xfId="0" applyFont="1" applyBorder="1" applyAlignment="1">
      <alignment horizontal="center"/>
    </xf>
    <xf numFmtId="169" fontId="21" fillId="0" borderId="18" xfId="0" applyNumberFormat="1" applyFont="1" applyBorder="1" applyAlignment="1">
      <alignment horizontal="center" vertical="center"/>
    </xf>
    <xf numFmtId="169" fontId="21" fillId="0" borderId="37" xfId="0" applyNumberFormat="1" applyFont="1" applyBorder="1" applyAlignment="1">
      <alignment horizontal="center" vertical="center"/>
    </xf>
    <xf numFmtId="4" fontId="23" fillId="0" borderId="15" xfId="886" applyNumberFormat="1" applyFont="1" applyBorder="1" applyAlignment="1">
      <alignment horizontal="center" vertical="center"/>
    </xf>
    <xf numFmtId="4" fontId="23" fillId="0" borderId="39" xfId="886" applyNumberFormat="1" applyFont="1" applyBorder="1" applyAlignment="1">
      <alignment horizontal="center" vertical="center"/>
    </xf>
    <xf numFmtId="165" fontId="24" fillId="0" borderId="18" xfId="886" applyNumberFormat="1" applyFont="1" applyBorder="1" applyAlignment="1">
      <alignment horizontal="center" vertical="center"/>
    </xf>
    <xf numFmtId="165" fontId="24" fillId="0" borderId="37" xfId="886" applyNumberFormat="1" applyFont="1" applyBorder="1" applyAlignment="1">
      <alignment horizontal="center" vertical="center"/>
    </xf>
    <xf numFmtId="4" fontId="23" fillId="0" borderId="19" xfId="886" applyNumberFormat="1" applyFont="1" applyBorder="1" applyAlignment="1">
      <alignment horizontal="center" vertical="center"/>
    </xf>
    <xf numFmtId="4" fontId="23" fillId="0" borderId="38" xfId="886" applyNumberFormat="1" applyFont="1" applyBorder="1" applyAlignment="1">
      <alignment horizontal="center" vertical="center"/>
    </xf>
    <xf numFmtId="4" fontId="23" fillId="0" borderId="15" xfId="0" applyNumberFormat="1" applyFont="1" applyBorder="1" applyAlignment="1">
      <alignment horizontal="center" vertical="center"/>
    </xf>
    <xf numFmtId="4" fontId="23" fillId="0" borderId="39" xfId="0" applyNumberFormat="1" applyFont="1" applyBorder="1" applyAlignment="1">
      <alignment horizontal="center" vertical="center"/>
    </xf>
    <xf numFmtId="4" fontId="23" fillId="0" borderId="18" xfId="0" applyNumberFormat="1" applyFont="1" applyBorder="1" applyAlignment="1">
      <alignment horizontal="center" vertical="center"/>
    </xf>
    <xf numFmtId="4" fontId="23" fillId="0" borderId="37" xfId="0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/>
    <xf numFmtId="0" fontId="25" fillId="0" borderId="0" xfId="0" applyFont="1" applyAlignment="1">
      <alignment horizontal="left" vertical="top" wrapText="1"/>
    </xf>
    <xf numFmtId="169" fontId="23" fillId="0" borderId="38" xfId="886" applyNumberFormat="1" applyFont="1" applyBorder="1" applyAlignment="1">
      <alignment horizontal="center" vertical="center"/>
    </xf>
    <xf numFmtId="169" fontId="23" fillId="0" borderId="44" xfId="886" applyNumberFormat="1" applyFont="1" applyBorder="1" applyAlignment="1">
      <alignment horizontal="center" vertical="center"/>
    </xf>
    <xf numFmtId="9" fontId="24" fillId="0" borderId="40" xfId="886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top"/>
    </xf>
    <xf numFmtId="4" fontId="23" fillId="0" borderId="18" xfId="886" applyNumberFormat="1" applyFont="1" applyBorder="1" applyAlignment="1">
      <alignment horizontal="center" vertical="center"/>
    </xf>
    <xf numFmtId="4" fontId="23" fillId="0" borderId="37" xfId="886" applyNumberFormat="1" applyFont="1" applyBorder="1" applyAlignment="1">
      <alignment horizontal="center" vertical="center"/>
    </xf>
    <xf numFmtId="10" fontId="24" fillId="0" borderId="18" xfId="886" applyNumberFormat="1" applyFont="1" applyBorder="1" applyAlignment="1">
      <alignment horizontal="center" vertical="center"/>
    </xf>
    <xf numFmtId="10" fontId="24" fillId="0" borderId="37" xfId="886" applyNumberFormat="1" applyFont="1" applyBorder="1" applyAlignment="1">
      <alignment horizontal="center" vertical="center"/>
    </xf>
    <xf numFmtId="165" fontId="24" fillId="0" borderId="19" xfId="886" applyNumberFormat="1" applyFont="1" applyBorder="1" applyAlignment="1">
      <alignment horizontal="center" vertical="center"/>
    </xf>
    <xf numFmtId="165" fontId="24" fillId="0" borderId="38" xfId="886" applyNumberFormat="1" applyFont="1" applyBorder="1" applyAlignment="1">
      <alignment horizontal="center" vertical="center"/>
    </xf>
    <xf numFmtId="4" fontId="21" fillId="0" borderId="26" xfId="886" applyNumberFormat="1" applyFont="1" applyBorder="1" applyAlignment="1">
      <alignment horizontal="center" vertical="center"/>
    </xf>
    <xf numFmtId="4" fontId="21" fillId="0" borderId="33" xfId="886" applyNumberFormat="1" applyFont="1" applyBorder="1" applyAlignment="1">
      <alignment horizontal="center" vertical="center"/>
    </xf>
    <xf numFmtId="4" fontId="21" fillId="0" borderId="47" xfId="886" applyNumberFormat="1" applyFont="1" applyBorder="1" applyAlignment="1">
      <alignment horizontal="center" vertical="center"/>
    </xf>
    <xf numFmtId="165" fontId="24" fillId="0" borderId="16" xfId="886" applyNumberFormat="1" applyFont="1" applyBorder="1" applyAlignment="1">
      <alignment horizontal="center" vertical="center"/>
    </xf>
    <xf numFmtId="165" fontId="24" fillId="0" borderId="40" xfId="886" applyNumberFormat="1" applyFont="1" applyBorder="1" applyAlignment="1">
      <alignment horizontal="center" vertical="center"/>
    </xf>
    <xf numFmtId="169" fontId="21" fillId="0" borderId="64" xfId="886" applyNumberFormat="1" applyFont="1" applyBorder="1" applyAlignment="1">
      <alignment horizontal="center" vertical="center"/>
    </xf>
    <xf numFmtId="169" fontId="21" fillId="0" borderId="74" xfId="886" applyNumberFormat="1" applyFont="1" applyBorder="1" applyAlignment="1">
      <alignment horizontal="center" vertical="center"/>
    </xf>
    <xf numFmtId="0" fontId="44" fillId="0" borderId="0" xfId="0" applyFont="1"/>
    <xf numFmtId="0" fontId="23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64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23" fillId="0" borderId="41" xfId="0" applyFont="1" applyFill="1" applyBorder="1" applyAlignment="1">
      <alignment horizontal="center" vertical="center" wrapText="1"/>
    </xf>
    <xf numFmtId="0" fontId="23" fillId="0" borderId="60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51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3" fillId="0" borderId="53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45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58" xfId="0" applyFont="1" applyFill="1" applyBorder="1" applyAlignment="1">
      <alignment horizontal="center" vertical="center" wrapText="1"/>
    </xf>
    <xf numFmtId="0" fontId="23" fillId="0" borderId="68" xfId="0" applyFont="1" applyFill="1" applyBorder="1" applyAlignment="1">
      <alignment horizontal="center" vertical="center" wrapText="1"/>
    </xf>
    <xf numFmtId="0" fontId="23" fillId="0" borderId="72" xfId="0" applyFont="1" applyFill="1" applyBorder="1" applyAlignment="1">
      <alignment horizontal="center" vertical="center" wrapText="1"/>
    </xf>
    <xf numFmtId="0" fontId="23" fillId="0" borderId="66" xfId="0" applyFont="1" applyFill="1" applyBorder="1" applyAlignment="1">
      <alignment horizontal="center" vertical="center" wrapText="1"/>
    </xf>
    <xf numFmtId="0" fontId="23" fillId="0" borderId="67" xfId="0" applyFont="1" applyFill="1" applyBorder="1" applyAlignment="1">
      <alignment horizontal="center" vertical="center" wrapText="1"/>
    </xf>
    <xf numFmtId="0" fontId="23" fillId="0" borderId="73" xfId="0" applyFont="1" applyFill="1" applyBorder="1" applyAlignment="1">
      <alignment horizontal="center" vertical="center" wrapText="1"/>
    </xf>
    <xf numFmtId="0" fontId="23" fillId="0" borderId="45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</cellXfs>
  <cellStyles count="951">
    <cellStyle name="20% — акцент1" xfId="1"/>
    <cellStyle name="20% - Акцент1 2" xfId="2"/>
    <cellStyle name="20% — акцент1 2" xfId="3"/>
    <cellStyle name="20% - Акцент1 2 10" xfId="4"/>
    <cellStyle name="20% - Акцент1 2 2" xfId="5"/>
    <cellStyle name="20% - Акцент1 2 3" xfId="6"/>
    <cellStyle name="20% - Акцент1 2 4" xfId="7"/>
    <cellStyle name="20% - Акцент1 2 5" xfId="8"/>
    <cellStyle name="20% - Акцент1 2 6" xfId="9"/>
    <cellStyle name="20% - Акцент1 2 7" xfId="10"/>
    <cellStyle name="20% - Акцент1 2 8" xfId="11"/>
    <cellStyle name="20% - Акцент1 2 9" xfId="12"/>
    <cellStyle name="20% - Акцент1 3" xfId="13"/>
    <cellStyle name="20% - Акцент1 3 10" xfId="14"/>
    <cellStyle name="20% - Акцент1 3 2" xfId="15"/>
    <cellStyle name="20% - Акцент1 3 3" xfId="16"/>
    <cellStyle name="20% - Акцент1 3 4" xfId="17"/>
    <cellStyle name="20% - Акцент1 3 5" xfId="18"/>
    <cellStyle name="20% - Акцент1 3 6" xfId="19"/>
    <cellStyle name="20% - Акцент1 3 7" xfId="20"/>
    <cellStyle name="20% - Акцент1 3 8" xfId="21"/>
    <cellStyle name="20% - Акцент1 3 9" xfId="22"/>
    <cellStyle name="20% — акцент2" xfId="23"/>
    <cellStyle name="20% - Акцент2 2" xfId="24"/>
    <cellStyle name="20% — акцент2 2" xfId="25"/>
    <cellStyle name="20% - Акцент2 2 10" xfId="26"/>
    <cellStyle name="20% - Акцент2 2 2" xfId="27"/>
    <cellStyle name="20% - Акцент2 2 3" xfId="28"/>
    <cellStyle name="20% - Акцент2 2 4" xfId="29"/>
    <cellStyle name="20% - Акцент2 2 5" xfId="30"/>
    <cellStyle name="20% - Акцент2 2 6" xfId="31"/>
    <cellStyle name="20% - Акцент2 2 7" xfId="32"/>
    <cellStyle name="20% - Акцент2 2 8" xfId="33"/>
    <cellStyle name="20% - Акцент2 2 9" xfId="34"/>
    <cellStyle name="20% - Акцент2 3" xfId="35"/>
    <cellStyle name="20% - Акцент2 3 10" xfId="36"/>
    <cellStyle name="20% - Акцент2 3 2" xfId="37"/>
    <cellStyle name="20% - Акцент2 3 3" xfId="38"/>
    <cellStyle name="20% - Акцент2 3 4" xfId="39"/>
    <cellStyle name="20% - Акцент2 3 5" xfId="40"/>
    <cellStyle name="20% - Акцент2 3 6" xfId="41"/>
    <cellStyle name="20% - Акцент2 3 7" xfId="42"/>
    <cellStyle name="20% - Акцент2 3 8" xfId="43"/>
    <cellStyle name="20% - Акцент2 3 9" xfId="44"/>
    <cellStyle name="20% — акцент3" xfId="45"/>
    <cellStyle name="20% - Акцент3 2" xfId="46"/>
    <cellStyle name="20% — акцент3 2" xfId="47"/>
    <cellStyle name="20% - Акцент3 2 10" xfId="48"/>
    <cellStyle name="20% - Акцент3 2 2" xfId="49"/>
    <cellStyle name="20% - Акцент3 2 3" xfId="50"/>
    <cellStyle name="20% - Акцент3 2 4" xfId="51"/>
    <cellStyle name="20% - Акцент3 2 5" xfId="52"/>
    <cellStyle name="20% - Акцент3 2 6" xfId="53"/>
    <cellStyle name="20% - Акцент3 2 7" xfId="54"/>
    <cellStyle name="20% - Акцент3 2 8" xfId="55"/>
    <cellStyle name="20% - Акцент3 2 9" xfId="56"/>
    <cellStyle name="20% - Акцент3 3" xfId="57"/>
    <cellStyle name="20% - Акцент3 3 10" xfId="58"/>
    <cellStyle name="20% - Акцент3 3 2" xfId="59"/>
    <cellStyle name="20% - Акцент3 3 3" xfId="60"/>
    <cellStyle name="20% - Акцент3 3 4" xfId="61"/>
    <cellStyle name="20% - Акцент3 3 5" xfId="62"/>
    <cellStyle name="20% - Акцент3 3 6" xfId="63"/>
    <cellStyle name="20% - Акцент3 3 7" xfId="64"/>
    <cellStyle name="20% - Акцент3 3 8" xfId="65"/>
    <cellStyle name="20% - Акцент3 3 9" xfId="66"/>
    <cellStyle name="20% — акцент4" xfId="67"/>
    <cellStyle name="20% - Акцент4 2" xfId="68"/>
    <cellStyle name="20% — акцент4 2" xfId="69"/>
    <cellStyle name="20% - Акцент4 2 10" xfId="70"/>
    <cellStyle name="20% - Акцент4 2 2" xfId="71"/>
    <cellStyle name="20% - Акцент4 2 3" xfId="72"/>
    <cellStyle name="20% - Акцент4 2 4" xfId="73"/>
    <cellStyle name="20% - Акцент4 2 5" xfId="74"/>
    <cellStyle name="20% - Акцент4 2 6" xfId="75"/>
    <cellStyle name="20% - Акцент4 2 7" xfId="76"/>
    <cellStyle name="20% - Акцент4 2 8" xfId="77"/>
    <cellStyle name="20% - Акцент4 2 9" xfId="78"/>
    <cellStyle name="20% - Акцент4 3" xfId="79"/>
    <cellStyle name="20% - Акцент4 3 10" xfId="80"/>
    <cellStyle name="20% - Акцент4 3 2" xfId="81"/>
    <cellStyle name="20% - Акцент4 3 3" xfId="82"/>
    <cellStyle name="20% - Акцент4 3 4" xfId="83"/>
    <cellStyle name="20% - Акцент4 3 5" xfId="84"/>
    <cellStyle name="20% - Акцент4 3 6" xfId="85"/>
    <cellStyle name="20% - Акцент4 3 7" xfId="86"/>
    <cellStyle name="20% - Акцент4 3 8" xfId="87"/>
    <cellStyle name="20% - Акцент4 3 9" xfId="88"/>
    <cellStyle name="20% — акцент5" xfId="89"/>
    <cellStyle name="20% - Акцент5 2" xfId="90"/>
    <cellStyle name="20% — акцент5 2" xfId="91"/>
    <cellStyle name="20% - Акцент5 2 10" xfId="92"/>
    <cellStyle name="20% - Акцент5 2 2" xfId="93"/>
    <cellStyle name="20% - Акцент5 2 3" xfId="94"/>
    <cellStyle name="20% - Акцент5 2 4" xfId="95"/>
    <cellStyle name="20% - Акцент5 2 5" xfId="96"/>
    <cellStyle name="20% - Акцент5 2 6" xfId="97"/>
    <cellStyle name="20% - Акцент5 2 7" xfId="98"/>
    <cellStyle name="20% - Акцент5 2 8" xfId="99"/>
    <cellStyle name="20% - Акцент5 2 9" xfId="100"/>
    <cellStyle name="20% - Акцент5 3" xfId="101"/>
    <cellStyle name="20% - Акцент5 3 10" xfId="102"/>
    <cellStyle name="20% - Акцент5 3 2" xfId="103"/>
    <cellStyle name="20% - Акцент5 3 3" xfId="104"/>
    <cellStyle name="20% - Акцент5 3 4" xfId="105"/>
    <cellStyle name="20% - Акцент5 3 5" xfId="106"/>
    <cellStyle name="20% - Акцент5 3 6" xfId="107"/>
    <cellStyle name="20% - Акцент5 3 7" xfId="108"/>
    <cellStyle name="20% - Акцент5 3 8" xfId="109"/>
    <cellStyle name="20% - Акцент5 3 9" xfId="110"/>
    <cellStyle name="20% — акцент6" xfId="111"/>
    <cellStyle name="20% - Акцент6 2" xfId="112"/>
    <cellStyle name="20% — акцент6 2" xfId="113"/>
    <cellStyle name="20% - Акцент6 2 10" xfId="114"/>
    <cellStyle name="20% - Акцент6 2 2" xfId="115"/>
    <cellStyle name="20% - Акцент6 2 3" xfId="116"/>
    <cellStyle name="20% - Акцент6 2 4" xfId="117"/>
    <cellStyle name="20% - Акцент6 2 5" xfId="118"/>
    <cellStyle name="20% - Акцент6 2 6" xfId="119"/>
    <cellStyle name="20% - Акцент6 2 7" xfId="120"/>
    <cellStyle name="20% - Акцент6 2 8" xfId="121"/>
    <cellStyle name="20% - Акцент6 2 9" xfId="122"/>
    <cellStyle name="20% - Акцент6 3" xfId="123"/>
    <cellStyle name="20% - Акцент6 3 10" xfId="124"/>
    <cellStyle name="20% - Акцент6 3 2" xfId="125"/>
    <cellStyle name="20% - Акцент6 3 3" xfId="126"/>
    <cellStyle name="20% - Акцент6 3 4" xfId="127"/>
    <cellStyle name="20% - Акцент6 3 5" xfId="128"/>
    <cellStyle name="20% - Акцент6 3 6" xfId="129"/>
    <cellStyle name="20% - Акцент6 3 7" xfId="130"/>
    <cellStyle name="20% - Акцент6 3 8" xfId="131"/>
    <cellStyle name="20% - Акцент6 3 9" xfId="132"/>
    <cellStyle name="40% — акцент1" xfId="133"/>
    <cellStyle name="40% - Акцент1 2" xfId="134"/>
    <cellStyle name="40% — акцент1 2" xfId="135"/>
    <cellStyle name="40% - Акцент1 2 10" xfId="136"/>
    <cellStyle name="40% - Акцент1 2 2" xfId="137"/>
    <cellStyle name="40% - Акцент1 2 3" xfId="138"/>
    <cellStyle name="40% - Акцент1 2 4" xfId="139"/>
    <cellStyle name="40% - Акцент1 2 5" xfId="140"/>
    <cellStyle name="40% - Акцент1 2 6" xfId="141"/>
    <cellStyle name="40% - Акцент1 2 7" xfId="142"/>
    <cellStyle name="40% - Акцент1 2 8" xfId="143"/>
    <cellStyle name="40% - Акцент1 2 9" xfId="144"/>
    <cellStyle name="40% - Акцент1 3" xfId="145"/>
    <cellStyle name="40% - Акцент1 3 10" xfId="146"/>
    <cellStyle name="40% - Акцент1 3 2" xfId="147"/>
    <cellStyle name="40% - Акцент1 3 3" xfId="148"/>
    <cellStyle name="40% - Акцент1 3 4" xfId="149"/>
    <cellStyle name="40% - Акцент1 3 5" xfId="150"/>
    <cellStyle name="40% - Акцент1 3 6" xfId="151"/>
    <cellStyle name="40% - Акцент1 3 7" xfId="152"/>
    <cellStyle name="40% - Акцент1 3 8" xfId="153"/>
    <cellStyle name="40% - Акцент1 3 9" xfId="154"/>
    <cellStyle name="40% — акцент2" xfId="155"/>
    <cellStyle name="40% - Акцент2 2" xfId="156"/>
    <cellStyle name="40% — акцент2 2" xfId="157"/>
    <cellStyle name="40% - Акцент2 2 10" xfId="158"/>
    <cellStyle name="40% - Акцент2 2 2" xfId="159"/>
    <cellStyle name="40% - Акцент2 2 3" xfId="160"/>
    <cellStyle name="40% - Акцент2 2 4" xfId="161"/>
    <cellStyle name="40% - Акцент2 2 5" xfId="162"/>
    <cellStyle name="40% - Акцент2 2 6" xfId="163"/>
    <cellStyle name="40% - Акцент2 2 7" xfId="164"/>
    <cellStyle name="40% - Акцент2 2 8" xfId="165"/>
    <cellStyle name="40% - Акцент2 2 9" xfId="166"/>
    <cellStyle name="40% - Акцент2 3" xfId="167"/>
    <cellStyle name="40% - Акцент2 3 10" xfId="168"/>
    <cellStyle name="40% - Акцент2 3 2" xfId="169"/>
    <cellStyle name="40% - Акцент2 3 3" xfId="170"/>
    <cellStyle name="40% - Акцент2 3 4" xfId="171"/>
    <cellStyle name="40% - Акцент2 3 5" xfId="172"/>
    <cellStyle name="40% - Акцент2 3 6" xfId="173"/>
    <cellStyle name="40% - Акцент2 3 7" xfId="174"/>
    <cellStyle name="40% - Акцент2 3 8" xfId="175"/>
    <cellStyle name="40% - Акцент2 3 9" xfId="176"/>
    <cellStyle name="40% — акцент3" xfId="177"/>
    <cellStyle name="40% - Акцент3 2" xfId="178"/>
    <cellStyle name="40% — акцент3 2" xfId="179"/>
    <cellStyle name="40% - Акцент3 2 10" xfId="180"/>
    <cellStyle name="40% - Акцент3 2 2" xfId="181"/>
    <cellStyle name="40% - Акцент3 2 3" xfId="182"/>
    <cellStyle name="40% - Акцент3 2 4" xfId="183"/>
    <cellStyle name="40% - Акцент3 2 5" xfId="184"/>
    <cellStyle name="40% - Акцент3 2 6" xfId="185"/>
    <cellStyle name="40% - Акцент3 2 7" xfId="186"/>
    <cellStyle name="40% - Акцент3 2 8" xfId="187"/>
    <cellStyle name="40% - Акцент3 2 9" xfId="188"/>
    <cellStyle name="40% - Акцент3 3" xfId="189"/>
    <cellStyle name="40% - Акцент3 3 10" xfId="190"/>
    <cellStyle name="40% - Акцент3 3 2" xfId="191"/>
    <cellStyle name="40% - Акцент3 3 3" xfId="192"/>
    <cellStyle name="40% - Акцент3 3 4" xfId="193"/>
    <cellStyle name="40% - Акцент3 3 5" xfId="194"/>
    <cellStyle name="40% - Акцент3 3 6" xfId="195"/>
    <cellStyle name="40% - Акцент3 3 7" xfId="196"/>
    <cellStyle name="40% - Акцент3 3 8" xfId="197"/>
    <cellStyle name="40% - Акцент3 3 9" xfId="198"/>
    <cellStyle name="40% — акцент4" xfId="199"/>
    <cellStyle name="40% - Акцент4 2" xfId="200"/>
    <cellStyle name="40% — акцент4 2" xfId="201"/>
    <cellStyle name="40% - Акцент4 2 10" xfId="202"/>
    <cellStyle name="40% - Акцент4 2 2" xfId="203"/>
    <cellStyle name="40% - Акцент4 2 3" xfId="204"/>
    <cellStyle name="40% - Акцент4 2 4" xfId="205"/>
    <cellStyle name="40% - Акцент4 2 5" xfId="206"/>
    <cellStyle name="40% - Акцент4 2 6" xfId="207"/>
    <cellStyle name="40% - Акцент4 2 7" xfId="208"/>
    <cellStyle name="40% - Акцент4 2 8" xfId="209"/>
    <cellStyle name="40% - Акцент4 2 9" xfId="210"/>
    <cellStyle name="40% - Акцент4 3" xfId="211"/>
    <cellStyle name="40% - Акцент4 3 10" xfId="212"/>
    <cellStyle name="40% - Акцент4 3 2" xfId="213"/>
    <cellStyle name="40% - Акцент4 3 3" xfId="214"/>
    <cellStyle name="40% - Акцент4 3 4" xfId="215"/>
    <cellStyle name="40% - Акцент4 3 5" xfId="216"/>
    <cellStyle name="40% - Акцент4 3 6" xfId="217"/>
    <cellStyle name="40% - Акцент4 3 7" xfId="218"/>
    <cellStyle name="40% - Акцент4 3 8" xfId="219"/>
    <cellStyle name="40% - Акцент4 3 9" xfId="220"/>
    <cellStyle name="40% — акцент5" xfId="221"/>
    <cellStyle name="40% - Акцент5 2" xfId="222"/>
    <cellStyle name="40% — акцент5 2" xfId="223"/>
    <cellStyle name="40% - Акцент5 2 10" xfId="224"/>
    <cellStyle name="40% - Акцент5 2 2" xfId="225"/>
    <cellStyle name="40% - Акцент5 2 3" xfId="226"/>
    <cellStyle name="40% - Акцент5 2 4" xfId="227"/>
    <cellStyle name="40% - Акцент5 2 5" xfId="228"/>
    <cellStyle name="40% - Акцент5 2 6" xfId="229"/>
    <cellStyle name="40% - Акцент5 2 7" xfId="230"/>
    <cellStyle name="40% - Акцент5 2 8" xfId="231"/>
    <cellStyle name="40% - Акцент5 2 9" xfId="232"/>
    <cellStyle name="40% - Акцент5 3" xfId="233"/>
    <cellStyle name="40% - Акцент5 3 10" xfId="234"/>
    <cellStyle name="40% - Акцент5 3 2" xfId="235"/>
    <cellStyle name="40% - Акцент5 3 3" xfId="236"/>
    <cellStyle name="40% - Акцент5 3 4" xfId="237"/>
    <cellStyle name="40% - Акцент5 3 5" xfId="238"/>
    <cellStyle name="40% - Акцент5 3 6" xfId="239"/>
    <cellStyle name="40% - Акцент5 3 7" xfId="240"/>
    <cellStyle name="40% - Акцент5 3 8" xfId="241"/>
    <cellStyle name="40% - Акцент5 3 9" xfId="242"/>
    <cellStyle name="40% — акцент6" xfId="243"/>
    <cellStyle name="40% - Акцент6 2" xfId="244"/>
    <cellStyle name="40% — акцент6 2" xfId="245"/>
    <cellStyle name="40% - Акцент6 2 10" xfId="246"/>
    <cellStyle name="40% - Акцент6 2 2" xfId="247"/>
    <cellStyle name="40% - Акцент6 2 3" xfId="248"/>
    <cellStyle name="40% - Акцент6 2 4" xfId="249"/>
    <cellStyle name="40% - Акцент6 2 5" xfId="250"/>
    <cellStyle name="40% - Акцент6 2 6" xfId="251"/>
    <cellStyle name="40% - Акцент6 2 7" xfId="252"/>
    <cellStyle name="40% - Акцент6 2 8" xfId="253"/>
    <cellStyle name="40% - Акцент6 2 9" xfId="254"/>
    <cellStyle name="40% - Акцент6 3" xfId="255"/>
    <cellStyle name="40% - Акцент6 3 10" xfId="256"/>
    <cellStyle name="40% - Акцент6 3 2" xfId="257"/>
    <cellStyle name="40% - Акцент6 3 3" xfId="258"/>
    <cellStyle name="40% - Акцент6 3 4" xfId="259"/>
    <cellStyle name="40% - Акцент6 3 5" xfId="260"/>
    <cellStyle name="40% - Акцент6 3 6" xfId="261"/>
    <cellStyle name="40% - Акцент6 3 7" xfId="262"/>
    <cellStyle name="40% - Акцент6 3 8" xfId="263"/>
    <cellStyle name="40% - Акцент6 3 9" xfId="264"/>
    <cellStyle name="60% — акцент1" xfId="265"/>
    <cellStyle name="60% - Акцент1 2" xfId="266"/>
    <cellStyle name="60% — акцент1 2" xfId="267"/>
    <cellStyle name="60% - Акцент1 2 10" xfId="268"/>
    <cellStyle name="60% - Акцент1 2 2" xfId="269"/>
    <cellStyle name="60% - Акцент1 2 3" xfId="270"/>
    <cellStyle name="60% - Акцент1 2 4" xfId="271"/>
    <cellStyle name="60% - Акцент1 2 5" xfId="272"/>
    <cellStyle name="60% - Акцент1 2 6" xfId="273"/>
    <cellStyle name="60% - Акцент1 2 7" xfId="274"/>
    <cellStyle name="60% - Акцент1 2 8" xfId="275"/>
    <cellStyle name="60% - Акцент1 2 9" xfId="276"/>
    <cellStyle name="60% - Акцент1 3" xfId="277"/>
    <cellStyle name="60% - Акцент1 3 10" xfId="278"/>
    <cellStyle name="60% - Акцент1 3 2" xfId="279"/>
    <cellStyle name="60% - Акцент1 3 3" xfId="280"/>
    <cellStyle name="60% - Акцент1 3 4" xfId="281"/>
    <cellStyle name="60% - Акцент1 3 5" xfId="282"/>
    <cellStyle name="60% - Акцент1 3 6" xfId="283"/>
    <cellStyle name="60% - Акцент1 3 7" xfId="284"/>
    <cellStyle name="60% - Акцент1 3 8" xfId="285"/>
    <cellStyle name="60% - Акцент1 3 9" xfId="286"/>
    <cellStyle name="60% — акцент2" xfId="287"/>
    <cellStyle name="60% - Акцент2 2" xfId="288"/>
    <cellStyle name="60% — акцент2 2" xfId="289"/>
    <cellStyle name="60% - Акцент2 2 10" xfId="290"/>
    <cellStyle name="60% - Акцент2 2 2" xfId="291"/>
    <cellStyle name="60% - Акцент2 2 3" xfId="292"/>
    <cellStyle name="60% - Акцент2 2 4" xfId="293"/>
    <cellStyle name="60% - Акцент2 2 5" xfId="294"/>
    <cellStyle name="60% - Акцент2 2 6" xfId="295"/>
    <cellStyle name="60% - Акцент2 2 7" xfId="296"/>
    <cellStyle name="60% - Акцент2 2 8" xfId="297"/>
    <cellStyle name="60% - Акцент2 2 9" xfId="298"/>
    <cellStyle name="60% - Акцент2 3" xfId="299"/>
    <cellStyle name="60% - Акцент2 3 10" xfId="300"/>
    <cellStyle name="60% - Акцент2 3 2" xfId="301"/>
    <cellStyle name="60% - Акцент2 3 3" xfId="302"/>
    <cellStyle name="60% - Акцент2 3 4" xfId="303"/>
    <cellStyle name="60% - Акцент2 3 5" xfId="304"/>
    <cellStyle name="60% - Акцент2 3 6" xfId="305"/>
    <cellStyle name="60% - Акцент2 3 7" xfId="306"/>
    <cellStyle name="60% - Акцент2 3 8" xfId="307"/>
    <cellStyle name="60% - Акцент2 3 9" xfId="308"/>
    <cellStyle name="60% — акцент3" xfId="309"/>
    <cellStyle name="60% - Акцент3 2" xfId="310"/>
    <cellStyle name="60% — акцент3 2" xfId="311"/>
    <cellStyle name="60% - Акцент3 2 10" xfId="312"/>
    <cellStyle name="60% - Акцент3 2 2" xfId="313"/>
    <cellStyle name="60% - Акцент3 2 3" xfId="314"/>
    <cellStyle name="60% - Акцент3 2 4" xfId="315"/>
    <cellStyle name="60% - Акцент3 2 5" xfId="316"/>
    <cellStyle name="60% - Акцент3 2 6" xfId="317"/>
    <cellStyle name="60% - Акцент3 2 7" xfId="318"/>
    <cellStyle name="60% - Акцент3 2 8" xfId="319"/>
    <cellStyle name="60% - Акцент3 2 9" xfId="320"/>
    <cellStyle name="60% - Акцент3 3" xfId="321"/>
    <cellStyle name="60% - Акцент3 3 10" xfId="322"/>
    <cellStyle name="60% - Акцент3 3 2" xfId="323"/>
    <cellStyle name="60% - Акцент3 3 3" xfId="324"/>
    <cellStyle name="60% - Акцент3 3 4" xfId="325"/>
    <cellStyle name="60% - Акцент3 3 5" xfId="326"/>
    <cellStyle name="60% - Акцент3 3 6" xfId="327"/>
    <cellStyle name="60% - Акцент3 3 7" xfId="328"/>
    <cellStyle name="60% - Акцент3 3 8" xfId="329"/>
    <cellStyle name="60% - Акцент3 3 9" xfId="330"/>
    <cellStyle name="60% — акцент4" xfId="331"/>
    <cellStyle name="60% - Акцент4 2" xfId="332"/>
    <cellStyle name="60% — акцент4 2" xfId="333"/>
    <cellStyle name="60% - Акцент4 2 10" xfId="334"/>
    <cellStyle name="60% - Акцент4 2 2" xfId="335"/>
    <cellStyle name="60% - Акцент4 2 3" xfId="336"/>
    <cellStyle name="60% - Акцент4 2 4" xfId="337"/>
    <cellStyle name="60% - Акцент4 2 5" xfId="338"/>
    <cellStyle name="60% - Акцент4 2 6" xfId="339"/>
    <cellStyle name="60% - Акцент4 2 7" xfId="340"/>
    <cellStyle name="60% - Акцент4 2 8" xfId="341"/>
    <cellStyle name="60% - Акцент4 2 9" xfId="342"/>
    <cellStyle name="60% - Акцент4 3" xfId="343"/>
    <cellStyle name="60% - Акцент4 3 10" xfId="344"/>
    <cellStyle name="60% - Акцент4 3 2" xfId="345"/>
    <cellStyle name="60% - Акцент4 3 3" xfId="346"/>
    <cellStyle name="60% - Акцент4 3 4" xfId="347"/>
    <cellStyle name="60% - Акцент4 3 5" xfId="348"/>
    <cellStyle name="60% - Акцент4 3 6" xfId="349"/>
    <cellStyle name="60% - Акцент4 3 7" xfId="350"/>
    <cellStyle name="60% - Акцент4 3 8" xfId="351"/>
    <cellStyle name="60% - Акцент4 3 9" xfId="352"/>
    <cellStyle name="60% — акцент5" xfId="353"/>
    <cellStyle name="60% - Акцент5 2" xfId="354"/>
    <cellStyle name="60% — акцент5 2" xfId="355"/>
    <cellStyle name="60% - Акцент5 2 10" xfId="356"/>
    <cellStyle name="60% - Акцент5 2 2" xfId="357"/>
    <cellStyle name="60% - Акцент5 2 3" xfId="358"/>
    <cellStyle name="60% - Акцент5 2 4" xfId="359"/>
    <cellStyle name="60% - Акцент5 2 5" xfId="360"/>
    <cellStyle name="60% - Акцент5 2 6" xfId="361"/>
    <cellStyle name="60% - Акцент5 2 7" xfId="362"/>
    <cellStyle name="60% - Акцент5 2 8" xfId="363"/>
    <cellStyle name="60% - Акцент5 2 9" xfId="364"/>
    <cellStyle name="60% - Акцент5 3" xfId="365"/>
    <cellStyle name="60% - Акцент5 3 10" xfId="366"/>
    <cellStyle name="60% - Акцент5 3 2" xfId="367"/>
    <cellStyle name="60% - Акцент5 3 3" xfId="368"/>
    <cellStyle name="60% - Акцент5 3 4" xfId="369"/>
    <cellStyle name="60% - Акцент5 3 5" xfId="370"/>
    <cellStyle name="60% - Акцент5 3 6" xfId="371"/>
    <cellStyle name="60% - Акцент5 3 7" xfId="372"/>
    <cellStyle name="60% - Акцент5 3 8" xfId="373"/>
    <cellStyle name="60% - Акцент5 3 9" xfId="374"/>
    <cellStyle name="60% — акцент6" xfId="375"/>
    <cellStyle name="60% - Акцент6 2" xfId="376"/>
    <cellStyle name="60% — акцент6 2" xfId="377"/>
    <cellStyle name="60% - Акцент6 2 10" xfId="378"/>
    <cellStyle name="60% - Акцент6 2 2" xfId="379"/>
    <cellStyle name="60% - Акцент6 2 3" xfId="380"/>
    <cellStyle name="60% - Акцент6 2 4" xfId="381"/>
    <cellStyle name="60% - Акцент6 2 5" xfId="382"/>
    <cellStyle name="60% - Акцент6 2 6" xfId="383"/>
    <cellStyle name="60% - Акцент6 2 7" xfId="384"/>
    <cellStyle name="60% - Акцент6 2 8" xfId="385"/>
    <cellStyle name="60% - Акцент6 2 9" xfId="386"/>
    <cellStyle name="60% - Акцент6 3" xfId="387"/>
    <cellStyle name="60% - Акцент6 3 10" xfId="388"/>
    <cellStyle name="60% - Акцент6 3 2" xfId="389"/>
    <cellStyle name="60% - Акцент6 3 3" xfId="390"/>
    <cellStyle name="60% - Акцент6 3 4" xfId="391"/>
    <cellStyle name="60% - Акцент6 3 5" xfId="392"/>
    <cellStyle name="60% - Акцент6 3 6" xfId="393"/>
    <cellStyle name="60% - Акцент6 3 7" xfId="394"/>
    <cellStyle name="60% - Акцент6 3 8" xfId="395"/>
    <cellStyle name="60% - Акцент6 3 9" xfId="396"/>
    <cellStyle name="Акцент1 2" xfId="397"/>
    <cellStyle name="Акцент1 2 10" xfId="398"/>
    <cellStyle name="Акцент1 2 2" xfId="399"/>
    <cellStyle name="Акцент1 2 3" xfId="400"/>
    <cellStyle name="Акцент1 2 4" xfId="401"/>
    <cellStyle name="Акцент1 2 5" xfId="402"/>
    <cellStyle name="Акцент1 2 6" xfId="403"/>
    <cellStyle name="Акцент1 2 7" xfId="404"/>
    <cellStyle name="Акцент1 2 8" xfId="405"/>
    <cellStyle name="Акцент1 2 9" xfId="406"/>
    <cellStyle name="Акцент1 3" xfId="407"/>
    <cellStyle name="Акцент1 3 10" xfId="408"/>
    <cellStyle name="Акцент1 3 2" xfId="409"/>
    <cellStyle name="Акцент1 3 3" xfId="410"/>
    <cellStyle name="Акцент1 3 4" xfId="411"/>
    <cellStyle name="Акцент1 3 5" xfId="412"/>
    <cellStyle name="Акцент1 3 6" xfId="413"/>
    <cellStyle name="Акцент1 3 7" xfId="414"/>
    <cellStyle name="Акцент1 3 8" xfId="415"/>
    <cellStyle name="Акцент1 3 9" xfId="416"/>
    <cellStyle name="Акцент2 2" xfId="417"/>
    <cellStyle name="Акцент2 2 10" xfId="418"/>
    <cellStyle name="Акцент2 2 2" xfId="419"/>
    <cellStyle name="Акцент2 2 3" xfId="420"/>
    <cellStyle name="Акцент2 2 4" xfId="421"/>
    <cellStyle name="Акцент2 2 5" xfId="422"/>
    <cellStyle name="Акцент2 2 6" xfId="423"/>
    <cellStyle name="Акцент2 2 7" xfId="424"/>
    <cellStyle name="Акцент2 2 8" xfId="425"/>
    <cellStyle name="Акцент2 2 9" xfId="426"/>
    <cellStyle name="Акцент2 3" xfId="427"/>
    <cellStyle name="Акцент2 3 10" xfId="428"/>
    <cellStyle name="Акцент2 3 2" xfId="429"/>
    <cellStyle name="Акцент2 3 3" xfId="430"/>
    <cellStyle name="Акцент2 3 4" xfId="431"/>
    <cellStyle name="Акцент2 3 5" xfId="432"/>
    <cellStyle name="Акцент2 3 6" xfId="433"/>
    <cellStyle name="Акцент2 3 7" xfId="434"/>
    <cellStyle name="Акцент2 3 8" xfId="435"/>
    <cellStyle name="Акцент2 3 9" xfId="436"/>
    <cellStyle name="Акцент3 2" xfId="437"/>
    <cellStyle name="Акцент3 2 10" xfId="438"/>
    <cellStyle name="Акцент3 2 2" xfId="439"/>
    <cellStyle name="Акцент3 2 3" xfId="440"/>
    <cellStyle name="Акцент3 2 4" xfId="441"/>
    <cellStyle name="Акцент3 2 5" xfId="442"/>
    <cellStyle name="Акцент3 2 6" xfId="443"/>
    <cellStyle name="Акцент3 2 7" xfId="444"/>
    <cellStyle name="Акцент3 2 8" xfId="445"/>
    <cellStyle name="Акцент3 2 9" xfId="446"/>
    <cellStyle name="Акцент3 3" xfId="447"/>
    <cellStyle name="Акцент3 3 10" xfId="448"/>
    <cellStyle name="Акцент3 3 2" xfId="449"/>
    <cellStyle name="Акцент3 3 3" xfId="450"/>
    <cellStyle name="Акцент3 3 4" xfId="451"/>
    <cellStyle name="Акцент3 3 5" xfId="452"/>
    <cellStyle name="Акцент3 3 6" xfId="453"/>
    <cellStyle name="Акцент3 3 7" xfId="454"/>
    <cellStyle name="Акцент3 3 8" xfId="455"/>
    <cellStyle name="Акцент3 3 9" xfId="456"/>
    <cellStyle name="Акцент4 2" xfId="457"/>
    <cellStyle name="Акцент4 2 10" xfId="458"/>
    <cellStyle name="Акцент4 2 2" xfId="459"/>
    <cellStyle name="Акцент4 2 3" xfId="460"/>
    <cellStyle name="Акцент4 2 4" xfId="461"/>
    <cellStyle name="Акцент4 2 5" xfId="462"/>
    <cellStyle name="Акцент4 2 6" xfId="463"/>
    <cellStyle name="Акцент4 2 7" xfId="464"/>
    <cellStyle name="Акцент4 2 8" xfId="465"/>
    <cellStyle name="Акцент4 2 9" xfId="466"/>
    <cellStyle name="Акцент4 3" xfId="467"/>
    <cellStyle name="Акцент4 3 10" xfId="468"/>
    <cellStyle name="Акцент4 3 2" xfId="469"/>
    <cellStyle name="Акцент4 3 3" xfId="470"/>
    <cellStyle name="Акцент4 3 4" xfId="471"/>
    <cellStyle name="Акцент4 3 5" xfId="472"/>
    <cellStyle name="Акцент4 3 6" xfId="473"/>
    <cellStyle name="Акцент4 3 7" xfId="474"/>
    <cellStyle name="Акцент4 3 8" xfId="475"/>
    <cellStyle name="Акцент4 3 9" xfId="476"/>
    <cellStyle name="Акцент5 2" xfId="477"/>
    <cellStyle name="Акцент5 2 10" xfId="478"/>
    <cellStyle name="Акцент5 2 2" xfId="479"/>
    <cellStyle name="Акцент5 2 3" xfId="480"/>
    <cellStyle name="Акцент5 2 4" xfId="481"/>
    <cellStyle name="Акцент5 2 5" xfId="482"/>
    <cellStyle name="Акцент5 2 6" xfId="483"/>
    <cellStyle name="Акцент5 2 7" xfId="484"/>
    <cellStyle name="Акцент5 2 8" xfId="485"/>
    <cellStyle name="Акцент5 2 9" xfId="486"/>
    <cellStyle name="Акцент5 3" xfId="487"/>
    <cellStyle name="Акцент5 3 10" xfId="488"/>
    <cellStyle name="Акцент5 3 2" xfId="489"/>
    <cellStyle name="Акцент5 3 3" xfId="490"/>
    <cellStyle name="Акцент5 3 4" xfId="491"/>
    <cellStyle name="Акцент5 3 5" xfId="492"/>
    <cellStyle name="Акцент5 3 6" xfId="493"/>
    <cellStyle name="Акцент5 3 7" xfId="494"/>
    <cellStyle name="Акцент5 3 8" xfId="495"/>
    <cellStyle name="Акцент5 3 9" xfId="496"/>
    <cellStyle name="Акцент6 2" xfId="497"/>
    <cellStyle name="Акцент6 2 10" xfId="498"/>
    <cellStyle name="Акцент6 2 2" xfId="499"/>
    <cellStyle name="Акцент6 2 3" xfId="500"/>
    <cellStyle name="Акцент6 2 4" xfId="501"/>
    <cellStyle name="Акцент6 2 5" xfId="502"/>
    <cellStyle name="Акцент6 2 6" xfId="503"/>
    <cellStyle name="Акцент6 2 7" xfId="504"/>
    <cellStyle name="Акцент6 2 8" xfId="505"/>
    <cellStyle name="Акцент6 2 9" xfId="506"/>
    <cellStyle name="Акцент6 3" xfId="507"/>
    <cellStyle name="Акцент6 3 10" xfId="508"/>
    <cellStyle name="Акцент6 3 2" xfId="509"/>
    <cellStyle name="Акцент6 3 3" xfId="510"/>
    <cellStyle name="Акцент6 3 4" xfId="511"/>
    <cellStyle name="Акцент6 3 5" xfId="512"/>
    <cellStyle name="Акцент6 3 6" xfId="513"/>
    <cellStyle name="Акцент6 3 7" xfId="514"/>
    <cellStyle name="Акцент6 3 8" xfId="515"/>
    <cellStyle name="Акцент6 3 9" xfId="516"/>
    <cellStyle name="Ввод  2" xfId="517"/>
    <cellStyle name="Ввод  2 10" xfId="518"/>
    <cellStyle name="Ввод  2 2" xfId="519"/>
    <cellStyle name="Ввод  2 3" xfId="520"/>
    <cellStyle name="Ввод  2 4" xfId="521"/>
    <cellStyle name="Ввод  2 5" xfId="522"/>
    <cellStyle name="Ввод  2 6" xfId="523"/>
    <cellStyle name="Ввод  2 7" xfId="524"/>
    <cellStyle name="Ввод  2 8" xfId="525"/>
    <cellStyle name="Ввод  2 9" xfId="526"/>
    <cellStyle name="Ввод  3" xfId="527"/>
    <cellStyle name="Ввод  3 10" xfId="528"/>
    <cellStyle name="Ввод  3 2" xfId="529"/>
    <cellStyle name="Ввод  3 3" xfId="530"/>
    <cellStyle name="Ввод  3 4" xfId="531"/>
    <cellStyle name="Ввод  3 5" xfId="532"/>
    <cellStyle name="Ввод  3 6" xfId="533"/>
    <cellStyle name="Ввод  3 7" xfId="534"/>
    <cellStyle name="Ввод  3 8" xfId="535"/>
    <cellStyle name="Ввод  3 9" xfId="536"/>
    <cellStyle name="Вывод 2" xfId="537"/>
    <cellStyle name="Вывод 2 10" xfId="538"/>
    <cellStyle name="Вывод 2 2" xfId="539"/>
    <cellStyle name="Вывод 2 3" xfId="540"/>
    <cellStyle name="Вывод 2 4" xfId="541"/>
    <cellStyle name="Вывод 2 5" xfId="542"/>
    <cellStyle name="Вывод 2 6" xfId="543"/>
    <cellStyle name="Вывод 2 7" xfId="544"/>
    <cellStyle name="Вывод 2 8" xfId="545"/>
    <cellStyle name="Вывод 2 9" xfId="546"/>
    <cellStyle name="Вывод 3" xfId="547"/>
    <cellStyle name="Вывод 3 10" xfId="548"/>
    <cellStyle name="Вывод 3 2" xfId="549"/>
    <cellStyle name="Вывод 3 3" xfId="550"/>
    <cellStyle name="Вывод 3 4" xfId="551"/>
    <cellStyle name="Вывод 3 5" xfId="552"/>
    <cellStyle name="Вывод 3 6" xfId="553"/>
    <cellStyle name="Вывод 3 7" xfId="554"/>
    <cellStyle name="Вывод 3 8" xfId="555"/>
    <cellStyle name="Вывод 3 9" xfId="556"/>
    <cellStyle name="Вычисление 2" xfId="557"/>
    <cellStyle name="Вычисление 2 10" xfId="558"/>
    <cellStyle name="Вычисление 2 2" xfId="559"/>
    <cellStyle name="Вычисление 2 3" xfId="560"/>
    <cellStyle name="Вычисление 2 4" xfId="561"/>
    <cellStyle name="Вычисление 2 5" xfId="562"/>
    <cellStyle name="Вычисление 2 6" xfId="563"/>
    <cellStyle name="Вычисление 2 7" xfId="564"/>
    <cellStyle name="Вычисление 2 8" xfId="565"/>
    <cellStyle name="Вычисление 2 9" xfId="566"/>
    <cellStyle name="Вычисление 3" xfId="567"/>
    <cellStyle name="Вычисление 3 10" xfId="568"/>
    <cellStyle name="Вычисление 3 2" xfId="569"/>
    <cellStyle name="Вычисление 3 3" xfId="570"/>
    <cellStyle name="Вычисление 3 4" xfId="571"/>
    <cellStyle name="Вычисление 3 5" xfId="572"/>
    <cellStyle name="Вычисление 3 6" xfId="573"/>
    <cellStyle name="Вычисление 3 7" xfId="574"/>
    <cellStyle name="Вычисление 3 8" xfId="575"/>
    <cellStyle name="Вычисление 3 9" xfId="576"/>
    <cellStyle name="Заголовок 1 2" xfId="577"/>
    <cellStyle name="Заголовок 1 2 10" xfId="578"/>
    <cellStyle name="Заголовок 1 2 2" xfId="579"/>
    <cellStyle name="Заголовок 1 2 3" xfId="580"/>
    <cellStyle name="Заголовок 1 2 4" xfId="581"/>
    <cellStyle name="Заголовок 1 2 5" xfId="582"/>
    <cellStyle name="Заголовок 1 2 6" xfId="583"/>
    <cellStyle name="Заголовок 1 2 7" xfId="584"/>
    <cellStyle name="Заголовок 1 2 8" xfId="585"/>
    <cellStyle name="Заголовок 1 2 9" xfId="586"/>
    <cellStyle name="Заголовок 1 3" xfId="587"/>
    <cellStyle name="Заголовок 1 3 10" xfId="588"/>
    <cellStyle name="Заголовок 1 3 2" xfId="589"/>
    <cellStyle name="Заголовок 1 3 3" xfId="590"/>
    <cellStyle name="Заголовок 1 3 4" xfId="591"/>
    <cellStyle name="Заголовок 1 3 5" xfId="592"/>
    <cellStyle name="Заголовок 1 3 6" xfId="593"/>
    <cellStyle name="Заголовок 1 3 7" xfId="594"/>
    <cellStyle name="Заголовок 1 3 8" xfId="595"/>
    <cellStyle name="Заголовок 1 3 9" xfId="596"/>
    <cellStyle name="Заголовок 2 2" xfId="597"/>
    <cellStyle name="Заголовок 2 2 10" xfId="598"/>
    <cellStyle name="Заголовок 2 2 2" xfId="599"/>
    <cellStyle name="Заголовок 2 2 3" xfId="600"/>
    <cellStyle name="Заголовок 2 2 4" xfId="601"/>
    <cellStyle name="Заголовок 2 2 5" xfId="602"/>
    <cellStyle name="Заголовок 2 2 6" xfId="603"/>
    <cellStyle name="Заголовок 2 2 7" xfId="604"/>
    <cellStyle name="Заголовок 2 2 8" xfId="605"/>
    <cellStyle name="Заголовок 2 2 9" xfId="606"/>
    <cellStyle name="Заголовок 2 3" xfId="607"/>
    <cellStyle name="Заголовок 2 3 10" xfId="608"/>
    <cellStyle name="Заголовок 2 3 2" xfId="609"/>
    <cellStyle name="Заголовок 2 3 3" xfId="610"/>
    <cellStyle name="Заголовок 2 3 4" xfId="611"/>
    <cellStyle name="Заголовок 2 3 5" xfId="612"/>
    <cellStyle name="Заголовок 2 3 6" xfId="613"/>
    <cellStyle name="Заголовок 2 3 7" xfId="614"/>
    <cellStyle name="Заголовок 2 3 8" xfId="615"/>
    <cellStyle name="Заголовок 2 3 9" xfId="616"/>
    <cellStyle name="Заголовок 3 2" xfId="617"/>
    <cellStyle name="Заголовок 3 2 10" xfId="618"/>
    <cellStyle name="Заголовок 3 2 2" xfId="619"/>
    <cellStyle name="Заголовок 3 2 3" xfId="620"/>
    <cellStyle name="Заголовок 3 2 4" xfId="621"/>
    <cellStyle name="Заголовок 3 2 5" xfId="622"/>
    <cellStyle name="Заголовок 3 2 6" xfId="623"/>
    <cellStyle name="Заголовок 3 2 7" xfId="624"/>
    <cellStyle name="Заголовок 3 2 8" xfId="625"/>
    <cellStyle name="Заголовок 3 2 9" xfId="626"/>
    <cellStyle name="Заголовок 3 3" xfId="627"/>
    <cellStyle name="Заголовок 3 3 10" xfId="628"/>
    <cellStyle name="Заголовок 3 3 2" xfId="629"/>
    <cellStyle name="Заголовок 3 3 3" xfId="630"/>
    <cellStyle name="Заголовок 3 3 4" xfId="631"/>
    <cellStyle name="Заголовок 3 3 5" xfId="632"/>
    <cellStyle name="Заголовок 3 3 6" xfId="633"/>
    <cellStyle name="Заголовок 3 3 7" xfId="634"/>
    <cellStyle name="Заголовок 3 3 8" xfId="635"/>
    <cellStyle name="Заголовок 3 3 9" xfId="636"/>
    <cellStyle name="Заголовок 4 2" xfId="637"/>
    <cellStyle name="Заголовок 4 2 10" xfId="638"/>
    <cellStyle name="Заголовок 4 2 2" xfId="639"/>
    <cellStyle name="Заголовок 4 2 3" xfId="640"/>
    <cellStyle name="Заголовок 4 2 4" xfId="641"/>
    <cellStyle name="Заголовок 4 2 5" xfId="642"/>
    <cellStyle name="Заголовок 4 2 6" xfId="643"/>
    <cellStyle name="Заголовок 4 2 7" xfId="644"/>
    <cellStyle name="Заголовок 4 2 8" xfId="645"/>
    <cellStyle name="Заголовок 4 2 9" xfId="646"/>
    <cellStyle name="Заголовок 4 3" xfId="647"/>
    <cellStyle name="Заголовок 4 3 10" xfId="648"/>
    <cellStyle name="Заголовок 4 3 2" xfId="649"/>
    <cellStyle name="Заголовок 4 3 3" xfId="650"/>
    <cellStyle name="Заголовок 4 3 4" xfId="651"/>
    <cellStyle name="Заголовок 4 3 5" xfId="652"/>
    <cellStyle name="Заголовок 4 3 6" xfId="653"/>
    <cellStyle name="Заголовок 4 3 7" xfId="654"/>
    <cellStyle name="Заголовок 4 3 8" xfId="655"/>
    <cellStyle name="Заголовок 4 3 9" xfId="656"/>
    <cellStyle name="Итог 2" xfId="657"/>
    <cellStyle name="Итог 2 10" xfId="658"/>
    <cellStyle name="Итог 2 2" xfId="659"/>
    <cellStyle name="Итог 2 3" xfId="660"/>
    <cellStyle name="Итог 2 4" xfId="661"/>
    <cellStyle name="Итог 2 5" xfId="662"/>
    <cellStyle name="Итог 2 6" xfId="663"/>
    <cellStyle name="Итог 2 7" xfId="664"/>
    <cellStyle name="Итог 2 8" xfId="665"/>
    <cellStyle name="Итог 2 9" xfId="666"/>
    <cellStyle name="Итог 3" xfId="667"/>
    <cellStyle name="Итог 3 10" xfId="668"/>
    <cellStyle name="Итог 3 2" xfId="669"/>
    <cellStyle name="Итог 3 3" xfId="670"/>
    <cellStyle name="Итог 3 4" xfId="671"/>
    <cellStyle name="Итог 3 5" xfId="672"/>
    <cellStyle name="Итог 3 6" xfId="673"/>
    <cellStyle name="Итог 3 7" xfId="674"/>
    <cellStyle name="Итог 3 8" xfId="675"/>
    <cellStyle name="Итог 3 9" xfId="676"/>
    <cellStyle name="Контрольная ячейка 2" xfId="677"/>
    <cellStyle name="Контрольная ячейка 2 10" xfId="678"/>
    <cellStyle name="Контрольная ячейка 2 2" xfId="679"/>
    <cellStyle name="Контрольная ячейка 2 3" xfId="680"/>
    <cellStyle name="Контрольная ячейка 2 4" xfId="681"/>
    <cellStyle name="Контрольная ячейка 2 5" xfId="682"/>
    <cellStyle name="Контрольная ячейка 2 6" xfId="683"/>
    <cellStyle name="Контрольная ячейка 2 7" xfId="684"/>
    <cellStyle name="Контрольная ячейка 2 8" xfId="685"/>
    <cellStyle name="Контрольная ячейка 2 9" xfId="686"/>
    <cellStyle name="Контрольная ячейка 3" xfId="687"/>
    <cellStyle name="Контрольная ячейка 3 10" xfId="688"/>
    <cellStyle name="Контрольная ячейка 3 2" xfId="689"/>
    <cellStyle name="Контрольная ячейка 3 3" xfId="690"/>
    <cellStyle name="Контрольная ячейка 3 4" xfId="691"/>
    <cellStyle name="Контрольная ячейка 3 5" xfId="692"/>
    <cellStyle name="Контрольная ячейка 3 6" xfId="693"/>
    <cellStyle name="Контрольная ячейка 3 7" xfId="694"/>
    <cellStyle name="Контрольная ячейка 3 8" xfId="695"/>
    <cellStyle name="Контрольная ячейка 3 9" xfId="696"/>
    <cellStyle name="Название 2" xfId="697"/>
    <cellStyle name="Название 2 10" xfId="698"/>
    <cellStyle name="Название 2 2" xfId="699"/>
    <cellStyle name="Название 2 3" xfId="700"/>
    <cellStyle name="Название 2 4" xfId="701"/>
    <cellStyle name="Название 2 5" xfId="702"/>
    <cellStyle name="Название 2 6" xfId="703"/>
    <cellStyle name="Название 2 7" xfId="704"/>
    <cellStyle name="Название 2 8" xfId="705"/>
    <cellStyle name="Название 2 9" xfId="706"/>
    <cellStyle name="Название 3" xfId="707"/>
    <cellStyle name="Название 3 10" xfId="708"/>
    <cellStyle name="Название 3 2" xfId="709"/>
    <cellStyle name="Название 3 3" xfId="710"/>
    <cellStyle name="Название 3 4" xfId="711"/>
    <cellStyle name="Название 3 5" xfId="712"/>
    <cellStyle name="Название 3 6" xfId="713"/>
    <cellStyle name="Название 3 7" xfId="714"/>
    <cellStyle name="Название 3 8" xfId="715"/>
    <cellStyle name="Название 3 9" xfId="716"/>
    <cellStyle name="Нейтральный 2" xfId="717"/>
    <cellStyle name="Нейтральный 2 10" xfId="718"/>
    <cellStyle name="Нейтральный 2 2" xfId="719"/>
    <cellStyle name="Нейтральный 2 3" xfId="720"/>
    <cellStyle name="Нейтральный 2 4" xfId="721"/>
    <cellStyle name="Нейтральный 2 5" xfId="722"/>
    <cellStyle name="Нейтральный 2 6" xfId="723"/>
    <cellStyle name="Нейтральный 2 7" xfId="724"/>
    <cellStyle name="Нейтральный 2 8" xfId="725"/>
    <cellStyle name="Нейтральный 2 9" xfId="726"/>
    <cellStyle name="Нейтральный 3" xfId="727"/>
    <cellStyle name="Нейтральный 3 10" xfId="728"/>
    <cellStyle name="Нейтральный 3 2" xfId="729"/>
    <cellStyle name="Нейтральный 3 3" xfId="730"/>
    <cellStyle name="Нейтральный 3 4" xfId="731"/>
    <cellStyle name="Нейтральный 3 5" xfId="732"/>
    <cellStyle name="Нейтральный 3 6" xfId="733"/>
    <cellStyle name="Нейтральный 3 7" xfId="734"/>
    <cellStyle name="Нейтральный 3 8" xfId="735"/>
    <cellStyle name="Нейтральный 3 9" xfId="736"/>
    <cellStyle name="Обычный" xfId="0" builtinId="0"/>
    <cellStyle name="Обычный 10" xfId="737"/>
    <cellStyle name="Обычный 10 2" xfId="738"/>
    <cellStyle name="Обычный 11" xfId="739"/>
    <cellStyle name="Обычный 12" xfId="740"/>
    <cellStyle name="Обычный 2" xfId="741"/>
    <cellStyle name="Обычный 2 10" xfId="742"/>
    <cellStyle name="Обычный 2 11" xfId="743"/>
    <cellStyle name="Обычный 2 12" xfId="744"/>
    <cellStyle name="Обычный 2 13" xfId="745"/>
    <cellStyle name="Обычный 2 2" xfId="746"/>
    <cellStyle name="Обычный 2 3" xfId="747"/>
    <cellStyle name="Обычный 2 4" xfId="748"/>
    <cellStyle name="Обычный 2 5" xfId="749"/>
    <cellStyle name="Обычный 2 6" xfId="750"/>
    <cellStyle name="Обычный 2 7" xfId="751"/>
    <cellStyle name="Обычный 2 8" xfId="752"/>
    <cellStyle name="Обычный 2 9" xfId="753"/>
    <cellStyle name="Обычный 3" xfId="754"/>
    <cellStyle name="Обычный 3 2" xfId="755"/>
    <cellStyle name="Обычный 3 3" xfId="756"/>
    <cellStyle name="Обычный 3 4" xfId="757"/>
    <cellStyle name="Обычный 3 5" xfId="758"/>
    <cellStyle name="Обычный 3 6" xfId="759"/>
    <cellStyle name="Обычный 3 7" xfId="760"/>
    <cellStyle name="Обычный 4" xfId="761"/>
    <cellStyle name="Обычный 4 2" xfId="762"/>
    <cellStyle name="Обычный 4 3" xfId="763"/>
    <cellStyle name="Обычный 4 4" xfId="764"/>
    <cellStyle name="Обычный 4 5" xfId="765"/>
    <cellStyle name="Обычный 4 6" xfId="766"/>
    <cellStyle name="Обычный 4 6 10" xfId="767"/>
    <cellStyle name="Обычный 4 6 2" xfId="768"/>
    <cellStyle name="Обычный 4 6 3" xfId="769"/>
    <cellStyle name="Обычный 4 6 4" xfId="770"/>
    <cellStyle name="Обычный 4 6 5" xfId="771"/>
    <cellStyle name="Обычный 4 6 6" xfId="772"/>
    <cellStyle name="Обычный 4 6 7" xfId="773"/>
    <cellStyle name="Обычный 4 6 8" xfId="774"/>
    <cellStyle name="Обычный 4 6 9" xfId="775"/>
    <cellStyle name="Обычный 4 7" xfId="776"/>
    <cellStyle name="Обычный 4 7 10" xfId="777"/>
    <cellStyle name="Обычный 4 7 2" xfId="778"/>
    <cellStyle name="Обычный 4 7 3" xfId="779"/>
    <cellStyle name="Обычный 4 7 4" xfId="780"/>
    <cellStyle name="Обычный 4 7 5" xfId="781"/>
    <cellStyle name="Обычный 4 7 6" xfId="782"/>
    <cellStyle name="Обычный 4 7 7" xfId="783"/>
    <cellStyle name="Обычный 4 7 8" xfId="784"/>
    <cellStyle name="Обычный 4 7 9" xfId="785"/>
    <cellStyle name="Обычный 4 8" xfId="786"/>
    <cellStyle name="Обычный 4 8 10" xfId="787"/>
    <cellStyle name="Обычный 4 8 2" xfId="788"/>
    <cellStyle name="Обычный 4 8 3" xfId="789"/>
    <cellStyle name="Обычный 4 8 4" xfId="790"/>
    <cellStyle name="Обычный 4 8 5" xfId="791"/>
    <cellStyle name="Обычный 4 8 6" xfId="792"/>
    <cellStyle name="Обычный 4 8 7" xfId="793"/>
    <cellStyle name="Обычный 4 8 8" xfId="794"/>
    <cellStyle name="Обычный 4 8 9" xfId="795"/>
    <cellStyle name="Обычный 4 9" xfId="796"/>
    <cellStyle name="Обычный 4 9 10" xfId="797"/>
    <cellStyle name="Обычный 4 9 2" xfId="798"/>
    <cellStyle name="Обычный 4 9 3" xfId="799"/>
    <cellStyle name="Обычный 4 9 4" xfId="800"/>
    <cellStyle name="Обычный 4 9 5" xfId="801"/>
    <cellStyle name="Обычный 4 9 6" xfId="802"/>
    <cellStyle name="Обычный 4 9 7" xfId="803"/>
    <cellStyle name="Обычный 4 9 8" xfId="804"/>
    <cellStyle name="Обычный 4 9 9" xfId="805"/>
    <cellStyle name="Обычный 5" xfId="806"/>
    <cellStyle name="Обычный 6" xfId="807"/>
    <cellStyle name="Обычный 7" xfId="808"/>
    <cellStyle name="Обычный 7 2" xfId="809"/>
    <cellStyle name="Обычный 7 3" xfId="810"/>
    <cellStyle name="Обычный 7 4" xfId="811"/>
    <cellStyle name="Обычный 7 5" xfId="812"/>
    <cellStyle name="Обычный 7 6" xfId="813"/>
    <cellStyle name="Обычный 7 7" xfId="814"/>
    <cellStyle name="Обычный 7 8" xfId="815"/>
    <cellStyle name="Обычный 7 9" xfId="816"/>
    <cellStyle name="Обычный 8" xfId="817"/>
    <cellStyle name="Обычный 8 2" xfId="818"/>
    <cellStyle name="Обычный 8 3" xfId="819"/>
    <cellStyle name="Обычный 8 4" xfId="820"/>
    <cellStyle name="Обычный 8 5" xfId="821"/>
    <cellStyle name="Обычный 8 6" xfId="822"/>
    <cellStyle name="Обычный 8 7" xfId="823"/>
    <cellStyle name="Обычный 9" xfId="824"/>
    <cellStyle name="Обычный 9 2" xfId="825"/>
    <cellStyle name="Плохой 2" xfId="826"/>
    <cellStyle name="Плохой 2 10" xfId="827"/>
    <cellStyle name="Плохой 2 2" xfId="828"/>
    <cellStyle name="Плохой 2 3" xfId="829"/>
    <cellStyle name="Плохой 2 4" xfId="830"/>
    <cellStyle name="Плохой 2 5" xfId="831"/>
    <cellStyle name="Плохой 2 6" xfId="832"/>
    <cellStyle name="Плохой 2 7" xfId="833"/>
    <cellStyle name="Плохой 2 8" xfId="834"/>
    <cellStyle name="Плохой 2 9" xfId="835"/>
    <cellStyle name="Плохой 3" xfId="836"/>
    <cellStyle name="Плохой 3 10" xfId="837"/>
    <cellStyle name="Плохой 3 2" xfId="838"/>
    <cellStyle name="Плохой 3 3" xfId="839"/>
    <cellStyle name="Плохой 3 4" xfId="840"/>
    <cellStyle name="Плохой 3 5" xfId="841"/>
    <cellStyle name="Плохой 3 6" xfId="842"/>
    <cellStyle name="Плохой 3 7" xfId="843"/>
    <cellStyle name="Плохой 3 8" xfId="844"/>
    <cellStyle name="Плохой 3 9" xfId="845"/>
    <cellStyle name="Пояснение 2" xfId="846"/>
    <cellStyle name="Пояснение 2 10" xfId="847"/>
    <cellStyle name="Пояснение 2 2" xfId="848"/>
    <cellStyle name="Пояснение 2 3" xfId="849"/>
    <cellStyle name="Пояснение 2 4" xfId="850"/>
    <cellStyle name="Пояснение 2 5" xfId="851"/>
    <cellStyle name="Пояснение 2 6" xfId="852"/>
    <cellStyle name="Пояснение 2 7" xfId="853"/>
    <cellStyle name="Пояснение 2 8" xfId="854"/>
    <cellStyle name="Пояснение 2 9" xfId="855"/>
    <cellStyle name="Пояснение 3" xfId="856"/>
    <cellStyle name="Пояснение 3 10" xfId="857"/>
    <cellStyle name="Пояснение 3 2" xfId="858"/>
    <cellStyle name="Пояснение 3 3" xfId="859"/>
    <cellStyle name="Пояснение 3 4" xfId="860"/>
    <cellStyle name="Пояснение 3 5" xfId="861"/>
    <cellStyle name="Пояснение 3 6" xfId="862"/>
    <cellStyle name="Пояснение 3 7" xfId="863"/>
    <cellStyle name="Пояснение 3 8" xfId="864"/>
    <cellStyle name="Пояснение 3 9" xfId="865"/>
    <cellStyle name="Примечание 2" xfId="866"/>
    <cellStyle name="Примечание 2 10" xfId="867"/>
    <cellStyle name="Примечание 2 2" xfId="868"/>
    <cellStyle name="Примечание 2 3" xfId="869"/>
    <cellStyle name="Примечание 2 4" xfId="870"/>
    <cellStyle name="Примечание 2 5" xfId="871"/>
    <cellStyle name="Примечание 2 6" xfId="872"/>
    <cellStyle name="Примечание 2 7" xfId="873"/>
    <cellStyle name="Примечание 2 8" xfId="874"/>
    <cellStyle name="Примечание 2 9" xfId="875"/>
    <cellStyle name="Примечание 3" xfId="876"/>
    <cellStyle name="Примечание 3 10" xfId="877"/>
    <cellStyle name="Примечание 3 2" xfId="878"/>
    <cellStyle name="Примечание 3 3" xfId="879"/>
    <cellStyle name="Примечание 3 4" xfId="880"/>
    <cellStyle name="Примечание 3 5" xfId="881"/>
    <cellStyle name="Примечание 3 6" xfId="882"/>
    <cellStyle name="Примечание 3 7" xfId="883"/>
    <cellStyle name="Примечание 3 8" xfId="884"/>
    <cellStyle name="Примечание 3 9" xfId="885"/>
    <cellStyle name="Процентный" xfId="886" builtinId="5"/>
    <cellStyle name="Процентный 2" xfId="887"/>
    <cellStyle name="Процентный 2 2" xfId="888"/>
    <cellStyle name="Процентный 3" xfId="889"/>
    <cellStyle name="Процентный 4" xfId="890"/>
    <cellStyle name="Связанная ячейка 2" xfId="891"/>
    <cellStyle name="Связанная ячейка 2 10" xfId="892"/>
    <cellStyle name="Связанная ячейка 2 2" xfId="893"/>
    <cellStyle name="Связанная ячейка 2 3" xfId="894"/>
    <cellStyle name="Связанная ячейка 2 4" xfId="895"/>
    <cellStyle name="Связанная ячейка 2 5" xfId="896"/>
    <cellStyle name="Связанная ячейка 2 6" xfId="897"/>
    <cellStyle name="Связанная ячейка 2 7" xfId="898"/>
    <cellStyle name="Связанная ячейка 2 8" xfId="899"/>
    <cellStyle name="Связанная ячейка 2 9" xfId="900"/>
    <cellStyle name="Связанная ячейка 3" xfId="901"/>
    <cellStyle name="Связанная ячейка 3 10" xfId="902"/>
    <cellStyle name="Связанная ячейка 3 2" xfId="903"/>
    <cellStyle name="Связанная ячейка 3 3" xfId="904"/>
    <cellStyle name="Связанная ячейка 3 4" xfId="905"/>
    <cellStyle name="Связанная ячейка 3 5" xfId="906"/>
    <cellStyle name="Связанная ячейка 3 6" xfId="907"/>
    <cellStyle name="Связанная ячейка 3 7" xfId="908"/>
    <cellStyle name="Связанная ячейка 3 8" xfId="909"/>
    <cellStyle name="Связанная ячейка 3 9" xfId="910"/>
    <cellStyle name="Текст предупреждения 2" xfId="911"/>
    <cellStyle name="Текст предупреждения 2 10" xfId="912"/>
    <cellStyle name="Текст предупреждения 2 2" xfId="913"/>
    <cellStyle name="Текст предупреждения 2 3" xfId="914"/>
    <cellStyle name="Текст предупреждения 2 4" xfId="915"/>
    <cellStyle name="Текст предупреждения 2 5" xfId="916"/>
    <cellStyle name="Текст предупреждения 2 6" xfId="917"/>
    <cellStyle name="Текст предупреждения 2 7" xfId="918"/>
    <cellStyle name="Текст предупреждения 2 8" xfId="919"/>
    <cellStyle name="Текст предупреждения 2 9" xfId="920"/>
    <cellStyle name="Текст предупреждения 3" xfId="921"/>
    <cellStyle name="Текст предупреждения 3 10" xfId="922"/>
    <cellStyle name="Текст предупреждения 3 2" xfId="923"/>
    <cellStyle name="Текст предупреждения 3 3" xfId="924"/>
    <cellStyle name="Текст предупреждения 3 4" xfId="925"/>
    <cellStyle name="Текст предупреждения 3 5" xfId="926"/>
    <cellStyle name="Текст предупреждения 3 6" xfId="927"/>
    <cellStyle name="Текст предупреждения 3 7" xfId="928"/>
    <cellStyle name="Текст предупреждения 3 8" xfId="929"/>
    <cellStyle name="Текст предупреждения 3 9" xfId="930"/>
    <cellStyle name="Хороший 2" xfId="931"/>
    <cellStyle name="Хороший 2 10" xfId="932"/>
    <cellStyle name="Хороший 2 2" xfId="933"/>
    <cellStyle name="Хороший 2 3" xfId="934"/>
    <cellStyle name="Хороший 2 4" xfId="935"/>
    <cellStyle name="Хороший 2 5" xfId="936"/>
    <cellStyle name="Хороший 2 6" xfId="937"/>
    <cellStyle name="Хороший 2 7" xfId="938"/>
    <cellStyle name="Хороший 2 8" xfId="939"/>
    <cellStyle name="Хороший 2 9" xfId="940"/>
    <cellStyle name="Хороший 3" xfId="941"/>
    <cellStyle name="Хороший 3 10" xfId="942"/>
    <cellStyle name="Хороший 3 2" xfId="943"/>
    <cellStyle name="Хороший 3 3" xfId="944"/>
    <cellStyle name="Хороший 3 4" xfId="945"/>
    <cellStyle name="Хороший 3 5" xfId="946"/>
    <cellStyle name="Хороший 3 6" xfId="947"/>
    <cellStyle name="Хороший 3 7" xfId="948"/>
    <cellStyle name="Хороший 3 8" xfId="949"/>
    <cellStyle name="Хороший 3 9" xfId="9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22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0;&#1088;&#1093;&#1072;&#1085;&#1075;&#1077;&#1083;&#1100;&#1089;&#1082;-&#1050;&#1086;&#1090;&#1083;&#1072;&#1089;%20&#1054;&#1040;&#1054;%20&#1050;&#1086;&#1084;&#1080;&#1072;&#1074;&#1080;&#1072;&#1090;&#1088;&#1072;&#1085;&#1089;%202017-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налета на 2014г. (3)"/>
      <sheetName val="расчет налета на 2014г."/>
      <sheetName val="расчет налета на 2014г. (2)"/>
      <sheetName val="налет часов"/>
      <sheetName val="к расчету нормативов"/>
      <sheetName val="Нормативы"/>
      <sheetName val="Сыв-Ктс-Сыв"/>
      <sheetName val="Ктс-Арх-Ктс 10%"/>
      <sheetName val="Ктс-Арх-Ктс  оригинал"/>
      <sheetName val="Расчет субсидии"/>
      <sheetName val="пас.тариф"/>
      <sheetName val="гр.тариф"/>
      <sheetName val="уч.Сыв-Ухта"/>
      <sheetName val="СЫВ-ИНТ-СЫВ "/>
      <sheetName val="522_"/>
      <sheetName val="522__"/>
      <sheetName val="521_"/>
      <sheetName val="524_"/>
      <sheetName val="543_"/>
      <sheetName val="уч. СЫВ-УХТ "/>
      <sheetName val="уч.Ухта-Воркута"/>
      <sheetName val="уч.Сыв-Вкт-Сыв"/>
      <sheetName val="Сыв-Усн-Сыв "/>
      <sheetName val="Сыв-Пчр-Сыв"/>
      <sheetName val="Сыв-Инта-Сыв"/>
      <sheetName val="Вуктыл-Ухта-Вуктыл  "/>
      <sheetName val="Сыв-Вуктыл-Сыв"/>
      <sheetName val="уч.Ухта-Усинск"/>
      <sheetName val="стоимость ГСМ"/>
      <sheetName val="сравнительные таблицы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H13">
            <v>39525.347176898591</v>
          </cell>
        </row>
        <row r="14">
          <cell r="H14">
            <v>18740.909090909088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Кузнецова Татьяна Юрьевна" id="{7B51F174-11DD-778A-8490-0254C5A735C2}"/>
  <person displayName="Автор" id="{2D739B78-3598-9F41-9B02-28FDE2BEC413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4" personId="{7B51F174-11DD-778A-8490-0254C5A735C2}" id="{00290096-009C-42B8-A9F5-003D004800D7}" done="0">
    <text xml:space="preserve">на 10 % больше, чем в 2019 по предложению тернового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F6" personId="{2D739B78-3598-9F41-9B02-28FDE2BEC413}" id="{00D80003-00EA-45CD-B351-001A0055000B}" done="0">
    <text xml:space="preserve">С учетом полетов в 1 квартале 2018 г.+капитальный ремонт
</text>
  </threadedComment>
  <threadedComment ref="I15" personId="{2D739B78-3598-9F41-9B02-28FDE2BEC413}" id="{00860005-0072-4CF2-A36F-008100A9009C}" done="0">
    <text xml:space="preserve">Учтена линия Архангельск-Котлас, 15346,3
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F27" sqref="F27"/>
    </sheetView>
  </sheetViews>
  <sheetFormatPr defaultRowHeight="15"/>
  <cols>
    <col min="1" max="1" width="26.28515625" bestFit="1" customWidth="1"/>
    <col min="2" max="2" width="14.28515625" bestFit="1" customWidth="1"/>
    <col min="3" max="3" width="14.85546875" bestFit="1" customWidth="1"/>
    <col min="4" max="4" width="14.42578125" bestFit="1" customWidth="1"/>
    <col min="5" max="5" width="14.7109375" bestFit="1" customWidth="1"/>
    <col min="6" max="6" width="14.28515625" bestFit="1" customWidth="1"/>
    <col min="7" max="7" width="14" bestFit="1" customWidth="1"/>
    <col min="8" max="8" width="12.5703125" bestFit="1" customWidth="1"/>
    <col min="9" max="9" width="12.42578125" bestFit="1" customWidth="1"/>
    <col min="10" max="13" width="14.5703125" bestFit="1" customWidth="1"/>
    <col min="14" max="14" width="13.42578125" bestFit="1" customWidth="1"/>
    <col min="15" max="15" width="12.7109375" bestFit="1" customWidth="1"/>
    <col min="16" max="16" width="13.7109375" bestFit="1" customWidth="1"/>
    <col min="17" max="17" width="13.140625" bestFit="1" customWidth="1"/>
  </cols>
  <sheetData>
    <row r="1" spans="1:17">
      <c r="A1" s="260" t="s">
        <v>47</v>
      </c>
      <c r="B1" s="260"/>
      <c r="C1" s="260"/>
      <c r="D1" s="260"/>
      <c r="E1" s="260"/>
      <c r="F1" s="260"/>
      <c r="G1" s="260"/>
      <c r="H1" s="260"/>
      <c r="I1" s="260"/>
    </row>
    <row r="2" spans="1:17">
      <c r="A2" s="261"/>
      <c r="B2" s="263" t="s">
        <v>13</v>
      </c>
      <c r="C2" s="264"/>
      <c r="D2" s="263" t="s">
        <v>15</v>
      </c>
      <c r="E2" s="264"/>
      <c r="F2" s="263" t="s">
        <v>48</v>
      </c>
      <c r="G2" s="265"/>
      <c r="H2" s="265"/>
      <c r="I2" s="266"/>
      <c r="J2" s="263" t="s">
        <v>49</v>
      </c>
      <c r="K2" s="265"/>
      <c r="L2" s="265"/>
      <c r="M2" s="266"/>
      <c r="N2" s="263" t="s">
        <v>50</v>
      </c>
      <c r="O2" s="265"/>
      <c r="P2" s="265"/>
      <c r="Q2" s="266"/>
    </row>
    <row r="3" spans="1:17" ht="45">
      <c r="A3" s="262"/>
      <c r="B3" s="30" t="s">
        <v>51</v>
      </c>
      <c r="C3" s="31" t="s">
        <v>52</v>
      </c>
      <c r="D3" s="30" t="s">
        <v>51</v>
      </c>
      <c r="E3" s="31" t="s">
        <v>52</v>
      </c>
      <c r="F3" s="30" t="s">
        <v>51</v>
      </c>
      <c r="G3" s="32" t="s">
        <v>52</v>
      </c>
      <c r="H3" s="32" t="s">
        <v>53</v>
      </c>
      <c r="I3" s="32" t="s">
        <v>54</v>
      </c>
      <c r="J3" s="30" t="s">
        <v>55</v>
      </c>
      <c r="K3" s="32" t="s">
        <v>56</v>
      </c>
      <c r="L3" s="32" t="s">
        <v>57</v>
      </c>
      <c r="M3" s="32" t="s">
        <v>58</v>
      </c>
      <c r="N3" s="30" t="s">
        <v>59</v>
      </c>
      <c r="O3" s="32" t="s">
        <v>60</v>
      </c>
      <c r="P3" s="32" t="s">
        <v>61</v>
      </c>
      <c r="Q3" s="32" t="s">
        <v>62</v>
      </c>
    </row>
    <row r="4" spans="1:17">
      <c r="A4" s="33" t="s">
        <v>63</v>
      </c>
      <c r="B4" s="34"/>
      <c r="C4" s="35"/>
      <c r="D4" s="34">
        <v>5527594</v>
      </c>
      <c r="E4" s="34">
        <v>4591830</v>
      </c>
      <c r="F4" s="34">
        <v>4185838</v>
      </c>
      <c r="G4" s="36">
        <v>4018569</v>
      </c>
      <c r="H4" s="36">
        <v>6705434.5800000001</v>
      </c>
      <c r="I4" s="37">
        <v>6705434.5800000001</v>
      </c>
      <c r="J4" s="34">
        <v>3691915</v>
      </c>
      <c r="K4" s="36">
        <v>3609011</v>
      </c>
      <c r="L4" s="36">
        <v>5605286.5800000001</v>
      </c>
      <c r="M4" s="36">
        <v>5605286.5800000001</v>
      </c>
      <c r="N4" s="34">
        <v>3408017</v>
      </c>
      <c r="O4" s="36">
        <v>3270491</v>
      </c>
      <c r="P4" s="36">
        <v>5251669.58</v>
      </c>
      <c r="Q4" s="36">
        <v>5251669.58</v>
      </c>
    </row>
    <row r="5" spans="1:17">
      <c r="A5" s="38" t="s">
        <v>64</v>
      </c>
      <c r="B5" s="34"/>
      <c r="C5" s="39"/>
      <c r="D5" s="34">
        <v>7808145</v>
      </c>
      <c r="E5" s="34">
        <v>6860657</v>
      </c>
      <c r="F5" s="40">
        <v>6358036</v>
      </c>
      <c r="G5" s="41">
        <v>6197280</v>
      </c>
      <c r="H5" s="41">
        <v>6681667.5800000001</v>
      </c>
      <c r="I5" s="42">
        <v>6681667.5800000001</v>
      </c>
      <c r="J5" s="40">
        <v>5783929</v>
      </c>
      <c r="K5" s="41">
        <v>5706725</v>
      </c>
      <c r="L5" s="41">
        <v>5571489.5800000001</v>
      </c>
      <c r="M5" s="41">
        <v>5571489.5800000001</v>
      </c>
      <c r="N5" s="40">
        <v>5444338</v>
      </c>
      <c r="O5" s="41">
        <v>5291845</v>
      </c>
      <c r="P5" s="41">
        <v>5223630.58</v>
      </c>
      <c r="Q5" s="41">
        <v>5223630.58</v>
      </c>
    </row>
    <row r="6" spans="1:17">
      <c r="A6" s="43" t="s">
        <v>65</v>
      </c>
      <c r="B6" s="34">
        <v>8489726</v>
      </c>
      <c r="C6" s="34">
        <v>8489726</v>
      </c>
      <c r="D6" s="34">
        <v>5250260</v>
      </c>
      <c r="E6" s="34">
        <v>4381930</v>
      </c>
      <c r="F6" s="40">
        <v>4048210</v>
      </c>
      <c r="G6" s="41">
        <v>3911494</v>
      </c>
      <c r="H6" s="41"/>
      <c r="I6" s="42"/>
      <c r="J6" s="40">
        <v>3570727</v>
      </c>
      <c r="K6" s="41">
        <v>3521186</v>
      </c>
      <c r="L6" s="41">
        <v>5330674.58</v>
      </c>
      <c r="M6" s="41">
        <v>5330674.58</v>
      </c>
      <c r="N6" s="40">
        <v>3342912</v>
      </c>
      <c r="O6" s="41">
        <v>3227365</v>
      </c>
      <c r="P6" s="41">
        <v>5021726.58</v>
      </c>
      <c r="Q6" s="41">
        <v>5021726.58</v>
      </c>
    </row>
    <row r="7" spans="1:17">
      <c r="A7" s="38" t="s">
        <v>66</v>
      </c>
      <c r="B7" s="40">
        <v>6962154</v>
      </c>
      <c r="C7" s="40">
        <v>6962154</v>
      </c>
      <c r="D7" s="40">
        <v>5482857</v>
      </c>
      <c r="E7" s="40">
        <v>4512633</v>
      </c>
      <c r="F7" s="40">
        <v>4090042</v>
      </c>
      <c r="G7" s="41">
        <v>3936136</v>
      </c>
      <c r="H7" s="41">
        <v>4925926</v>
      </c>
      <c r="I7" s="42">
        <f t="shared" ref="I7:I15" si="0">H7</f>
        <v>4925926</v>
      </c>
      <c r="J7" s="40">
        <v>3614673</v>
      </c>
      <c r="K7" s="41">
        <v>3542914</v>
      </c>
      <c r="L7" s="41">
        <v>5501084.5800000001</v>
      </c>
      <c r="M7" s="41">
        <v>5501084.5800000001</v>
      </c>
      <c r="N7" s="40">
        <v>3390448</v>
      </c>
      <c r="O7" s="41">
        <v>3244051</v>
      </c>
      <c r="P7" s="41">
        <v>5165199.58</v>
      </c>
      <c r="Q7" s="41">
        <v>5165199.58</v>
      </c>
    </row>
    <row r="8" spans="1:17">
      <c r="A8" s="43" t="s">
        <v>67</v>
      </c>
      <c r="B8" s="40">
        <v>6836109</v>
      </c>
      <c r="C8" s="40">
        <v>6836109</v>
      </c>
      <c r="D8" s="40"/>
      <c r="E8" s="40">
        <v>4422649</v>
      </c>
      <c r="F8" s="40">
        <v>4008834</v>
      </c>
      <c r="G8" s="41">
        <v>3872639</v>
      </c>
      <c r="H8" s="41">
        <v>5763303.5800000001</v>
      </c>
      <c r="I8" s="42">
        <f t="shared" si="0"/>
        <v>5763303.5800000001</v>
      </c>
      <c r="J8" s="40">
        <v>3555278</v>
      </c>
      <c r="K8" s="41">
        <v>3498713</v>
      </c>
      <c r="L8" s="41">
        <v>5399725.5800000001</v>
      </c>
      <c r="M8" s="41">
        <v>5399725.5800000001</v>
      </c>
      <c r="N8" s="40">
        <v>3364954</v>
      </c>
      <c r="O8" s="41">
        <v>3234889</v>
      </c>
      <c r="P8" s="41">
        <v>5080404.58</v>
      </c>
      <c r="Q8" s="41">
        <v>5080404.58</v>
      </c>
    </row>
    <row r="9" spans="1:17">
      <c r="A9" s="38" t="s">
        <v>68</v>
      </c>
      <c r="B9" s="40">
        <v>6941970</v>
      </c>
      <c r="C9" s="40">
        <v>6941970</v>
      </c>
      <c r="D9" s="40">
        <v>4541276</v>
      </c>
      <c r="E9" s="40">
        <v>4249268</v>
      </c>
      <c r="F9" s="40">
        <v>4005350</v>
      </c>
      <c r="G9" s="41">
        <v>3865782</v>
      </c>
      <c r="H9" s="41">
        <v>5809678.5800000001</v>
      </c>
      <c r="I9" s="42">
        <f t="shared" si="0"/>
        <v>5809678.5800000001</v>
      </c>
      <c r="J9" s="40">
        <v>3543648</v>
      </c>
      <c r="K9" s="41">
        <v>3484334</v>
      </c>
      <c r="L9" s="41">
        <v>5430666.5800000001</v>
      </c>
      <c r="M9" s="41">
        <v>5430666.5800000001</v>
      </c>
      <c r="N9" s="40">
        <v>3375232</v>
      </c>
      <c r="O9" s="41">
        <v>3238376</v>
      </c>
      <c r="P9" s="41">
        <v>5106771.58</v>
      </c>
      <c r="Q9" s="41">
        <v>5106771.58</v>
      </c>
    </row>
    <row r="10" spans="1:17">
      <c r="A10" s="43" t="s">
        <v>69</v>
      </c>
      <c r="B10" s="40">
        <v>6816327</v>
      </c>
      <c r="C10" s="40">
        <v>6816327</v>
      </c>
      <c r="D10" s="40">
        <v>4438963</v>
      </c>
      <c r="E10" s="40">
        <v>4179571</v>
      </c>
      <c r="F10" s="40">
        <v>3925826</v>
      </c>
      <c r="G10" s="41">
        <v>3804903</v>
      </c>
      <c r="H10" s="41">
        <v>5701087.5800000001</v>
      </c>
      <c r="I10" s="42">
        <f t="shared" si="0"/>
        <v>5701087.5800000001</v>
      </c>
      <c r="J10" s="40">
        <v>3485665</v>
      </c>
      <c r="K10" s="41">
        <v>3441480</v>
      </c>
      <c r="L10" s="41">
        <v>5330958.58</v>
      </c>
      <c r="M10" s="41">
        <v>5330958.58</v>
      </c>
      <c r="N10" s="40">
        <v>3350191</v>
      </c>
      <c r="O10" s="41">
        <v>3229393</v>
      </c>
      <c r="P10" s="41">
        <v>5023345.58</v>
      </c>
      <c r="Q10" s="41">
        <v>5023345.58</v>
      </c>
    </row>
    <row r="11" spans="1:17">
      <c r="A11" s="38" t="s">
        <v>70</v>
      </c>
      <c r="B11" s="40">
        <v>5270878</v>
      </c>
      <c r="C11" s="40">
        <v>5270878</v>
      </c>
      <c r="D11" s="40">
        <v>4442780</v>
      </c>
      <c r="E11" s="40">
        <v>4184842</v>
      </c>
      <c r="F11" s="40">
        <v>3918514</v>
      </c>
      <c r="G11" s="41">
        <v>3794095</v>
      </c>
      <c r="H11" s="41">
        <v>5744821.5800000001</v>
      </c>
      <c r="I11" s="42">
        <f t="shared" si="0"/>
        <v>5744821.5800000001</v>
      </c>
      <c r="J11" s="40">
        <v>3470824</v>
      </c>
      <c r="K11" s="41">
        <v>3424645</v>
      </c>
      <c r="L11" s="41">
        <v>5363855.58</v>
      </c>
      <c r="M11" s="41">
        <v>5363855.58</v>
      </c>
      <c r="N11" s="40">
        <v>3359939</v>
      </c>
      <c r="O11" s="41">
        <v>3232691</v>
      </c>
      <c r="P11" s="41">
        <v>5047290.58</v>
      </c>
      <c r="Q11" s="41">
        <v>5047290.58</v>
      </c>
    </row>
    <row r="12" spans="1:17">
      <c r="A12" s="43" t="s">
        <v>71</v>
      </c>
      <c r="B12" s="40">
        <v>5126566</v>
      </c>
      <c r="C12" s="40">
        <v>5126566</v>
      </c>
      <c r="D12" s="40">
        <v>4392928</v>
      </c>
      <c r="E12" s="40">
        <v>4152345</v>
      </c>
      <c r="F12" s="40">
        <v>3874494</v>
      </c>
      <c r="G12" s="41">
        <v>3757861</v>
      </c>
      <c r="H12" s="41">
        <v>8640296.5800000001</v>
      </c>
      <c r="I12" s="42">
        <f t="shared" si="0"/>
        <v>8640296.5800000001</v>
      </c>
      <c r="J12" s="40">
        <v>3438047</v>
      </c>
      <c r="K12" s="41">
        <v>3394434</v>
      </c>
      <c r="L12" s="41">
        <v>8166919.5800000001</v>
      </c>
      <c r="M12" s="41">
        <v>8166919.5800000001</v>
      </c>
      <c r="N12" s="40">
        <v>3352286</v>
      </c>
      <c r="O12" s="41">
        <v>3229848</v>
      </c>
      <c r="P12" s="41">
        <v>7753465.5800000001</v>
      </c>
      <c r="Q12" s="41">
        <v>7753465.5800000001</v>
      </c>
    </row>
    <row r="13" spans="1:17">
      <c r="A13" s="38" t="s">
        <v>72</v>
      </c>
      <c r="B13" s="40">
        <v>4542434</v>
      </c>
      <c r="C13" s="40">
        <v>4542434</v>
      </c>
      <c r="D13" s="40">
        <v>4293565</v>
      </c>
      <c r="E13" s="40">
        <v>4084877</v>
      </c>
      <c r="F13" s="40">
        <v>3797572</v>
      </c>
      <c r="G13" s="41">
        <v>3699463</v>
      </c>
      <c r="H13" s="41">
        <v>5631820.5800000001</v>
      </c>
      <c r="I13" s="42">
        <f t="shared" si="0"/>
        <v>5631820.5800000001</v>
      </c>
      <c r="J13" s="40">
        <v>3411135</v>
      </c>
      <c r="K13" s="41">
        <v>3353647</v>
      </c>
      <c r="L13" s="41">
        <v>5272990.58</v>
      </c>
      <c r="M13" s="41">
        <v>5272990.58</v>
      </c>
      <c r="N13" s="40">
        <v>3327929</v>
      </c>
      <c r="O13" s="41">
        <v>3221133</v>
      </c>
      <c r="P13" s="41">
        <v>4960196.58</v>
      </c>
      <c r="Q13" s="41">
        <v>4960196.58</v>
      </c>
    </row>
    <row r="14" spans="1:17">
      <c r="A14" s="43" t="s">
        <v>73</v>
      </c>
      <c r="B14" s="40">
        <v>4525388</v>
      </c>
      <c r="C14" s="40">
        <v>4525388</v>
      </c>
      <c r="D14" s="40">
        <v>4290677</v>
      </c>
      <c r="E14" s="40">
        <v>4086084</v>
      </c>
      <c r="F14" s="40">
        <v>3784345</v>
      </c>
      <c r="G14" s="41">
        <v>3684134</v>
      </c>
      <c r="H14" s="41">
        <v>5672613.5800000001</v>
      </c>
      <c r="I14" s="42">
        <f t="shared" si="0"/>
        <v>5672613.5800000001</v>
      </c>
      <c r="J14" s="40">
        <v>3423070</v>
      </c>
      <c r="K14" s="41">
        <v>3333043</v>
      </c>
      <c r="L14" s="41">
        <v>5307532.58</v>
      </c>
      <c r="M14" s="41">
        <v>5307532.58</v>
      </c>
      <c r="N14" s="40">
        <v>3336878</v>
      </c>
      <c r="O14" s="41">
        <v>3224149</v>
      </c>
      <c r="P14" s="41">
        <v>4981460.58</v>
      </c>
      <c r="Q14" s="41">
        <v>4981460.58</v>
      </c>
    </row>
    <row r="15" spans="1:17">
      <c r="A15" s="44" t="s">
        <v>74</v>
      </c>
      <c r="B15" s="45">
        <v>4500000</v>
      </c>
      <c r="C15" s="46"/>
      <c r="D15" s="45">
        <v>4193348</v>
      </c>
      <c r="E15" s="45">
        <v>4020139</v>
      </c>
      <c r="F15" s="45">
        <v>3709217</v>
      </c>
      <c r="G15" s="47">
        <v>3627431</v>
      </c>
      <c r="H15" s="47">
        <v>5567235.5800000001</v>
      </c>
      <c r="I15" s="42">
        <f t="shared" si="0"/>
        <v>5567235.5800000001</v>
      </c>
      <c r="J15" s="45">
        <v>3396604</v>
      </c>
      <c r="K15" s="47">
        <v>3293668</v>
      </c>
      <c r="L15" s="47">
        <v>5219401.58</v>
      </c>
      <c r="M15" s="47">
        <v>5219401.58</v>
      </c>
      <c r="N15" s="45">
        <v>3312980</v>
      </c>
      <c r="O15" s="47">
        <v>3215613</v>
      </c>
      <c r="P15" s="47">
        <v>4900971.58</v>
      </c>
      <c r="Q15" s="47">
        <v>4900971.58</v>
      </c>
    </row>
    <row r="16" spans="1:17">
      <c r="A16" s="48" t="s">
        <v>75</v>
      </c>
      <c r="B16" s="49">
        <f t="shared" ref="B16:C16" si="1">SUM(B4:B15)</f>
        <v>60011552</v>
      </c>
      <c r="C16" s="49">
        <f t="shared" si="1"/>
        <v>55511552</v>
      </c>
      <c r="D16" s="49">
        <f t="shared" ref="D16:E16" si="2">SUM(D4:D15)</f>
        <v>54662393</v>
      </c>
      <c r="E16" s="49">
        <f t="shared" si="2"/>
        <v>53726825</v>
      </c>
      <c r="F16" s="49">
        <f t="shared" ref="F16:G16" si="3">SUM(F4:F15)</f>
        <v>49706278</v>
      </c>
      <c r="G16" s="50">
        <f t="shared" si="3"/>
        <v>48169787</v>
      </c>
      <c r="H16" s="50">
        <f>SUM(H4:H15)</f>
        <v>66843885.79999999</v>
      </c>
      <c r="I16" s="51">
        <f>SUM(I4:I15)</f>
        <v>66843885.79999999</v>
      </c>
      <c r="J16" s="49">
        <f t="shared" ref="J16:K16" si="4">SUM(J4:J15)</f>
        <v>44385515</v>
      </c>
      <c r="K16" s="50">
        <f t="shared" si="4"/>
        <v>43603800</v>
      </c>
      <c r="L16" s="50">
        <f>SUM(L4:L15)</f>
        <v>67500585.959999993</v>
      </c>
      <c r="M16" s="51">
        <f>SUM(M4:M15)</f>
        <v>67500585.959999993</v>
      </c>
      <c r="N16" s="49">
        <f t="shared" ref="N16:O16" si="5">SUM(N4:N15)</f>
        <v>42366104</v>
      </c>
      <c r="O16" s="50">
        <f t="shared" si="5"/>
        <v>40859844</v>
      </c>
      <c r="P16" s="50">
        <f>SUM(P4:P15)</f>
        <v>63516132.959999986</v>
      </c>
      <c r="Q16" s="51">
        <f>SUM(Q4:Q15)</f>
        <v>63516132.959999986</v>
      </c>
    </row>
    <row r="17" spans="1:17">
      <c r="A17" s="52" t="s">
        <v>76</v>
      </c>
      <c r="B17" s="53">
        <f>B16/1.18</f>
        <v>50857247.457627118</v>
      </c>
      <c r="C17" s="53">
        <f>C16/1.18</f>
        <v>47043688.135593221</v>
      </c>
      <c r="D17" s="53">
        <f t="shared" ref="D17:E17" si="6">D16/1.2</f>
        <v>45551994.166666672</v>
      </c>
      <c r="E17" s="53">
        <f t="shared" si="6"/>
        <v>44772354.166666672</v>
      </c>
      <c r="F17" s="53">
        <f t="shared" ref="F17:G17" si="7">F16/1.2</f>
        <v>41421898.333333336</v>
      </c>
      <c r="G17" s="54">
        <f t="shared" si="7"/>
        <v>40141489.166666672</v>
      </c>
      <c r="H17" s="54">
        <f>H16/1.2</f>
        <v>55703238.166666657</v>
      </c>
      <c r="I17" s="55">
        <f>I16/1.2</f>
        <v>55703238.166666657</v>
      </c>
      <c r="J17" s="53">
        <f t="shared" ref="J17:K17" si="8">J16/1.2</f>
        <v>36987929.166666672</v>
      </c>
      <c r="K17" s="54">
        <f t="shared" si="8"/>
        <v>36336500</v>
      </c>
      <c r="L17" s="54">
        <f>L16/1.2</f>
        <v>56250488.299999997</v>
      </c>
      <c r="M17" s="55">
        <f>M16/1.2</f>
        <v>56250488.299999997</v>
      </c>
      <c r="N17" s="53">
        <f t="shared" ref="N17:O17" si="9">N16/1.2</f>
        <v>35305086.666666672</v>
      </c>
      <c r="O17" s="54">
        <f t="shared" si="9"/>
        <v>34049870</v>
      </c>
      <c r="P17" s="54">
        <f>P16/1.2</f>
        <v>52930110.79999999</v>
      </c>
      <c r="Q17" s="55">
        <f>Q16/1.2</f>
        <v>52930110.79999999</v>
      </c>
    </row>
    <row r="18" spans="1:17" ht="32.25" customHeight="1">
      <c r="A18" s="56" t="s">
        <v>77</v>
      </c>
      <c r="B18" s="267">
        <f>B17+C17</f>
        <v>97900935.593220338</v>
      </c>
      <c r="C18" s="268"/>
      <c r="D18" s="267">
        <f>D17+E17</f>
        <v>90324348.333333343</v>
      </c>
      <c r="E18" s="268"/>
      <c r="F18" s="269">
        <f>SUM(F17:I17)</f>
        <v>192969863.83333331</v>
      </c>
      <c r="G18" s="270"/>
      <c r="H18" s="270"/>
      <c r="I18" s="271"/>
      <c r="J18" s="269">
        <f>SUM(J17:M17)</f>
        <v>185825405.76666665</v>
      </c>
      <c r="K18" s="270"/>
      <c r="L18" s="270"/>
      <c r="M18" s="271"/>
      <c r="N18" s="269">
        <f>SUM(N17:Q17)</f>
        <v>175215178.26666665</v>
      </c>
      <c r="O18" s="270"/>
      <c r="P18" s="270"/>
      <c r="Q18" s="271"/>
    </row>
    <row r="19" spans="1:17">
      <c r="C19" s="57"/>
    </row>
    <row r="21" spans="1:17">
      <c r="B21" s="57"/>
    </row>
    <row r="27" spans="1:17">
      <c r="F27" t="s">
        <v>78</v>
      </c>
    </row>
  </sheetData>
  <mergeCells count="12">
    <mergeCell ref="J2:M2"/>
    <mergeCell ref="N2:Q2"/>
    <mergeCell ref="B18:C18"/>
    <mergeCell ref="D18:E18"/>
    <mergeCell ref="F18:I18"/>
    <mergeCell ref="J18:M18"/>
    <mergeCell ref="N18:Q18"/>
    <mergeCell ref="A1:I1"/>
    <mergeCell ref="A2:A3"/>
    <mergeCell ref="B2:C2"/>
    <mergeCell ref="D2:E2"/>
    <mergeCell ref="F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7"/>
  <sheetViews>
    <sheetView workbookViewId="0">
      <selection activeCell="P10" sqref="P10"/>
    </sheetView>
  </sheetViews>
  <sheetFormatPr defaultRowHeight="15"/>
  <cols>
    <col min="1" max="1" width="41.42578125" bestFit="1" customWidth="1"/>
    <col min="2" max="2" width="15.140625" hidden="1" bestFit="1" customWidth="1"/>
    <col min="3" max="3" width="15.7109375" hidden="1" bestFit="1" customWidth="1"/>
    <col min="4" max="4" width="15.7109375" bestFit="1" customWidth="1"/>
    <col min="5" max="5" width="17.7109375" bestFit="1" customWidth="1"/>
    <col min="6" max="6" width="14.85546875" hidden="1" bestFit="1" customWidth="1"/>
    <col min="7" max="7" width="14.42578125" hidden="1" bestFit="1" customWidth="1"/>
    <col min="8" max="8" width="17.5703125" bestFit="1" customWidth="1"/>
    <col min="9" max="9" width="16.28515625" bestFit="1" customWidth="1"/>
    <col min="10" max="10" width="13.5703125" bestFit="1" customWidth="1"/>
    <col min="11" max="11" width="11.5703125" bestFit="1" customWidth="1"/>
    <col min="12" max="12" width="14.140625" style="58" bestFit="1" customWidth="1"/>
    <col min="13" max="13" width="13.5703125" style="58" bestFit="1" customWidth="1"/>
    <col min="14" max="14" width="15.5703125" style="58" bestFit="1" customWidth="1"/>
    <col min="15" max="15" width="17" style="58" bestFit="1" customWidth="1"/>
    <col min="16" max="16" width="15.85546875" bestFit="1" customWidth="1"/>
    <col min="17" max="21" width="9.140625" bestFit="1" customWidth="1"/>
    <col min="246" max="246" width="41.42578125" bestFit="1" customWidth="1"/>
    <col min="247" max="247" width="12.140625" bestFit="1" customWidth="1"/>
    <col min="248" max="248" width="6.140625" bestFit="1" customWidth="1"/>
    <col min="249" max="249" width="13.85546875" bestFit="1" customWidth="1"/>
    <col min="250" max="250" width="12.140625" bestFit="1" customWidth="1"/>
    <col min="251" max="251" width="6.140625" bestFit="1" customWidth="1"/>
    <col min="252" max="252" width="14.42578125" bestFit="1" customWidth="1"/>
    <col min="253" max="253" width="13.42578125" bestFit="1" customWidth="1"/>
    <col min="254" max="254" width="6.5703125" bestFit="1" customWidth="1"/>
    <col min="255" max="255" width="14.28515625" bestFit="1" customWidth="1"/>
    <col min="256" max="256" width="13.28515625" bestFit="1" customWidth="1"/>
    <col min="257" max="257" width="8.42578125" bestFit="1" customWidth="1"/>
    <col min="258" max="258" width="14" bestFit="1" customWidth="1"/>
    <col min="259" max="259" width="14.42578125" bestFit="1" customWidth="1"/>
    <col min="260" max="260" width="7.5703125" bestFit="1" customWidth="1"/>
    <col min="261" max="261" width="14.28515625" bestFit="1" customWidth="1"/>
    <col min="262" max="262" width="14.85546875" bestFit="1" customWidth="1"/>
    <col min="263" max="263" width="8.7109375" bestFit="1" customWidth="1"/>
    <col min="264" max="264" width="13.85546875" bestFit="1" customWidth="1"/>
    <col min="502" max="502" width="41.42578125" bestFit="1" customWidth="1"/>
    <col min="503" max="503" width="12.140625" bestFit="1" customWidth="1"/>
    <col min="504" max="504" width="6.140625" bestFit="1" customWidth="1"/>
    <col min="505" max="505" width="13.85546875" bestFit="1" customWidth="1"/>
    <col min="506" max="506" width="12.140625" bestFit="1" customWidth="1"/>
    <col min="507" max="507" width="6.140625" bestFit="1" customWidth="1"/>
    <col min="508" max="508" width="14.42578125" bestFit="1" customWidth="1"/>
    <col min="509" max="509" width="13.42578125" bestFit="1" customWidth="1"/>
    <col min="510" max="510" width="6.5703125" bestFit="1" customWidth="1"/>
    <col min="511" max="511" width="14.28515625" bestFit="1" customWidth="1"/>
    <col min="512" max="512" width="13.28515625" bestFit="1" customWidth="1"/>
    <col min="513" max="513" width="8.42578125" bestFit="1" customWidth="1"/>
    <col min="514" max="514" width="14" bestFit="1" customWidth="1"/>
    <col min="515" max="515" width="14.42578125" bestFit="1" customWidth="1"/>
    <col min="516" max="516" width="7.5703125" bestFit="1" customWidth="1"/>
    <col min="517" max="517" width="14.28515625" bestFit="1" customWidth="1"/>
    <col min="518" max="518" width="14.85546875" bestFit="1" customWidth="1"/>
    <col min="519" max="519" width="8.7109375" bestFit="1" customWidth="1"/>
    <col min="520" max="520" width="13.85546875" bestFit="1" customWidth="1"/>
    <col min="758" max="758" width="41.42578125" bestFit="1" customWidth="1"/>
    <col min="759" max="759" width="12.140625" bestFit="1" customWidth="1"/>
    <col min="760" max="760" width="6.140625" bestFit="1" customWidth="1"/>
    <col min="761" max="761" width="13.85546875" bestFit="1" customWidth="1"/>
    <col min="762" max="762" width="12.140625" bestFit="1" customWidth="1"/>
    <col min="763" max="763" width="6.140625" bestFit="1" customWidth="1"/>
    <col min="764" max="764" width="14.42578125" bestFit="1" customWidth="1"/>
    <col min="765" max="765" width="13.42578125" bestFit="1" customWidth="1"/>
    <col min="766" max="766" width="6.5703125" bestFit="1" customWidth="1"/>
    <col min="767" max="767" width="14.28515625" bestFit="1" customWidth="1"/>
    <col min="768" max="768" width="13.28515625" bestFit="1" customWidth="1"/>
    <col min="769" max="769" width="8.42578125" bestFit="1" customWidth="1"/>
    <col min="770" max="770" width="14" bestFit="1" customWidth="1"/>
    <col min="771" max="771" width="14.42578125" bestFit="1" customWidth="1"/>
    <col min="772" max="772" width="7.5703125" bestFit="1" customWidth="1"/>
    <col min="773" max="773" width="14.28515625" bestFit="1" customWidth="1"/>
    <col min="774" max="774" width="14.85546875" bestFit="1" customWidth="1"/>
    <col min="775" max="775" width="8.7109375" bestFit="1" customWidth="1"/>
    <col min="776" max="776" width="13.85546875" bestFit="1" customWidth="1"/>
    <col min="1014" max="1014" width="41.42578125" bestFit="1" customWidth="1"/>
    <col min="1015" max="1015" width="12.140625" bestFit="1" customWidth="1"/>
    <col min="1016" max="1016" width="6.140625" bestFit="1" customWidth="1"/>
    <col min="1017" max="1017" width="13.85546875" bestFit="1" customWidth="1"/>
    <col min="1018" max="1018" width="12.140625" bestFit="1" customWidth="1"/>
    <col min="1019" max="1019" width="6.140625" bestFit="1" customWidth="1"/>
    <col min="1020" max="1020" width="14.42578125" bestFit="1" customWidth="1"/>
    <col min="1021" max="1021" width="13.42578125" bestFit="1" customWidth="1"/>
    <col min="1022" max="1022" width="6.5703125" bestFit="1" customWidth="1"/>
    <col min="1023" max="1023" width="14.28515625" bestFit="1" customWidth="1"/>
    <col min="1024" max="1024" width="13.28515625" bestFit="1" customWidth="1"/>
    <col min="1025" max="1025" width="8.42578125" bestFit="1" customWidth="1"/>
    <col min="1026" max="1026" width="14" bestFit="1" customWidth="1"/>
    <col min="1027" max="1027" width="14.42578125" bestFit="1" customWidth="1"/>
    <col min="1028" max="1028" width="7.5703125" bestFit="1" customWidth="1"/>
    <col min="1029" max="1029" width="14.28515625" bestFit="1" customWidth="1"/>
    <col min="1030" max="1030" width="14.85546875" bestFit="1" customWidth="1"/>
    <col min="1031" max="1031" width="8.7109375" bestFit="1" customWidth="1"/>
    <col min="1032" max="1032" width="13.85546875" bestFit="1" customWidth="1"/>
    <col min="1270" max="1270" width="41.42578125" bestFit="1" customWidth="1"/>
    <col min="1271" max="1271" width="12.140625" bestFit="1" customWidth="1"/>
    <col min="1272" max="1272" width="6.140625" bestFit="1" customWidth="1"/>
    <col min="1273" max="1273" width="13.85546875" bestFit="1" customWidth="1"/>
    <col min="1274" max="1274" width="12.140625" bestFit="1" customWidth="1"/>
    <col min="1275" max="1275" width="6.140625" bestFit="1" customWidth="1"/>
    <col min="1276" max="1276" width="14.42578125" bestFit="1" customWidth="1"/>
    <col min="1277" max="1277" width="13.42578125" bestFit="1" customWidth="1"/>
    <col min="1278" max="1278" width="6.5703125" bestFit="1" customWidth="1"/>
    <col min="1279" max="1279" width="14.28515625" bestFit="1" customWidth="1"/>
    <col min="1280" max="1280" width="13.28515625" bestFit="1" customWidth="1"/>
    <col min="1281" max="1281" width="8.42578125" bestFit="1" customWidth="1"/>
    <col min="1282" max="1282" width="14" bestFit="1" customWidth="1"/>
    <col min="1283" max="1283" width="14.42578125" bestFit="1" customWidth="1"/>
    <col min="1284" max="1284" width="7.5703125" bestFit="1" customWidth="1"/>
    <col min="1285" max="1285" width="14.28515625" bestFit="1" customWidth="1"/>
    <col min="1286" max="1286" width="14.85546875" bestFit="1" customWidth="1"/>
    <col min="1287" max="1287" width="8.7109375" bestFit="1" customWidth="1"/>
    <col min="1288" max="1288" width="13.85546875" bestFit="1" customWidth="1"/>
    <col min="1526" max="1526" width="41.42578125" bestFit="1" customWidth="1"/>
    <col min="1527" max="1527" width="12.140625" bestFit="1" customWidth="1"/>
    <col min="1528" max="1528" width="6.140625" bestFit="1" customWidth="1"/>
    <col min="1529" max="1529" width="13.85546875" bestFit="1" customWidth="1"/>
    <col min="1530" max="1530" width="12.140625" bestFit="1" customWidth="1"/>
    <col min="1531" max="1531" width="6.140625" bestFit="1" customWidth="1"/>
    <col min="1532" max="1532" width="14.42578125" bestFit="1" customWidth="1"/>
    <col min="1533" max="1533" width="13.42578125" bestFit="1" customWidth="1"/>
    <col min="1534" max="1534" width="6.5703125" bestFit="1" customWidth="1"/>
    <col min="1535" max="1535" width="14.28515625" bestFit="1" customWidth="1"/>
    <col min="1536" max="1536" width="13.28515625" bestFit="1" customWidth="1"/>
    <col min="1537" max="1537" width="8.42578125" bestFit="1" customWidth="1"/>
    <col min="1538" max="1538" width="14" bestFit="1" customWidth="1"/>
    <col min="1539" max="1539" width="14.42578125" bestFit="1" customWidth="1"/>
    <col min="1540" max="1540" width="7.5703125" bestFit="1" customWidth="1"/>
    <col min="1541" max="1541" width="14.28515625" bestFit="1" customWidth="1"/>
    <col min="1542" max="1542" width="14.85546875" bestFit="1" customWidth="1"/>
    <col min="1543" max="1543" width="8.7109375" bestFit="1" customWidth="1"/>
    <col min="1544" max="1544" width="13.85546875" bestFit="1" customWidth="1"/>
    <col min="1782" max="1782" width="41.42578125" bestFit="1" customWidth="1"/>
    <col min="1783" max="1783" width="12.140625" bestFit="1" customWidth="1"/>
    <col min="1784" max="1784" width="6.140625" bestFit="1" customWidth="1"/>
    <col min="1785" max="1785" width="13.85546875" bestFit="1" customWidth="1"/>
    <col min="1786" max="1786" width="12.140625" bestFit="1" customWidth="1"/>
    <col min="1787" max="1787" width="6.140625" bestFit="1" customWidth="1"/>
    <col min="1788" max="1788" width="14.42578125" bestFit="1" customWidth="1"/>
    <col min="1789" max="1789" width="13.42578125" bestFit="1" customWidth="1"/>
    <col min="1790" max="1790" width="6.5703125" bestFit="1" customWidth="1"/>
    <col min="1791" max="1791" width="14.28515625" bestFit="1" customWidth="1"/>
    <col min="1792" max="1792" width="13.28515625" bestFit="1" customWidth="1"/>
    <col min="1793" max="1793" width="8.42578125" bestFit="1" customWidth="1"/>
    <col min="1794" max="1794" width="14" bestFit="1" customWidth="1"/>
    <col min="1795" max="1795" width="14.42578125" bestFit="1" customWidth="1"/>
    <col min="1796" max="1796" width="7.5703125" bestFit="1" customWidth="1"/>
    <col min="1797" max="1797" width="14.28515625" bestFit="1" customWidth="1"/>
    <col min="1798" max="1798" width="14.85546875" bestFit="1" customWidth="1"/>
    <col min="1799" max="1799" width="8.7109375" bestFit="1" customWidth="1"/>
    <col min="1800" max="1800" width="13.85546875" bestFit="1" customWidth="1"/>
    <col min="2038" max="2038" width="41.42578125" bestFit="1" customWidth="1"/>
    <col min="2039" max="2039" width="12.140625" bestFit="1" customWidth="1"/>
    <col min="2040" max="2040" width="6.140625" bestFit="1" customWidth="1"/>
    <col min="2041" max="2041" width="13.85546875" bestFit="1" customWidth="1"/>
    <col min="2042" max="2042" width="12.140625" bestFit="1" customWidth="1"/>
    <col min="2043" max="2043" width="6.140625" bestFit="1" customWidth="1"/>
    <col min="2044" max="2044" width="14.42578125" bestFit="1" customWidth="1"/>
    <col min="2045" max="2045" width="13.42578125" bestFit="1" customWidth="1"/>
    <col min="2046" max="2046" width="6.5703125" bestFit="1" customWidth="1"/>
    <col min="2047" max="2047" width="14.28515625" bestFit="1" customWidth="1"/>
    <col min="2048" max="2048" width="13.28515625" bestFit="1" customWidth="1"/>
    <col min="2049" max="2049" width="8.42578125" bestFit="1" customWidth="1"/>
    <col min="2050" max="2050" width="14" bestFit="1" customWidth="1"/>
    <col min="2051" max="2051" width="14.42578125" bestFit="1" customWidth="1"/>
    <col min="2052" max="2052" width="7.5703125" bestFit="1" customWidth="1"/>
    <col min="2053" max="2053" width="14.28515625" bestFit="1" customWidth="1"/>
    <col min="2054" max="2054" width="14.85546875" bestFit="1" customWidth="1"/>
    <col min="2055" max="2055" width="8.7109375" bestFit="1" customWidth="1"/>
    <col min="2056" max="2056" width="13.85546875" bestFit="1" customWidth="1"/>
    <col min="2294" max="2294" width="41.42578125" bestFit="1" customWidth="1"/>
    <col min="2295" max="2295" width="12.140625" bestFit="1" customWidth="1"/>
    <col min="2296" max="2296" width="6.140625" bestFit="1" customWidth="1"/>
    <col min="2297" max="2297" width="13.85546875" bestFit="1" customWidth="1"/>
    <col min="2298" max="2298" width="12.140625" bestFit="1" customWidth="1"/>
    <col min="2299" max="2299" width="6.140625" bestFit="1" customWidth="1"/>
    <col min="2300" max="2300" width="14.42578125" bestFit="1" customWidth="1"/>
    <col min="2301" max="2301" width="13.42578125" bestFit="1" customWidth="1"/>
    <col min="2302" max="2302" width="6.5703125" bestFit="1" customWidth="1"/>
    <col min="2303" max="2303" width="14.28515625" bestFit="1" customWidth="1"/>
    <col min="2304" max="2304" width="13.28515625" bestFit="1" customWidth="1"/>
    <col min="2305" max="2305" width="8.42578125" bestFit="1" customWidth="1"/>
    <col min="2306" max="2306" width="14" bestFit="1" customWidth="1"/>
    <col min="2307" max="2307" width="14.42578125" bestFit="1" customWidth="1"/>
    <col min="2308" max="2308" width="7.5703125" bestFit="1" customWidth="1"/>
    <col min="2309" max="2309" width="14.28515625" bestFit="1" customWidth="1"/>
    <col min="2310" max="2310" width="14.85546875" bestFit="1" customWidth="1"/>
    <col min="2311" max="2311" width="8.7109375" bestFit="1" customWidth="1"/>
    <col min="2312" max="2312" width="13.85546875" bestFit="1" customWidth="1"/>
    <col min="2550" max="2550" width="41.42578125" bestFit="1" customWidth="1"/>
    <col min="2551" max="2551" width="12.140625" bestFit="1" customWidth="1"/>
    <col min="2552" max="2552" width="6.140625" bestFit="1" customWidth="1"/>
    <col min="2553" max="2553" width="13.85546875" bestFit="1" customWidth="1"/>
    <col min="2554" max="2554" width="12.140625" bestFit="1" customWidth="1"/>
    <col min="2555" max="2555" width="6.140625" bestFit="1" customWidth="1"/>
    <col min="2556" max="2556" width="14.42578125" bestFit="1" customWidth="1"/>
    <col min="2557" max="2557" width="13.42578125" bestFit="1" customWidth="1"/>
    <col min="2558" max="2558" width="6.5703125" bestFit="1" customWidth="1"/>
    <col min="2559" max="2559" width="14.28515625" bestFit="1" customWidth="1"/>
    <col min="2560" max="2560" width="13.28515625" bestFit="1" customWidth="1"/>
    <col min="2561" max="2561" width="8.42578125" bestFit="1" customWidth="1"/>
    <col min="2562" max="2562" width="14" bestFit="1" customWidth="1"/>
    <col min="2563" max="2563" width="14.42578125" bestFit="1" customWidth="1"/>
    <col min="2564" max="2564" width="7.5703125" bestFit="1" customWidth="1"/>
    <col min="2565" max="2565" width="14.28515625" bestFit="1" customWidth="1"/>
    <col min="2566" max="2566" width="14.85546875" bestFit="1" customWidth="1"/>
    <col min="2567" max="2567" width="8.7109375" bestFit="1" customWidth="1"/>
    <col min="2568" max="2568" width="13.85546875" bestFit="1" customWidth="1"/>
    <col min="2806" max="2806" width="41.42578125" bestFit="1" customWidth="1"/>
    <col min="2807" max="2807" width="12.140625" bestFit="1" customWidth="1"/>
    <col min="2808" max="2808" width="6.140625" bestFit="1" customWidth="1"/>
    <col min="2809" max="2809" width="13.85546875" bestFit="1" customWidth="1"/>
    <col min="2810" max="2810" width="12.140625" bestFit="1" customWidth="1"/>
    <col min="2811" max="2811" width="6.140625" bestFit="1" customWidth="1"/>
    <col min="2812" max="2812" width="14.42578125" bestFit="1" customWidth="1"/>
    <col min="2813" max="2813" width="13.42578125" bestFit="1" customWidth="1"/>
    <col min="2814" max="2814" width="6.5703125" bestFit="1" customWidth="1"/>
    <col min="2815" max="2815" width="14.28515625" bestFit="1" customWidth="1"/>
    <col min="2816" max="2816" width="13.28515625" bestFit="1" customWidth="1"/>
    <col min="2817" max="2817" width="8.42578125" bestFit="1" customWidth="1"/>
    <col min="2818" max="2818" width="14" bestFit="1" customWidth="1"/>
    <col min="2819" max="2819" width="14.42578125" bestFit="1" customWidth="1"/>
    <col min="2820" max="2820" width="7.5703125" bestFit="1" customWidth="1"/>
    <col min="2821" max="2821" width="14.28515625" bestFit="1" customWidth="1"/>
    <col min="2822" max="2822" width="14.85546875" bestFit="1" customWidth="1"/>
    <col min="2823" max="2823" width="8.7109375" bestFit="1" customWidth="1"/>
    <col min="2824" max="2824" width="13.85546875" bestFit="1" customWidth="1"/>
    <col min="3062" max="3062" width="41.42578125" bestFit="1" customWidth="1"/>
    <col min="3063" max="3063" width="12.140625" bestFit="1" customWidth="1"/>
    <col min="3064" max="3064" width="6.140625" bestFit="1" customWidth="1"/>
    <col min="3065" max="3065" width="13.85546875" bestFit="1" customWidth="1"/>
    <col min="3066" max="3066" width="12.140625" bestFit="1" customWidth="1"/>
    <col min="3067" max="3067" width="6.140625" bestFit="1" customWidth="1"/>
    <col min="3068" max="3068" width="14.42578125" bestFit="1" customWidth="1"/>
    <col min="3069" max="3069" width="13.42578125" bestFit="1" customWidth="1"/>
    <col min="3070" max="3070" width="6.5703125" bestFit="1" customWidth="1"/>
    <col min="3071" max="3071" width="14.28515625" bestFit="1" customWidth="1"/>
    <col min="3072" max="3072" width="13.28515625" bestFit="1" customWidth="1"/>
    <col min="3073" max="3073" width="8.42578125" bestFit="1" customWidth="1"/>
    <col min="3074" max="3074" width="14" bestFit="1" customWidth="1"/>
    <col min="3075" max="3075" width="14.42578125" bestFit="1" customWidth="1"/>
    <col min="3076" max="3076" width="7.5703125" bestFit="1" customWidth="1"/>
    <col min="3077" max="3077" width="14.28515625" bestFit="1" customWidth="1"/>
    <col min="3078" max="3078" width="14.85546875" bestFit="1" customWidth="1"/>
    <col min="3079" max="3079" width="8.7109375" bestFit="1" customWidth="1"/>
    <col min="3080" max="3080" width="13.85546875" bestFit="1" customWidth="1"/>
    <col min="3318" max="3318" width="41.42578125" bestFit="1" customWidth="1"/>
    <col min="3319" max="3319" width="12.140625" bestFit="1" customWidth="1"/>
    <col min="3320" max="3320" width="6.140625" bestFit="1" customWidth="1"/>
    <col min="3321" max="3321" width="13.85546875" bestFit="1" customWidth="1"/>
    <col min="3322" max="3322" width="12.140625" bestFit="1" customWidth="1"/>
    <col min="3323" max="3323" width="6.140625" bestFit="1" customWidth="1"/>
    <col min="3324" max="3324" width="14.42578125" bestFit="1" customWidth="1"/>
    <col min="3325" max="3325" width="13.42578125" bestFit="1" customWidth="1"/>
    <col min="3326" max="3326" width="6.5703125" bestFit="1" customWidth="1"/>
    <col min="3327" max="3327" width="14.28515625" bestFit="1" customWidth="1"/>
    <col min="3328" max="3328" width="13.28515625" bestFit="1" customWidth="1"/>
    <col min="3329" max="3329" width="8.42578125" bestFit="1" customWidth="1"/>
    <col min="3330" max="3330" width="14" bestFit="1" customWidth="1"/>
    <col min="3331" max="3331" width="14.42578125" bestFit="1" customWidth="1"/>
    <col min="3332" max="3332" width="7.5703125" bestFit="1" customWidth="1"/>
    <col min="3333" max="3333" width="14.28515625" bestFit="1" customWidth="1"/>
    <col min="3334" max="3334" width="14.85546875" bestFit="1" customWidth="1"/>
    <col min="3335" max="3335" width="8.7109375" bestFit="1" customWidth="1"/>
    <col min="3336" max="3336" width="13.85546875" bestFit="1" customWidth="1"/>
    <col min="3574" max="3574" width="41.42578125" bestFit="1" customWidth="1"/>
    <col min="3575" max="3575" width="12.140625" bestFit="1" customWidth="1"/>
    <col min="3576" max="3576" width="6.140625" bestFit="1" customWidth="1"/>
    <col min="3577" max="3577" width="13.85546875" bestFit="1" customWidth="1"/>
    <col min="3578" max="3578" width="12.140625" bestFit="1" customWidth="1"/>
    <col min="3579" max="3579" width="6.140625" bestFit="1" customWidth="1"/>
    <col min="3580" max="3580" width="14.42578125" bestFit="1" customWidth="1"/>
    <col min="3581" max="3581" width="13.42578125" bestFit="1" customWidth="1"/>
    <col min="3582" max="3582" width="6.5703125" bestFit="1" customWidth="1"/>
    <col min="3583" max="3583" width="14.28515625" bestFit="1" customWidth="1"/>
    <col min="3584" max="3584" width="13.28515625" bestFit="1" customWidth="1"/>
    <col min="3585" max="3585" width="8.42578125" bestFit="1" customWidth="1"/>
    <col min="3586" max="3586" width="14" bestFit="1" customWidth="1"/>
    <col min="3587" max="3587" width="14.42578125" bestFit="1" customWidth="1"/>
    <col min="3588" max="3588" width="7.5703125" bestFit="1" customWidth="1"/>
    <col min="3589" max="3589" width="14.28515625" bestFit="1" customWidth="1"/>
    <col min="3590" max="3590" width="14.85546875" bestFit="1" customWidth="1"/>
    <col min="3591" max="3591" width="8.7109375" bestFit="1" customWidth="1"/>
    <col min="3592" max="3592" width="13.85546875" bestFit="1" customWidth="1"/>
    <col min="3830" max="3830" width="41.42578125" bestFit="1" customWidth="1"/>
    <col min="3831" max="3831" width="12.140625" bestFit="1" customWidth="1"/>
    <col min="3832" max="3832" width="6.140625" bestFit="1" customWidth="1"/>
    <col min="3833" max="3833" width="13.85546875" bestFit="1" customWidth="1"/>
    <col min="3834" max="3834" width="12.140625" bestFit="1" customWidth="1"/>
    <col min="3835" max="3835" width="6.140625" bestFit="1" customWidth="1"/>
    <col min="3836" max="3836" width="14.42578125" bestFit="1" customWidth="1"/>
    <col min="3837" max="3837" width="13.42578125" bestFit="1" customWidth="1"/>
    <col min="3838" max="3838" width="6.5703125" bestFit="1" customWidth="1"/>
    <col min="3839" max="3839" width="14.28515625" bestFit="1" customWidth="1"/>
    <col min="3840" max="3840" width="13.28515625" bestFit="1" customWidth="1"/>
    <col min="3841" max="3841" width="8.42578125" bestFit="1" customWidth="1"/>
    <col min="3842" max="3842" width="14" bestFit="1" customWidth="1"/>
    <col min="3843" max="3843" width="14.42578125" bestFit="1" customWidth="1"/>
    <col min="3844" max="3844" width="7.5703125" bestFit="1" customWidth="1"/>
    <col min="3845" max="3845" width="14.28515625" bestFit="1" customWidth="1"/>
    <col min="3846" max="3846" width="14.85546875" bestFit="1" customWidth="1"/>
    <col min="3847" max="3847" width="8.7109375" bestFit="1" customWidth="1"/>
    <col min="3848" max="3848" width="13.85546875" bestFit="1" customWidth="1"/>
    <col min="4086" max="4086" width="41.42578125" bestFit="1" customWidth="1"/>
    <col min="4087" max="4087" width="12.140625" bestFit="1" customWidth="1"/>
    <col min="4088" max="4088" width="6.140625" bestFit="1" customWidth="1"/>
    <col min="4089" max="4089" width="13.85546875" bestFit="1" customWidth="1"/>
    <col min="4090" max="4090" width="12.140625" bestFit="1" customWidth="1"/>
    <col min="4091" max="4091" width="6.140625" bestFit="1" customWidth="1"/>
    <col min="4092" max="4092" width="14.42578125" bestFit="1" customWidth="1"/>
    <col min="4093" max="4093" width="13.42578125" bestFit="1" customWidth="1"/>
    <col min="4094" max="4094" width="6.5703125" bestFit="1" customWidth="1"/>
    <col min="4095" max="4095" width="14.28515625" bestFit="1" customWidth="1"/>
    <col min="4096" max="4096" width="13.28515625" bestFit="1" customWidth="1"/>
    <col min="4097" max="4097" width="8.42578125" bestFit="1" customWidth="1"/>
    <col min="4098" max="4098" width="14" bestFit="1" customWidth="1"/>
    <col min="4099" max="4099" width="14.42578125" bestFit="1" customWidth="1"/>
    <col min="4100" max="4100" width="7.5703125" bestFit="1" customWidth="1"/>
    <col min="4101" max="4101" width="14.28515625" bestFit="1" customWidth="1"/>
    <col min="4102" max="4102" width="14.85546875" bestFit="1" customWidth="1"/>
    <col min="4103" max="4103" width="8.7109375" bestFit="1" customWidth="1"/>
    <col min="4104" max="4104" width="13.85546875" bestFit="1" customWidth="1"/>
    <col min="4342" max="4342" width="41.42578125" bestFit="1" customWidth="1"/>
    <col min="4343" max="4343" width="12.140625" bestFit="1" customWidth="1"/>
    <col min="4344" max="4344" width="6.140625" bestFit="1" customWidth="1"/>
    <col min="4345" max="4345" width="13.85546875" bestFit="1" customWidth="1"/>
    <col min="4346" max="4346" width="12.140625" bestFit="1" customWidth="1"/>
    <col min="4347" max="4347" width="6.140625" bestFit="1" customWidth="1"/>
    <col min="4348" max="4348" width="14.42578125" bestFit="1" customWidth="1"/>
    <col min="4349" max="4349" width="13.42578125" bestFit="1" customWidth="1"/>
    <col min="4350" max="4350" width="6.5703125" bestFit="1" customWidth="1"/>
    <col min="4351" max="4351" width="14.28515625" bestFit="1" customWidth="1"/>
    <col min="4352" max="4352" width="13.28515625" bestFit="1" customWidth="1"/>
    <col min="4353" max="4353" width="8.42578125" bestFit="1" customWidth="1"/>
    <col min="4354" max="4354" width="14" bestFit="1" customWidth="1"/>
    <col min="4355" max="4355" width="14.42578125" bestFit="1" customWidth="1"/>
    <col min="4356" max="4356" width="7.5703125" bestFit="1" customWidth="1"/>
    <col min="4357" max="4357" width="14.28515625" bestFit="1" customWidth="1"/>
    <col min="4358" max="4358" width="14.85546875" bestFit="1" customWidth="1"/>
    <col min="4359" max="4359" width="8.7109375" bestFit="1" customWidth="1"/>
    <col min="4360" max="4360" width="13.85546875" bestFit="1" customWidth="1"/>
    <col min="4598" max="4598" width="41.42578125" bestFit="1" customWidth="1"/>
    <col min="4599" max="4599" width="12.140625" bestFit="1" customWidth="1"/>
    <col min="4600" max="4600" width="6.140625" bestFit="1" customWidth="1"/>
    <col min="4601" max="4601" width="13.85546875" bestFit="1" customWidth="1"/>
    <col min="4602" max="4602" width="12.140625" bestFit="1" customWidth="1"/>
    <col min="4603" max="4603" width="6.140625" bestFit="1" customWidth="1"/>
    <col min="4604" max="4604" width="14.42578125" bestFit="1" customWidth="1"/>
    <col min="4605" max="4605" width="13.42578125" bestFit="1" customWidth="1"/>
    <col min="4606" max="4606" width="6.5703125" bestFit="1" customWidth="1"/>
    <col min="4607" max="4607" width="14.28515625" bestFit="1" customWidth="1"/>
    <col min="4608" max="4608" width="13.28515625" bestFit="1" customWidth="1"/>
    <col min="4609" max="4609" width="8.42578125" bestFit="1" customWidth="1"/>
    <col min="4610" max="4610" width="14" bestFit="1" customWidth="1"/>
    <col min="4611" max="4611" width="14.42578125" bestFit="1" customWidth="1"/>
    <col min="4612" max="4612" width="7.5703125" bestFit="1" customWidth="1"/>
    <col min="4613" max="4613" width="14.28515625" bestFit="1" customWidth="1"/>
    <col min="4614" max="4614" width="14.85546875" bestFit="1" customWidth="1"/>
    <col min="4615" max="4615" width="8.7109375" bestFit="1" customWidth="1"/>
    <col min="4616" max="4616" width="13.85546875" bestFit="1" customWidth="1"/>
    <col min="4854" max="4854" width="41.42578125" bestFit="1" customWidth="1"/>
    <col min="4855" max="4855" width="12.140625" bestFit="1" customWidth="1"/>
    <col min="4856" max="4856" width="6.140625" bestFit="1" customWidth="1"/>
    <col min="4857" max="4857" width="13.85546875" bestFit="1" customWidth="1"/>
    <col min="4858" max="4858" width="12.140625" bestFit="1" customWidth="1"/>
    <col min="4859" max="4859" width="6.140625" bestFit="1" customWidth="1"/>
    <col min="4860" max="4860" width="14.42578125" bestFit="1" customWidth="1"/>
    <col min="4861" max="4861" width="13.42578125" bestFit="1" customWidth="1"/>
    <col min="4862" max="4862" width="6.5703125" bestFit="1" customWidth="1"/>
    <col min="4863" max="4863" width="14.28515625" bestFit="1" customWidth="1"/>
    <col min="4864" max="4864" width="13.28515625" bestFit="1" customWidth="1"/>
    <col min="4865" max="4865" width="8.42578125" bestFit="1" customWidth="1"/>
    <col min="4866" max="4866" width="14" bestFit="1" customWidth="1"/>
    <col min="4867" max="4867" width="14.42578125" bestFit="1" customWidth="1"/>
    <col min="4868" max="4868" width="7.5703125" bestFit="1" customWidth="1"/>
    <col min="4869" max="4869" width="14.28515625" bestFit="1" customWidth="1"/>
    <col min="4870" max="4870" width="14.85546875" bestFit="1" customWidth="1"/>
    <col min="4871" max="4871" width="8.7109375" bestFit="1" customWidth="1"/>
    <col min="4872" max="4872" width="13.85546875" bestFit="1" customWidth="1"/>
    <col min="5110" max="5110" width="41.42578125" bestFit="1" customWidth="1"/>
    <col min="5111" max="5111" width="12.140625" bestFit="1" customWidth="1"/>
    <col min="5112" max="5112" width="6.140625" bestFit="1" customWidth="1"/>
    <col min="5113" max="5113" width="13.85546875" bestFit="1" customWidth="1"/>
    <col min="5114" max="5114" width="12.140625" bestFit="1" customWidth="1"/>
    <col min="5115" max="5115" width="6.140625" bestFit="1" customWidth="1"/>
    <col min="5116" max="5116" width="14.42578125" bestFit="1" customWidth="1"/>
    <col min="5117" max="5117" width="13.42578125" bestFit="1" customWidth="1"/>
    <col min="5118" max="5118" width="6.5703125" bestFit="1" customWidth="1"/>
    <col min="5119" max="5119" width="14.28515625" bestFit="1" customWidth="1"/>
    <col min="5120" max="5120" width="13.28515625" bestFit="1" customWidth="1"/>
    <col min="5121" max="5121" width="8.42578125" bestFit="1" customWidth="1"/>
    <col min="5122" max="5122" width="14" bestFit="1" customWidth="1"/>
    <col min="5123" max="5123" width="14.42578125" bestFit="1" customWidth="1"/>
    <col min="5124" max="5124" width="7.5703125" bestFit="1" customWidth="1"/>
    <col min="5125" max="5125" width="14.28515625" bestFit="1" customWidth="1"/>
    <col min="5126" max="5126" width="14.85546875" bestFit="1" customWidth="1"/>
    <col min="5127" max="5127" width="8.7109375" bestFit="1" customWidth="1"/>
    <col min="5128" max="5128" width="13.85546875" bestFit="1" customWidth="1"/>
    <col min="5366" max="5366" width="41.42578125" bestFit="1" customWidth="1"/>
    <col min="5367" max="5367" width="12.140625" bestFit="1" customWidth="1"/>
    <col min="5368" max="5368" width="6.140625" bestFit="1" customWidth="1"/>
    <col min="5369" max="5369" width="13.85546875" bestFit="1" customWidth="1"/>
    <col min="5370" max="5370" width="12.140625" bestFit="1" customWidth="1"/>
    <col min="5371" max="5371" width="6.140625" bestFit="1" customWidth="1"/>
    <col min="5372" max="5372" width="14.42578125" bestFit="1" customWidth="1"/>
    <col min="5373" max="5373" width="13.42578125" bestFit="1" customWidth="1"/>
    <col min="5374" max="5374" width="6.5703125" bestFit="1" customWidth="1"/>
    <col min="5375" max="5375" width="14.28515625" bestFit="1" customWidth="1"/>
    <col min="5376" max="5376" width="13.28515625" bestFit="1" customWidth="1"/>
    <col min="5377" max="5377" width="8.42578125" bestFit="1" customWidth="1"/>
    <col min="5378" max="5378" width="14" bestFit="1" customWidth="1"/>
    <col min="5379" max="5379" width="14.42578125" bestFit="1" customWidth="1"/>
    <col min="5380" max="5380" width="7.5703125" bestFit="1" customWidth="1"/>
    <col min="5381" max="5381" width="14.28515625" bestFit="1" customWidth="1"/>
    <col min="5382" max="5382" width="14.85546875" bestFit="1" customWidth="1"/>
    <col min="5383" max="5383" width="8.7109375" bestFit="1" customWidth="1"/>
    <col min="5384" max="5384" width="13.85546875" bestFit="1" customWidth="1"/>
    <col min="5622" max="5622" width="41.42578125" bestFit="1" customWidth="1"/>
    <col min="5623" max="5623" width="12.140625" bestFit="1" customWidth="1"/>
    <col min="5624" max="5624" width="6.140625" bestFit="1" customWidth="1"/>
    <col min="5625" max="5625" width="13.85546875" bestFit="1" customWidth="1"/>
    <col min="5626" max="5626" width="12.140625" bestFit="1" customWidth="1"/>
    <col min="5627" max="5627" width="6.140625" bestFit="1" customWidth="1"/>
    <col min="5628" max="5628" width="14.42578125" bestFit="1" customWidth="1"/>
    <col min="5629" max="5629" width="13.42578125" bestFit="1" customWidth="1"/>
    <col min="5630" max="5630" width="6.5703125" bestFit="1" customWidth="1"/>
    <col min="5631" max="5631" width="14.28515625" bestFit="1" customWidth="1"/>
    <col min="5632" max="5632" width="13.28515625" bestFit="1" customWidth="1"/>
    <col min="5633" max="5633" width="8.42578125" bestFit="1" customWidth="1"/>
    <col min="5634" max="5634" width="14" bestFit="1" customWidth="1"/>
    <col min="5635" max="5635" width="14.42578125" bestFit="1" customWidth="1"/>
    <col min="5636" max="5636" width="7.5703125" bestFit="1" customWidth="1"/>
    <col min="5637" max="5637" width="14.28515625" bestFit="1" customWidth="1"/>
    <col min="5638" max="5638" width="14.85546875" bestFit="1" customWidth="1"/>
    <col min="5639" max="5639" width="8.7109375" bestFit="1" customWidth="1"/>
    <col min="5640" max="5640" width="13.85546875" bestFit="1" customWidth="1"/>
    <col min="5878" max="5878" width="41.42578125" bestFit="1" customWidth="1"/>
    <col min="5879" max="5879" width="12.140625" bestFit="1" customWidth="1"/>
    <col min="5880" max="5880" width="6.140625" bestFit="1" customWidth="1"/>
    <col min="5881" max="5881" width="13.85546875" bestFit="1" customWidth="1"/>
    <col min="5882" max="5882" width="12.140625" bestFit="1" customWidth="1"/>
    <col min="5883" max="5883" width="6.140625" bestFit="1" customWidth="1"/>
    <col min="5884" max="5884" width="14.42578125" bestFit="1" customWidth="1"/>
    <col min="5885" max="5885" width="13.42578125" bestFit="1" customWidth="1"/>
    <col min="5886" max="5886" width="6.5703125" bestFit="1" customWidth="1"/>
    <col min="5887" max="5887" width="14.28515625" bestFit="1" customWidth="1"/>
    <col min="5888" max="5888" width="13.28515625" bestFit="1" customWidth="1"/>
    <col min="5889" max="5889" width="8.42578125" bestFit="1" customWidth="1"/>
    <col min="5890" max="5890" width="14" bestFit="1" customWidth="1"/>
    <col min="5891" max="5891" width="14.42578125" bestFit="1" customWidth="1"/>
    <col min="5892" max="5892" width="7.5703125" bestFit="1" customWidth="1"/>
    <col min="5893" max="5893" width="14.28515625" bestFit="1" customWidth="1"/>
    <col min="5894" max="5894" width="14.85546875" bestFit="1" customWidth="1"/>
    <col min="5895" max="5895" width="8.7109375" bestFit="1" customWidth="1"/>
    <col min="5896" max="5896" width="13.85546875" bestFit="1" customWidth="1"/>
    <col min="6134" max="6134" width="41.42578125" bestFit="1" customWidth="1"/>
    <col min="6135" max="6135" width="12.140625" bestFit="1" customWidth="1"/>
    <col min="6136" max="6136" width="6.140625" bestFit="1" customWidth="1"/>
    <col min="6137" max="6137" width="13.85546875" bestFit="1" customWidth="1"/>
    <col min="6138" max="6138" width="12.140625" bestFit="1" customWidth="1"/>
    <col min="6139" max="6139" width="6.140625" bestFit="1" customWidth="1"/>
    <col min="6140" max="6140" width="14.42578125" bestFit="1" customWidth="1"/>
    <col min="6141" max="6141" width="13.42578125" bestFit="1" customWidth="1"/>
    <col min="6142" max="6142" width="6.5703125" bestFit="1" customWidth="1"/>
    <col min="6143" max="6143" width="14.28515625" bestFit="1" customWidth="1"/>
    <col min="6144" max="6144" width="13.28515625" bestFit="1" customWidth="1"/>
    <col min="6145" max="6145" width="8.42578125" bestFit="1" customWidth="1"/>
    <col min="6146" max="6146" width="14" bestFit="1" customWidth="1"/>
    <col min="6147" max="6147" width="14.42578125" bestFit="1" customWidth="1"/>
    <col min="6148" max="6148" width="7.5703125" bestFit="1" customWidth="1"/>
    <col min="6149" max="6149" width="14.28515625" bestFit="1" customWidth="1"/>
    <col min="6150" max="6150" width="14.85546875" bestFit="1" customWidth="1"/>
    <col min="6151" max="6151" width="8.7109375" bestFit="1" customWidth="1"/>
    <col min="6152" max="6152" width="13.85546875" bestFit="1" customWidth="1"/>
    <col min="6390" max="6390" width="41.42578125" bestFit="1" customWidth="1"/>
    <col min="6391" max="6391" width="12.140625" bestFit="1" customWidth="1"/>
    <col min="6392" max="6392" width="6.140625" bestFit="1" customWidth="1"/>
    <col min="6393" max="6393" width="13.85546875" bestFit="1" customWidth="1"/>
    <col min="6394" max="6394" width="12.140625" bestFit="1" customWidth="1"/>
    <col min="6395" max="6395" width="6.140625" bestFit="1" customWidth="1"/>
    <col min="6396" max="6396" width="14.42578125" bestFit="1" customWidth="1"/>
    <col min="6397" max="6397" width="13.42578125" bestFit="1" customWidth="1"/>
    <col min="6398" max="6398" width="6.5703125" bestFit="1" customWidth="1"/>
    <col min="6399" max="6399" width="14.28515625" bestFit="1" customWidth="1"/>
    <col min="6400" max="6400" width="13.28515625" bestFit="1" customWidth="1"/>
    <col min="6401" max="6401" width="8.42578125" bestFit="1" customWidth="1"/>
    <col min="6402" max="6402" width="14" bestFit="1" customWidth="1"/>
    <col min="6403" max="6403" width="14.42578125" bestFit="1" customWidth="1"/>
    <col min="6404" max="6404" width="7.5703125" bestFit="1" customWidth="1"/>
    <col min="6405" max="6405" width="14.28515625" bestFit="1" customWidth="1"/>
    <col min="6406" max="6406" width="14.85546875" bestFit="1" customWidth="1"/>
    <col min="6407" max="6407" width="8.7109375" bestFit="1" customWidth="1"/>
    <col min="6408" max="6408" width="13.85546875" bestFit="1" customWidth="1"/>
    <col min="6646" max="6646" width="41.42578125" bestFit="1" customWidth="1"/>
    <col min="6647" max="6647" width="12.140625" bestFit="1" customWidth="1"/>
    <col min="6648" max="6648" width="6.140625" bestFit="1" customWidth="1"/>
    <col min="6649" max="6649" width="13.85546875" bestFit="1" customWidth="1"/>
    <col min="6650" max="6650" width="12.140625" bestFit="1" customWidth="1"/>
    <col min="6651" max="6651" width="6.140625" bestFit="1" customWidth="1"/>
    <col min="6652" max="6652" width="14.42578125" bestFit="1" customWidth="1"/>
    <col min="6653" max="6653" width="13.42578125" bestFit="1" customWidth="1"/>
    <col min="6654" max="6654" width="6.5703125" bestFit="1" customWidth="1"/>
    <col min="6655" max="6655" width="14.28515625" bestFit="1" customWidth="1"/>
    <col min="6656" max="6656" width="13.28515625" bestFit="1" customWidth="1"/>
    <col min="6657" max="6657" width="8.42578125" bestFit="1" customWidth="1"/>
    <col min="6658" max="6658" width="14" bestFit="1" customWidth="1"/>
    <col min="6659" max="6659" width="14.42578125" bestFit="1" customWidth="1"/>
    <col min="6660" max="6660" width="7.5703125" bestFit="1" customWidth="1"/>
    <col min="6661" max="6661" width="14.28515625" bestFit="1" customWidth="1"/>
    <col min="6662" max="6662" width="14.85546875" bestFit="1" customWidth="1"/>
    <col min="6663" max="6663" width="8.7109375" bestFit="1" customWidth="1"/>
    <col min="6664" max="6664" width="13.85546875" bestFit="1" customWidth="1"/>
    <col min="6902" max="6902" width="41.42578125" bestFit="1" customWidth="1"/>
    <col min="6903" max="6903" width="12.140625" bestFit="1" customWidth="1"/>
    <col min="6904" max="6904" width="6.140625" bestFit="1" customWidth="1"/>
    <col min="6905" max="6905" width="13.85546875" bestFit="1" customWidth="1"/>
    <col min="6906" max="6906" width="12.140625" bestFit="1" customWidth="1"/>
    <col min="6907" max="6907" width="6.140625" bestFit="1" customWidth="1"/>
    <col min="6908" max="6908" width="14.42578125" bestFit="1" customWidth="1"/>
    <col min="6909" max="6909" width="13.42578125" bestFit="1" customWidth="1"/>
    <col min="6910" max="6910" width="6.5703125" bestFit="1" customWidth="1"/>
    <col min="6911" max="6911" width="14.28515625" bestFit="1" customWidth="1"/>
    <col min="6912" max="6912" width="13.28515625" bestFit="1" customWidth="1"/>
    <col min="6913" max="6913" width="8.42578125" bestFit="1" customWidth="1"/>
    <col min="6914" max="6914" width="14" bestFit="1" customWidth="1"/>
    <col min="6915" max="6915" width="14.42578125" bestFit="1" customWidth="1"/>
    <col min="6916" max="6916" width="7.5703125" bestFit="1" customWidth="1"/>
    <col min="6917" max="6917" width="14.28515625" bestFit="1" customWidth="1"/>
    <col min="6918" max="6918" width="14.85546875" bestFit="1" customWidth="1"/>
    <col min="6919" max="6919" width="8.7109375" bestFit="1" customWidth="1"/>
    <col min="6920" max="6920" width="13.85546875" bestFit="1" customWidth="1"/>
    <col min="7158" max="7158" width="41.42578125" bestFit="1" customWidth="1"/>
    <col min="7159" max="7159" width="12.140625" bestFit="1" customWidth="1"/>
    <col min="7160" max="7160" width="6.140625" bestFit="1" customWidth="1"/>
    <col min="7161" max="7161" width="13.85546875" bestFit="1" customWidth="1"/>
    <col min="7162" max="7162" width="12.140625" bestFit="1" customWidth="1"/>
    <col min="7163" max="7163" width="6.140625" bestFit="1" customWidth="1"/>
    <col min="7164" max="7164" width="14.42578125" bestFit="1" customWidth="1"/>
    <col min="7165" max="7165" width="13.42578125" bestFit="1" customWidth="1"/>
    <col min="7166" max="7166" width="6.5703125" bestFit="1" customWidth="1"/>
    <col min="7167" max="7167" width="14.28515625" bestFit="1" customWidth="1"/>
    <col min="7168" max="7168" width="13.28515625" bestFit="1" customWidth="1"/>
    <col min="7169" max="7169" width="8.42578125" bestFit="1" customWidth="1"/>
    <col min="7170" max="7170" width="14" bestFit="1" customWidth="1"/>
    <col min="7171" max="7171" width="14.42578125" bestFit="1" customWidth="1"/>
    <col min="7172" max="7172" width="7.5703125" bestFit="1" customWidth="1"/>
    <col min="7173" max="7173" width="14.28515625" bestFit="1" customWidth="1"/>
    <col min="7174" max="7174" width="14.85546875" bestFit="1" customWidth="1"/>
    <col min="7175" max="7175" width="8.7109375" bestFit="1" customWidth="1"/>
    <col min="7176" max="7176" width="13.85546875" bestFit="1" customWidth="1"/>
    <col min="7414" max="7414" width="41.42578125" bestFit="1" customWidth="1"/>
    <col min="7415" max="7415" width="12.140625" bestFit="1" customWidth="1"/>
    <col min="7416" max="7416" width="6.140625" bestFit="1" customWidth="1"/>
    <col min="7417" max="7417" width="13.85546875" bestFit="1" customWidth="1"/>
    <col min="7418" max="7418" width="12.140625" bestFit="1" customWidth="1"/>
    <col min="7419" max="7419" width="6.140625" bestFit="1" customWidth="1"/>
    <col min="7420" max="7420" width="14.42578125" bestFit="1" customWidth="1"/>
    <col min="7421" max="7421" width="13.42578125" bestFit="1" customWidth="1"/>
    <col min="7422" max="7422" width="6.5703125" bestFit="1" customWidth="1"/>
    <col min="7423" max="7423" width="14.28515625" bestFit="1" customWidth="1"/>
    <col min="7424" max="7424" width="13.28515625" bestFit="1" customWidth="1"/>
    <col min="7425" max="7425" width="8.42578125" bestFit="1" customWidth="1"/>
    <col min="7426" max="7426" width="14" bestFit="1" customWidth="1"/>
    <col min="7427" max="7427" width="14.42578125" bestFit="1" customWidth="1"/>
    <col min="7428" max="7428" width="7.5703125" bestFit="1" customWidth="1"/>
    <col min="7429" max="7429" width="14.28515625" bestFit="1" customWidth="1"/>
    <col min="7430" max="7430" width="14.85546875" bestFit="1" customWidth="1"/>
    <col min="7431" max="7431" width="8.7109375" bestFit="1" customWidth="1"/>
    <col min="7432" max="7432" width="13.85546875" bestFit="1" customWidth="1"/>
    <col min="7670" max="7670" width="41.42578125" bestFit="1" customWidth="1"/>
    <col min="7671" max="7671" width="12.140625" bestFit="1" customWidth="1"/>
    <col min="7672" max="7672" width="6.140625" bestFit="1" customWidth="1"/>
    <col min="7673" max="7673" width="13.85546875" bestFit="1" customWidth="1"/>
    <col min="7674" max="7674" width="12.140625" bestFit="1" customWidth="1"/>
    <col min="7675" max="7675" width="6.140625" bestFit="1" customWidth="1"/>
    <col min="7676" max="7676" width="14.42578125" bestFit="1" customWidth="1"/>
    <col min="7677" max="7677" width="13.42578125" bestFit="1" customWidth="1"/>
    <col min="7678" max="7678" width="6.5703125" bestFit="1" customWidth="1"/>
    <col min="7679" max="7679" width="14.28515625" bestFit="1" customWidth="1"/>
    <col min="7680" max="7680" width="13.28515625" bestFit="1" customWidth="1"/>
    <col min="7681" max="7681" width="8.42578125" bestFit="1" customWidth="1"/>
    <col min="7682" max="7682" width="14" bestFit="1" customWidth="1"/>
    <col min="7683" max="7683" width="14.42578125" bestFit="1" customWidth="1"/>
    <col min="7684" max="7684" width="7.5703125" bestFit="1" customWidth="1"/>
    <col min="7685" max="7685" width="14.28515625" bestFit="1" customWidth="1"/>
    <col min="7686" max="7686" width="14.85546875" bestFit="1" customWidth="1"/>
    <col min="7687" max="7687" width="8.7109375" bestFit="1" customWidth="1"/>
    <col min="7688" max="7688" width="13.85546875" bestFit="1" customWidth="1"/>
    <col min="7926" max="7926" width="41.42578125" bestFit="1" customWidth="1"/>
    <col min="7927" max="7927" width="12.140625" bestFit="1" customWidth="1"/>
    <col min="7928" max="7928" width="6.140625" bestFit="1" customWidth="1"/>
    <col min="7929" max="7929" width="13.85546875" bestFit="1" customWidth="1"/>
    <col min="7930" max="7930" width="12.140625" bestFit="1" customWidth="1"/>
    <col min="7931" max="7931" width="6.140625" bestFit="1" customWidth="1"/>
    <col min="7932" max="7932" width="14.42578125" bestFit="1" customWidth="1"/>
    <col min="7933" max="7933" width="13.42578125" bestFit="1" customWidth="1"/>
    <col min="7934" max="7934" width="6.5703125" bestFit="1" customWidth="1"/>
    <col min="7935" max="7935" width="14.28515625" bestFit="1" customWidth="1"/>
    <col min="7936" max="7936" width="13.28515625" bestFit="1" customWidth="1"/>
    <col min="7937" max="7937" width="8.42578125" bestFit="1" customWidth="1"/>
    <col min="7938" max="7938" width="14" bestFit="1" customWidth="1"/>
    <col min="7939" max="7939" width="14.42578125" bestFit="1" customWidth="1"/>
    <col min="7940" max="7940" width="7.5703125" bestFit="1" customWidth="1"/>
    <col min="7941" max="7941" width="14.28515625" bestFit="1" customWidth="1"/>
    <col min="7942" max="7942" width="14.85546875" bestFit="1" customWidth="1"/>
    <col min="7943" max="7943" width="8.7109375" bestFit="1" customWidth="1"/>
    <col min="7944" max="7944" width="13.85546875" bestFit="1" customWidth="1"/>
    <col min="8182" max="8182" width="41.42578125" bestFit="1" customWidth="1"/>
    <col min="8183" max="8183" width="12.140625" bestFit="1" customWidth="1"/>
    <col min="8184" max="8184" width="6.140625" bestFit="1" customWidth="1"/>
    <col min="8185" max="8185" width="13.85546875" bestFit="1" customWidth="1"/>
    <col min="8186" max="8186" width="12.140625" bestFit="1" customWidth="1"/>
    <col min="8187" max="8187" width="6.140625" bestFit="1" customWidth="1"/>
    <col min="8188" max="8188" width="14.42578125" bestFit="1" customWidth="1"/>
    <col min="8189" max="8189" width="13.42578125" bestFit="1" customWidth="1"/>
    <col min="8190" max="8190" width="6.5703125" bestFit="1" customWidth="1"/>
    <col min="8191" max="8191" width="14.28515625" bestFit="1" customWidth="1"/>
    <col min="8192" max="8192" width="13.28515625" bestFit="1" customWidth="1"/>
    <col min="8193" max="8193" width="8.42578125" bestFit="1" customWidth="1"/>
    <col min="8194" max="8194" width="14" bestFit="1" customWidth="1"/>
    <col min="8195" max="8195" width="14.42578125" bestFit="1" customWidth="1"/>
    <col min="8196" max="8196" width="7.5703125" bestFit="1" customWidth="1"/>
    <col min="8197" max="8197" width="14.28515625" bestFit="1" customWidth="1"/>
    <col min="8198" max="8198" width="14.85546875" bestFit="1" customWidth="1"/>
    <col min="8199" max="8199" width="8.7109375" bestFit="1" customWidth="1"/>
    <col min="8200" max="8200" width="13.85546875" bestFit="1" customWidth="1"/>
    <col min="8438" max="8438" width="41.42578125" bestFit="1" customWidth="1"/>
    <col min="8439" max="8439" width="12.140625" bestFit="1" customWidth="1"/>
    <col min="8440" max="8440" width="6.140625" bestFit="1" customWidth="1"/>
    <col min="8441" max="8441" width="13.85546875" bestFit="1" customWidth="1"/>
    <col min="8442" max="8442" width="12.140625" bestFit="1" customWidth="1"/>
    <col min="8443" max="8443" width="6.140625" bestFit="1" customWidth="1"/>
    <col min="8444" max="8444" width="14.42578125" bestFit="1" customWidth="1"/>
    <col min="8445" max="8445" width="13.42578125" bestFit="1" customWidth="1"/>
    <col min="8446" max="8446" width="6.5703125" bestFit="1" customWidth="1"/>
    <col min="8447" max="8447" width="14.28515625" bestFit="1" customWidth="1"/>
    <col min="8448" max="8448" width="13.28515625" bestFit="1" customWidth="1"/>
    <col min="8449" max="8449" width="8.42578125" bestFit="1" customWidth="1"/>
    <col min="8450" max="8450" width="14" bestFit="1" customWidth="1"/>
    <col min="8451" max="8451" width="14.42578125" bestFit="1" customWidth="1"/>
    <col min="8452" max="8452" width="7.5703125" bestFit="1" customWidth="1"/>
    <col min="8453" max="8453" width="14.28515625" bestFit="1" customWidth="1"/>
    <col min="8454" max="8454" width="14.85546875" bestFit="1" customWidth="1"/>
    <col min="8455" max="8455" width="8.7109375" bestFit="1" customWidth="1"/>
    <col min="8456" max="8456" width="13.85546875" bestFit="1" customWidth="1"/>
    <col min="8694" max="8694" width="41.42578125" bestFit="1" customWidth="1"/>
    <col min="8695" max="8695" width="12.140625" bestFit="1" customWidth="1"/>
    <col min="8696" max="8696" width="6.140625" bestFit="1" customWidth="1"/>
    <col min="8697" max="8697" width="13.85546875" bestFit="1" customWidth="1"/>
    <col min="8698" max="8698" width="12.140625" bestFit="1" customWidth="1"/>
    <col min="8699" max="8699" width="6.140625" bestFit="1" customWidth="1"/>
    <col min="8700" max="8700" width="14.42578125" bestFit="1" customWidth="1"/>
    <col min="8701" max="8701" width="13.42578125" bestFit="1" customWidth="1"/>
    <col min="8702" max="8702" width="6.5703125" bestFit="1" customWidth="1"/>
    <col min="8703" max="8703" width="14.28515625" bestFit="1" customWidth="1"/>
    <col min="8704" max="8704" width="13.28515625" bestFit="1" customWidth="1"/>
    <col min="8705" max="8705" width="8.42578125" bestFit="1" customWidth="1"/>
    <col min="8706" max="8706" width="14" bestFit="1" customWidth="1"/>
    <col min="8707" max="8707" width="14.42578125" bestFit="1" customWidth="1"/>
    <col min="8708" max="8708" width="7.5703125" bestFit="1" customWidth="1"/>
    <col min="8709" max="8709" width="14.28515625" bestFit="1" customWidth="1"/>
    <col min="8710" max="8710" width="14.85546875" bestFit="1" customWidth="1"/>
    <col min="8711" max="8711" width="8.7109375" bestFit="1" customWidth="1"/>
    <col min="8712" max="8712" width="13.85546875" bestFit="1" customWidth="1"/>
    <col min="8950" max="8950" width="41.42578125" bestFit="1" customWidth="1"/>
    <col min="8951" max="8951" width="12.140625" bestFit="1" customWidth="1"/>
    <col min="8952" max="8952" width="6.140625" bestFit="1" customWidth="1"/>
    <col min="8953" max="8953" width="13.85546875" bestFit="1" customWidth="1"/>
    <col min="8954" max="8954" width="12.140625" bestFit="1" customWidth="1"/>
    <col min="8955" max="8955" width="6.140625" bestFit="1" customWidth="1"/>
    <col min="8956" max="8956" width="14.42578125" bestFit="1" customWidth="1"/>
    <col min="8957" max="8957" width="13.42578125" bestFit="1" customWidth="1"/>
    <col min="8958" max="8958" width="6.5703125" bestFit="1" customWidth="1"/>
    <col min="8959" max="8959" width="14.28515625" bestFit="1" customWidth="1"/>
    <col min="8960" max="8960" width="13.28515625" bestFit="1" customWidth="1"/>
    <col min="8961" max="8961" width="8.42578125" bestFit="1" customWidth="1"/>
    <col min="8962" max="8962" width="14" bestFit="1" customWidth="1"/>
    <col min="8963" max="8963" width="14.42578125" bestFit="1" customWidth="1"/>
    <col min="8964" max="8964" width="7.5703125" bestFit="1" customWidth="1"/>
    <col min="8965" max="8965" width="14.28515625" bestFit="1" customWidth="1"/>
    <col min="8966" max="8966" width="14.85546875" bestFit="1" customWidth="1"/>
    <col min="8967" max="8967" width="8.7109375" bestFit="1" customWidth="1"/>
    <col min="8968" max="8968" width="13.85546875" bestFit="1" customWidth="1"/>
    <col min="9206" max="9206" width="41.42578125" bestFit="1" customWidth="1"/>
    <col min="9207" max="9207" width="12.140625" bestFit="1" customWidth="1"/>
    <col min="9208" max="9208" width="6.140625" bestFit="1" customWidth="1"/>
    <col min="9209" max="9209" width="13.85546875" bestFit="1" customWidth="1"/>
    <col min="9210" max="9210" width="12.140625" bestFit="1" customWidth="1"/>
    <col min="9211" max="9211" width="6.140625" bestFit="1" customWidth="1"/>
    <col min="9212" max="9212" width="14.42578125" bestFit="1" customWidth="1"/>
    <col min="9213" max="9213" width="13.42578125" bestFit="1" customWidth="1"/>
    <col min="9214" max="9214" width="6.5703125" bestFit="1" customWidth="1"/>
    <col min="9215" max="9215" width="14.28515625" bestFit="1" customWidth="1"/>
    <col min="9216" max="9216" width="13.28515625" bestFit="1" customWidth="1"/>
    <col min="9217" max="9217" width="8.42578125" bestFit="1" customWidth="1"/>
    <col min="9218" max="9218" width="14" bestFit="1" customWidth="1"/>
    <col min="9219" max="9219" width="14.42578125" bestFit="1" customWidth="1"/>
    <col min="9220" max="9220" width="7.5703125" bestFit="1" customWidth="1"/>
    <col min="9221" max="9221" width="14.28515625" bestFit="1" customWidth="1"/>
    <col min="9222" max="9222" width="14.85546875" bestFit="1" customWidth="1"/>
    <col min="9223" max="9223" width="8.7109375" bestFit="1" customWidth="1"/>
    <col min="9224" max="9224" width="13.85546875" bestFit="1" customWidth="1"/>
    <col min="9462" max="9462" width="41.42578125" bestFit="1" customWidth="1"/>
    <col min="9463" max="9463" width="12.140625" bestFit="1" customWidth="1"/>
    <col min="9464" max="9464" width="6.140625" bestFit="1" customWidth="1"/>
    <col min="9465" max="9465" width="13.85546875" bestFit="1" customWidth="1"/>
    <col min="9466" max="9466" width="12.140625" bestFit="1" customWidth="1"/>
    <col min="9467" max="9467" width="6.140625" bestFit="1" customWidth="1"/>
    <col min="9468" max="9468" width="14.42578125" bestFit="1" customWidth="1"/>
    <col min="9469" max="9469" width="13.42578125" bestFit="1" customWidth="1"/>
    <col min="9470" max="9470" width="6.5703125" bestFit="1" customWidth="1"/>
    <col min="9471" max="9471" width="14.28515625" bestFit="1" customWidth="1"/>
    <col min="9472" max="9472" width="13.28515625" bestFit="1" customWidth="1"/>
    <col min="9473" max="9473" width="8.42578125" bestFit="1" customWidth="1"/>
    <col min="9474" max="9474" width="14" bestFit="1" customWidth="1"/>
    <col min="9475" max="9475" width="14.42578125" bestFit="1" customWidth="1"/>
    <col min="9476" max="9476" width="7.5703125" bestFit="1" customWidth="1"/>
    <col min="9477" max="9477" width="14.28515625" bestFit="1" customWidth="1"/>
    <col min="9478" max="9478" width="14.85546875" bestFit="1" customWidth="1"/>
    <col min="9479" max="9479" width="8.7109375" bestFit="1" customWidth="1"/>
    <col min="9480" max="9480" width="13.85546875" bestFit="1" customWidth="1"/>
    <col min="9718" max="9718" width="41.42578125" bestFit="1" customWidth="1"/>
    <col min="9719" max="9719" width="12.140625" bestFit="1" customWidth="1"/>
    <col min="9720" max="9720" width="6.140625" bestFit="1" customWidth="1"/>
    <col min="9721" max="9721" width="13.85546875" bestFit="1" customWidth="1"/>
    <col min="9722" max="9722" width="12.140625" bestFit="1" customWidth="1"/>
    <col min="9723" max="9723" width="6.140625" bestFit="1" customWidth="1"/>
    <col min="9724" max="9724" width="14.42578125" bestFit="1" customWidth="1"/>
    <col min="9725" max="9725" width="13.42578125" bestFit="1" customWidth="1"/>
    <col min="9726" max="9726" width="6.5703125" bestFit="1" customWidth="1"/>
    <col min="9727" max="9727" width="14.28515625" bestFit="1" customWidth="1"/>
    <col min="9728" max="9728" width="13.28515625" bestFit="1" customWidth="1"/>
    <col min="9729" max="9729" width="8.42578125" bestFit="1" customWidth="1"/>
    <col min="9730" max="9730" width="14" bestFit="1" customWidth="1"/>
    <col min="9731" max="9731" width="14.42578125" bestFit="1" customWidth="1"/>
    <col min="9732" max="9732" width="7.5703125" bestFit="1" customWidth="1"/>
    <col min="9733" max="9733" width="14.28515625" bestFit="1" customWidth="1"/>
    <col min="9734" max="9734" width="14.85546875" bestFit="1" customWidth="1"/>
    <col min="9735" max="9735" width="8.7109375" bestFit="1" customWidth="1"/>
    <col min="9736" max="9736" width="13.85546875" bestFit="1" customWidth="1"/>
    <col min="9974" max="9974" width="41.42578125" bestFit="1" customWidth="1"/>
    <col min="9975" max="9975" width="12.140625" bestFit="1" customWidth="1"/>
    <col min="9976" max="9976" width="6.140625" bestFit="1" customWidth="1"/>
    <col min="9977" max="9977" width="13.85546875" bestFit="1" customWidth="1"/>
    <col min="9978" max="9978" width="12.140625" bestFit="1" customWidth="1"/>
    <col min="9979" max="9979" width="6.140625" bestFit="1" customWidth="1"/>
    <col min="9980" max="9980" width="14.42578125" bestFit="1" customWidth="1"/>
    <col min="9981" max="9981" width="13.42578125" bestFit="1" customWidth="1"/>
    <col min="9982" max="9982" width="6.5703125" bestFit="1" customWidth="1"/>
    <col min="9983" max="9983" width="14.28515625" bestFit="1" customWidth="1"/>
    <col min="9984" max="9984" width="13.28515625" bestFit="1" customWidth="1"/>
    <col min="9985" max="9985" width="8.42578125" bestFit="1" customWidth="1"/>
    <col min="9986" max="9986" width="14" bestFit="1" customWidth="1"/>
    <col min="9987" max="9987" width="14.42578125" bestFit="1" customWidth="1"/>
    <col min="9988" max="9988" width="7.5703125" bestFit="1" customWidth="1"/>
    <col min="9989" max="9989" width="14.28515625" bestFit="1" customWidth="1"/>
    <col min="9990" max="9990" width="14.85546875" bestFit="1" customWidth="1"/>
    <col min="9991" max="9991" width="8.7109375" bestFit="1" customWidth="1"/>
    <col min="9992" max="9992" width="13.85546875" bestFit="1" customWidth="1"/>
    <col min="10230" max="10230" width="41.42578125" bestFit="1" customWidth="1"/>
    <col min="10231" max="10231" width="12.140625" bestFit="1" customWidth="1"/>
    <col min="10232" max="10232" width="6.140625" bestFit="1" customWidth="1"/>
    <col min="10233" max="10233" width="13.85546875" bestFit="1" customWidth="1"/>
    <col min="10234" max="10234" width="12.140625" bestFit="1" customWidth="1"/>
    <col min="10235" max="10235" width="6.140625" bestFit="1" customWidth="1"/>
    <col min="10236" max="10236" width="14.42578125" bestFit="1" customWidth="1"/>
    <col min="10237" max="10237" width="13.42578125" bestFit="1" customWidth="1"/>
    <col min="10238" max="10238" width="6.5703125" bestFit="1" customWidth="1"/>
    <col min="10239" max="10239" width="14.28515625" bestFit="1" customWidth="1"/>
    <col min="10240" max="10240" width="13.28515625" bestFit="1" customWidth="1"/>
    <col min="10241" max="10241" width="8.42578125" bestFit="1" customWidth="1"/>
    <col min="10242" max="10242" width="14" bestFit="1" customWidth="1"/>
    <col min="10243" max="10243" width="14.42578125" bestFit="1" customWidth="1"/>
    <col min="10244" max="10244" width="7.5703125" bestFit="1" customWidth="1"/>
    <col min="10245" max="10245" width="14.28515625" bestFit="1" customWidth="1"/>
    <col min="10246" max="10246" width="14.85546875" bestFit="1" customWidth="1"/>
    <col min="10247" max="10247" width="8.7109375" bestFit="1" customWidth="1"/>
    <col min="10248" max="10248" width="13.85546875" bestFit="1" customWidth="1"/>
    <col min="10486" max="10486" width="41.42578125" bestFit="1" customWidth="1"/>
    <col min="10487" max="10487" width="12.140625" bestFit="1" customWidth="1"/>
    <col min="10488" max="10488" width="6.140625" bestFit="1" customWidth="1"/>
    <col min="10489" max="10489" width="13.85546875" bestFit="1" customWidth="1"/>
    <col min="10490" max="10490" width="12.140625" bestFit="1" customWidth="1"/>
    <col min="10491" max="10491" width="6.140625" bestFit="1" customWidth="1"/>
    <col min="10492" max="10492" width="14.42578125" bestFit="1" customWidth="1"/>
    <col min="10493" max="10493" width="13.42578125" bestFit="1" customWidth="1"/>
    <col min="10494" max="10494" width="6.5703125" bestFit="1" customWidth="1"/>
    <col min="10495" max="10495" width="14.28515625" bestFit="1" customWidth="1"/>
    <col min="10496" max="10496" width="13.28515625" bestFit="1" customWidth="1"/>
    <col min="10497" max="10497" width="8.42578125" bestFit="1" customWidth="1"/>
    <col min="10498" max="10498" width="14" bestFit="1" customWidth="1"/>
    <col min="10499" max="10499" width="14.42578125" bestFit="1" customWidth="1"/>
    <col min="10500" max="10500" width="7.5703125" bestFit="1" customWidth="1"/>
    <col min="10501" max="10501" width="14.28515625" bestFit="1" customWidth="1"/>
    <col min="10502" max="10502" width="14.85546875" bestFit="1" customWidth="1"/>
    <col min="10503" max="10503" width="8.7109375" bestFit="1" customWidth="1"/>
    <col min="10504" max="10504" width="13.85546875" bestFit="1" customWidth="1"/>
    <col min="10742" max="10742" width="41.42578125" bestFit="1" customWidth="1"/>
    <col min="10743" max="10743" width="12.140625" bestFit="1" customWidth="1"/>
    <col min="10744" max="10744" width="6.140625" bestFit="1" customWidth="1"/>
    <col min="10745" max="10745" width="13.85546875" bestFit="1" customWidth="1"/>
    <col min="10746" max="10746" width="12.140625" bestFit="1" customWidth="1"/>
    <col min="10747" max="10747" width="6.140625" bestFit="1" customWidth="1"/>
    <col min="10748" max="10748" width="14.42578125" bestFit="1" customWidth="1"/>
    <col min="10749" max="10749" width="13.42578125" bestFit="1" customWidth="1"/>
    <col min="10750" max="10750" width="6.5703125" bestFit="1" customWidth="1"/>
    <col min="10751" max="10751" width="14.28515625" bestFit="1" customWidth="1"/>
    <col min="10752" max="10752" width="13.28515625" bestFit="1" customWidth="1"/>
    <col min="10753" max="10753" width="8.42578125" bestFit="1" customWidth="1"/>
    <col min="10754" max="10754" width="14" bestFit="1" customWidth="1"/>
    <col min="10755" max="10755" width="14.42578125" bestFit="1" customWidth="1"/>
    <col min="10756" max="10756" width="7.5703125" bestFit="1" customWidth="1"/>
    <col min="10757" max="10757" width="14.28515625" bestFit="1" customWidth="1"/>
    <col min="10758" max="10758" width="14.85546875" bestFit="1" customWidth="1"/>
    <col min="10759" max="10759" width="8.7109375" bestFit="1" customWidth="1"/>
    <col min="10760" max="10760" width="13.85546875" bestFit="1" customWidth="1"/>
    <col min="10998" max="10998" width="41.42578125" bestFit="1" customWidth="1"/>
    <col min="10999" max="10999" width="12.140625" bestFit="1" customWidth="1"/>
    <col min="11000" max="11000" width="6.140625" bestFit="1" customWidth="1"/>
    <col min="11001" max="11001" width="13.85546875" bestFit="1" customWidth="1"/>
    <col min="11002" max="11002" width="12.140625" bestFit="1" customWidth="1"/>
    <col min="11003" max="11003" width="6.140625" bestFit="1" customWidth="1"/>
    <col min="11004" max="11004" width="14.42578125" bestFit="1" customWidth="1"/>
    <col min="11005" max="11005" width="13.42578125" bestFit="1" customWidth="1"/>
    <col min="11006" max="11006" width="6.5703125" bestFit="1" customWidth="1"/>
    <col min="11007" max="11007" width="14.28515625" bestFit="1" customWidth="1"/>
    <col min="11008" max="11008" width="13.28515625" bestFit="1" customWidth="1"/>
    <col min="11009" max="11009" width="8.42578125" bestFit="1" customWidth="1"/>
    <col min="11010" max="11010" width="14" bestFit="1" customWidth="1"/>
    <col min="11011" max="11011" width="14.42578125" bestFit="1" customWidth="1"/>
    <col min="11012" max="11012" width="7.5703125" bestFit="1" customWidth="1"/>
    <col min="11013" max="11013" width="14.28515625" bestFit="1" customWidth="1"/>
    <col min="11014" max="11014" width="14.85546875" bestFit="1" customWidth="1"/>
    <col min="11015" max="11015" width="8.7109375" bestFit="1" customWidth="1"/>
    <col min="11016" max="11016" width="13.85546875" bestFit="1" customWidth="1"/>
    <col min="11254" max="11254" width="41.42578125" bestFit="1" customWidth="1"/>
    <col min="11255" max="11255" width="12.140625" bestFit="1" customWidth="1"/>
    <col min="11256" max="11256" width="6.140625" bestFit="1" customWidth="1"/>
    <col min="11257" max="11257" width="13.85546875" bestFit="1" customWidth="1"/>
    <col min="11258" max="11258" width="12.140625" bestFit="1" customWidth="1"/>
    <col min="11259" max="11259" width="6.140625" bestFit="1" customWidth="1"/>
    <col min="11260" max="11260" width="14.42578125" bestFit="1" customWidth="1"/>
    <col min="11261" max="11261" width="13.42578125" bestFit="1" customWidth="1"/>
    <col min="11262" max="11262" width="6.5703125" bestFit="1" customWidth="1"/>
    <col min="11263" max="11263" width="14.28515625" bestFit="1" customWidth="1"/>
    <col min="11264" max="11264" width="13.28515625" bestFit="1" customWidth="1"/>
    <col min="11265" max="11265" width="8.42578125" bestFit="1" customWidth="1"/>
    <col min="11266" max="11266" width="14" bestFit="1" customWidth="1"/>
    <col min="11267" max="11267" width="14.42578125" bestFit="1" customWidth="1"/>
    <col min="11268" max="11268" width="7.5703125" bestFit="1" customWidth="1"/>
    <col min="11269" max="11269" width="14.28515625" bestFit="1" customWidth="1"/>
    <col min="11270" max="11270" width="14.85546875" bestFit="1" customWidth="1"/>
    <col min="11271" max="11271" width="8.7109375" bestFit="1" customWidth="1"/>
    <col min="11272" max="11272" width="13.85546875" bestFit="1" customWidth="1"/>
    <col min="11510" max="11510" width="41.42578125" bestFit="1" customWidth="1"/>
    <col min="11511" max="11511" width="12.140625" bestFit="1" customWidth="1"/>
    <col min="11512" max="11512" width="6.140625" bestFit="1" customWidth="1"/>
    <col min="11513" max="11513" width="13.85546875" bestFit="1" customWidth="1"/>
    <col min="11514" max="11514" width="12.140625" bestFit="1" customWidth="1"/>
    <col min="11515" max="11515" width="6.140625" bestFit="1" customWidth="1"/>
    <col min="11516" max="11516" width="14.42578125" bestFit="1" customWidth="1"/>
    <col min="11517" max="11517" width="13.42578125" bestFit="1" customWidth="1"/>
    <col min="11518" max="11518" width="6.5703125" bestFit="1" customWidth="1"/>
    <col min="11519" max="11519" width="14.28515625" bestFit="1" customWidth="1"/>
    <col min="11520" max="11520" width="13.28515625" bestFit="1" customWidth="1"/>
    <col min="11521" max="11521" width="8.42578125" bestFit="1" customWidth="1"/>
    <col min="11522" max="11522" width="14" bestFit="1" customWidth="1"/>
    <col min="11523" max="11523" width="14.42578125" bestFit="1" customWidth="1"/>
    <col min="11524" max="11524" width="7.5703125" bestFit="1" customWidth="1"/>
    <col min="11525" max="11525" width="14.28515625" bestFit="1" customWidth="1"/>
    <col min="11526" max="11526" width="14.85546875" bestFit="1" customWidth="1"/>
    <col min="11527" max="11527" width="8.7109375" bestFit="1" customWidth="1"/>
    <col min="11528" max="11528" width="13.85546875" bestFit="1" customWidth="1"/>
    <col min="11766" max="11766" width="41.42578125" bestFit="1" customWidth="1"/>
    <col min="11767" max="11767" width="12.140625" bestFit="1" customWidth="1"/>
    <col min="11768" max="11768" width="6.140625" bestFit="1" customWidth="1"/>
    <col min="11769" max="11769" width="13.85546875" bestFit="1" customWidth="1"/>
    <col min="11770" max="11770" width="12.140625" bestFit="1" customWidth="1"/>
    <col min="11771" max="11771" width="6.140625" bestFit="1" customWidth="1"/>
    <col min="11772" max="11772" width="14.42578125" bestFit="1" customWidth="1"/>
    <col min="11773" max="11773" width="13.42578125" bestFit="1" customWidth="1"/>
    <col min="11774" max="11774" width="6.5703125" bestFit="1" customWidth="1"/>
    <col min="11775" max="11775" width="14.28515625" bestFit="1" customWidth="1"/>
    <col min="11776" max="11776" width="13.28515625" bestFit="1" customWidth="1"/>
    <col min="11777" max="11777" width="8.42578125" bestFit="1" customWidth="1"/>
    <col min="11778" max="11778" width="14" bestFit="1" customWidth="1"/>
    <col min="11779" max="11779" width="14.42578125" bestFit="1" customWidth="1"/>
    <col min="11780" max="11780" width="7.5703125" bestFit="1" customWidth="1"/>
    <col min="11781" max="11781" width="14.28515625" bestFit="1" customWidth="1"/>
    <col min="11782" max="11782" width="14.85546875" bestFit="1" customWidth="1"/>
    <col min="11783" max="11783" width="8.7109375" bestFit="1" customWidth="1"/>
    <col min="11784" max="11784" width="13.85546875" bestFit="1" customWidth="1"/>
    <col min="12022" max="12022" width="41.42578125" bestFit="1" customWidth="1"/>
    <col min="12023" max="12023" width="12.140625" bestFit="1" customWidth="1"/>
    <col min="12024" max="12024" width="6.140625" bestFit="1" customWidth="1"/>
    <col min="12025" max="12025" width="13.85546875" bestFit="1" customWidth="1"/>
    <col min="12026" max="12026" width="12.140625" bestFit="1" customWidth="1"/>
    <col min="12027" max="12027" width="6.140625" bestFit="1" customWidth="1"/>
    <col min="12028" max="12028" width="14.42578125" bestFit="1" customWidth="1"/>
    <col min="12029" max="12029" width="13.42578125" bestFit="1" customWidth="1"/>
    <col min="12030" max="12030" width="6.5703125" bestFit="1" customWidth="1"/>
    <col min="12031" max="12031" width="14.28515625" bestFit="1" customWidth="1"/>
    <col min="12032" max="12032" width="13.28515625" bestFit="1" customWidth="1"/>
    <col min="12033" max="12033" width="8.42578125" bestFit="1" customWidth="1"/>
    <col min="12034" max="12034" width="14" bestFit="1" customWidth="1"/>
    <col min="12035" max="12035" width="14.42578125" bestFit="1" customWidth="1"/>
    <col min="12036" max="12036" width="7.5703125" bestFit="1" customWidth="1"/>
    <col min="12037" max="12037" width="14.28515625" bestFit="1" customWidth="1"/>
    <col min="12038" max="12038" width="14.85546875" bestFit="1" customWidth="1"/>
    <col min="12039" max="12039" width="8.7109375" bestFit="1" customWidth="1"/>
    <col min="12040" max="12040" width="13.85546875" bestFit="1" customWidth="1"/>
    <col min="12278" max="12278" width="41.42578125" bestFit="1" customWidth="1"/>
    <col min="12279" max="12279" width="12.140625" bestFit="1" customWidth="1"/>
    <col min="12280" max="12280" width="6.140625" bestFit="1" customWidth="1"/>
    <col min="12281" max="12281" width="13.85546875" bestFit="1" customWidth="1"/>
    <col min="12282" max="12282" width="12.140625" bestFit="1" customWidth="1"/>
    <col min="12283" max="12283" width="6.140625" bestFit="1" customWidth="1"/>
    <col min="12284" max="12284" width="14.42578125" bestFit="1" customWidth="1"/>
    <col min="12285" max="12285" width="13.42578125" bestFit="1" customWidth="1"/>
    <col min="12286" max="12286" width="6.5703125" bestFit="1" customWidth="1"/>
    <col min="12287" max="12287" width="14.28515625" bestFit="1" customWidth="1"/>
    <col min="12288" max="12288" width="13.28515625" bestFit="1" customWidth="1"/>
    <col min="12289" max="12289" width="8.42578125" bestFit="1" customWidth="1"/>
    <col min="12290" max="12290" width="14" bestFit="1" customWidth="1"/>
    <col min="12291" max="12291" width="14.42578125" bestFit="1" customWidth="1"/>
    <col min="12292" max="12292" width="7.5703125" bestFit="1" customWidth="1"/>
    <col min="12293" max="12293" width="14.28515625" bestFit="1" customWidth="1"/>
    <col min="12294" max="12294" width="14.85546875" bestFit="1" customWidth="1"/>
    <col min="12295" max="12295" width="8.7109375" bestFit="1" customWidth="1"/>
    <col min="12296" max="12296" width="13.85546875" bestFit="1" customWidth="1"/>
    <col min="12534" max="12534" width="41.42578125" bestFit="1" customWidth="1"/>
    <col min="12535" max="12535" width="12.140625" bestFit="1" customWidth="1"/>
    <col min="12536" max="12536" width="6.140625" bestFit="1" customWidth="1"/>
    <col min="12537" max="12537" width="13.85546875" bestFit="1" customWidth="1"/>
    <col min="12538" max="12538" width="12.140625" bestFit="1" customWidth="1"/>
    <col min="12539" max="12539" width="6.140625" bestFit="1" customWidth="1"/>
    <col min="12540" max="12540" width="14.42578125" bestFit="1" customWidth="1"/>
    <col min="12541" max="12541" width="13.42578125" bestFit="1" customWidth="1"/>
    <col min="12542" max="12542" width="6.5703125" bestFit="1" customWidth="1"/>
    <col min="12543" max="12543" width="14.28515625" bestFit="1" customWidth="1"/>
    <col min="12544" max="12544" width="13.28515625" bestFit="1" customWidth="1"/>
    <col min="12545" max="12545" width="8.42578125" bestFit="1" customWidth="1"/>
    <col min="12546" max="12546" width="14" bestFit="1" customWidth="1"/>
    <col min="12547" max="12547" width="14.42578125" bestFit="1" customWidth="1"/>
    <col min="12548" max="12548" width="7.5703125" bestFit="1" customWidth="1"/>
    <col min="12549" max="12549" width="14.28515625" bestFit="1" customWidth="1"/>
    <col min="12550" max="12550" width="14.85546875" bestFit="1" customWidth="1"/>
    <col min="12551" max="12551" width="8.7109375" bestFit="1" customWidth="1"/>
    <col min="12552" max="12552" width="13.85546875" bestFit="1" customWidth="1"/>
    <col min="12790" max="12790" width="41.42578125" bestFit="1" customWidth="1"/>
    <col min="12791" max="12791" width="12.140625" bestFit="1" customWidth="1"/>
    <col min="12792" max="12792" width="6.140625" bestFit="1" customWidth="1"/>
    <col min="12793" max="12793" width="13.85546875" bestFit="1" customWidth="1"/>
    <col min="12794" max="12794" width="12.140625" bestFit="1" customWidth="1"/>
    <col min="12795" max="12795" width="6.140625" bestFit="1" customWidth="1"/>
    <col min="12796" max="12796" width="14.42578125" bestFit="1" customWidth="1"/>
    <col min="12797" max="12797" width="13.42578125" bestFit="1" customWidth="1"/>
    <col min="12798" max="12798" width="6.5703125" bestFit="1" customWidth="1"/>
    <col min="12799" max="12799" width="14.28515625" bestFit="1" customWidth="1"/>
    <col min="12800" max="12800" width="13.28515625" bestFit="1" customWidth="1"/>
    <col min="12801" max="12801" width="8.42578125" bestFit="1" customWidth="1"/>
    <col min="12802" max="12802" width="14" bestFit="1" customWidth="1"/>
    <col min="12803" max="12803" width="14.42578125" bestFit="1" customWidth="1"/>
    <col min="12804" max="12804" width="7.5703125" bestFit="1" customWidth="1"/>
    <col min="12805" max="12805" width="14.28515625" bestFit="1" customWidth="1"/>
    <col min="12806" max="12806" width="14.85546875" bestFit="1" customWidth="1"/>
    <col min="12807" max="12807" width="8.7109375" bestFit="1" customWidth="1"/>
    <col min="12808" max="12808" width="13.85546875" bestFit="1" customWidth="1"/>
    <col min="13046" max="13046" width="41.42578125" bestFit="1" customWidth="1"/>
    <col min="13047" max="13047" width="12.140625" bestFit="1" customWidth="1"/>
    <col min="13048" max="13048" width="6.140625" bestFit="1" customWidth="1"/>
    <col min="13049" max="13049" width="13.85546875" bestFit="1" customWidth="1"/>
    <col min="13050" max="13050" width="12.140625" bestFit="1" customWidth="1"/>
    <col min="13051" max="13051" width="6.140625" bestFit="1" customWidth="1"/>
    <col min="13052" max="13052" width="14.42578125" bestFit="1" customWidth="1"/>
    <col min="13053" max="13053" width="13.42578125" bestFit="1" customWidth="1"/>
    <col min="13054" max="13054" width="6.5703125" bestFit="1" customWidth="1"/>
    <col min="13055" max="13055" width="14.28515625" bestFit="1" customWidth="1"/>
    <col min="13056" max="13056" width="13.28515625" bestFit="1" customWidth="1"/>
    <col min="13057" max="13057" width="8.42578125" bestFit="1" customWidth="1"/>
    <col min="13058" max="13058" width="14" bestFit="1" customWidth="1"/>
    <col min="13059" max="13059" width="14.42578125" bestFit="1" customWidth="1"/>
    <col min="13060" max="13060" width="7.5703125" bestFit="1" customWidth="1"/>
    <col min="13061" max="13061" width="14.28515625" bestFit="1" customWidth="1"/>
    <col min="13062" max="13062" width="14.85546875" bestFit="1" customWidth="1"/>
    <col min="13063" max="13063" width="8.7109375" bestFit="1" customWidth="1"/>
    <col min="13064" max="13064" width="13.85546875" bestFit="1" customWidth="1"/>
    <col min="13302" max="13302" width="41.42578125" bestFit="1" customWidth="1"/>
    <col min="13303" max="13303" width="12.140625" bestFit="1" customWidth="1"/>
    <col min="13304" max="13304" width="6.140625" bestFit="1" customWidth="1"/>
    <col min="13305" max="13305" width="13.85546875" bestFit="1" customWidth="1"/>
    <col min="13306" max="13306" width="12.140625" bestFit="1" customWidth="1"/>
    <col min="13307" max="13307" width="6.140625" bestFit="1" customWidth="1"/>
    <col min="13308" max="13308" width="14.42578125" bestFit="1" customWidth="1"/>
    <col min="13309" max="13309" width="13.42578125" bestFit="1" customWidth="1"/>
    <col min="13310" max="13310" width="6.5703125" bestFit="1" customWidth="1"/>
    <col min="13311" max="13311" width="14.28515625" bestFit="1" customWidth="1"/>
    <col min="13312" max="13312" width="13.28515625" bestFit="1" customWidth="1"/>
    <col min="13313" max="13313" width="8.42578125" bestFit="1" customWidth="1"/>
    <col min="13314" max="13314" width="14" bestFit="1" customWidth="1"/>
    <col min="13315" max="13315" width="14.42578125" bestFit="1" customWidth="1"/>
    <col min="13316" max="13316" width="7.5703125" bestFit="1" customWidth="1"/>
    <col min="13317" max="13317" width="14.28515625" bestFit="1" customWidth="1"/>
    <col min="13318" max="13318" width="14.85546875" bestFit="1" customWidth="1"/>
    <col min="13319" max="13319" width="8.7109375" bestFit="1" customWidth="1"/>
    <col min="13320" max="13320" width="13.85546875" bestFit="1" customWidth="1"/>
    <col min="13558" max="13558" width="41.42578125" bestFit="1" customWidth="1"/>
    <col min="13559" max="13559" width="12.140625" bestFit="1" customWidth="1"/>
    <col min="13560" max="13560" width="6.140625" bestFit="1" customWidth="1"/>
    <col min="13561" max="13561" width="13.85546875" bestFit="1" customWidth="1"/>
    <col min="13562" max="13562" width="12.140625" bestFit="1" customWidth="1"/>
    <col min="13563" max="13563" width="6.140625" bestFit="1" customWidth="1"/>
    <col min="13564" max="13564" width="14.42578125" bestFit="1" customWidth="1"/>
    <col min="13565" max="13565" width="13.42578125" bestFit="1" customWidth="1"/>
    <col min="13566" max="13566" width="6.5703125" bestFit="1" customWidth="1"/>
    <col min="13567" max="13567" width="14.28515625" bestFit="1" customWidth="1"/>
    <col min="13568" max="13568" width="13.28515625" bestFit="1" customWidth="1"/>
    <col min="13569" max="13569" width="8.42578125" bestFit="1" customWidth="1"/>
    <col min="13570" max="13570" width="14" bestFit="1" customWidth="1"/>
    <col min="13571" max="13571" width="14.42578125" bestFit="1" customWidth="1"/>
    <col min="13572" max="13572" width="7.5703125" bestFit="1" customWidth="1"/>
    <col min="13573" max="13573" width="14.28515625" bestFit="1" customWidth="1"/>
    <col min="13574" max="13574" width="14.85546875" bestFit="1" customWidth="1"/>
    <col min="13575" max="13575" width="8.7109375" bestFit="1" customWidth="1"/>
    <col min="13576" max="13576" width="13.85546875" bestFit="1" customWidth="1"/>
    <col min="13814" max="13814" width="41.42578125" bestFit="1" customWidth="1"/>
    <col min="13815" max="13815" width="12.140625" bestFit="1" customWidth="1"/>
    <col min="13816" max="13816" width="6.140625" bestFit="1" customWidth="1"/>
    <col min="13817" max="13817" width="13.85546875" bestFit="1" customWidth="1"/>
    <col min="13818" max="13818" width="12.140625" bestFit="1" customWidth="1"/>
    <col min="13819" max="13819" width="6.140625" bestFit="1" customWidth="1"/>
    <col min="13820" max="13820" width="14.42578125" bestFit="1" customWidth="1"/>
    <col min="13821" max="13821" width="13.42578125" bestFit="1" customWidth="1"/>
    <col min="13822" max="13822" width="6.5703125" bestFit="1" customWidth="1"/>
    <col min="13823" max="13823" width="14.28515625" bestFit="1" customWidth="1"/>
    <col min="13824" max="13824" width="13.28515625" bestFit="1" customWidth="1"/>
    <col min="13825" max="13825" width="8.42578125" bestFit="1" customWidth="1"/>
    <col min="13826" max="13826" width="14" bestFit="1" customWidth="1"/>
    <col min="13827" max="13827" width="14.42578125" bestFit="1" customWidth="1"/>
    <col min="13828" max="13828" width="7.5703125" bestFit="1" customWidth="1"/>
    <col min="13829" max="13829" width="14.28515625" bestFit="1" customWidth="1"/>
    <col min="13830" max="13830" width="14.85546875" bestFit="1" customWidth="1"/>
    <col min="13831" max="13831" width="8.7109375" bestFit="1" customWidth="1"/>
    <col min="13832" max="13832" width="13.85546875" bestFit="1" customWidth="1"/>
    <col min="14070" max="14070" width="41.42578125" bestFit="1" customWidth="1"/>
    <col min="14071" max="14071" width="12.140625" bestFit="1" customWidth="1"/>
    <col min="14072" max="14072" width="6.140625" bestFit="1" customWidth="1"/>
    <col min="14073" max="14073" width="13.85546875" bestFit="1" customWidth="1"/>
    <col min="14074" max="14074" width="12.140625" bestFit="1" customWidth="1"/>
    <col min="14075" max="14075" width="6.140625" bestFit="1" customWidth="1"/>
    <col min="14076" max="14076" width="14.42578125" bestFit="1" customWidth="1"/>
    <col min="14077" max="14077" width="13.42578125" bestFit="1" customWidth="1"/>
    <col min="14078" max="14078" width="6.5703125" bestFit="1" customWidth="1"/>
    <col min="14079" max="14079" width="14.28515625" bestFit="1" customWidth="1"/>
    <col min="14080" max="14080" width="13.28515625" bestFit="1" customWidth="1"/>
    <col min="14081" max="14081" width="8.42578125" bestFit="1" customWidth="1"/>
    <col min="14082" max="14082" width="14" bestFit="1" customWidth="1"/>
    <col min="14083" max="14083" width="14.42578125" bestFit="1" customWidth="1"/>
    <col min="14084" max="14084" width="7.5703125" bestFit="1" customWidth="1"/>
    <col min="14085" max="14085" width="14.28515625" bestFit="1" customWidth="1"/>
    <col min="14086" max="14086" width="14.85546875" bestFit="1" customWidth="1"/>
    <col min="14087" max="14087" width="8.7109375" bestFit="1" customWidth="1"/>
    <col min="14088" max="14088" width="13.85546875" bestFit="1" customWidth="1"/>
    <col min="14326" max="14326" width="41.42578125" bestFit="1" customWidth="1"/>
    <col min="14327" max="14327" width="12.140625" bestFit="1" customWidth="1"/>
    <col min="14328" max="14328" width="6.140625" bestFit="1" customWidth="1"/>
    <col min="14329" max="14329" width="13.85546875" bestFit="1" customWidth="1"/>
    <col min="14330" max="14330" width="12.140625" bestFit="1" customWidth="1"/>
    <col min="14331" max="14331" width="6.140625" bestFit="1" customWidth="1"/>
    <col min="14332" max="14332" width="14.42578125" bestFit="1" customWidth="1"/>
    <col min="14333" max="14333" width="13.42578125" bestFit="1" customWidth="1"/>
    <col min="14334" max="14334" width="6.5703125" bestFit="1" customWidth="1"/>
    <col min="14335" max="14335" width="14.28515625" bestFit="1" customWidth="1"/>
    <col min="14336" max="14336" width="13.28515625" bestFit="1" customWidth="1"/>
    <col min="14337" max="14337" width="8.42578125" bestFit="1" customWidth="1"/>
    <col min="14338" max="14338" width="14" bestFit="1" customWidth="1"/>
    <col min="14339" max="14339" width="14.42578125" bestFit="1" customWidth="1"/>
    <col min="14340" max="14340" width="7.5703125" bestFit="1" customWidth="1"/>
    <col min="14341" max="14341" width="14.28515625" bestFit="1" customWidth="1"/>
    <col min="14342" max="14342" width="14.85546875" bestFit="1" customWidth="1"/>
    <col min="14343" max="14343" width="8.7109375" bestFit="1" customWidth="1"/>
    <col min="14344" max="14344" width="13.85546875" bestFit="1" customWidth="1"/>
    <col min="14582" max="14582" width="41.42578125" bestFit="1" customWidth="1"/>
    <col min="14583" max="14583" width="12.140625" bestFit="1" customWidth="1"/>
    <col min="14584" max="14584" width="6.140625" bestFit="1" customWidth="1"/>
    <col min="14585" max="14585" width="13.85546875" bestFit="1" customWidth="1"/>
    <col min="14586" max="14586" width="12.140625" bestFit="1" customWidth="1"/>
    <col min="14587" max="14587" width="6.140625" bestFit="1" customWidth="1"/>
    <col min="14588" max="14588" width="14.42578125" bestFit="1" customWidth="1"/>
    <col min="14589" max="14589" width="13.42578125" bestFit="1" customWidth="1"/>
    <col min="14590" max="14590" width="6.5703125" bestFit="1" customWidth="1"/>
    <col min="14591" max="14591" width="14.28515625" bestFit="1" customWidth="1"/>
    <col min="14592" max="14592" width="13.28515625" bestFit="1" customWidth="1"/>
    <col min="14593" max="14593" width="8.42578125" bestFit="1" customWidth="1"/>
    <col min="14594" max="14594" width="14" bestFit="1" customWidth="1"/>
    <col min="14595" max="14595" width="14.42578125" bestFit="1" customWidth="1"/>
    <col min="14596" max="14596" width="7.5703125" bestFit="1" customWidth="1"/>
    <col min="14597" max="14597" width="14.28515625" bestFit="1" customWidth="1"/>
    <col min="14598" max="14598" width="14.85546875" bestFit="1" customWidth="1"/>
    <col min="14599" max="14599" width="8.7109375" bestFit="1" customWidth="1"/>
    <col min="14600" max="14600" width="13.85546875" bestFit="1" customWidth="1"/>
    <col min="14838" max="14838" width="41.42578125" bestFit="1" customWidth="1"/>
    <col min="14839" max="14839" width="12.140625" bestFit="1" customWidth="1"/>
    <col min="14840" max="14840" width="6.140625" bestFit="1" customWidth="1"/>
    <col min="14841" max="14841" width="13.85546875" bestFit="1" customWidth="1"/>
    <col min="14842" max="14842" width="12.140625" bestFit="1" customWidth="1"/>
    <col min="14843" max="14843" width="6.140625" bestFit="1" customWidth="1"/>
    <col min="14844" max="14844" width="14.42578125" bestFit="1" customWidth="1"/>
    <col min="14845" max="14845" width="13.42578125" bestFit="1" customWidth="1"/>
    <col min="14846" max="14846" width="6.5703125" bestFit="1" customWidth="1"/>
    <col min="14847" max="14847" width="14.28515625" bestFit="1" customWidth="1"/>
    <col min="14848" max="14848" width="13.28515625" bestFit="1" customWidth="1"/>
    <col min="14849" max="14849" width="8.42578125" bestFit="1" customWidth="1"/>
    <col min="14850" max="14850" width="14" bestFit="1" customWidth="1"/>
    <col min="14851" max="14851" width="14.42578125" bestFit="1" customWidth="1"/>
    <col min="14852" max="14852" width="7.5703125" bestFit="1" customWidth="1"/>
    <col min="14853" max="14853" width="14.28515625" bestFit="1" customWidth="1"/>
    <col min="14854" max="14854" width="14.85546875" bestFit="1" customWidth="1"/>
    <col min="14855" max="14855" width="8.7109375" bestFit="1" customWidth="1"/>
    <col min="14856" max="14856" width="13.85546875" bestFit="1" customWidth="1"/>
    <col min="15094" max="15094" width="41.42578125" bestFit="1" customWidth="1"/>
    <col min="15095" max="15095" width="12.140625" bestFit="1" customWidth="1"/>
    <col min="15096" max="15096" width="6.140625" bestFit="1" customWidth="1"/>
    <col min="15097" max="15097" width="13.85546875" bestFit="1" customWidth="1"/>
    <col min="15098" max="15098" width="12.140625" bestFit="1" customWidth="1"/>
    <col min="15099" max="15099" width="6.140625" bestFit="1" customWidth="1"/>
    <col min="15100" max="15100" width="14.42578125" bestFit="1" customWidth="1"/>
    <col min="15101" max="15101" width="13.42578125" bestFit="1" customWidth="1"/>
    <col min="15102" max="15102" width="6.5703125" bestFit="1" customWidth="1"/>
    <col min="15103" max="15103" width="14.28515625" bestFit="1" customWidth="1"/>
    <col min="15104" max="15104" width="13.28515625" bestFit="1" customWidth="1"/>
    <col min="15105" max="15105" width="8.42578125" bestFit="1" customWidth="1"/>
    <col min="15106" max="15106" width="14" bestFit="1" customWidth="1"/>
    <col min="15107" max="15107" width="14.42578125" bestFit="1" customWidth="1"/>
    <col min="15108" max="15108" width="7.5703125" bestFit="1" customWidth="1"/>
    <col min="15109" max="15109" width="14.28515625" bestFit="1" customWidth="1"/>
    <col min="15110" max="15110" width="14.85546875" bestFit="1" customWidth="1"/>
    <col min="15111" max="15111" width="8.7109375" bestFit="1" customWidth="1"/>
    <col min="15112" max="15112" width="13.85546875" bestFit="1" customWidth="1"/>
    <col min="15350" max="15350" width="41.42578125" bestFit="1" customWidth="1"/>
    <col min="15351" max="15351" width="12.140625" bestFit="1" customWidth="1"/>
    <col min="15352" max="15352" width="6.140625" bestFit="1" customWidth="1"/>
    <col min="15353" max="15353" width="13.85546875" bestFit="1" customWidth="1"/>
    <col min="15354" max="15354" width="12.140625" bestFit="1" customWidth="1"/>
    <col min="15355" max="15355" width="6.140625" bestFit="1" customWidth="1"/>
    <col min="15356" max="15356" width="14.42578125" bestFit="1" customWidth="1"/>
    <col min="15357" max="15357" width="13.42578125" bestFit="1" customWidth="1"/>
    <col min="15358" max="15358" width="6.5703125" bestFit="1" customWidth="1"/>
    <col min="15359" max="15359" width="14.28515625" bestFit="1" customWidth="1"/>
    <col min="15360" max="15360" width="13.28515625" bestFit="1" customWidth="1"/>
    <col min="15361" max="15361" width="8.42578125" bestFit="1" customWidth="1"/>
    <col min="15362" max="15362" width="14" bestFit="1" customWidth="1"/>
    <col min="15363" max="15363" width="14.42578125" bestFit="1" customWidth="1"/>
    <col min="15364" max="15364" width="7.5703125" bestFit="1" customWidth="1"/>
    <col min="15365" max="15365" width="14.28515625" bestFit="1" customWidth="1"/>
    <col min="15366" max="15366" width="14.85546875" bestFit="1" customWidth="1"/>
    <col min="15367" max="15367" width="8.7109375" bestFit="1" customWidth="1"/>
    <col min="15368" max="15368" width="13.85546875" bestFit="1" customWidth="1"/>
    <col min="15606" max="15606" width="41.42578125" bestFit="1" customWidth="1"/>
    <col min="15607" max="15607" width="12.140625" bestFit="1" customWidth="1"/>
    <col min="15608" max="15608" width="6.140625" bestFit="1" customWidth="1"/>
    <col min="15609" max="15609" width="13.85546875" bestFit="1" customWidth="1"/>
    <col min="15610" max="15610" width="12.140625" bestFit="1" customWidth="1"/>
    <col min="15611" max="15611" width="6.140625" bestFit="1" customWidth="1"/>
    <col min="15612" max="15612" width="14.42578125" bestFit="1" customWidth="1"/>
    <col min="15613" max="15613" width="13.42578125" bestFit="1" customWidth="1"/>
    <col min="15614" max="15614" width="6.5703125" bestFit="1" customWidth="1"/>
    <col min="15615" max="15615" width="14.28515625" bestFit="1" customWidth="1"/>
    <col min="15616" max="15616" width="13.28515625" bestFit="1" customWidth="1"/>
    <col min="15617" max="15617" width="8.42578125" bestFit="1" customWidth="1"/>
    <col min="15618" max="15618" width="14" bestFit="1" customWidth="1"/>
    <col min="15619" max="15619" width="14.42578125" bestFit="1" customWidth="1"/>
    <col min="15620" max="15620" width="7.5703125" bestFit="1" customWidth="1"/>
    <col min="15621" max="15621" width="14.28515625" bestFit="1" customWidth="1"/>
    <col min="15622" max="15622" width="14.85546875" bestFit="1" customWidth="1"/>
    <col min="15623" max="15623" width="8.7109375" bestFit="1" customWidth="1"/>
    <col min="15624" max="15624" width="13.85546875" bestFit="1" customWidth="1"/>
    <col min="15862" max="15862" width="41.42578125" bestFit="1" customWidth="1"/>
    <col min="15863" max="15863" width="12.140625" bestFit="1" customWidth="1"/>
    <col min="15864" max="15864" width="6.140625" bestFit="1" customWidth="1"/>
    <col min="15865" max="15865" width="13.85546875" bestFit="1" customWidth="1"/>
    <col min="15866" max="15866" width="12.140625" bestFit="1" customWidth="1"/>
    <col min="15867" max="15867" width="6.140625" bestFit="1" customWidth="1"/>
    <col min="15868" max="15868" width="14.42578125" bestFit="1" customWidth="1"/>
    <col min="15869" max="15869" width="13.42578125" bestFit="1" customWidth="1"/>
    <col min="15870" max="15870" width="6.5703125" bestFit="1" customWidth="1"/>
    <col min="15871" max="15871" width="14.28515625" bestFit="1" customWidth="1"/>
    <col min="15872" max="15872" width="13.28515625" bestFit="1" customWidth="1"/>
    <col min="15873" max="15873" width="8.42578125" bestFit="1" customWidth="1"/>
    <col min="15874" max="15874" width="14" bestFit="1" customWidth="1"/>
    <col min="15875" max="15875" width="14.42578125" bestFit="1" customWidth="1"/>
    <col min="15876" max="15876" width="7.5703125" bestFit="1" customWidth="1"/>
    <col min="15877" max="15877" width="14.28515625" bestFit="1" customWidth="1"/>
    <col min="15878" max="15878" width="14.85546875" bestFit="1" customWidth="1"/>
    <col min="15879" max="15879" width="8.7109375" bestFit="1" customWidth="1"/>
    <col min="15880" max="15880" width="13.85546875" bestFit="1" customWidth="1"/>
    <col min="16118" max="16118" width="41.42578125" bestFit="1" customWidth="1"/>
    <col min="16119" max="16119" width="12.140625" bestFit="1" customWidth="1"/>
    <col min="16120" max="16120" width="6.140625" bestFit="1" customWidth="1"/>
    <col min="16121" max="16121" width="13.85546875" bestFit="1" customWidth="1"/>
    <col min="16122" max="16122" width="12.140625" bestFit="1" customWidth="1"/>
    <col min="16123" max="16123" width="6.140625" bestFit="1" customWidth="1"/>
    <col min="16124" max="16124" width="14.42578125" bestFit="1" customWidth="1"/>
    <col min="16125" max="16125" width="13.42578125" bestFit="1" customWidth="1"/>
    <col min="16126" max="16126" width="6.5703125" bestFit="1" customWidth="1"/>
    <col min="16127" max="16127" width="14.28515625" bestFit="1" customWidth="1"/>
    <col min="16128" max="16128" width="13.28515625" bestFit="1" customWidth="1"/>
    <col min="16129" max="16129" width="8.42578125" bestFit="1" customWidth="1"/>
    <col min="16130" max="16130" width="14" bestFit="1" customWidth="1"/>
    <col min="16131" max="16131" width="14.42578125" bestFit="1" customWidth="1"/>
    <col min="16132" max="16132" width="7.5703125" bestFit="1" customWidth="1"/>
    <col min="16133" max="16133" width="14.28515625" bestFit="1" customWidth="1"/>
    <col min="16134" max="16134" width="14.85546875" bestFit="1" customWidth="1"/>
    <col min="16135" max="16135" width="8.7109375" bestFit="1" customWidth="1"/>
    <col min="16136" max="16136" width="13.85546875" bestFit="1" customWidth="1"/>
  </cols>
  <sheetData>
    <row r="1" spans="1:23" ht="34.5" customHeight="1">
      <c r="A1" s="272" t="s">
        <v>79</v>
      </c>
      <c r="B1" s="272"/>
      <c r="C1" s="272"/>
      <c r="D1" s="272"/>
      <c r="E1" s="272"/>
      <c r="F1" s="272"/>
      <c r="G1" s="272"/>
      <c r="H1" s="272"/>
      <c r="I1" s="272"/>
      <c r="K1" s="273" t="s">
        <v>80</v>
      </c>
      <c r="L1" s="273"/>
      <c r="M1" s="273"/>
      <c r="N1" s="273"/>
      <c r="O1" s="273"/>
      <c r="P1" s="273"/>
    </row>
    <row r="2" spans="1:23" s="59" customFormat="1" ht="17.25" customHeight="1">
      <c r="A2" s="274"/>
      <c r="B2" s="277" t="s">
        <v>81</v>
      </c>
      <c r="C2" s="278"/>
      <c r="D2" s="278"/>
      <c r="E2" s="278"/>
      <c r="F2" s="278"/>
      <c r="G2" s="278"/>
      <c r="H2" s="278"/>
      <c r="I2" s="279"/>
      <c r="K2" s="280"/>
      <c r="L2" s="282" t="s">
        <v>82</v>
      </c>
      <c r="M2" s="282" t="s">
        <v>83</v>
      </c>
      <c r="N2" s="284" t="s">
        <v>84</v>
      </c>
      <c r="O2" s="285"/>
      <c r="P2" s="60" t="s">
        <v>75</v>
      </c>
    </row>
    <row r="3" spans="1:23" s="59" customFormat="1" ht="14.25" customHeight="1">
      <c r="A3" s="275"/>
      <c r="C3" s="61"/>
      <c r="D3" s="286" t="s">
        <v>85</v>
      </c>
      <c r="E3" s="287"/>
      <c r="G3" s="62"/>
      <c r="H3" s="288" t="s">
        <v>86</v>
      </c>
      <c r="I3" s="289"/>
      <c r="K3" s="281"/>
      <c r="L3" s="283"/>
      <c r="M3" s="283"/>
      <c r="N3" s="63" t="s">
        <v>86</v>
      </c>
      <c r="O3" s="63" t="s">
        <v>87</v>
      </c>
      <c r="P3" s="64"/>
    </row>
    <row r="4" spans="1:23" s="59" customFormat="1" ht="43.5" customHeight="1">
      <c r="A4" s="276"/>
      <c r="B4" s="65" t="s">
        <v>88</v>
      </c>
      <c r="C4" s="66" t="s">
        <v>89</v>
      </c>
      <c r="D4" s="67" t="s">
        <v>90</v>
      </c>
      <c r="E4" s="68" t="s">
        <v>91</v>
      </c>
      <c r="F4" s="69" t="s">
        <v>88</v>
      </c>
      <c r="G4" s="70" t="s">
        <v>89</v>
      </c>
      <c r="H4" s="30" t="s">
        <v>90</v>
      </c>
      <c r="I4" s="71" t="s">
        <v>91</v>
      </c>
      <c r="K4" s="72" t="s">
        <v>92</v>
      </c>
      <c r="L4" s="73">
        <f>L8*1.6</f>
        <v>270.40000000000003</v>
      </c>
      <c r="M4" s="73">
        <v>301.10000000000002</v>
      </c>
      <c r="N4" s="73">
        <f>(2567.1-O4-M4)*1.1</f>
        <v>1898.71</v>
      </c>
      <c r="O4" s="73">
        <f>210.6+243.3+33.5+52.5</f>
        <v>539.9</v>
      </c>
      <c r="P4" s="74"/>
    </row>
    <row r="5" spans="1:23" s="59" customFormat="1" ht="15.75">
      <c r="A5" s="75" t="s">
        <v>93</v>
      </c>
      <c r="B5" s="76">
        <v>8976699.6984082852</v>
      </c>
      <c r="C5" s="77"/>
      <c r="D5" s="76">
        <v>40708.810024072765</v>
      </c>
      <c r="E5" s="78">
        <f>D5*U16*T16</f>
        <v>44325.787794711629</v>
      </c>
      <c r="F5" s="76">
        <v>49190613.190936193</v>
      </c>
      <c r="G5" s="79"/>
      <c r="H5" s="76">
        <v>29410.548677729334</v>
      </c>
      <c r="I5" s="78">
        <f>H5*U16*T16</f>
        <v>32023.675927745582</v>
      </c>
      <c r="K5" s="80" t="s">
        <v>94</v>
      </c>
      <c r="L5" s="81">
        <f>E26*L4</f>
        <v>70682618.70526363</v>
      </c>
      <c r="M5" s="81">
        <f>M4*E26</f>
        <v>78707605.370395258</v>
      </c>
      <c r="N5" s="81">
        <f>I26*N4</f>
        <v>152688670.31058294</v>
      </c>
      <c r="O5" s="81">
        <f>O4*E26</f>
        <v>141129977.2151325</v>
      </c>
      <c r="P5" s="82">
        <f>L5+M5+N5+O5</f>
        <v>443208871.60137427</v>
      </c>
    </row>
    <row r="6" spans="1:23" s="59" customFormat="1" ht="15" customHeight="1">
      <c r="A6" s="83" t="s">
        <v>95</v>
      </c>
      <c r="B6" s="84">
        <v>3119462.7771668993</v>
      </c>
      <c r="C6" s="85"/>
      <c r="D6" s="84">
        <v>14146.581910874334</v>
      </c>
      <c r="E6" s="86">
        <f>D6*T16*U16</f>
        <v>15403.505713655519</v>
      </c>
      <c r="F6" s="84">
        <v>17350310.768736202</v>
      </c>
      <c r="G6" s="87"/>
      <c r="H6" s="84">
        <v>10373.567767024126</v>
      </c>
      <c r="I6" s="86">
        <f>H6*U16*T16</f>
        <v>11295.259263124219</v>
      </c>
      <c r="K6" s="80" t="s">
        <v>96</v>
      </c>
      <c r="L6" s="88">
        <v>28</v>
      </c>
      <c r="M6" s="88"/>
      <c r="N6" s="88"/>
      <c r="O6" s="88"/>
      <c r="P6" s="89"/>
    </row>
    <row r="7" spans="1:23" s="59" customFormat="1" ht="15.75">
      <c r="A7" s="83" t="s">
        <v>97</v>
      </c>
      <c r="B7" s="84">
        <v>95784.316229978445</v>
      </c>
      <c r="C7" s="85"/>
      <c r="D7" s="84">
        <v>434.37629236759534</v>
      </c>
      <c r="E7" s="86">
        <f>D7</f>
        <v>434.37629236759534</v>
      </c>
      <c r="F7" s="84">
        <v>472628.74838074559</v>
      </c>
      <c r="G7" s="87"/>
      <c r="H7" s="84">
        <v>282.57974253729071</v>
      </c>
      <c r="I7" s="86">
        <f>H7</f>
        <v>282.57974253729071</v>
      </c>
      <c r="K7" s="80" t="s">
        <v>98</v>
      </c>
      <c r="L7" s="88">
        <f>7500*1.037</f>
        <v>7777.4999999999991</v>
      </c>
      <c r="M7" s="88"/>
      <c r="N7" s="88"/>
      <c r="O7" s="88"/>
      <c r="P7" s="89"/>
    </row>
    <row r="8" spans="1:23" s="59" customFormat="1" ht="30">
      <c r="A8" s="83" t="s">
        <v>99</v>
      </c>
      <c r="B8" s="84">
        <v>3425187.2900346247</v>
      </c>
      <c r="C8" s="85"/>
      <c r="D8" s="84">
        <v>15533.024760938846</v>
      </c>
      <c r="E8" s="86">
        <f>E10+E12+E14</f>
        <v>16816.487530885701</v>
      </c>
      <c r="F8" s="84">
        <v>30759500.195529565</v>
      </c>
      <c r="G8" s="87"/>
      <c r="H8" s="84">
        <v>18390.780661582354</v>
      </c>
      <c r="I8" s="86">
        <f>I10+I12+I14+I15+I16+I17</f>
        <v>19910.374086087581</v>
      </c>
      <c r="K8" s="90" t="s">
        <v>100</v>
      </c>
      <c r="L8" s="88">
        <v>169</v>
      </c>
      <c r="M8" s="88"/>
      <c r="N8" s="88"/>
      <c r="O8" s="88"/>
      <c r="P8" s="89"/>
    </row>
    <row r="9" spans="1:23" s="59" customFormat="1" ht="15.75">
      <c r="A9" s="91" t="s">
        <v>101</v>
      </c>
      <c r="B9" s="84"/>
      <c r="C9" s="85"/>
      <c r="D9" s="84"/>
      <c r="E9" s="86"/>
      <c r="F9" s="84"/>
      <c r="G9" s="87"/>
      <c r="H9" s="84"/>
      <c r="I9" s="86"/>
      <c r="K9" s="80" t="s">
        <v>102</v>
      </c>
      <c r="L9" s="81">
        <f>L6*L7*L8</f>
        <v>36803129.999999993</v>
      </c>
      <c r="M9" s="81">
        <f>'Воздушный транспорт'!AO17*1000</f>
        <v>8042580</v>
      </c>
      <c r="N9" s="292">
        <v>68322.31</v>
      </c>
      <c r="O9" s="293"/>
      <c r="P9" s="82">
        <f>'Воздушный транспорт'!AO18*1000</f>
        <v>113168019.99999999</v>
      </c>
    </row>
    <row r="10" spans="1:23" s="59" customFormat="1">
      <c r="A10" s="92" t="s">
        <v>103</v>
      </c>
      <c r="B10" s="93">
        <v>2980511.7638669768</v>
      </c>
      <c r="C10" s="94"/>
      <c r="D10" s="95">
        <v>13516.447162790699</v>
      </c>
      <c r="E10" s="96">
        <f>D10*U17*T17</f>
        <v>14633.284158957767</v>
      </c>
      <c r="F10" s="93">
        <v>24392221.669475846</v>
      </c>
      <c r="G10" s="94"/>
      <c r="H10" s="95">
        <v>14583.852004110997</v>
      </c>
      <c r="I10" s="96">
        <f>H10*U17*T17</f>
        <v>15788.88652750668</v>
      </c>
      <c r="K10" s="97" t="s">
        <v>104</v>
      </c>
      <c r="L10" s="98">
        <f>L5-L9</f>
        <v>33879488.705263637</v>
      </c>
      <c r="M10" s="98">
        <f>M5-M9</f>
        <v>70665025.370395258</v>
      </c>
      <c r="N10" s="294">
        <f>N5+O5-N9</f>
        <v>293750325.21571547</v>
      </c>
      <c r="O10" s="295"/>
      <c r="P10" s="99">
        <f>'Воздушный транспорт'!AQ18*1000</f>
        <v>330040851.60137439</v>
      </c>
    </row>
    <row r="11" spans="1:23" s="59" customFormat="1">
      <c r="A11" s="92" t="s">
        <v>105</v>
      </c>
      <c r="B11" s="93">
        <v>0</v>
      </c>
      <c r="C11" s="94"/>
      <c r="D11" s="95">
        <v>0</v>
      </c>
      <c r="E11" s="96"/>
      <c r="F11" s="93">
        <v>0</v>
      </c>
      <c r="G11" s="94"/>
      <c r="H11" s="95"/>
      <c r="I11" s="96"/>
    </row>
    <row r="12" spans="1:23" s="59" customFormat="1">
      <c r="A12" s="92" t="s">
        <v>106</v>
      </c>
      <c r="B12" s="93">
        <v>81423.762214159447</v>
      </c>
      <c r="C12" s="94"/>
      <c r="D12" s="95">
        <v>369.25201675279783</v>
      </c>
      <c r="E12" s="96">
        <f>D12*U17*T17</f>
        <v>399.762572393048</v>
      </c>
      <c r="F12" s="93">
        <v>539702.34816745401</v>
      </c>
      <c r="G12" s="94"/>
      <c r="H12" s="95">
        <v>322.68234023942722</v>
      </c>
      <c r="I12" s="96">
        <f>H12*U17*T17</f>
        <v>349.3449366487306</v>
      </c>
      <c r="K12" s="260" t="s">
        <v>47</v>
      </c>
      <c r="L12" s="260"/>
      <c r="M12" s="260"/>
      <c r="N12" s="260"/>
      <c r="O12" s="260"/>
      <c r="P12" s="260"/>
    </row>
    <row r="13" spans="1:23" s="59" customFormat="1" ht="45">
      <c r="A13" s="92" t="s">
        <v>107</v>
      </c>
      <c r="B13" s="93"/>
      <c r="C13" s="94"/>
      <c r="D13" s="95"/>
      <c r="E13" s="96"/>
      <c r="F13" s="93">
        <v>0</v>
      </c>
      <c r="G13" s="94"/>
      <c r="H13" s="95"/>
      <c r="I13" s="96"/>
      <c r="K13" s="100"/>
      <c r="L13" s="101" t="s">
        <v>51</v>
      </c>
      <c r="M13" s="101" t="s">
        <v>52</v>
      </c>
      <c r="N13" s="101" t="s">
        <v>108</v>
      </c>
      <c r="O13" s="101" t="s">
        <v>108</v>
      </c>
      <c r="P13" s="102" t="s">
        <v>109</v>
      </c>
    </row>
    <row r="14" spans="1:23" s="59" customFormat="1" ht="24">
      <c r="A14" s="92" t="s">
        <v>110</v>
      </c>
      <c r="B14" s="93">
        <v>363251.76395348838</v>
      </c>
      <c r="C14" s="94"/>
      <c r="D14" s="95">
        <v>1647.325581395349</v>
      </c>
      <c r="E14" s="96">
        <f>D14*U17*T17</f>
        <v>1783.4407995348838</v>
      </c>
      <c r="F14" s="93">
        <v>2558098.471976704</v>
      </c>
      <c r="G14" s="94"/>
      <c r="H14" s="95">
        <v>1529.4600890715997</v>
      </c>
      <c r="I14" s="96">
        <f>H14*U17*T17</f>
        <v>1655.8363173114076</v>
      </c>
      <c r="K14" s="103" t="s">
        <v>63</v>
      </c>
      <c r="L14" s="104">
        <v>4185838</v>
      </c>
      <c r="M14" s="104">
        <v>4018569</v>
      </c>
      <c r="N14" s="104">
        <v>6705434.5800000001</v>
      </c>
      <c r="O14" s="104">
        <v>6705434.5800000001</v>
      </c>
      <c r="P14" s="105"/>
    </row>
    <row r="15" spans="1:23" s="59" customFormat="1">
      <c r="A15" s="106" t="s">
        <v>111</v>
      </c>
      <c r="B15" s="93"/>
      <c r="C15" s="94"/>
      <c r="D15" s="95"/>
      <c r="E15" s="96"/>
      <c r="F15" s="93">
        <v>3147941.9375128467</v>
      </c>
      <c r="G15" s="94"/>
      <c r="H15" s="95">
        <v>1882.1212744090442</v>
      </c>
      <c r="I15" s="96">
        <f>H15*U17*T17</f>
        <v>2037.6371910709147</v>
      </c>
      <c r="K15" s="107" t="s">
        <v>64</v>
      </c>
      <c r="L15" s="41">
        <v>6358036</v>
      </c>
      <c r="M15" s="41">
        <v>6197280</v>
      </c>
      <c r="N15" s="41">
        <v>6681667.5800000001</v>
      </c>
      <c r="O15" s="41">
        <v>6681667.5800000001</v>
      </c>
      <c r="P15" s="108"/>
      <c r="S15" s="109"/>
      <c r="T15" s="110">
        <v>2019</v>
      </c>
      <c r="U15" s="110">
        <v>2020</v>
      </c>
      <c r="V15" s="110">
        <v>2021</v>
      </c>
      <c r="W15" s="110">
        <v>2022</v>
      </c>
    </row>
    <row r="16" spans="1:23" s="59" customFormat="1" ht="24">
      <c r="A16" s="92" t="s">
        <v>112</v>
      </c>
      <c r="B16" s="93"/>
      <c r="C16" s="94"/>
      <c r="D16" s="95"/>
      <c r="E16" s="96"/>
      <c r="F16" s="93">
        <v>7263.1873244261724</v>
      </c>
      <c r="G16" s="94"/>
      <c r="H16" s="95">
        <v>4.3425830763960258</v>
      </c>
      <c r="I16" s="96">
        <f>H16*U17*T17</f>
        <v>4.701402030832476</v>
      </c>
      <c r="K16" s="111" t="s">
        <v>65</v>
      </c>
      <c r="L16" s="41">
        <v>4048210</v>
      </c>
      <c r="M16" s="41">
        <v>3911494</v>
      </c>
      <c r="N16" s="41"/>
      <c r="O16" s="41"/>
      <c r="P16" s="108"/>
      <c r="S16" s="112" t="s">
        <v>113</v>
      </c>
      <c r="T16" s="112">
        <v>1.05</v>
      </c>
      <c r="U16" s="112">
        <v>1.0369999999999999</v>
      </c>
      <c r="V16" s="109">
        <v>1.04</v>
      </c>
      <c r="W16" s="112">
        <v>1.04</v>
      </c>
    </row>
    <row r="17" spans="1:23" s="59" customFormat="1">
      <c r="A17" s="92" t="s">
        <v>114</v>
      </c>
      <c r="B17" s="93"/>
      <c r="C17" s="94"/>
      <c r="D17" s="95"/>
      <c r="E17" s="96"/>
      <c r="F17" s="93">
        <v>114272.58107228501</v>
      </c>
      <c r="G17" s="94"/>
      <c r="H17" s="95">
        <v>68.32237067488866</v>
      </c>
      <c r="I17" s="96">
        <f>H17*U17*T17</f>
        <v>73.967711519013349</v>
      </c>
      <c r="K17" s="107" t="s">
        <v>66</v>
      </c>
      <c r="L17" s="41">
        <v>4090042</v>
      </c>
      <c r="M17" s="41">
        <v>3936136</v>
      </c>
      <c r="N17" s="113">
        <v>4925926</v>
      </c>
      <c r="O17" s="113">
        <v>4925926</v>
      </c>
      <c r="P17" s="108"/>
      <c r="S17" s="114" t="s">
        <v>115</v>
      </c>
      <c r="T17" s="115">
        <v>1.044</v>
      </c>
      <c r="U17" s="115">
        <v>1.0369999999999999</v>
      </c>
      <c r="V17" s="109">
        <v>1.038</v>
      </c>
      <c r="W17" s="116">
        <v>1.04</v>
      </c>
    </row>
    <row r="18" spans="1:23" s="59" customFormat="1" ht="15" customHeight="1">
      <c r="A18" s="117" t="s">
        <v>116</v>
      </c>
      <c r="B18" s="84">
        <v>51794066.893672287</v>
      </c>
      <c r="C18" s="85"/>
      <c r="D18" s="84">
        <v>234883.07511528861</v>
      </c>
      <c r="E18" s="86">
        <f>E20+E21+E23+E24+E25</f>
        <v>184420.05977364443</v>
      </c>
      <c r="F18" s="84">
        <v>26820319.815585203</v>
      </c>
      <c r="G18" s="85"/>
      <c r="H18" s="84">
        <v>16035.586269818663</v>
      </c>
      <c r="I18" s="86">
        <f>I20+I21+I23+I24+I25</f>
        <v>16905.167987938232</v>
      </c>
      <c r="K18" s="111" t="s">
        <v>67</v>
      </c>
      <c r="L18" s="41">
        <v>4008834</v>
      </c>
      <c r="M18" s="41">
        <v>3872639</v>
      </c>
      <c r="N18" s="41">
        <v>5763303.5800000001</v>
      </c>
      <c r="O18" s="41">
        <v>5763303.5800000001</v>
      </c>
      <c r="P18" s="108"/>
      <c r="S18" s="114" t="s">
        <v>117</v>
      </c>
      <c r="T18" s="115">
        <v>1.0009999999999999</v>
      </c>
      <c r="U18" s="115">
        <v>0.99099999999999999</v>
      </c>
      <c r="V18" s="109">
        <v>1.014</v>
      </c>
      <c r="W18" s="118">
        <v>1.0169999999999999</v>
      </c>
    </row>
    <row r="19" spans="1:23" s="59" customFormat="1">
      <c r="A19" s="91" t="s">
        <v>101</v>
      </c>
      <c r="B19" s="95"/>
      <c r="C19" s="119"/>
      <c r="D19" s="95"/>
      <c r="E19" s="96"/>
      <c r="F19" s="95"/>
      <c r="G19" s="119"/>
      <c r="H19" s="95"/>
      <c r="I19" s="96"/>
      <c r="K19" s="107" t="s">
        <v>68</v>
      </c>
      <c r="L19" s="41">
        <v>4005350</v>
      </c>
      <c r="M19" s="41">
        <v>3865782</v>
      </c>
      <c r="N19" s="41">
        <v>5809678.5800000001</v>
      </c>
      <c r="O19" s="41">
        <v>5809678.5800000001</v>
      </c>
      <c r="P19" s="108"/>
    </row>
    <row r="20" spans="1:23" s="59" customFormat="1" ht="33" customHeight="1">
      <c r="A20" s="92" t="s">
        <v>118</v>
      </c>
      <c r="B20" s="93">
        <v>232636</v>
      </c>
      <c r="C20" s="94"/>
      <c r="D20" s="95">
        <v>1054.9907033694617</v>
      </c>
      <c r="E20" s="96">
        <f>D20*U16*T16</f>
        <v>1148.7266273638384</v>
      </c>
      <c r="F20" s="93">
        <v>215646</v>
      </c>
      <c r="G20" s="94"/>
      <c r="H20" s="95">
        <v>128.93246838659533</v>
      </c>
      <c r="I20" s="96">
        <f>H20*U16*T16</f>
        <v>140.38811820274432</v>
      </c>
      <c r="K20" s="111" t="s">
        <v>69</v>
      </c>
      <c r="L20" s="41">
        <v>3925826</v>
      </c>
      <c r="M20" s="41">
        <v>3804903</v>
      </c>
      <c r="N20" s="41">
        <v>5701087.5800000001</v>
      </c>
      <c r="O20" s="41">
        <v>5701087.5800000001</v>
      </c>
      <c r="P20" s="108"/>
    </row>
    <row r="21" spans="1:23" s="59" customFormat="1" ht="21.75" customHeight="1">
      <c r="A21" s="92" t="s">
        <v>119</v>
      </c>
      <c r="B21" s="93">
        <v>3206083.15</v>
      </c>
      <c r="C21" s="94"/>
      <c r="D21" s="95">
        <v>14539.400253956737</v>
      </c>
      <c r="E21" s="96">
        <f>D21*U16*T16</f>
        <v>15831.225966520791</v>
      </c>
      <c r="F21" s="93">
        <v>8833879.6999999993</v>
      </c>
      <c r="G21" s="94"/>
      <c r="H21" s="95">
        <v>5281.6834773250421</v>
      </c>
      <c r="I21" s="96">
        <f>H21*U16*T16</f>
        <v>5750.9610542853716</v>
      </c>
      <c r="K21" s="107" t="s">
        <v>70</v>
      </c>
      <c r="L21" s="41">
        <v>3918514</v>
      </c>
      <c r="M21" s="41">
        <v>3794095</v>
      </c>
      <c r="N21" s="41">
        <v>5744821.5800000001</v>
      </c>
      <c r="O21" s="41">
        <v>5744821.5800000001</v>
      </c>
      <c r="P21" s="108"/>
    </row>
    <row r="22" spans="1:23" s="59" customFormat="1" ht="15" customHeight="1">
      <c r="A22" s="92" t="s">
        <v>120</v>
      </c>
      <c r="B22" s="93"/>
      <c r="C22" s="94"/>
      <c r="D22" s="95"/>
      <c r="E22" s="96"/>
      <c r="F22" s="93">
        <v>309135</v>
      </c>
      <c r="G22" s="94"/>
      <c r="H22" s="95">
        <v>184.82855520014351</v>
      </c>
      <c r="I22" s="96">
        <f>H22*U16*T16</f>
        <v>201.25057232967626</v>
      </c>
      <c r="K22" s="111" t="s">
        <v>71</v>
      </c>
      <c r="L22" s="41">
        <v>3874494</v>
      </c>
      <c r="M22" s="41">
        <v>3757861</v>
      </c>
      <c r="N22" s="41">
        <v>8640296.5800000001</v>
      </c>
      <c r="O22" s="41">
        <v>8640296.5800000001</v>
      </c>
      <c r="P22" s="108"/>
    </row>
    <row r="23" spans="1:23" s="59" customFormat="1">
      <c r="A23" s="92" t="s">
        <v>121</v>
      </c>
      <c r="B23" s="93">
        <v>64983.784186046512</v>
      </c>
      <c r="C23" s="94"/>
      <c r="D23" s="95">
        <v>294.69767441860466</v>
      </c>
      <c r="E23" s="96">
        <f>D23*U16*T16</f>
        <v>320.88156279069767</v>
      </c>
      <c r="F23" s="93">
        <v>245086.16022610481</v>
      </c>
      <c r="G23" s="94"/>
      <c r="H23" s="95">
        <v>146.5344295991778</v>
      </c>
      <c r="I23" s="96">
        <f>H23*U16*T16</f>
        <v>159.55401366906474</v>
      </c>
      <c r="K23" s="107" t="s">
        <v>72</v>
      </c>
      <c r="L23" s="41">
        <v>3797572</v>
      </c>
      <c r="M23" s="41">
        <v>3699463</v>
      </c>
      <c r="N23" s="41">
        <v>5631820.5800000001</v>
      </c>
      <c r="O23" s="41">
        <v>5631820.5800000001</v>
      </c>
      <c r="P23" s="108"/>
    </row>
    <row r="24" spans="1:23" s="59" customFormat="1" ht="46.5" customHeight="1">
      <c r="A24" s="92" t="s">
        <v>122</v>
      </c>
      <c r="B24" s="93">
        <v>45363118.741000004</v>
      </c>
      <c r="C24" s="94"/>
      <c r="D24" s="120">
        <v>205719.10000000003</v>
      </c>
      <c r="E24" s="121">
        <f>P30</f>
        <v>156264.96081518804</v>
      </c>
      <c r="F24" s="93">
        <v>0</v>
      </c>
      <c r="G24" s="94"/>
      <c r="H24" s="122"/>
      <c r="I24" s="123"/>
      <c r="K24" s="111" t="s">
        <v>73</v>
      </c>
      <c r="L24" s="41">
        <v>3784345</v>
      </c>
      <c r="M24" s="41">
        <v>3684134</v>
      </c>
      <c r="N24" s="41">
        <v>5672613.5800000001</v>
      </c>
      <c r="O24" s="41">
        <v>5672613.5800000001</v>
      </c>
      <c r="P24" s="108"/>
    </row>
    <row r="25" spans="1:23" s="59" customFormat="1" ht="24">
      <c r="A25" s="124" t="s">
        <v>123</v>
      </c>
      <c r="B25" s="93">
        <v>2198166.8103418658</v>
      </c>
      <c r="C25" s="94"/>
      <c r="D25" s="95">
        <v>9968.5583889250647</v>
      </c>
      <c r="E25" s="96">
        <f>D25*U16*T16</f>
        <v>10854.264801781057</v>
      </c>
      <c r="F25" s="93">
        <v>16672912.333396608</v>
      </c>
      <c r="G25" s="94"/>
      <c r="H25" s="95">
        <v>9968.5583889250593</v>
      </c>
      <c r="I25" s="96">
        <f>H25*U16*T16</f>
        <v>10854.264801781052</v>
      </c>
      <c r="K25" s="107" t="s">
        <v>74</v>
      </c>
      <c r="L25" s="41">
        <v>3709217</v>
      </c>
      <c r="M25" s="41">
        <v>3627431</v>
      </c>
      <c r="N25" s="41">
        <v>5567235.5800000001</v>
      </c>
      <c r="O25" s="41">
        <v>5567235.5800000001</v>
      </c>
      <c r="P25" s="108"/>
    </row>
    <row r="26" spans="1:23" s="59" customFormat="1">
      <c r="A26" s="125" t="s">
        <v>124</v>
      </c>
      <c r="B26" s="126">
        <v>67411200.975512072</v>
      </c>
      <c r="C26" s="127">
        <f>220.51+260.39</f>
        <v>480.9</v>
      </c>
      <c r="D26" s="128">
        <v>305705.86810354213</v>
      </c>
      <c r="E26" s="129">
        <f>E5+E6+E7+E8+E18</f>
        <v>261400.21710526489</v>
      </c>
      <c r="F26" s="126">
        <v>124593372.71916789</v>
      </c>
      <c r="G26" s="130">
        <v>1672.55</v>
      </c>
      <c r="H26" s="131">
        <v>74493.063118691774</v>
      </c>
      <c r="I26" s="129">
        <f>I5+I6+I7+I8+I18</f>
        <v>80417.057007432901</v>
      </c>
      <c r="K26" s="132" t="s">
        <v>75</v>
      </c>
      <c r="L26" s="54">
        <f t="shared" ref="L26:M26" si="0">SUM(L14:L25)</f>
        <v>49706278</v>
      </c>
      <c r="M26" s="54">
        <f t="shared" si="0"/>
        <v>48169787</v>
      </c>
      <c r="N26" s="54">
        <f>SUM(N14:N25)</f>
        <v>66843885.79999999</v>
      </c>
      <c r="O26" s="54">
        <f>SUM(O14:O25)</f>
        <v>66843885.79999999</v>
      </c>
      <c r="P26" s="108"/>
    </row>
    <row r="27" spans="1:23" s="59" customFormat="1" ht="29.25" customHeight="1">
      <c r="K27" s="133" t="s">
        <v>76</v>
      </c>
      <c r="L27" s="134">
        <f t="shared" ref="L27:M27" si="1">L26/1.2</f>
        <v>41421898.333333336</v>
      </c>
      <c r="M27" s="134">
        <f t="shared" si="1"/>
        <v>40141489.166666672</v>
      </c>
      <c r="N27" s="134">
        <f>N26/1.2</f>
        <v>55703238.166666657</v>
      </c>
      <c r="O27" s="134">
        <f>O26/1.2</f>
        <v>55703238.166666657</v>
      </c>
      <c r="P27" s="135">
        <f>SUM(L27:O27)</f>
        <v>192969863.83333331</v>
      </c>
      <c r="Q27" s="136"/>
      <c r="R27" s="136"/>
      <c r="S27" s="136"/>
      <c r="T27" s="136"/>
    </row>
    <row r="28" spans="1:23" s="59" customFormat="1" ht="22.5" customHeight="1">
      <c r="K28" s="296" t="s">
        <v>125</v>
      </c>
      <c r="L28" s="297"/>
      <c r="M28" s="297"/>
      <c r="N28" s="297"/>
      <c r="O28" s="297"/>
      <c r="P28" s="137">
        <f>P27*0.9</f>
        <v>173672877.44999999</v>
      </c>
    </row>
    <row r="29" spans="1:23" ht="15" customHeight="1">
      <c r="K29" s="298" t="s">
        <v>126</v>
      </c>
      <c r="L29" s="299"/>
      <c r="M29" s="299"/>
      <c r="N29" s="299"/>
      <c r="O29" s="299"/>
      <c r="P29" s="138">
        <f>O4+L4+M4</f>
        <v>1111.4000000000001</v>
      </c>
    </row>
    <row r="30" spans="1:23" ht="19.5" customHeight="1">
      <c r="K30" s="290" t="s">
        <v>127</v>
      </c>
      <c r="L30" s="291"/>
      <c r="M30" s="291"/>
      <c r="N30" s="291"/>
      <c r="O30" s="291"/>
      <c r="P30" s="139">
        <f>P28/P29</f>
        <v>156264.96081518804</v>
      </c>
    </row>
    <row r="31" spans="1:23" ht="13.5" customHeight="1"/>
    <row r="43" spans="17:19" ht="15" customHeight="1">
      <c r="Q43" s="140"/>
      <c r="R43" s="140"/>
      <c r="S43" s="141"/>
    </row>
    <row r="44" spans="17:19" ht="15.75" customHeight="1">
      <c r="Q44" s="140"/>
      <c r="R44" s="140"/>
      <c r="S44" s="141"/>
    </row>
    <row r="45" spans="17:19">
      <c r="Q45" s="142"/>
      <c r="R45" s="142"/>
      <c r="S45" s="143"/>
    </row>
    <row r="46" spans="17:19" ht="19.5" customHeight="1"/>
    <row r="47" spans="17:19" ht="16.5" customHeight="1"/>
  </sheetData>
  <mergeCells count="16">
    <mergeCell ref="K30:O30"/>
    <mergeCell ref="N9:O9"/>
    <mergeCell ref="N10:O10"/>
    <mergeCell ref="K12:P12"/>
    <mergeCell ref="K28:O28"/>
    <mergeCell ref="K29:O29"/>
    <mergeCell ref="A1:I1"/>
    <mergeCell ref="K1:P1"/>
    <mergeCell ref="A2:A4"/>
    <mergeCell ref="B2:I2"/>
    <mergeCell ref="K2:K3"/>
    <mergeCell ref="L2:L3"/>
    <mergeCell ref="M2:M3"/>
    <mergeCell ref="N2:O2"/>
    <mergeCell ref="D3:E3"/>
    <mergeCell ref="H3:I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1"/>
  <sheetViews>
    <sheetView tabSelected="1" view="pageBreakPreview" zoomScale="60" zoomScaleNormal="66" workbookViewId="0">
      <selection activeCell="B6" sqref="A6:XFD7"/>
    </sheetView>
  </sheetViews>
  <sheetFormatPr defaultColWidth="55" defaultRowHeight="15.75" outlineLevelRow="1" outlineLevelCol="1"/>
  <cols>
    <col min="1" max="1" width="27" style="1" customWidth="1"/>
    <col min="2" max="2" width="2.5703125" style="1" hidden="1" bestFit="1" customWidth="1" outlineLevel="1"/>
    <col min="3" max="3" width="3.28515625" style="1" hidden="1" bestFit="1" customWidth="1" outlineLevel="1"/>
    <col min="4" max="4" width="16.5703125" style="1" hidden="1" bestFit="1" customWidth="1" outlineLevel="1"/>
    <col min="5" max="5" width="18.28515625" style="1" hidden="1" bestFit="1" customWidth="1" outlineLevel="1"/>
    <col min="6" max="6" width="14.7109375" style="1" hidden="1" bestFit="1" customWidth="1" outlineLevel="1"/>
    <col min="7" max="7" width="17.28515625" style="1" hidden="1" bestFit="1" customWidth="1" outlineLevel="1"/>
    <col min="8" max="8" width="10" style="1" hidden="1" bestFit="1" customWidth="1" outlineLevel="1"/>
    <col min="9" max="9" width="17.140625" style="1" hidden="1" bestFit="1" customWidth="1" outlineLevel="1"/>
    <col min="10" max="10" width="10" style="1" hidden="1" bestFit="1" customWidth="1" outlineLevel="1"/>
    <col min="11" max="11" width="17.140625" style="1" hidden="1" bestFit="1" customWidth="1" outlineLevel="1"/>
    <col min="12" max="12" width="10.28515625" style="1" hidden="1" bestFit="1" customWidth="1" outlineLevel="1"/>
    <col min="13" max="13" width="17.140625" style="1" hidden="1" bestFit="1" customWidth="1" outlineLevel="1"/>
    <col min="14" max="14" width="10.28515625" style="1" hidden="1" bestFit="1" customWidth="1" outlineLevel="1"/>
    <col min="15" max="15" width="17.140625" style="1" hidden="1" bestFit="1" customWidth="1" outlineLevel="1" collapsed="1"/>
    <col min="16" max="16" width="23.5703125" style="1" hidden="1" bestFit="1" customWidth="1" outlineLevel="1"/>
    <col min="17" max="17" width="13.140625" style="1" hidden="1" bestFit="1" customWidth="1" outlineLevel="1"/>
    <col min="18" max="18" width="12.28515625" style="1" hidden="1" bestFit="1" customWidth="1" outlineLevel="1"/>
    <col min="19" max="19" width="12.140625" style="1" hidden="1" bestFit="1" customWidth="1" outlineLevel="1"/>
    <col min="20" max="20" width="11.28515625" style="1" hidden="1" bestFit="1" customWidth="1" outlineLevel="1"/>
    <col min="21" max="21" width="9.42578125" style="1" hidden="1" bestFit="1" customWidth="1" outlineLevel="1"/>
    <col min="22" max="22" width="13.42578125" style="1" hidden="1" bestFit="1" customWidth="1" outlineLevel="1"/>
    <col min="23" max="23" width="12.5703125" style="1" hidden="1" bestFit="1" customWidth="1" outlineLevel="1"/>
    <col min="24" max="24" width="13.28515625" style="1" hidden="1" bestFit="1" customWidth="1" outlineLevel="1"/>
    <col min="25" max="25" width="9.42578125" style="1" hidden="1" bestFit="1" customWidth="1" outlineLevel="1" collapsed="1"/>
    <col min="26" max="26" width="17.85546875" style="1" hidden="1" bestFit="1" customWidth="1" collapsed="1"/>
    <col min="27" max="27" width="17" style="1" hidden="1" bestFit="1" customWidth="1"/>
    <col min="28" max="28" width="14.85546875" style="1" hidden="1" bestFit="1" customWidth="1"/>
    <col min="29" max="29" width="14.7109375" style="1" hidden="1" bestFit="1" customWidth="1"/>
    <col min="30" max="30" width="12.140625" style="1" hidden="1" bestFit="1" customWidth="1"/>
    <col min="31" max="31" width="14.7109375" style="1" hidden="1" bestFit="1" customWidth="1"/>
    <col min="32" max="32" width="11.7109375" style="1" hidden="1" bestFit="1" customWidth="1"/>
    <col min="33" max="33" width="18.7109375" style="1" hidden="1" bestFit="1" customWidth="1"/>
    <col min="34" max="34" width="15" style="1" hidden="1" bestFit="1" customWidth="1"/>
    <col min="35" max="35" width="14.42578125" style="1" hidden="1" bestFit="1" customWidth="1"/>
    <col min="36" max="36" width="12.28515625" style="1" hidden="1" bestFit="1" customWidth="1"/>
    <col min="37" max="37" width="14.5703125" style="1" hidden="1" bestFit="1" customWidth="1"/>
    <col min="38" max="38" width="12.5703125" style="1" hidden="1" bestFit="1" customWidth="1"/>
    <col min="39" max="39" width="17" style="1" hidden="1" bestFit="1" customWidth="1"/>
    <col min="40" max="40" width="15.85546875" style="1" hidden="1" bestFit="1" customWidth="1"/>
    <col min="41" max="42" width="13.140625" style="1" hidden="1" bestFit="1" customWidth="1"/>
    <col min="43" max="43" width="15.85546875" style="1" hidden="1" bestFit="1" customWidth="1"/>
    <col min="44" max="44" width="12.85546875" style="1" hidden="1" bestFit="1" customWidth="1"/>
    <col min="45" max="45" width="16.28515625" style="1" hidden="1" bestFit="1" customWidth="1"/>
    <col min="46" max="46" width="12.85546875" style="1" hidden="1" bestFit="1" customWidth="1"/>
    <col min="47" max="47" width="16.28515625" style="1" hidden="1" customWidth="1"/>
    <col min="48" max="48" width="14.140625" style="1" hidden="1" customWidth="1"/>
    <col min="49" max="49" width="17.140625" style="144" hidden="1" customWidth="1"/>
    <col min="50" max="50" width="10.7109375" style="1" hidden="1" customWidth="1"/>
    <col min="51" max="51" width="17.42578125" style="1" bestFit="1" customWidth="1"/>
    <col min="52" max="52" width="19.5703125" style="1" customWidth="1"/>
    <col min="53" max="53" width="11.28515625" style="1" bestFit="1" customWidth="1"/>
    <col min="54" max="54" width="19" style="1" bestFit="1" customWidth="1"/>
    <col min="55" max="55" width="12" style="1" bestFit="1" customWidth="1"/>
    <col min="56" max="56" width="15.42578125" style="1" bestFit="1" customWidth="1"/>
    <col min="57" max="57" width="13.140625" style="1" bestFit="1" customWidth="1"/>
    <col min="58" max="58" width="14" style="1" bestFit="1" customWidth="1"/>
    <col min="59" max="59" width="19.7109375" style="1" customWidth="1"/>
    <col min="60" max="60" width="16.5703125" style="1" bestFit="1" customWidth="1"/>
    <col min="61" max="61" width="14.85546875" style="1" bestFit="1" customWidth="1"/>
    <col min="62" max="62" width="14.5703125" style="1" bestFit="1" customWidth="1"/>
    <col min="63" max="63" width="10.5703125" style="1" bestFit="1" customWidth="1"/>
    <col min="64" max="64" width="14" style="1" bestFit="1" customWidth="1"/>
    <col min="65" max="65" width="16" style="1" bestFit="1" customWidth="1"/>
    <col min="66" max="66" width="15.42578125" style="1" customWidth="1"/>
    <col min="67" max="67" width="14.7109375" style="1" customWidth="1"/>
    <col min="68" max="68" width="14.42578125" style="1" customWidth="1"/>
    <col min="69" max="69" width="13.85546875" style="1" customWidth="1"/>
    <col min="70" max="70" width="15.5703125" style="1" customWidth="1"/>
    <col min="71" max="16384" width="55" style="1"/>
  </cols>
  <sheetData>
    <row r="1" spans="1:70" ht="18.75">
      <c r="BP1" s="334" t="s">
        <v>151</v>
      </c>
    </row>
    <row r="2" spans="1:70" ht="18.75">
      <c r="BP2" s="334" t="s">
        <v>152</v>
      </c>
    </row>
    <row r="4" spans="1:70" ht="69" customHeight="1">
      <c r="A4" s="313" t="s">
        <v>150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5"/>
      <c r="BO4" s="315"/>
      <c r="BP4" s="315"/>
      <c r="BQ4" s="315"/>
      <c r="BR4" s="315"/>
    </row>
    <row r="5" spans="1:70" ht="22.9" customHeight="1"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S5" s="3"/>
      <c r="BC5" s="4"/>
      <c r="BR5" s="1" t="s">
        <v>149</v>
      </c>
    </row>
    <row r="6" spans="1:70" s="349" customFormat="1" ht="30.75" customHeight="1">
      <c r="A6" s="335" t="s">
        <v>128</v>
      </c>
      <c r="B6" s="336" t="s">
        <v>0</v>
      </c>
      <c r="C6" s="337" t="s">
        <v>1</v>
      </c>
      <c r="D6" s="338" t="s">
        <v>2</v>
      </c>
      <c r="E6" s="339"/>
      <c r="F6" s="338" t="s">
        <v>3</v>
      </c>
      <c r="G6" s="340"/>
      <c r="H6" s="340"/>
      <c r="I6" s="338" t="s">
        <v>4</v>
      </c>
      <c r="J6" s="339"/>
      <c r="K6" s="340" t="s">
        <v>5</v>
      </c>
      <c r="L6" s="339"/>
      <c r="M6" s="338" t="s">
        <v>6</v>
      </c>
      <c r="N6" s="340"/>
      <c r="O6" s="341" t="s">
        <v>7</v>
      </c>
      <c r="P6" s="342"/>
      <c r="Q6" s="343" t="s">
        <v>8</v>
      </c>
      <c r="R6" s="344"/>
      <c r="S6" s="344"/>
      <c r="T6" s="344"/>
      <c r="U6" s="344"/>
      <c r="V6" s="344" t="s">
        <v>9</v>
      </c>
      <c r="W6" s="344"/>
      <c r="X6" s="344"/>
      <c r="Y6" s="345"/>
      <c r="Z6" s="346" t="s">
        <v>10</v>
      </c>
      <c r="AA6" s="347" t="s">
        <v>11</v>
      </c>
      <c r="AB6" s="343" t="s">
        <v>12</v>
      </c>
      <c r="AC6" s="344"/>
      <c r="AD6" s="344"/>
      <c r="AE6" s="344"/>
      <c r="AF6" s="345"/>
      <c r="AG6" s="346" t="s">
        <v>13</v>
      </c>
      <c r="AH6" s="341" t="s">
        <v>14</v>
      </c>
      <c r="AI6" s="344"/>
      <c r="AJ6" s="344"/>
      <c r="AK6" s="344"/>
      <c r="AL6" s="342"/>
      <c r="AM6" s="348" t="s">
        <v>15</v>
      </c>
      <c r="AN6" s="338" t="s">
        <v>16</v>
      </c>
      <c r="AO6" s="340"/>
      <c r="AP6" s="340"/>
      <c r="AQ6" s="340"/>
      <c r="AR6" s="340"/>
      <c r="AS6" s="341" t="s">
        <v>129</v>
      </c>
      <c r="AT6" s="342" t="s">
        <v>130</v>
      </c>
      <c r="AU6" s="343" t="s">
        <v>131</v>
      </c>
      <c r="AV6" s="344"/>
      <c r="AW6" s="344"/>
      <c r="AX6" s="342"/>
      <c r="AY6" s="343" t="s">
        <v>132</v>
      </c>
      <c r="AZ6" s="344"/>
      <c r="BA6" s="344"/>
      <c r="BB6" s="344"/>
      <c r="BC6" s="342"/>
      <c r="BD6" s="343" t="s">
        <v>17</v>
      </c>
      <c r="BE6" s="344"/>
      <c r="BF6" s="344"/>
      <c r="BG6" s="344"/>
      <c r="BH6" s="342"/>
      <c r="BI6" s="343" t="s">
        <v>18</v>
      </c>
      <c r="BJ6" s="344"/>
      <c r="BK6" s="344"/>
      <c r="BL6" s="344"/>
      <c r="BM6" s="342"/>
      <c r="BN6" s="343" t="s">
        <v>19</v>
      </c>
      <c r="BO6" s="344"/>
      <c r="BP6" s="344"/>
      <c r="BQ6" s="344"/>
      <c r="BR6" s="342"/>
    </row>
    <row r="7" spans="1:70" s="349" customFormat="1" ht="74.25" customHeight="1">
      <c r="A7" s="350"/>
      <c r="B7" s="351" t="s">
        <v>20</v>
      </c>
      <c r="C7" s="352" t="s">
        <v>21</v>
      </c>
      <c r="D7" s="352" t="s">
        <v>22</v>
      </c>
      <c r="E7" s="352" t="s">
        <v>23</v>
      </c>
      <c r="F7" s="352" t="s">
        <v>22</v>
      </c>
      <c r="G7" s="353" t="s">
        <v>24</v>
      </c>
      <c r="H7" s="354" t="s">
        <v>25</v>
      </c>
      <c r="I7" s="353" t="s">
        <v>26</v>
      </c>
      <c r="J7" s="355" t="s">
        <v>27</v>
      </c>
      <c r="K7" s="356" t="s">
        <v>28</v>
      </c>
      <c r="L7" s="355" t="s">
        <v>27</v>
      </c>
      <c r="M7" s="353" t="s">
        <v>29</v>
      </c>
      <c r="N7" s="354" t="s">
        <v>30</v>
      </c>
      <c r="O7" s="357" t="s">
        <v>31</v>
      </c>
      <c r="P7" s="358" t="s">
        <v>32</v>
      </c>
      <c r="Q7" s="359" t="s">
        <v>33</v>
      </c>
      <c r="R7" s="360" t="s">
        <v>34</v>
      </c>
      <c r="S7" s="360" t="s">
        <v>35</v>
      </c>
      <c r="T7" s="360" t="s">
        <v>36</v>
      </c>
      <c r="U7" s="360" t="s">
        <v>37</v>
      </c>
      <c r="V7" s="360" t="s">
        <v>33</v>
      </c>
      <c r="W7" s="360" t="s">
        <v>34</v>
      </c>
      <c r="X7" s="360" t="s">
        <v>36</v>
      </c>
      <c r="Y7" s="361"/>
      <c r="Z7" s="362" t="s">
        <v>38</v>
      </c>
      <c r="AA7" s="363"/>
      <c r="AB7" s="359" t="s">
        <v>33</v>
      </c>
      <c r="AC7" s="360" t="s">
        <v>34</v>
      </c>
      <c r="AD7" s="360" t="s">
        <v>39</v>
      </c>
      <c r="AE7" s="360" t="s">
        <v>36</v>
      </c>
      <c r="AF7" s="361" t="s">
        <v>40</v>
      </c>
      <c r="AG7" s="362" t="s">
        <v>41</v>
      </c>
      <c r="AH7" s="357" t="s">
        <v>33</v>
      </c>
      <c r="AI7" s="360" t="s">
        <v>34</v>
      </c>
      <c r="AJ7" s="360" t="s">
        <v>35</v>
      </c>
      <c r="AK7" s="360" t="s">
        <v>36</v>
      </c>
      <c r="AL7" s="358" t="s">
        <v>42</v>
      </c>
      <c r="AM7" s="364" t="s">
        <v>133</v>
      </c>
      <c r="AN7" s="365" t="s">
        <v>33</v>
      </c>
      <c r="AO7" s="366" t="s">
        <v>34</v>
      </c>
      <c r="AP7" s="366" t="s">
        <v>35</v>
      </c>
      <c r="AQ7" s="366" t="s">
        <v>36</v>
      </c>
      <c r="AR7" s="367" t="s">
        <v>43</v>
      </c>
      <c r="AS7" s="368"/>
      <c r="AT7" s="369"/>
      <c r="AU7" s="370" t="s">
        <v>33</v>
      </c>
      <c r="AV7" s="371" t="s">
        <v>34</v>
      </c>
      <c r="AW7" s="371" t="s">
        <v>36</v>
      </c>
      <c r="AX7" s="372" t="s">
        <v>134</v>
      </c>
      <c r="AY7" s="359" t="s">
        <v>33</v>
      </c>
      <c r="AZ7" s="360" t="s">
        <v>34</v>
      </c>
      <c r="BA7" s="360" t="s">
        <v>35</v>
      </c>
      <c r="BB7" s="360" t="s">
        <v>36</v>
      </c>
      <c r="BC7" s="358" t="s">
        <v>44</v>
      </c>
      <c r="BD7" s="359" t="s">
        <v>33</v>
      </c>
      <c r="BE7" s="360" t="s">
        <v>34</v>
      </c>
      <c r="BF7" s="360" t="s">
        <v>35</v>
      </c>
      <c r="BG7" s="360" t="s">
        <v>36</v>
      </c>
      <c r="BH7" s="358" t="s">
        <v>44</v>
      </c>
      <c r="BI7" s="359" t="s">
        <v>33</v>
      </c>
      <c r="BJ7" s="360" t="s">
        <v>34</v>
      </c>
      <c r="BK7" s="360" t="s">
        <v>35</v>
      </c>
      <c r="BL7" s="360" t="s">
        <v>36</v>
      </c>
      <c r="BM7" s="358" t="s">
        <v>44</v>
      </c>
      <c r="BN7" s="359" t="s">
        <v>33</v>
      </c>
      <c r="BO7" s="360" t="s">
        <v>34</v>
      </c>
      <c r="BP7" s="360" t="s">
        <v>35</v>
      </c>
      <c r="BQ7" s="360" t="s">
        <v>36</v>
      </c>
      <c r="BR7" s="358" t="s">
        <v>44</v>
      </c>
    </row>
    <row r="8" spans="1:70" ht="45.75" hidden="1" customHeight="1">
      <c r="A8" s="145" t="s">
        <v>135</v>
      </c>
      <c r="B8" s="146"/>
      <c r="C8" s="147"/>
      <c r="D8" s="147"/>
      <c r="E8" s="147"/>
      <c r="F8" s="147"/>
      <c r="G8" s="147"/>
      <c r="H8" s="147"/>
      <c r="I8" s="300"/>
      <c r="J8" s="300"/>
      <c r="K8" s="147"/>
      <c r="L8" s="148"/>
      <c r="M8" s="148"/>
      <c r="N8" s="148"/>
      <c r="O8" s="148"/>
      <c r="P8" s="149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50"/>
      <c r="AC8" s="150"/>
      <c r="AD8" s="150"/>
      <c r="AE8" s="150"/>
      <c r="AF8" s="151"/>
      <c r="AG8" s="152"/>
      <c r="AH8" s="153"/>
      <c r="AI8" s="150"/>
      <c r="AJ8" s="154"/>
      <c r="AK8" s="150"/>
      <c r="AL8" s="155"/>
      <c r="AM8" s="156"/>
      <c r="AN8" s="157"/>
      <c r="AO8" s="158"/>
      <c r="AP8" s="159"/>
      <c r="AQ8" s="158"/>
      <c r="AR8" s="160"/>
      <c r="AS8" s="161"/>
      <c r="AT8" s="162"/>
      <c r="AU8" s="153"/>
      <c r="AV8" s="150"/>
      <c r="AW8" s="163"/>
      <c r="AX8" s="164"/>
      <c r="AY8" s="165"/>
      <c r="AZ8" s="150"/>
      <c r="BA8" s="166"/>
      <c r="BB8" s="150"/>
      <c r="BC8" s="164"/>
      <c r="BD8" s="153"/>
      <c r="BE8" s="150"/>
      <c r="BF8" s="166"/>
      <c r="BG8" s="150"/>
      <c r="BH8" s="164"/>
      <c r="BI8" s="153"/>
      <c r="BJ8" s="150"/>
      <c r="BK8" s="166"/>
      <c r="BL8" s="150"/>
      <c r="BM8" s="164"/>
      <c r="BN8" s="153"/>
      <c r="BO8" s="150"/>
      <c r="BP8" s="166"/>
      <c r="BQ8" s="150"/>
      <c r="BR8" s="164"/>
    </row>
    <row r="9" spans="1:70" ht="25.5" hidden="1" customHeight="1">
      <c r="A9" s="167" t="s">
        <v>136</v>
      </c>
      <c r="B9" s="168">
        <v>15037.3</v>
      </c>
      <c r="C9" s="169">
        <v>19769.599999999999</v>
      </c>
      <c r="D9" s="169">
        <v>44729</v>
      </c>
      <c r="E9" s="169">
        <v>24788.3</v>
      </c>
      <c r="F9" s="169"/>
      <c r="G9" s="170">
        <v>24788.3</v>
      </c>
      <c r="H9" s="171">
        <f t="shared" ref="H9:H11" si="0">G9/E9*100</f>
        <v>100</v>
      </c>
      <c r="I9" s="172">
        <v>38190.800000000003</v>
      </c>
      <c r="J9" s="171">
        <f t="shared" ref="J9:J10" si="1">I9/G9*100</f>
        <v>154.06784652436835</v>
      </c>
      <c r="K9" s="173">
        <v>41729</v>
      </c>
      <c r="L9" s="174">
        <f t="shared" ref="L9:L10" si="2">K9/I9*100</f>
        <v>109.26453491416781</v>
      </c>
      <c r="M9" s="175">
        <v>47067.6</v>
      </c>
      <c r="N9" s="174">
        <f>M9/K9*100</f>
        <v>112.79350092261976</v>
      </c>
      <c r="O9" s="176">
        <f>57596.8+604.4</f>
        <v>58201.200000000004</v>
      </c>
      <c r="P9" s="177">
        <f>O9/M9</f>
        <v>1.2365448843790634</v>
      </c>
      <c r="Q9" s="178">
        <v>123212.2</v>
      </c>
      <c r="R9" s="178">
        <v>49149.7</v>
      </c>
      <c r="S9" s="179">
        <v>105.5</v>
      </c>
      <c r="T9" s="178">
        <f t="shared" ref="T9:T12" si="3">Q9-R9</f>
        <v>74062.5</v>
      </c>
      <c r="U9" s="179">
        <f>T9/O9*100</f>
        <v>127.25253087565204</v>
      </c>
      <c r="V9" s="301">
        <v>132560.47099999999</v>
      </c>
      <c r="W9" s="301">
        <v>60013.67</v>
      </c>
      <c r="X9" s="301">
        <v>72222.84</v>
      </c>
      <c r="Y9" s="180"/>
      <c r="Z9" s="301">
        <f>80899.9-21230.9</f>
        <v>59668.999999999993</v>
      </c>
      <c r="AA9" s="301">
        <v>73725</v>
      </c>
      <c r="AB9" s="181">
        <f>Q9*1.045*1.036+56108.06</f>
        <v>189500.05196399998</v>
      </c>
      <c r="AC9" s="181">
        <f t="shared" ref="AC9:AC12" si="4">R9*1.07*1.04</f>
        <v>54693.786159999996</v>
      </c>
      <c r="AD9" s="182">
        <f t="shared" ref="AD9:AD18" si="5">AC9/R9*100</f>
        <v>111.28</v>
      </c>
      <c r="AE9" s="181">
        <f t="shared" ref="AE9:AE12" si="6">AB9-AC9</f>
        <v>134806.265804</v>
      </c>
      <c r="AF9" s="305">
        <f>(AE9+AE11+AE12)/Z9</f>
        <v>2.4991025499002832</v>
      </c>
      <c r="AG9" s="307">
        <v>149118.99</v>
      </c>
      <c r="AH9" s="309">
        <f>AB9*1.04-56108.06+63616.61+AB11*1.04+AB12*1.04</f>
        <v>248787.11984399997</v>
      </c>
      <c r="AI9" s="311">
        <f>77381.24</f>
        <v>77381.240000000005</v>
      </c>
      <c r="AJ9" s="323">
        <f>AI9/AC9</f>
        <v>1.4148086178131942</v>
      </c>
      <c r="AK9" s="311">
        <f>AH9-AI9</f>
        <v>171405.87984399998</v>
      </c>
      <c r="AL9" s="330">
        <f>AK9/(AG9)</f>
        <v>1.1494570868807521</v>
      </c>
      <c r="AM9" s="332">
        <v>213589.6</v>
      </c>
      <c r="AN9" s="303">
        <f>('авиа расчет'!N5+'авиа расчет'!O5)/1000</f>
        <v>293818.64752571547</v>
      </c>
      <c r="AO9" s="321">
        <f>45839.12+10657.14+11826.05</f>
        <v>68322.31</v>
      </c>
      <c r="AP9" s="323">
        <f>AO9/AI9</f>
        <v>0.88293118590500741</v>
      </c>
      <c r="AQ9" s="321">
        <f>AN9-AO9</f>
        <v>225496.33752571547</v>
      </c>
      <c r="AR9" s="325">
        <f>(AQ9+AQ14+AQ17)/AM9</f>
        <v>1.5452103079989588</v>
      </c>
      <c r="AS9" s="184"/>
      <c r="AT9" s="185"/>
      <c r="AU9" s="186"/>
      <c r="AV9" s="187"/>
      <c r="AW9" s="183"/>
      <c r="AX9" s="188"/>
      <c r="AY9" s="189"/>
      <c r="AZ9" s="190"/>
      <c r="BA9" s="191"/>
      <c r="BB9" s="190"/>
      <c r="BC9" s="192"/>
      <c r="BD9" s="193"/>
      <c r="BE9" s="190"/>
      <c r="BF9" s="191"/>
      <c r="BG9" s="190"/>
      <c r="BH9" s="192"/>
      <c r="BI9" s="193"/>
      <c r="BJ9" s="190"/>
      <c r="BK9" s="191"/>
      <c r="BL9" s="190"/>
      <c r="BM9" s="192"/>
      <c r="BN9" s="193"/>
      <c r="BO9" s="190"/>
      <c r="BP9" s="191"/>
      <c r="BQ9" s="190"/>
      <c r="BR9" s="192"/>
    </row>
    <row r="10" spans="1:70" ht="25.5" hidden="1" customHeight="1" outlineLevel="1">
      <c r="A10" s="25" t="s">
        <v>137</v>
      </c>
      <c r="B10" s="6">
        <v>18284.400000000001</v>
      </c>
      <c r="C10" s="7">
        <v>15302</v>
      </c>
      <c r="D10" s="7">
        <v>23922.37</v>
      </c>
      <c r="E10" s="7">
        <v>17466.900000000001</v>
      </c>
      <c r="F10" s="7"/>
      <c r="G10" s="10">
        <v>17466.900000000001</v>
      </c>
      <c r="H10" s="8">
        <f t="shared" si="0"/>
        <v>100</v>
      </c>
      <c r="I10" s="9">
        <v>27103.9</v>
      </c>
      <c r="J10" s="8">
        <f t="shared" si="1"/>
        <v>155.1729270792184</v>
      </c>
      <c r="K10" s="10">
        <v>21887.7</v>
      </c>
      <c r="L10" s="11">
        <f t="shared" si="2"/>
        <v>80.754799124849185</v>
      </c>
      <c r="M10" s="11" t="s">
        <v>45</v>
      </c>
      <c r="N10" s="11" t="s">
        <v>45</v>
      </c>
      <c r="O10" s="194"/>
      <c r="P10" s="13" t="e">
        <f>O10/M10*100</f>
        <v>#VALUE!</v>
      </c>
      <c r="Q10" s="195"/>
      <c r="R10" s="195"/>
      <c r="S10" s="196">
        <v>107</v>
      </c>
      <c r="T10" s="195">
        <f t="shared" si="3"/>
        <v>0</v>
      </c>
      <c r="U10" s="196" t="e">
        <f>T10/M10*100</f>
        <v>#VALUE!</v>
      </c>
      <c r="V10" s="302"/>
      <c r="W10" s="302"/>
      <c r="X10" s="302"/>
      <c r="Y10" s="197"/>
      <c r="Z10" s="302"/>
      <c r="AA10" s="302"/>
      <c r="AB10" s="15">
        <f t="shared" ref="AB10:AB12" si="7">Q10*1.045*1.036</f>
        <v>0</v>
      </c>
      <c r="AC10" s="15">
        <f t="shared" si="4"/>
        <v>0</v>
      </c>
      <c r="AD10" s="14" t="e">
        <f t="shared" si="5"/>
        <v>#DIV/0!</v>
      </c>
      <c r="AE10" s="15">
        <f t="shared" si="6"/>
        <v>0</v>
      </c>
      <c r="AF10" s="306"/>
      <c r="AG10" s="308"/>
      <c r="AH10" s="310"/>
      <c r="AI10" s="312"/>
      <c r="AJ10" s="324"/>
      <c r="AK10" s="312"/>
      <c r="AL10" s="331"/>
      <c r="AM10" s="333"/>
      <c r="AN10" s="304"/>
      <c r="AO10" s="322"/>
      <c r="AP10" s="324"/>
      <c r="AQ10" s="322"/>
      <c r="AR10" s="326"/>
      <c r="AS10" s="198"/>
      <c r="AT10" s="199"/>
      <c r="AU10" s="200"/>
      <c r="AV10" s="201"/>
      <c r="AW10" s="19"/>
      <c r="AX10" s="202"/>
      <c r="AY10" s="203"/>
      <c r="AZ10" s="204"/>
      <c r="BA10" s="205"/>
      <c r="BB10" s="204"/>
      <c r="BC10" s="206"/>
      <c r="BD10" s="207"/>
      <c r="BE10" s="204"/>
      <c r="BF10" s="205"/>
      <c r="BG10" s="204"/>
      <c r="BH10" s="206"/>
      <c r="BI10" s="207"/>
      <c r="BJ10" s="204"/>
      <c r="BK10" s="205"/>
      <c r="BL10" s="204"/>
      <c r="BM10" s="206"/>
      <c r="BN10" s="207"/>
      <c r="BO10" s="204"/>
      <c r="BP10" s="205"/>
      <c r="BQ10" s="204"/>
      <c r="BR10" s="206"/>
    </row>
    <row r="11" spans="1:70" ht="47.25" customHeight="1" collapsed="1">
      <c r="A11" s="5" t="s">
        <v>138</v>
      </c>
      <c r="B11" s="6">
        <v>0</v>
      </c>
      <c r="C11" s="7">
        <v>0</v>
      </c>
      <c r="D11" s="7">
        <v>15000</v>
      </c>
      <c r="E11" s="7">
        <v>14035.4</v>
      </c>
      <c r="F11" s="7"/>
      <c r="G11" s="10">
        <v>14035.4</v>
      </c>
      <c r="H11" s="8">
        <f t="shared" si="0"/>
        <v>100</v>
      </c>
      <c r="I11" s="9" t="s">
        <v>45</v>
      </c>
      <c r="J11" s="8"/>
      <c r="K11" s="10">
        <v>5000</v>
      </c>
      <c r="L11" s="11" t="s">
        <v>45</v>
      </c>
      <c r="M11" s="12">
        <v>3399.8</v>
      </c>
      <c r="N11" s="11">
        <f>M11/K11*100</f>
        <v>67.995999999999995</v>
      </c>
      <c r="O11" s="194">
        <v>1467.8</v>
      </c>
      <c r="P11" s="13">
        <f>O11/M11</f>
        <v>0.4317312783104888</v>
      </c>
      <c r="Q11" s="195">
        <v>21025.9</v>
      </c>
      <c r="R11" s="195">
        <v>12664.4</v>
      </c>
      <c r="S11" s="196">
        <f t="shared" ref="S11:S12" si="8">4700/4430*100</f>
        <v>106.09480812641084</v>
      </c>
      <c r="T11" s="195">
        <f t="shared" si="3"/>
        <v>8361.5000000000018</v>
      </c>
      <c r="U11" s="196">
        <f>T11/O11*100</f>
        <v>569.66207930235737</v>
      </c>
      <c r="V11" s="302"/>
      <c r="W11" s="302"/>
      <c r="X11" s="302"/>
      <c r="Y11" s="197"/>
      <c r="Z11" s="302"/>
      <c r="AA11" s="302"/>
      <c r="AB11" s="15">
        <f t="shared" si="7"/>
        <v>22763.059858000001</v>
      </c>
      <c r="AC11" s="15">
        <f t="shared" si="4"/>
        <v>14092.944320000002</v>
      </c>
      <c r="AD11" s="14">
        <f t="shared" si="5"/>
        <v>111.28000000000003</v>
      </c>
      <c r="AE11" s="15">
        <f t="shared" si="6"/>
        <v>8670.1155379999982</v>
      </c>
      <c r="AF11" s="306"/>
      <c r="AG11" s="308"/>
      <c r="AH11" s="310"/>
      <c r="AI11" s="312"/>
      <c r="AJ11" s="324"/>
      <c r="AK11" s="312"/>
      <c r="AL11" s="331"/>
      <c r="AM11" s="333"/>
      <c r="AN11" s="304"/>
      <c r="AO11" s="322"/>
      <c r="AP11" s="324"/>
      <c r="AQ11" s="322"/>
      <c r="AR11" s="326"/>
      <c r="AS11" s="327">
        <v>225496.33752571547</v>
      </c>
      <c r="AT11" s="317">
        <v>251702.89</v>
      </c>
      <c r="AU11" s="208">
        <f>48089102*2+233595.5</f>
        <v>96411799.5</v>
      </c>
      <c r="AV11" s="209">
        <f>10830409*2</f>
        <v>21660818</v>
      </c>
      <c r="AW11" s="209">
        <f t="shared" ref="AW11:AW17" si="9">AU11-AV11</f>
        <v>74750981.5</v>
      </c>
      <c r="AX11" s="319">
        <f>(AW11+AW12+AW13)/AS11/1000</f>
        <v>0.90058905491908903</v>
      </c>
      <c r="AY11" s="227">
        <v>115348995.40000001</v>
      </c>
      <c r="AZ11" s="227">
        <v>26173446.5</v>
      </c>
      <c r="BA11" s="226">
        <f t="shared" ref="BA11:BA17" si="10">AZ11/AV11</f>
        <v>1.2083313981955806</v>
      </c>
      <c r="BB11" s="209">
        <f t="shared" ref="BB11:BB17" si="11">AY11-AZ11</f>
        <v>89175548.900000006</v>
      </c>
      <c r="BC11" s="225">
        <f t="shared" ref="BC11:BC17" si="12">BB11/AW11</f>
        <v>1.1929682675805402</v>
      </c>
      <c r="BD11" s="208">
        <v>121823479</v>
      </c>
      <c r="BE11" s="209">
        <v>26905310</v>
      </c>
      <c r="BF11" s="26">
        <f t="shared" ref="BF11:BF18" si="13">BE11/AZ11</f>
        <v>1.0279620607091235</v>
      </c>
      <c r="BG11" s="209">
        <f t="shared" ref="BG11:BG17" si="14">BD11-BE11</f>
        <v>94918169</v>
      </c>
      <c r="BH11" s="224">
        <f t="shared" ref="BH11:BH17" si="15">BG11/BB11</f>
        <v>1.0643968012626384</v>
      </c>
      <c r="BI11" s="208">
        <f t="shared" ref="BI11:BI17" si="16">BD11*1.04</f>
        <v>126696418.16000001</v>
      </c>
      <c r="BJ11" s="209">
        <f t="shared" ref="BJ11:BJ17" si="17">BE11*1.04</f>
        <v>27981522.400000002</v>
      </c>
      <c r="BK11" s="26">
        <f t="shared" ref="BK11:BK18" si="18">BJ11/BE11</f>
        <v>1.04</v>
      </c>
      <c r="BL11" s="209">
        <f t="shared" ref="BL11:BL17" si="19">BI11-BJ11</f>
        <v>98714895.760000005</v>
      </c>
      <c r="BM11" s="224">
        <f t="shared" ref="BM11:BM17" si="20">BL11/BG11</f>
        <v>1.04</v>
      </c>
      <c r="BN11" s="208">
        <f t="shared" ref="BN11:BN17" si="21">BI11*1.04</f>
        <v>131764274.88640001</v>
      </c>
      <c r="BO11" s="209">
        <f t="shared" ref="BO11:BO14" si="22">BJ11*1.04</f>
        <v>29100783.296000004</v>
      </c>
      <c r="BP11" s="26">
        <f t="shared" ref="BP11:BP18" si="23">BO11/BJ11</f>
        <v>1.04</v>
      </c>
      <c r="BQ11" s="209">
        <f t="shared" ref="BQ11:BQ17" si="24">BN11-BO11</f>
        <v>102663491.59040001</v>
      </c>
      <c r="BR11" s="224">
        <f t="shared" ref="BR11:BR17" si="25">BQ11/BL11</f>
        <v>1.04</v>
      </c>
    </row>
    <row r="12" spans="1:70" ht="57.75" customHeight="1">
      <c r="A12" s="5" t="s">
        <v>139</v>
      </c>
      <c r="B12" s="6"/>
      <c r="C12" s="7"/>
      <c r="D12" s="7"/>
      <c r="E12" s="7"/>
      <c r="F12" s="7"/>
      <c r="G12" s="10"/>
      <c r="H12" s="8"/>
      <c r="I12" s="9"/>
      <c r="J12" s="8"/>
      <c r="K12" s="10"/>
      <c r="L12" s="11"/>
      <c r="M12" s="12"/>
      <c r="N12" s="11"/>
      <c r="O12" s="194" t="s">
        <v>45</v>
      </c>
      <c r="P12" s="13" t="s">
        <v>45</v>
      </c>
      <c r="Q12" s="195">
        <v>18229.400000000001</v>
      </c>
      <c r="R12" s="195">
        <v>12664.4</v>
      </c>
      <c r="S12" s="196">
        <f t="shared" si="8"/>
        <v>106.09480812641084</v>
      </c>
      <c r="T12" s="195">
        <f t="shared" si="3"/>
        <v>5565.0000000000018</v>
      </c>
      <c r="U12" s="196" t="s">
        <v>45</v>
      </c>
      <c r="V12" s="302"/>
      <c r="W12" s="302"/>
      <c r="X12" s="302"/>
      <c r="Y12" s="197"/>
      <c r="Z12" s="302"/>
      <c r="AA12" s="302"/>
      <c r="AB12" s="15">
        <f t="shared" si="7"/>
        <v>19735.513028000001</v>
      </c>
      <c r="AC12" s="15">
        <f t="shared" si="4"/>
        <v>14092.944320000002</v>
      </c>
      <c r="AD12" s="14">
        <f t="shared" si="5"/>
        <v>111.28000000000003</v>
      </c>
      <c r="AE12" s="15">
        <f t="shared" si="6"/>
        <v>5642.5687079999989</v>
      </c>
      <c r="AF12" s="306"/>
      <c r="AG12" s="308"/>
      <c r="AH12" s="310"/>
      <c r="AI12" s="312"/>
      <c r="AJ12" s="324"/>
      <c r="AK12" s="312"/>
      <c r="AL12" s="331"/>
      <c r="AM12" s="333"/>
      <c r="AN12" s="304"/>
      <c r="AO12" s="322"/>
      <c r="AP12" s="324"/>
      <c r="AQ12" s="322"/>
      <c r="AR12" s="326"/>
      <c r="AS12" s="328"/>
      <c r="AT12" s="317"/>
      <c r="AU12" s="208">
        <f>65605561*2</f>
        <v>131211122</v>
      </c>
      <c r="AV12" s="209">
        <f>16093356*2</f>
        <v>32186712</v>
      </c>
      <c r="AW12" s="209">
        <f t="shared" si="9"/>
        <v>99024410</v>
      </c>
      <c r="AX12" s="319"/>
      <c r="AY12" s="227">
        <v>131591614.40000001</v>
      </c>
      <c r="AZ12" s="209">
        <v>31992352.5</v>
      </c>
      <c r="BA12" s="226">
        <f t="shared" si="10"/>
        <v>0.99396149877005147</v>
      </c>
      <c r="BB12" s="209">
        <f t="shared" si="11"/>
        <v>99599261.900000006</v>
      </c>
      <c r="BC12" s="225">
        <f t="shared" si="12"/>
        <v>1.0058051534970014</v>
      </c>
      <c r="BD12" s="208">
        <v>136980035</v>
      </c>
      <c r="BE12" s="209">
        <v>33523930</v>
      </c>
      <c r="BF12" s="26">
        <f t="shared" si="13"/>
        <v>1.0478732378308222</v>
      </c>
      <c r="BG12" s="209">
        <f t="shared" si="14"/>
        <v>103456105</v>
      </c>
      <c r="BH12" s="224">
        <f t="shared" si="15"/>
        <v>1.0387236112640308</v>
      </c>
      <c r="BI12" s="208">
        <f t="shared" si="16"/>
        <v>142459236.40000001</v>
      </c>
      <c r="BJ12" s="209">
        <f t="shared" si="17"/>
        <v>34864887.200000003</v>
      </c>
      <c r="BK12" s="26">
        <f t="shared" si="18"/>
        <v>1.04</v>
      </c>
      <c r="BL12" s="209">
        <f t="shared" si="19"/>
        <v>107594349.2</v>
      </c>
      <c r="BM12" s="224">
        <f t="shared" si="20"/>
        <v>1.04</v>
      </c>
      <c r="BN12" s="208">
        <f t="shared" si="21"/>
        <v>148157605.85600001</v>
      </c>
      <c r="BO12" s="209">
        <f t="shared" si="22"/>
        <v>36259482.688000001</v>
      </c>
      <c r="BP12" s="26">
        <f t="shared" si="23"/>
        <v>1.04</v>
      </c>
      <c r="BQ12" s="209">
        <f t="shared" si="24"/>
        <v>111898123.16800001</v>
      </c>
      <c r="BR12" s="224">
        <f t="shared" si="25"/>
        <v>1.04</v>
      </c>
    </row>
    <row r="13" spans="1:70" ht="48.75" customHeight="1">
      <c r="A13" s="5" t="s">
        <v>140</v>
      </c>
      <c r="B13" s="6"/>
      <c r="C13" s="7"/>
      <c r="D13" s="7"/>
      <c r="E13" s="7"/>
      <c r="F13" s="7"/>
      <c r="G13" s="10"/>
      <c r="H13" s="8"/>
      <c r="I13" s="9"/>
      <c r="J13" s="8"/>
      <c r="K13" s="10"/>
      <c r="L13" s="11"/>
      <c r="M13" s="12"/>
      <c r="N13" s="11"/>
      <c r="O13" s="194"/>
      <c r="P13" s="13"/>
      <c r="Q13" s="195"/>
      <c r="R13" s="195"/>
      <c r="S13" s="196"/>
      <c r="T13" s="195"/>
      <c r="U13" s="196"/>
      <c r="V13" s="197"/>
      <c r="W13" s="197"/>
      <c r="X13" s="197"/>
      <c r="Y13" s="197"/>
      <c r="Z13" s="197"/>
      <c r="AA13" s="197"/>
      <c r="AB13" s="15"/>
      <c r="AC13" s="15"/>
      <c r="AD13" s="14"/>
      <c r="AE13" s="15"/>
      <c r="AF13" s="16"/>
      <c r="AG13" s="17"/>
      <c r="AH13" s="18"/>
      <c r="AI13" s="19"/>
      <c r="AJ13" s="20"/>
      <c r="AK13" s="19"/>
      <c r="AL13" s="21"/>
      <c r="AM13" s="333"/>
      <c r="AN13" s="22"/>
      <c r="AO13" s="23"/>
      <c r="AP13" s="20"/>
      <c r="AQ13" s="23"/>
      <c r="AR13" s="326"/>
      <c r="AS13" s="329"/>
      <c r="AT13" s="317"/>
      <c r="AU13" s="208">
        <f>(14577460+5432695)*2</f>
        <v>40020310</v>
      </c>
      <c r="AV13" s="209">
        <f>(3847607+1510477)*2</f>
        <v>10716168</v>
      </c>
      <c r="AW13" s="209">
        <f>AU13-AV13</f>
        <v>29304142</v>
      </c>
      <c r="AX13" s="319"/>
      <c r="AY13" s="227">
        <v>52515338.399999999</v>
      </c>
      <c r="AZ13" s="209">
        <v>13769282.5</v>
      </c>
      <c r="BA13" s="226">
        <f t="shared" si="10"/>
        <v>1.2849073008187255</v>
      </c>
      <c r="BB13" s="209">
        <f t="shared" si="11"/>
        <v>38746055.899999999</v>
      </c>
      <c r="BC13" s="225">
        <f t="shared" si="12"/>
        <v>1.3222040727211872</v>
      </c>
      <c r="BD13" s="208">
        <v>53795002</v>
      </c>
      <c r="BE13" s="209">
        <v>14646524</v>
      </c>
      <c r="BF13" s="26">
        <f t="shared" si="13"/>
        <v>1.0637100371787709</v>
      </c>
      <c r="BG13" s="209">
        <f t="shared" si="14"/>
        <v>39148478</v>
      </c>
      <c r="BH13" s="224">
        <f t="shared" si="15"/>
        <v>1.0103861435868109</v>
      </c>
      <c r="BI13" s="208">
        <f t="shared" si="16"/>
        <v>55946802.079999998</v>
      </c>
      <c r="BJ13" s="209">
        <f t="shared" si="17"/>
        <v>15232384.960000001</v>
      </c>
      <c r="BK13" s="26">
        <f t="shared" si="18"/>
        <v>1.04</v>
      </c>
      <c r="BL13" s="209">
        <f t="shared" si="19"/>
        <v>40714417.119999997</v>
      </c>
      <c r="BM13" s="224">
        <f t="shared" si="20"/>
        <v>1.04</v>
      </c>
      <c r="BN13" s="208">
        <f t="shared" si="21"/>
        <v>58184674.163199998</v>
      </c>
      <c r="BO13" s="209">
        <f t="shared" si="22"/>
        <v>15841680.358400002</v>
      </c>
      <c r="BP13" s="26">
        <f t="shared" si="23"/>
        <v>1.04</v>
      </c>
      <c r="BQ13" s="209">
        <f t="shared" si="24"/>
        <v>42342993.804799996</v>
      </c>
      <c r="BR13" s="224">
        <f t="shared" si="25"/>
        <v>1.04</v>
      </c>
    </row>
    <row r="14" spans="1:70" ht="51" customHeight="1">
      <c r="A14" s="5" t="s">
        <v>141</v>
      </c>
      <c r="B14" s="6"/>
      <c r="C14" s="7"/>
      <c r="D14" s="7"/>
      <c r="E14" s="7"/>
      <c r="F14" s="7"/>
      <c r="G14" s="10"/>
      <c r="H14" s="8"/>
      <c r="I14" s="9"/>
      <c r="J14" s="8"/>
      <c r="K14" s="10"/>
      <c r="L14" s="11"/>
      <c r="M14" s="12"/>
      <c r="N14" s="11"/>
      <c r="O14" s="194"/>
      <c r="P14" s="13"/>
      <c r="Q14" s="195"/>
      <c r="R14" s="195"/>
      <c r="S14" s="196"/>
      <c r="T14" s="195"/>
      <c r="U14" s="196"/>
      <c r="V14" s="197"/>
      <c r="W14" s="197"/>
      <c r="X14" s="197"/>
      <c r="Y14" s="197"/>
      <c r="Z14" s="197"/>
      <c r="AA14" s="197"/>
      <c r="AB14" s="15"/>
      <c r="AC14" s="15"/>
      <c r="AD14" s="14"/>
      <c r="AE14" s="15"/>
      <c r="AF14" s="16"/>
      <c r="AG14" s="17"/>
      <c r="AH14" s="18"/>
      <c r="AI14" s="19"/>
      <c r="AJ14" s="20"/>
      <c r="AK14" s="19"/>
      <c r="AL14" s="21"/>
      <c r="AM14" s="333"/>
      <c r="AN14" s="22">
        <f>'авиа расчет'!L5/1000</f>
        <v>70682.618705263623</v>
      </c>
      <c r="AO14" s="23">
        <f>'авиа расчет'!L9/1000</f>
        <v>36803.12999999999</v>
      </c>
      <c r="AP14" s="20"/>
      <c r="AQ14" s="23">
        <f>AN14-AO14</f>
        <v>33879.488705263633</v>
      </c>
      <c r="AR14" s="326"/>
      <c r="AS14" s="211">
        <v>33879.488705263633</v>
      </c>
      <c r="AT14" s="317"/>
      <c r="AU14" s="208">
        <f>27719318*2</f>
        <v>55438636</v>
      </c>
      <c r="AV14" s="209">
        <f>11556090*2</f>
        <v>23112180</v>
      </c>
      <c r="AW14" s="209">
        <f t="shared" si="9"/>
        <v>32326456</v>
      </c>
      <c r="AX14" s="210">
        <f>AW14/AS14/1000</f>
        <v>0.95416009023116244</v>
      </c>
      <c r="AY14" s="227">
        <v>89611662.400000006</v>
      </c>
      <c r="AZ14" s="209">
        <v>37286350</v>
      </c>
      <c r="BA14" s="226">
        <f t="shared" si="10"/>
        <v>1.6132770686278837</v>
      </c>
      <c r="BB14" s="209">
        <f t="shared" si="11"/>
        <v>52325312.400000006</v>
      </c>
      <c r="BC14" s="225">
        <f t="shared" si="12"/>
        <v>1.6186529200726489</v>
      </c>
      <c r="BD14" s="208">
        <v>95927835</v>
      </c>
      <c r="BE14" s="209">
        <v>37358194</v>
      </c>
      <c r="BF14" s="26">
        <f t="shared" si="13"/>
        <v>1.0019268177228395</v>
      </c>
      <c r="BG14" s="209">
        <f t="shared" si="14"/>
        <v>58569641</v>
      </c>
      <c r="BH14" s="224">
        <f t="shared" si="15"/>
        <v>1.119336671174848</v>
      </c>
      <c r="BI14" s="208">
        <f t="shared" si="16"/>
        <v>99764948.400000006</v>
      </c>
      <c r="BJ14" s="209">
        <f t="shared" si="17"/>
        <v>38852521.759999998</v>
      </c>
      <c r="BK14" s="26">
        <f t="shared" si="18"/>
        <v>1.04</v>
      </c>
      <c r="BL14" s="209">
        <f t="shared" si="19"/>
        <v>60912426.640000008</v>
      </c>
      <c r="BM14" s="224">
        <f t="shared" si="20"/>
        <v>1.04</v>
      </c>
      <c r="BN14" s="208">
        <f t="shared" si="21"/>
        <v>103755546.33600001</v>
      </c>
      <c r="BO14" s="209">
        <f t="shared" si="22"/>
        <v>40406622.630400002</v>
      </c>
      <c r="BP14" s="26">
        <f t="shared" si="23"/>
        <v>1.04</v>
      </c>
      <c r="BQ14" s="209">
        <f t="shared" si="24"/>
        <v>63348923.705600008</v>
      </c>
      <c r="BR14" s="224">
        <f t="shared" si="25"/>
        <v>1.04</v>
      </c>
    </row>
    <row r="15" spans="1:70" ht="50.25" customHeight="1">
      <c r="A15" s="5" t="s">
        <v>142</v>
      </c>
      <c r="B15" s="6"/>
      <c r="C15" s="7"/>
      <c r="D15" s="7"/>
      <c r="E15" s="7"/>
      <c r="F15" s="7"/>
      <c r="G15" s="10"/>
      <c r="H15" s="8"/>
      <c r="I15" s="9"/>
      <c r="J15" s="8"/>
      <c r="K15" s="10"/>
      <c r="L15" s="11"/>
      <c r="M15" s="12"/>
      <c r="N15" s="11"/>
      <c r="O15" s="194"/>
      <c r="P15" s="13"/>
      <c r="Q15" s="195"/>
      <c r="R15" s="195"/>
      <c r="S15" s="196"/>
      <c r="T15" s="195"/>
      <c r="U15" s="196"/>
      <c r="V15" s="197"/>
      <c r="W15" s="197"/>
      <c r="X15" s="197"/>
      <c r="Y15" s="197"/>
      <c r="Z15" s="197"/>
      <c r="AA15" s="197"/>
      <c r="AB15" s="15"/>
      <c r="AC15" s="15"/>
      <c r="AD15" s="14"/>
      <c r="AE15" s="15"/>
      <c r="AF15" s="16"/>
      <c r="AG15" s="17"/>
      <c r="AH15" s="18"/>
      <c r="AI15" s="19"/>
      <c r="AJ15" s="20"/>
      <c r="AK15" s="19"/>
      <c r="AL15" s="21"/>
      <c r="AM15" s="333"/>
      <c r="AN15" s="22"/>
      <c r="AO15" s="23"/>
      <c r="AP15" s="20"/>
      <c r="AQ15" s="23"/>
      <c r="AR15" s="326"/>
      <c r="AS15" s="198"/>
      <c r="AT15" s="317"/>
      <c r="AU15" s="208">
        <f>22385224*2</f>
        <v>44770448</v>
      </c>
      <c r="AV15" s="209">
        <f>1392912*2</f>
        <v>2785824</v>
      </c>
      <c r="AW15" s="209">
        <f t="shared" si="9"/>
        <v>41984624</v>
      </c>
      <c r="AX15" s="21"/>
      <c r="AY15" s="227">
        <v>66349804.399999999</v>
      </c>
      <c r="AZ15" s="209">
        <v>4120651.5</v>
      </c>
      <c r="BA15" s="26">
        <f t="shared" si="10"/>
        <v>1.4791499750163686</v>
      </c>
      <c r="BB15" s="209">
        <f t="shared" si="11"/>
        <v>62229152.899999999</v>
      </c>
      <c r="BC15" s="225">
        <f t="shared" si="12"/>
        <v>1.4821891199978354</v>
      </c>
      <c r="BD15" s="208">
        <v>71026392</v>
      </c>
      <c r="BE15" s="209">
        <v>4305151</v>
      </c>
      <c r="BF15" s="26">
        <f t="shared" si="13"/>
        <v>1.0447743518227639</v>
      </c>
      <c r="BG15" s="209">
        <f t="shared" si="14"/>
        <v>66721241</v>
      </c>
      <c r="BH15" s="224">
        <f t="shared" si="15"/>
        <v>1.0721862325077545</v>
      </c>
      <c r="BI15" s="208">
        <f t="shared" si="16"/>
        <v>73867447.680000007</v>
      </c>
      <c r="BJ15" s="209">
        <f>BE15*1.0399995</f>
        <v>4477354.8874244997</v>
      </c>
      <c r="BK15" s="26">
        <f t="shared" si="18"/>
        <v>1.0399995</v>
      </c>
      <c r="BL15" s="209">
        <f t="shared" si="19"/>
        <v>69390092.792575508</v>
      </c>
      <c r="BM15" s="224">
        <f t="shared" si="20"/>
        <v>1.0400000322622223</v>
      </c>
      <c r="BN15" s="208">
        <f t="shared" si="21"/>
        <v>76822145.587200016</v>
      </c>
      <c r="BO15" s="209">
        <f>BJ15*1.0399995</f>
        <v>4656446.8442440359</v>
      </c>
      <c r="BP15" s="26">
        <f t="shared" si="23"/>
        <v>1.0399995</v>
      </c>
      <c r="BQ15" s="209">
        <f t="shared" si="24"/>
        <v>72165698.742955983</v>
      </c>
      <c r="BR15" s="224">
        <f t="shared" si="25"/>
        <v>1.0400000322622058</v>
      </c>
    </row>
    <row r="16" spans="1:70" ht="43.5" customHeight="1">
      <c r="A16" s="5" t="s">
        <v>143</v>
      </c>
      <c r="B16" s="6"/>
      <c r="C16" s="7"/>
      <c r="D16" s="7"/>
      <c r="E16" s="7"/>
      <c r="F16" s="7"/>
      <c r="G16" s="10"/>
      <c r="H16" s="8"/>
      <c r="I16" s="9"/>
      <c r="J16" s="8"/>
      <c r="K16" s="10"/>
      <c r="L16" s="11"/>
      <c r="M16" s="12"/>
      <c r="N16" s="11"/>
      <c r="O16" s="194"/>
      <c r="P16" s="13"/>
      <c r="Q16" s="195"/>
      <c r="R16" s="195"/>
      <c r="S16" s="196"/>
      <c r="T16" s="195"/>
      <c r="U16" s="196"/>
      <c r="V16" s="197"/>
      <c r="W16" s="197"/>
      <c r="X16" s="197"/>
      <c r="Y16" s="197"/>
      <c r="Z16" s="197"/>
      <c r="AA16" s="197"/>
      <c r="AB16" s="15"/>
      <c r="AC16" s="15"/>
      <c r="AD16" s="14"/>
      <c r="AE16" s="15"/>
      <c r="AF16" s="16"/>
      <c r="AG16" s="17"/>
      <c r="AH16" s="18"/>
      <c r="AI16" s="19"/>
      <c r="AJ16" s="20"/>
      <c r="AK16" s="19"/>
      <c r="AL16" s="21"/>
      <c r="AM16" s="333"/>
      <c r="AN16" s="22"/>
      <c r="AO16" s="23"/>
      <c r="AP16" s="20"/>
      <c r="AQ16" s="23"/>
      <c r="AR16" s="326"/>
      <c r="AS16" s="198"/>
      <c r="AT16" s="317"/>
      <c r="AU16" s="208">
        <f>25059907*2</f>
        <v>50119814</v>
      </c>
      <c r="AV16" s="209">
        <f>3799971*2</f>
        <v>7599942</v>
      </c>
      <c r="AW16" s="209">
        <f t="shared" si="9"/>
        <v>42519872</v>
      </c>
      <c r="AX16" s="210"/>
      <c r="AY16" s="227">
        <v>58089185.399999999</v>
      </c>
      <c r="AZ16" s="209">
        <v>7400749.5</v>
      </c>
      <c r="BA16" s="26">
        <f t="shared" si="10"/>
        <v>0.97379026050461959</v>
      </c>
      <c r="BB16" s="209">
        <f t="shared" si="11"/>
        <v>50688435.899999999</v>
      </c>
      <c r="BC16" s="225">
        <f t="shared" si="12"/>
        <v>1.1921116766296944</v>
      </c>
      <c r="BD16" s="208">
        <v>56508683</v>
      </c>
      <c r="BE16" s="209">
        <v>7865756</v>
      </c>
      <c r="BF16" s="26">
        <f t="shared" si="13"/>
        <v>1.0628323523178294</v>
      </c>
      <c r="BG16" s="209">
        <f t="shared" si="14"/>
        <v>48642927</v>
      </c>
      <c r="BH16" s="224">
        <f t="shared" si="15"/>
        <v>0.95964545238611321</v>
      </c>
      <c r="BI16" s="208">
        <f t="shared" si="16"/>
        <v>58769030.32</v>
      </c>
      <c r="BJ16" s="209">
        <f t="shared" si="17"/>
        <v>8180386.2400000002</v>
      </c>
      <c r="BK16" s="26">
        <f t="shared" si="18"/>
        <v>1.04</v>
      </c>
      <c r="BL16" s="209">
        <f t="shared" si="19"/>
        <v>50588644.079999998</v>
      </c>
      <c r="BM16" s="224">
        <f t="shared" si="20"/>
        <v>1.04</v>
      </c>
      <c r="BN16" s="208">
        <f t="shared" si="21"/>
        <v>61119791.532800004</v>
      </c>
      <c r="BO16" s="209">
        <f t="shared" ref="BO16:BO17" si="26">BJ16*1.04</f>
        <v>8507601.6896000002</v>
      </c>
      <c r="BP16" s="26">
        <f t="shared" si="23"/>
        <v>1.04</v>
      </c>
      <c r="BQ16" s="209">
        <f t="shared" si="24"/>
        <v>52612189.843200006</v>
      </c>
      <c r="BR16" s="224">
        <f t="shared" si="25"/>
        <v>1.0400000000000003</v>
      </c>
    </row>
    <row r="17" spans="1:70" ht="42.75" customHeight="1">
      <c r="A17" s="5" t="s">
        <v>144</v>
      </c>
      <c r="B17" s="6"/>
      <c r="C17" s="7"/>
      <c r="D17" s="7"/>
      <c r="E17" s="7"/>
      <c r="F17" s="7"/>
      <c r="G17" s="10"/>
      <c r="H17" s="8"/>
      <c r="I17" s="9"/>
      <c r="J17" s="8"/>
      <c r="K17" s="10" t="s">
        <v>45</v>
      </c>
      <c r="L17" s="11" t="s">
        <v>45</v>
      </c>
      <c r="M17" s="12">
        <v>21352.9</v>
      </c>
      <c r="N17" s="11" t="s">
        <v>45</v>
      </c>
      <c r="O17" s="212">
        <v>21230.9</v>
      </c>
      <c r="P17" s="27">
        <f t="shared" ref="P17:P18" si="27">O17/M17</f>
        <v>0.99428649035962324</v>
      </c>
      <c r="Q17" s="213">
        <f>'[1]Расчет субсидии'!$H$13</f>
        <v>39525.347176898591</v>
      </c>
      <c r="R17" s="213">
        <f>'[1]Расчет субсидии'!$H$14</f>
        <v>18740.909090909088</v>
      </c>
      <c r="S17" s="196">
        <f>4750/4500*100</f>
        <v>105.55555555555556</v>
      </c>
      <c r="T17" s="213">
        <f>Q17-R17</f>
        <v>20784.438085989503</v>
      </c>
      <c r="U17" s="196">
        <f t="shared" ref="U17:U18" si="28">T17/O17*100</f>
        <v>97.897112632952442</v>
      </c>
      <c r="V17" s="197">
        <v>44673.517999999996</v>
      </c>
      <c r="W17" s="197">
        <v>13366.364</v>
      </c>
      <c r="X17" s="197">
        <v>29109.922999999999</v>
      </c>
      <c r="Y17" s="197"/>
      <c r="Z17" s="197">
        <v>21230.9</v>
      </c>
      <c r="AA17" s="197">
        <v>4452.8</v>
      </c>
      <c r="AB17" s="15">
        <f>Q17</f>
        <v>39525.347176898591</v>
      </c>
      <c r="AC17" s="15">
        <f>R17</f>
        <v>18740.909090909088</v>
      </c>
      <c r="AD17" s="14">
        <f t="shared" si="5"/>
        <v>100</v>
      </c>
      <c r="AE17" s="28">
        <f>AB17-AC17</f>
        <v>20784.438085989503</v>
      </c>
      <c r="AF17" s="214">
        <f t="shared" ref="AF17:AF18" si="29">AE17/X17</f>
        <v>0.71399838762849022</v>
      </c>
      <c r="AG17" s="24">
        <f>2340.102+18444.308</f>
        <v>20784.41</v>
      </c>
      <c r="AH17" s="18">
        <f>AB17*1.04</f>
        <v>41106.361063974538</v>
      </c>
      <c r="AI17" s="19">
        <v>13901.02</v>
      </c>
      <c r="AJ17" s="20">
        <f t="shared" ref="AJ17:AJ18" si="30">AI17/AC17</f>
        <v>0.74174736842105271</v>
      </c>
      <c r="AK17" s="19">
        <f>AH17-AI17</f>
        <v>27205.341063974538</v>
      </c>
      <c r="AL17" s="21">
        <f t="shared" ref="AL17:AL18" si="31">AK17/AG17</f>
        <v>1.3089301579392698</v>
      </c>
      <c r="AM17" s="333"/>
      <c r="AN17" s="22">
        <f>'авиа расчет'!M5/1000</f>
        <v>78707.605370395264</v>
      </c>
      <c r="AO17" s="23">
        <v>8042.58</v>
      </c>
      <c r="AP17" s="20">
        <f t="shared" ref="AP17:AP18" si="32">AO17/AI17</f>
        <v>0.57856042218484682</v>
      </c>
      <c r="AQ17" s="23">
        <f>AN17-AO17</f>
        <v>70665.025370395262</v>
      </c>
      <c r="AR17" s="326"/>
      <c r="AS17" s="211">
        <v>70665.025370395262</v>
      </c>
      <c r="AT17" s="317"/>
      <c r="AU17" s="208">
        <f>40510034*2</f>
        <v>81020068</v>
      </c>
      <c r="AV17" s="209">
        <f>3104529*2</f>
        <v>6209058</v>
      </c>
      <c r="AW17" s="209">
        <f t="shared" si="9"/>
        <v>74811010</v>
      </c>
      <c r="AX17" s="210">
        <f t="shared" ref="AX17:AX18" si="33">AW17/AS17/1000</f>
        <v>1.0586709565003805</v>
      </c>
      <c r="AY17" s="227">
        <v>97027670.400000006</v>
      </c>
      <c r="AZ17" s="209">
        <v>13782818.5</v>
      </c>
      <c r="BA17" s="26">
        <f t="shared" si="10"/>
        <v>2.2197921971416599</v>
      </c>
      <c r="BB17" s="209">
        <f t="shared" si="11"/>
        <v>83244851.900000006</v>
      </c>
      <c r="BC17" s="225">
        <f t="shared" si="12"/>
        <v>1.1127353032661904</v>
      </c>
      <c r="BD17" s="208">
        <v>103866552</v>
      </c>
      <c r="BE17" s="209">
        <v>14396295</v>
      </c>
      <c r="BF17" s="26">
        <f t="shared" si="13"/>
        <v>1.0445102356967118</v>
      </c>
      <c r="BG17" s="209">
        <f t="shared" si="14"/>
        <v>89470257</v>
      </c>
      <c r="BH17" s="224">
        <f t="shared" si="15"/>
        <v>1.07478426542795</v>
      </c>
      <c r="BI17" s="208">
        <f t="shared" si="16"/>
        <v>108021214.08</v>
      </c>
      <c r="BJ17" s="209">
        <f t="shared" si="17"/>
        <v>14972146.800000001</v>
      </c>
      <c r="BK17" s="26">
        <f t="shared" si="18"/>
        <v>1.04</v>
      </c>
      <c r="BL17" s="209">
        <f t="shared" si="19"/>
        <v>93049067.280000001</v>
      </c>
      <c r="BM17" s="224">
        <f t="shared" si="20"/>
        <v>1.04</v>
      </c>
      <c r="BN17" s="208">
        <f t="shared" si="21"/>
        <v>112342062.6432</v>
      </c>
      <c r="BO17" s="209">
        <f t="shared" si="26"/>
        <v>15571032.672000002</v>
      </c>
      <c r="BP17" s="26">
        <f t="shared" si="23"/>
        <v>1.04</v>
      </c>
      <c r="BQ17" s="209">
        <f t="shared" si="24"/>
        <v>96771029.971199989</v>
      </c>
      <c r="BR17" s="224">
        <f t="shared" si="25"/>
        <v>1.0399999999999998</v>
      </c>
    </row>
    <row r="18" spans="1:70" s="259" customFormat="1" ht="61.5" customHeight="1">
      <c r="A18" s="228" t="s">
        <v>145</v>
      </c>
      <c r="B18" s="229">
        <f>B9+B10+B11</f>
        <v>33321.699999999997</v>
      </c>
      <c r="C18" s="230">
        <f>C9+C10+C11</f>
        <v>35071.599999999999</v>
      </c>
      <c r="D18" s="230">
        <f>D9+D10+D11</f>
        <v>83651.37</v>
      </c>
      <c r="E18" s="230">
        <f>SUM(E9:E11)</f>
        <v>56290.6</v>
      </c>
      <c r="F18" s="230">
        <f>F9+F10+F11</f>
        <v>0</v>
      </c>
      <c r="G18" s="231">
        <f>G9+G10+G11</f>
        <v>56290.6</v>
      </c>
      <c r="H18" s="232">
        <f>G18/E18*100</f>
        <v>100</v>
      </c>
      <c r="I18" s="233">
        <f>SUM(I9:I11)+15346.6</f>
        <v>80641.3</v>
      </c>
      <c r="J18" s="232">
        <f>I18/G18*100</f>
        <v>143.2589100133948</v>
      </c>
      <c r="K18" s="231">
        <f>K9+K10+K11</f>
        <v>68616.7</v>
      </c>
      <c r="L18" s="234">
        <f>K18/I18*100</f>
        <v>85.088782050884589</v>
      </c>
      <c r="M18" s="235">
        <f>M9+M11+M17</f>
        <v>71820.3</v>
      </c>
      <c r="N18" s="234">
        <f>M18/K18*100</f>
        <v>104.66883426337905</v>
      </c>
      <c r="O18" s="236">
        <f>O9+O11+O17</f>
        <v>80899.900000000009</v>
      </c>
      <c r="P18" s="237">
        <f t="shared" si="27"/>
        <v>1.1264210815048115</v>
      </c>
      <c r="Q18" s="238">
        <f>Q9+Q11+Q12+Q17</f>
        <v>201992.84717689859</v>
      </c>
      <c r="R18" s="238">
        <f>R9+R11+R12+R17</f>
        <v>93219.409090909088</v>
      </c>
      <c r="S18" s="239">
        <f>R18/(R9/S9*100+R11/S11*100+R17/S17*100+R12/S12*100)*100</f>
        <v>105.67215373660299</v>
      </c>
      <c r="T18" s="238">
        <f>T9+T11+T12+T17</f>
        <v>108773.4380859895</v>
      </c>
      <c r="U18" s="239">
        <f t="shared" si="28"/>
        <v>134.45435419078328</v>
      </c>
      <c r="V18" s="240">
        <f>V9+V17</f>
        <v>177233.989</v>
      </c>
      <c r="W18" s="240">
        <f>W9+W17</f>
        <v>73380.034</v>
      </c>
      <c r="X18" s="240">
        <f>X9+X17</f>
        <v>101332.76299999999</v>
      </c>
      <c r="Y18" s="240"/>
      <c r="Z18" s="238">
        <v>80899.899999999994</v>
      </c>
      <c r="AA18" s="238">
        <f>AA9+AA17</f>
        <v>78177.8</v>
      </c>
      <c r="AB18" s="241">
        <f>AB9+AB11+AB12+AB17</f>
        <v>271523.97202689853</v>
      </c>
      <c r="AC18" s="241">
        <f>AC9+AC11+AC12+AC17</f>
        <v>101620.5838909091</v>
      </c>
      <c r="AD18" s="242">
        <f t="shared" si="5"/>
        <v>109.01225923005696</v>
      </c>
      <c r="AE18" s="241">
        <f>AE9+AE11+AE12+AE17</f>
        <v>169903.38813598949</v>
      </c>
      <c r="AF18" s="243">
        <f t="shared" si="29"/>
        <v>1.6766876092778551</v>
      </c>
      <c r="AG18" s="244">
        <f>AG9+AG17</f>
        <v>169903.4</v>
      </c>
      <c r="AH18" s="245">
        <f>AH9+AH11+AH12+AH17</f>
        <v>289893.48090797453</v>
      </c>
      <c r="AI18" s="246">
        <f>AI9+AI11+AI12+AI17</f>
        <v>91282.260000000009</v>
      </c>
      <c r="AJ18" s="247">
        <f t="shared" si="30"/>
        <v>0.89826545474283637</v>
      </c>
      <c r="AK18" s="246">
        <f>AK9+AK11+AK12+AK17</f>
        <v>198611.22090797452</v>
      </c>
      <c r="AL18" s="248">
        <f t="shared" si="31"/>
        <v>1.1689655469400526</v>
      </c>
      <c r="AM18" s="249">
        <f>AM9</f>
        <v>213589.6</v>
      </c>
      <c r="AN18" s="250">
        <f>AN9+AN17+AN14</f>
        <v>443208.87160137435</v>
      </c>
      <c r="AO18" s="251">
        <f>AO9+AO17+AO14</f>
        <v>113168.01999999999</v>
      </c>
      <c r="AP18" s="247">
        <f t="shared" si="32"/>
        <v>1.2397591821236675</v>
      </c>
      <c r="AQ18" s="251">
        <f>AQ9+AQ17+AQ14</f>
        <v>330040.85160137439</v>
      </c>
      <c r="AR18" s="252">
        <f>AQ18/AM18</f>
        <v>1.5452103079989588</v>
      </c>
      <c r="AS18" s="250">
        <f>AS11+AS14+AS17</f>
        <v>330040.85160137439</v>
      </c>
      <c r="AT18" s="318"/>
      <c r="AU18" s="253">
        <f>SUM(AU11:AU17)</f>
        <v>498992197.5</v>
      </c>
      <c r="AV18" s="254">
        <f t="shared" ref="AV18:AW18" si="34">SUM(AV11:AV17)</f>
        <v>104270702</v>
      </c>
      <c r="AW18" s="255">
        <f t="shared" si="34"/>
        <v>394721495.5</v>
      </c>
      <c r="AX18" s="256">
        <f t="shared" si="33"/>
        <v>1.1959776905943369</v>
      </c>
      <c r="AY18" s="257">
        <f>SUM(AY11:AY17)</f>
        <v>610534270.79999995</v>
      </c>
      <c r="AZ18" s="251">
        <f>SUM(AZ11:AZ17)</f>
        <v>134525651</v>
      </c>
      <c r="BA18" s="251">
        <f>SUM(BA11:BA17)</f>
        <v>9.77320969907489</v>
      </c>
      <c r="BB18" s="254">
        <f>SUM(BB11:BB17)</f>
        <v>476008619.79999995</v>
      </c>
      <c r="BC18" s="248">
        <f>BB18/AW18</f>
        <v>1.2059353879297408</v>
      </c>
      <c r="BD18" s="253">
        <f>SUM(BD11:BD17)</f>
        <v>639927978</v>
      </c>
      <c r="BE18" s="254">
        <f>SUM(BE11:BE17)</f>
        <v>139001160</v>
      </c>
      <c r="BF18" s="258">
        <f t="shared" si="13"/>
        <v>1.0332688150306739</v>
      </c>
      <c r="BG18" s="255">
        <f>SUM(BG11:BG17)</f>
        <v>500926818</v>
      </c>
      <c r="BH18" s="256">
        <f>BG18/BB18</f>
        <v>1.0523482079178939</v>
      </c>
      <c r="BI18" s="253">
        <f>SUM(BI11:BI17)</f>
        <v>665525097.12</v>
      </c>
      <c r="BJ18" s="254">
        <f>SUM(BJ11:BJ17)</f>
        <v>144561204.24742448</v>
      </c>
      <c r="BK18" s="258">
        <f t="shared" si="18"/>
        <v>1.0399999845139745</v>
      </c>
      <c r="BL18" s="254">
        <f>SUM(BL11:BL17)</f>
        <v>520963892.87257552</v>
      </c>
      <c r="BM18" s="256">
        <f>BL18/BG18</f>
        <v>1.0400000042971855</v>
      </c>
      <c r="BN18" s="253">
        <f>SUM(BN11:BN17)</f>
        <v>692146101.00480008</v>
      </c>
      <c r="BO18" s="254">
        <f>SUM(BO11:BO17)</f>
        <v>150343650.17864403</v>
      </c>
      <c r="BP18" s="258">
        <f t="shared" si="23"/>
        <v>1.0399999845139818</v>
      </c>
      <c r="BQ18" s="254">
        <f>SUM(BQ11:BQ17)</f>
        <v>541802450.82615602</v>
      </c>
      <c r="BR18" s="256">
        <f>BQ18/BL18</f>
        <v>1.0400000042971835</v>
      </c>
    </row>
    <row r="19" spans="1:70" ht="22.5" hidden="1" customHeight="1">
      <c r="A19" s="320" t="s">
        <v>46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215"/>
      <c r="W19" s="215"/>
      <c r="X19" s="215"/>
      <c r="Y19" s="215"/>
      <c r="Z19" s="215"/>
      <c r="AA19" s="215"/>
      <c r="AB19" s="29"/>
      <c r="AC19" s="29"/>
      <c r="AD19" s="29"/>
      <c r="AE19" s="216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15"/>
      <c r="AX19" s="29"/>
      <c r="AY19" s="29"/>
      <c r="AZ19" s="29"/>
      <c r="BA19" s="29"/>
      <c r="BB19" s="29"/>
      <c r="BC19" s="29"/>
    </row>
    <row r="20" spans="1:70" ht="39" hidden="1" customHeight="1">
      <c r="A20" s="316" t="s">
        <v>146</v>
      </c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70" ht="39" hidden="1" customHeight="1">
      <c r="A21" s="316" t="s">
        <v>147</v>
      </c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6"/>
      <c r="AI21" s="316"/>
      <c r="AJ21" s="316"/>
      <c r="AK21" s="316"/>
      <c r="AL21" s="316"/>
      <c r="AM21" s="316"/>
      <c r="AN21" s="316"/>
      <c r="AO21" s="316"/>
      <c r="AP21" s="316"/>
      <c r="AQ21" s="316"/>
      <c r="AR21" s="316"/>
      <c r="AS21" s="316"/>
      <c r="AT21" s="316"/>
      <c r="AU21" s="316"/>
      <c r="AV21" s="316"/>
      <c r="AW21" s="316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70" ht="65.25" hidden="1" customHeight="1">
      <c r="A22" s="316" t="s">
        <v>148</v>
      </c>
      <c r="B22" s="316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16"/>
      <c r="AK22" s="316"/>
      <c r="AL22" s="316"/>
      <c r="AM22" s="316"/>
      <c r="AN22" s="316"/>
      <c r="AO22" s="316"/>
      <c r="AP22" s="316"/>
      <c r="AQ22" s="316"/>
      <c r="AR22" s="316"/>
      <c r="AS22" s="316"/>
      <c r="AT22" s="316"/>
      <c r="AU22" s="316"/>
      <c r="AV22" s="316"/>
      <c r="AW22" s="316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70">
      <c r="A23" s="217"/>
      <c r="B23" s="218"/>
      <c r="C23" s="218"/>
      <c r="D23" s="218"/>
      <c r="E23" s="218"/>
      <c r="F23" s="218"/>
    </row>
    <row r="24" spans="1:70">
      <c r="A24" s="219"/>
      <c r="B24" s="219"/>
      <c r="C24" s="219"/>
      <c r="D24" s="219"/>
      <c r="E24" s="219"/>
      <c r="F24" s="219"/>
    </row>
    <row r="25" spans="1:70">
      <c r="A25" s="220"/>
      <c r="B25" s="218"/>
      <c r="C25" s="218"/>
      <c r="D25" s="218"/>
      <c r="E25" s="218"/>
      <c r="F25" s="218"/>
    </row>
    <row r="26" spans="1:70">
      <c r="A26" s="220"/>
      <c r="B26" s="218"/>
      <c r="C26" s="218"/>
      <c r="D26" s="218"/>
      <c r="E26" s="218"/>
      <c r="F26" s="218"/>
      <c r="AW26" s="221"/>
    </row>
    <row r="28" spans="1:70">
      <c r="A28" s="222"/>
      <c r="B28" s="222"/>
      <c r="C28" s="222"/>
      <c r="D28" s="222"/>
      <c r="E28" s="222"/>
      <c r="F28" s="222"/>
      <c r="AW28" s="221"/>
    </row>
    <row r="29" spans="1:70">
      <c r="A29" s="222"/>
      <c r="B29" s="222"/>
      <c r="C29" s="222"/>
      <c r="D29" s="222"/>
      <c r="E29" s="222"/>
      <c r="F29" s="222"/>
    </row>
    <row r="31" spans="1:70">
      <c r="A31" s="223"/>
      <c r="B31" s="223"/>
      <c r="C31" s="223"/>
      <c r="D31" s="223"/>
      <c r="E31" s="223"/>
      <c r="F31" s="223"/>
    </row>
  </sheetData>
  <mergeCells count="47">
    <mergeCell ref="A4:BR4"/>
    <mergeCell ref="A22:BM22"/>
    <mergeCell ref="AT11:AT18"/>
    <mergeCell ref="AX11:AX13"/>
    <mergeCell ref="A19:U19"/>
    <mergeCell ref="A20:BM20"/>
    <mergeCell ref="A21:BM21"/>
    <mergeCell ref="AO9:AO12"/>
    <mergeCell ref="AP9:AP12"/>
    <mergeCell ref="AQ9:AQ12"/>
    <mergeCell ref="AR9:AR17"/>
    <mergeCell ref="AS11:AS13"/>
    <mergeCell ref="AJ9:AJ12"/>
    <mergeCell ref="AK9:AK12"/>
    <mergeCell ref="AL9:AL12"/>
    <mergeCell ref="AM9:AM17"/>
    <mergeCell ref="AN9:AN12"/>
    <mergeCell ref="AA9:AA12"/>
    <mergeCell ref="AF9:AF12"/>
    <mergeCell ref="AG9:AG12"/>
    <mergeCell ref="AH9:AH12"/>
    <mergeCell ref="AI9:AI12"/>
    <mergeCell ref="I8:J8"/>
    <mergeCell ref="V9:V12"/>
    <mergeCell ref="W9:W12"/>
    <mergeCell ref="X9:X12"/>
    <mergeCell ref="Z9:Z12"/>
    <mergeCell ref="AU6:AX6"/>
    <mergeCell ref="AY6:BC6"/>
    <mergeCell ref="BD6:BH6"/>
    <mergeCell ref="BI6:BM6"/>
    <mergeCell ref="BN6:BR6"/>
    <mergeCell ref="A6:A7"/>
    <mergeCell ref="D6:E6"/>
    <mergeCell ref="F6:H6"/>
    <mergeCell ref="I6:J6"/>
    <mergeCell ref="K6:L6"/>
    <mergeCell ref="M6:N6"/>
    <mergeCell ref="O6:P6"/>
    <mergeCell ref="Q6:U6"/>
    <mergeCell ref="V6:Y6"/>
    <mergeCell ref="AA6:AA7"/>
    <mergeCell ref="AB6:AF6"/>
    <mergeCell ref="AH6:AL6"/>
    <mergeCell ref="AN6:AR6"/>
    <mergeCell ref="AS6:AS7"/>
    <mergeCell ref="AT6:AT7"/>
  </mergeCells>
  <pageMargins left="0.51181102362204722" right="0.51181102362204722" top="0.94488188976377963" bottom="0.55118110236220474" header="0.31496062992125984" footer="0.31496062992125984"/>
  <pageSetup paperSize="9" scale="4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Лизинг</vt:lpstr>
      <vt:lpstr>авиа расчет</vt:lpstr>
      <vt:lpstr>Воздушный транспорт</vt:lpstr>
      <vt:lpstr>'авиа расчет'!Область_печати</vt:lpstr>
      <vt:lpstr>'Воздушный транспорт'!Область_печати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Берденникова Светлана Николаевна</dc:creator>
  <cp:lastModifiedBy>minfin user</cp:lastModifiedBy>
  <cp:revision>9</cp:revision>
  <cp:lastPrinted>2022-10-10T15:31:20Z</cp:lastPrinted>
  <dcterms:created xsi:type="dcterms:W3CDTF">2017-08-04T07:55:22Z</dcterms:created>
  <dcterms:modified xsi:type="dcterms:W3CDTF">2022-10-10T15:31:22Z</dcterms:modified>
</cp:coreProperties>
</file>