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030"/>
  </bookViews>
  <sheets>
    <sheet name="Расчет" sheetId="5" r:id="rId1"/>
    <sheet name="Расчет средств ОБ с копейками" sheetId="2" state="hidden" r:id="rId2"/>
    <sheet name="Операцион расходы" sheetId="4" state="hidden" r:id="rId3"/>
  </sheets>
  <externalReferences>
    <externalReference r:id="rId4"/>
  </externalReferences>
  <definedNames>
    <definedName name="_xlnm.Print_Area" localSheetId="2">'Операцион расходы'!$A$1:$G$72</definedName>
    <definedName name="_xlnm.Print_Area" localSheetId="0">Расчет!$A$1:$F$42</definedName>
    <definedName name="_xlnm.Print_Area" localSheetId="1">'Расчет средств ОБ с копейками'!$A$1:$F$39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/>
  <c r="F37"/>
  <c r="E37"/>
  <c r="D37"/>
  <c r="C37"/>
  <c r="F33"/>
  <c r="F32"/>
  <c r="E31"/>
  <c r="E29" s="1"/>
  <c r="D31"/>
  <c r="D29" s="1"/>
  <c r="F29"/>
  <c r="F28" s="1"/>
  <c r="F30" s="1"/>
  <c r="D26"/>
  <c r="D25"/>
  <c r="D24"/>
  <c r="F23"/>
  <c r="F22"/>
  <c r="E21"/>
  <c r="D21"/>
  <c r="C21"/>
  <c r="F19"/>
  <c r="F26" s="1"/>
  <c r="E19"/>
  <c r="E25" s="1"/>
  <c r="D19"/>
  <c r="C19"/>
  <c r="C26" s="1"/>
  <c r="D18"/>
  <c r="D20" s="1"/>
  <c r="C18"/>
  <c r="C20" s="1"/>
  <c r="E16"/>
  <c r="E15"/>
  <c r="E14"/>
  <c r="F13"/>
  <c r="F12"/>
  <c r="E11"/>
  <c r="D11"/>
  <c r="C11"/>
  <c r="F9"/>
  <c r="F15" s="1"/>
  <c r="E9"/>
  <c r="D9"/>
  <c r="D16" s="1"/>
  <c r="C9"/>
  <c r="C8" s="1"/>
  <c r="C10" s="1"/>
  <c r="E8"/>
  <c r="E10" s="1"/>
  <c r="D8"/>
  <c r="D10" s="1"/>
  <c r="E36" l="1"/>
  <c r="E34"/>
  <c r="E35"/>
  <c r="E28"/>
  <c r="E30" s="1"/>
  <c r="D35"/>
  <c r="F35" s="1"/>
  <c r="D28"/>
  <c r="D30" s="1"/>
  <c r="D34"/>
  <c r="F34" s="1"/>
  <c r="D36"/>
  <c r="F16"/>
  <c r="F18"/>
  <c r="F20" s="1"/>
  <c r="E24"/>
  <c r="E38" s="1"/>
  <c r="E26"/>
  <c r="C14"/>
  <c r="C15"/>
  <c r="C16"/>
  <c r="F24"/>
  <c r="F25"/>
  <c r="F8"/>
  <c r="F10" s="1"/>
  <c r="E18"/>
  <c r="E20" s="1"/>
  <c r="D14"/>
  <c r="D15"/>
  <c r="C24"/>
  <c r="C25"/>
  <c r="D35" i="2"/>
  <c r="F11"/>
  <c r="F36" i="5" l="1"/>
  <c r="C38"/>
  <c r="F38"/>
  <c r="F35" i="2"/>
  <c r="F20"/>
  <c r="F19"/>
  <c r="F10"/>
  <c r="F9"/>
  <c r="F30"/>
  <c r="F29"/>
  <c r="G35" i="4" l="1"/>
  <c r="F35"/>
  <c r="E35"/>
  <c r="G11" l="1"/>
  <c r="F11"/>
  <c r="E11"/>
  <c r="E59"/>
  <c r="G59"/>
  <c r="F59"/>
  <c r="G42" l="1"/>
  <c r="F42"/>
  <c r="E42"/>
  <c r="G38"/>
  <c r="F38"/>
  <c r="E38"/>
  <c r="G34"/>
  <c r="F34"/>
  <c r="E34"/>
  <c r="D30"/>
  <c r="F33" l="1"/>
  <c r="G33"/>
  <c r="G29" s="1"/>
  <c r="E33"/>
  <c r="E29"/>
  <c r="F29"/>
  <c r="D29" l="1"/>
  <c r="D47" s="1"/>
  <c r="G18" l="1"/>
  <c r="F18"/>
  <c r="E18"/>
  <c r="G15"/>
  <c r="G14" s="1"/>
  <c r="F15"/>
  <c r="F14" s="1"/>
  <c r="E15"/>
  <c r="E14" s="1"/>
  <c r="G10"/>
  <c r="F10"/>
  <c r="E10"/>
  <c r="D6"/>
  <c r="G63"/>
  <c r="F63"/>
  <c r="E63"/>
  <c r="E53" s="1"/>
  <c r="F58"/>
  <c r="F57" s="1"/>
  <c r="G58"/>
  <c r="G57" s="1"/>
  <c r="E58"/>
  <c r="E57" s="1"/>
  <c r="D54"/>
  <c r="G56" s="1"/>
  <c r="E34" i="2"/>
  <c r="D34"/>
  <c r="C34"/>
  <c r="E28"/>
  <c r="E26" s="1"/>
  <c r="D28"/>
  <c r="D26" s="1"/>
  <c r="D31" s="1"/>
  <c r="F26"/>
  <c r="F25"/>
  <c r="F27" s="1"/>
  <c r="E18"/>
  <c r="D18"/>
  <c r="D16" s="1"/>
  <c r="C18"/>
  <c r="C16" s="1"/>
  <c r="C23" s="1"/>
  <c r="F16"/>
  <c r="F15" s="1"/>
  <c r="F17" s="1"/>
  <c r="E16"/>
  <c r="E23" s="1"/>
  <c r="E8"/>
  <c r="D8"/>
  <c r="C8"/>
  <c r="C6" s="1"/>
  <c r="C13" s="1"/>
  <c r="F6"/>
  <c r="F12" s="1"/>
  <c r="E6"/>
  <c r="E13" s="1"/>
  <c r="D6"/>
  <c r="D13" s="1"/>
  <c r="E15" l="1"/>
  <c r="E17" s="1"/>
  <c r="E21"/>
  <c r="E5"/>
  <c r="E7" s="1"/>
  <c r="F34"/>
  <c r="E9" i="4"/>
  <c r="E5" s="1"/>
  <c r="G9"/>
  <c r="G5" s="1"/>
  <c r="F9"/>
  <c r="F5" s="1"/>
  <c r="G53"/>
  <c r="F56"/>
  <c r="F53" s="1"/>
  <c r="E22" i="2"/>
  <c r="D23"/>
  <c r="D15"/>
  <c r="D17" s="1"/>
  <c r="C15"/>
  <c r="C17" s="1"/>
  <c r="F13"/>
  <c r="F5"/>
  <c r="F7" s="1"/>
  <c r="D5"/>
  <c r="D7" s="1"/>
  <c r="E32"/>
  <c r="E25"/>
  <c r="E27" s="1"/>
  <c r="E33"/>
  <c r="E31"/>
  <c r="F31" s="1"/>
  <c r="C5"/>
  <c r="C7" s="1"/>
  <c r="C11"/>
  <c r="C12"/>
  <c r="F21"/>
  <c r="F22"/>
  <c r="F23"/>
  <c r="D33"/>
  <c r="F33" s="1"/>
  <c r="D11"/>
  <c r="D12"/>
  <c r="C21"/>
  <c r="C22"/>
  <c r="D25"/>
  <c r="D27" s="1"/>
  <c r="D32"/>
  <c r="F32" s="1"/>
  <c r="E11"/>
  <c r="E12"/>
  <c r="D21"/>
  <c r="D22"/>
  <c r="D5" i="4" l="1"/>
  <c r="D23" s="1"/>
  <c r="D53"/>
  <c r="D68" s="1"/>
  <c r="E35" i="2"/>
  <c r="C35"/>
</calcChain>
</file>

<file path=xl/comments1.xml><?xml version="1.0" encoding="utf-8"?>
<comments xmlns="http://schemas.openxmlformats.org/spreadsheetml/2006/main">
  <authors>
    <author>Лыскова Наталья Николаевна</author>
  </authors>
  <commentLis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Лыскова Наталья Николаевна:</t>
        </r>
        <r>
          <rPr>
            <sz val="9"/>
            <color indexed="81"/>
            <rFont val="Tahoma"/>
            <family val="2"/>
            <charset val="204"/>
          </rPr>
          <t xml:space="preserve">
т.к. Концессионное соглашение заключается в 2022г., затраты на банковскую гарантию, аренду земельного участка.
Сумма из фин.модели</t>
        </r>
      </text>
    </comment>
  </commentList>
</comments>
</file>

<file path=xl/comments2.xml><?xml version="1.0" encoding="utf-8"?>
<comments xmlns="http://schemas.openxmlformats.org/spreadsheetml/2006/main">
  <authors>
    <author>Лыскова Наталья Николаевна</author>
  </authors>
  <commentLis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Лыскова Наталья Николаевна:</t>
        </r>
        <r>
          <rPr>
            <sz val="9"/>
            <color indexed="81"/>
            <rFont val="Tahoma"/>
            <family val="2"/>
            <charset val="204"/>
          </rPr>
          <t xml:space="preserve">
т.к. Концессионное соглашение заключается в 2022г., затраты на банковскую гарантию, аренду земельного участка.
Сумма из фин.модели</t>
        </r>
      </text>
    </comment>
  </commentList>
</comments>
</file>

<file path=xl/sharedStrings.xml><?xml version="1.0" encoding="utf-8"?>
<sst xmlns="http://schemas.openxmlformats.org/spreadsheetml/2006/main" count="198" uniqueCount="52">
  <si>
    <t>Субсидия (капитальный грант), 98%</t>
  </si>
  <si>
    <t>Субсидия (капитальный грант), 2%</t>
  </si>
  <si>
    <t>Итого</t>
  </si>
  <si>
    <t>Капитальные вложения, с НДС</t>
  </si>
  <si>
    <t>Капитальные вложения, без НДС</t>
  </si>
  <si>
    <t>Капитальный грант (95% от капит.влож.)</t>
  </si>
  <si>
    <t>ИТОГО субсидия, 2%</t>
  </si>
  <si>
    <t>ИТОГО взнос в уставный капитал</t>
  </si>
  <si>
    <t xml:space="preserve"> </t>
  </si>
  <si>
    <r>
      <t xml:space="preserve">Комплекс обработки и утилизации ТКО мощностью 70000 тонн в год, расположенный по адресу:
Архангельская область, </t>
    </r>
    <r>
      <rPr>
        <i/>
        <u/>
        <sz val="11"/>
        <color theme="1"/>
        <rFont val="Times New Roman"/>
        <family val="1"/>
        <charset val="204"/>
      </rPr>
      <t>Котласский р-н</t>
    </r>
    <r>
      <rPr>
        <i/>
        <sz val="11"/>
        <color theme="1"/>
        <rFont val="Times New Roman"/>
        <family val="1"/>
        <charset val="204"/>
      </rPr>
      <t xml:space="preserve">, с/мо Черемушское
</t>
    </r>
  </si>
  <si>
    <r>
      <t xml:space="preserve">Комплекс обработки, утилизации и захоронения ТКО мощностью 60 000 тонн в год, расположенный по адресу: Архангельская область, </t>
    </r>
    <r>
      <rPr>
        <i/>
        <u/>
        <sz val="11"/>
        <color theme="1"/>
        <rFont val="Times New Roman"/>
        <family val="1"/>
        <charset val="204"/>
      </rPr>
      <t>Няндомский район</t>
    </r>
  </si>
  <si>
    <r>
      <t xml:space="preserve">Комплекс обработки, утилизации и захоронения ТКО мощностью 275 000 тонн в год, расположенный на территории МО «Матигорское» </t>
    </r>
    <r>
      <rPr>
        <i/>
        <u/>
        <sz val="11"/>
        <color theme="1"/>
        <rFont val="Times New Roman"/>
        <family val="1"/>
        <charset val="204"/>
      </rPr>
      <t>Холмогорского муниципального района</t>
    </r>
  </si>
  <si>
    <t>руб.</t>
  </si>
  <si>
    <t>5% согласно Положения ППК "РЭО"</t>
  </si>
  <si>
    <t>Взнос в уставный капитал, 7,18%, в т.ч.</t>
  </si>
  <si>
    <t>НДС (финансируется ППК "РЭО")</t>
  </si>
  <si>
    <t>Взнос в уставный капитал, 6,65%, в т.ч.</t>
  </si>
  <si>
    <t>Взнос в уставный капитал, 6,5%, вт.ч.</t>
  </si>
  <si>
    <t>1,65% операционные расходы согласно финансовой модели (расходы на арендную плату, концессионную плату, лизинговые платежи, погашение долга ППК "РЭО" на Capex)</t>
  </si>
  <si>
    <t>2,18% операционные расходы согласно финансовой модели (расходы на арендную плату, концессионную плату, лизинговые платежи, погашение долга ППК "РЭО" на Capex)</t>
  </si>
  <si>
    <t>1,5% операционные расходы согласно финансовой модели (расходы на арендную плату, концессионную плату, лизинговые платежи, погашение долга ППК "РЭО" на Capex)</t>
  </si>
  <si>
    <t xml:space="preserve">Привлечение акционерного займа </t>
  </si>
  <si>
    <t>Погашение процентов по старшему долгу</t>
  </si>
  <si>
    <t>Привлечение старшего долга (на НДС с сарех)</t>
  </si>
  <si>
    <t xml:space="preserve">Ставка по кредиту </t>
  </si>
  <si>
    <t>Арендная плата (по имуществу, связанному с ТКО)</t>
  </si>
  <si>
    <t xml:space="preserve">Концессионная плата </t>
  </si>
  <si>
    <t>Банковская гарантия, страхование</t>
  </si>
  <si>
    <t>Прочие расходы (сбытовые расходы)</t>
  </si>
  <si>
    <t>ИТОГО неподконтрольные расходы</t>
  </si>
  <si>
    <t>Расходы на оплату труда, в том числе:</t>
  </si>
  <si>
    <t>оплата труда АУП</t>
  </si>
  <si>
    <t>численность</t>
  </si>
  <si>
    <t>средний размер заработной платы</t>
  </si>
  <si>
    <t>чел.</t>
  </si>
  <si>
    <t>Размер социальных отчислений</t>
  </si>
  <si>
    <t>Расходы на оплату труда и отчисления на социальные нужды:</t>
  </si>
  <si>
    <t>Комплекс обработки, утилизации и захоронения ТКО мощностью 275 000 тонн в год, расположенный на территории МО «Матигорское» Холмогорского муниципального района</t>
  </si>
  <si>
    <t>оплата труда директор</t>
  </si>
  <si>
    <t>Комплекс обработки и утилизации ТКО мощностью 70000 тонн в год, расположенный по адресу:
Архангельская область, Котласский р-н, с/мо Черемушское</t>
  </si>
  <si>
    <t>Комплекс обработки, утилизации и захоронения ТКО мощностью 60 000 тонн в год, расположенный по адресу: Архангельская область, Няндомский район</t>
  </si>
  <si>
    <t>Неподконтрольные расходы:</t>
  </si>
  <si>
    <t>Объект</t>
  </si>
  <si>
    <t>Показатель</t>
  </si>
  <si>
    <t>Расчет средств областного бюджета в целях софинансирования расходных обязательств в части расходов концедента на создание (реконструкцию) объекта по концессионным соглашениям при получении субсидии из федерального бюджета</t>
  </si>
  <si>
    <t>Расшифровка доли операционных расходов</t>
  </si>
  <si>
    <t>К.А. Шаповалов</t>
  </si>
  <si>
    <t>Заместитель министра
министерства природных ресурсов и лесопромышленного комплекса Архангельской области</t>
  </si>
  <si>
    <t>Капитальные вложения без НДС</t>
  </si>
  <si>
    <t>(согласно информации уполномоченного исполнительного органа государственной власти Архангельской области - министерства природных ресурсов и лесопромышленного комплекса Архангельской области)</t>
  </si>
  <si>
    <t>Приложение № 28</t>
  </si>
  <si>
    <t>к пояснительной записке</t>
  </si>
</sst>
</file>

<file path=xl/styles.xml><?xml version="1.0" encoding="utf-8"?>
<styleSheet xmlns="http://schemas.openxmlformats.org/spreadsheetml/2006/main">
  <numFmts count="3">
    <numFmt numFmtId="164" formatCode="#,##0.00;[Red]\(#,##0.00\);&quot;-&quot;"/>
    <numFmt numFmtId="165" formatCode="#,##0_ ;[Red]\-#,##0\ "/>
    <numFmt numFmtId="166" formatCode="0.0%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u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164" fontId="7" fillId="0" borderId="5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3" fontId="1" fillId="0" borderId="0" xfId="0" applyNumberFormat="1" applyFont="1"/>
    <xf numFmtId="0" fontId="1" fillId="0" borderId="1" xfId="0" applyFont="1" applyBorder="1" applyAlignment="1">
      <alignment horizontal="left" vertical="top" indent="4"/>
    </xf>
    <xf numFmtId="0" fontId="1" fillId="0" borderId="1" xfId="0" applyFont="1" applyBorder="1" applyAlignment="1">
      <alignment horizontal="left" vertical="top" wrapText="1" indent="4"/>
    </xf>
    <xf numFmtId="0" fontId="0" fillId="0" borderId="0" xfId="0" applyAlignment="1">
      <alignment vertical="center" textRotation="90"/>
    </xf>
    <xf numFmtId="4" fontId="1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 applyAlignment="1" applyProtection="1">
      <alignment horizontal="left" indent="1"/>
      <protection locked="0"/>
    </xf>
    <xf numFmtId="10" fontId="1" fillId="3" borderId="1" xfId="0" applyNumberFormat="1" applyFont="1" applyFill="1" applyBorder="1"/>
    <xf numFmtId="165" fontId="2" fillId="0" borderId="1" xfId="1" applyNumberFormat="1" applyFont="1" applyFill="1" applyBorder="1" applyAlignment="1">
      <alignment wrapText="1"/>
    </xf>
    <xf numFmtId="165" fontId="1" fillId="4" borderId="1" xfId="1" applyNumberFormat="1" applyFont="1" applyFill="1" applyBorder="1" applyAlignment="1">
      <alignment horizontal="center"/>
    </xf>
    <xf numFmtId="166" fontId="1" fillId="3" borderId="1" xfId="0" applyNumberFormat="1" applyFont="1" applyFill="1" applyBorder="1"/>
    <xf numFmtId="0" fontId="1" fillId="0" borderId="0" xfId="0" applyFont="1" applyAlignment="1">
      <alignment vertical="center" textRotation="90"/>
    </xf>
    <xf numFmtId="3" fontId="1" fillId="0" borderId="1" xfId="0" applyNumberFormat="1" applyFont="1" applyBorder="1"/>
    <xf numFmtId="3" fontId="1" fillId="4" borderId="1" xfId="0" applyNumberFormat="1" applyFont="1" applyFill="1" applyBorder="1"/>
    <xf numFmtId="4" fontId="1" fillId="5" borderId="1" xfId="0" applyNumberFormat="1" applyFont="1" applyFill="1" applyBorder="1"/>
    <xf numFmtId="10" fontId="1" fillId="5" borderId="1" xfId="0" applyNumberFormat="1" applyFont="1" applyFill="1" applyBorder="1"/>
    <xf numFmtId="4" fontId="2" fillId="5" borderId="1" xfId="0" applyNumberFormat="1" applyFont="1" applyFill="1" applyBorder="1"/>
    <xf numFmtId="165" fontId="1" fillId="4" borderId="1" xfId="1" applyNumberFormat="1" applyFont="1" applyFill="1" applyBorder="1" applyAlignment="1">
      <alignment horizontal="left" indent="3"/>
    </xf>
    <xf numFmtId="165" fontId="1" fillId="0" borderId="1" xfId="1" applyNumberFormat="1" applyFont="1" applyFill="1" applyBorder="1" applyAlignment="1">
      <alignment horizontal="left" indent="3"/>
    </xf>
    <xf numFmtId="3" fontId="1" fillId="0" borderId="1" xfId="1" applyNumberFormat="1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1" fillId="0" borderId="1" xfId="1" applyNumberFormat="1" applyFont="1" applyFill="1" applyBorder="1" applyAlignment="1">
      <alignment horizontal="left" wrapText="1" indent="3"/>
    </xf>
    <xf numFmtId="0" fontId="1" fillId="0" borderId="1" xfId="0" applyFont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indent="3"/>
      <protection locked="0"/>
    </xf>
    <xf numFmtId="0" fontId="1" fillId="4" borderId="1" xfId="0" applyFont="1" applyFill="1" applyBorder="1" applyAlignment="1" applyProtection="1">
      <alignment horizontal="left" indent="3"/>
      <protection locked="0"/>
    </xf>
    <xf numFmtId="3" fontId="2" fillId="0" borderId="1" xfId="0" applyNumberFormat="1" applyFont="1" applyBorder="1"/>
    <xf numFmtId="3" fontId="1" fillId="4" borderId="1" xfId="1" applyNumberFormat="1" applyFont="1" applyFill="1" applyBorder="1"/>
    <xf numFmtId="3" fontId="1" fillId="5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" fontId="2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left" vertical="top" indent="4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4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/>
    <xf numFmtId="3" fontId="2" fillId="0" borderId="1" xfId="0" applyNumberFormat="1" applyFont="1" applyFill="1" applyBorder="1"/>
    <xf numFmtId="0" fontId="1" fillId="0" borderId="0" xfId="0" applyFont="1" applyFill="1" applyAlignment="1">
      <alignment horizontal="left" wrapText="1"/>
    </xf>
  </cellXfs>
  <cellStyles count="2">
    <cellStyle name="Calc_numbers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mteva\Downloads\&#1060;&#1052;_&#1058;&#1050;&#1054;_&#1050;&#1086;&#1088;&#1103;&#1078;&#1084;&#1072;_70_&#1050;&#1043;_95%25_&#1086;&#1090;%2025.04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финплан для региона"/>
      <sheetName val="Итоги"/>
      <sheetName val="PL CF"/>
      <sheetName val="Вводные"/>
      <sheetName val="Смета"/>
      <sheetName val="Поясн зап"/>
      <sheetName val="Числ.от АЦТ "/>
      <sheetName val="ПП"/>
      <sheetName val="Кредит"/>
      <sheetName val="ДПР"/>
      <sheetName val="доли КГ для бюджета"/>
      <sheetName val="Сарех"/>
      <sheetName val="ГСМ"/>
      <sheetName val="сарех от ПИР"/>
      <sheetName val="плата негат возд"/>
      <sheetName val="БГ"/>
      <sheetName val="страх"/>
      <sheetName val="исх.д."/>
      <sheetName val="Стресс-тест"/>
      <sheetName val="Плата граждан"/>
      <sheetName val="БЭ"/>
      <sheetName val="СП"/>
      <sheetName val="BS"/>
      <sheetName val="Показател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5">
          <cell r="D55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5"/>
  <cols>
    <col min="1" max="1" width="48.140625" style="60" customWidth="1"/>
    <col min="2" max="2" width="87.5703125" style="60" customWidth="1"/>
    <col min="3" max="3" width="14.5703125" style="60" customWidth="1"/>
    <col min="4" max="4" width="15.85546875" style="60" customWidth="1"/>
    <col min="5" max="5" width="16.140625" style="60" customWidth="1"/>
    <col min="6" max="6" width="15.85546875" style="60" customWidth="1"/>
    <col min="7" max="7" width="11.5703125" style="60" bestFit="1" customWidth="1"/>
    <col min="8" max="16384" width="9.140625" style="60"/>
  </cols>
  <sheetData>
    <row r="1" spans="1:7">
      <c r="E1" s="60" t="s">
        <v>50</v>
      </c>
    </row>
    <row r="2" spans="1:7">
      <c r="E2" s="60" t="s">
        <v>51</v>
      </c>
    </row>
    <row r="4" spans="1:7" ht="39.75" customHeight="1">
      <c r="A4" s="59" t="s">
        <v>44</v>
      </c>
      <c r="B4" s="59"/>
      <c r="C4" s="59"/>
      <c r="D4" s="59"/>
      <c r="E4" s="59"/>
      <c r="F4" s="59"/>
    </row>
    <row r="5" spans="1:7" ht="37.5" customHeight="1">
      <c r="A5" s="61" t="s">
        <v>49</v>
      </c>
      <c r="B5" s="61"/>
      <c r="C5" s="61"/>
      <c r="D5" s="61"/>
      <c r="E5" s="61"/>
      <c r="F5" s="61"/>
    </row>
    <row r="6" spans="1:7">
      <c r="F6" s="62" t="s">
        <v>12</v>
      </c>
    </row>
    <row r="7" spans="1:7">
      <c r="A7" s="63" t="s">
        <v>42</v>
      </c>
      <c r="B7" s="63" t="s">
        <v>43</v>
      </c>
      <c r="C7" s="64">
        <v>2022</v>
      </c>
      <c r="D7" s="64">
        <v>2023</v>
      </c>
      <c r="E7" s="64">
        <v>2024</v>
      </c>
      <c r="F7" s="64" t="s">
        <v>2</v>
      </c>
    </row>
    <row r="8" spans="1:7" ht="15" customHeight="1">
      <c r="A8" s="65" t="s">
        <v>9</v>
      </c>
      <c r="B8" s="66" t="s">
        <v>3</v>
      </c>
      <c r="C8" s="67">
        <f t="shared" ref="C8:E8" si="0">C9*1.2</f>
        <v>316283368.42105258</v>
      </c>
      <c r="D8" s="67">
        <f t="shared" si="0"/>
        <v>664825263.15789473</v>
      </c>
      <c r="E8" s="67">
        <f t="shared" si="0"/>
        <v>697402105.26315773</v>
      </c>
      <c r="F8" s="67">
        <f>F9*1.2</f>
        <v>1678510736.8421052</v>
      </c>
    </row>
    <row r="9" spans="1:7">
      <c r="A9" s="68"/>
      <c r="B9" s="66" t="s">
        <v>4</v>
      </c>
      <c r="C9" s="67">
        <f t="shared" ref="C9:E9" si="1">C11/95*100</f>
        <v>263569473.68421051</v>
      </c>
      <c r="D9" s="67">
        <f t="shared" si="1"/>
        <v>554021052.63157892</v>
      </c>
      <c r="E9" s="67">
        <f t="shared" si="1"/>
        <v>581168421.0526315</v>
      </c>
      <c r="F9" s="67">
        <f>F11/95*100</f>
        <v>1398758947.3684211</v>
      </c>
      <c r="G9" s="69"/>
    </row>
    <row r="10" spans="1:7">
      <c r="A10" s="68"/>
      <c r="B10" s="66" t="s">
        <v>15</v>
      </c>
      <c r="C10" s="67">
        <f>C8-C9</f>
        <v>52713894.736842066</v>
      </c>
      <c r="D10" s="67">
        <f t="shared" ref="D10:F10" si="2">D8-D9</f>
        <v>110804210.52631581</v>
      </c>
      <c r="E10" s="67">
        <f t="shared" si="2"/>
        <v>116233684.21052623</v>
      </c>
      <c r="F10" s="67">
        <f t="shared" si="2"/>
        <v>279751789.47368407</v>
      </c>
      <c r="G10" s="69"/>
    </row>
    <row r="11" spans="1:7">
      <c r="A11" s="68"/>
      <c r="B11" s="66" t="s">
        <v>5</v>
      </c>
      <c r="C11" s="67">
        <f>SUM(C12:C13)</f>
        <v>250391000</v>
      </c>
      <c r="D11" s="67">
        <f>SUM(D12:D13)</f>
        <v>526320000</v>
      </c>
      <c r="E11" s="67">
        <f>SUM(E12:E13)</f>
        <v>552110000</v>
      </c>
      <c r="F11" s="67">
        <v>1328821000</v>
      </c>
    </row>
    <row r="12" spans="1:7" s="71" customFormat="1">
      <c r="A12" s="68"/>
      <c r="B12" s="70" t="s">
        <v>0</v>
      </c>
      <c r="C12" s="67">
        <v>245383000</v>
      </c>
      <c r="D12" s="67">
        <v>515794000</v>
      </c>
      <c r="E12" s="67">
        <v>541068000</v>
      </c>
      <c r="F12" s="67">
        <f>SUM(C12:E12)</f>
        <v>1302245000</v>
      </c>
    </row>
    <row r="13" spans="1:7" s="71" customFormat="1">
      <c r="A13" s="68"/>
      <c r="B13" s="70" t="s">
        <v>1</v>
      </c>
      <c r="C13" s="67">
        <v>5008000</v>
      </c>
      <c r="D13" s="67">
        <v>10526000</v>
      </c>
      <c r="E13" s="67">
        <v>11042000</v>
      </c>
      <c r="F13" s="67">
        <f>SUM(C13:E13)</f>
        <v>26576000</v>
      </c>
    </row>
    <row r="14" spans="1:7" s="71" customFormat="1">
      <c r="A14" s="68"/>
      <c r="B14" s="70" t="s">
        <v>14</v>
      </c>
      <c r="C14" s="67">
        <f>C9*0.0718</f>
        <v>18924288.210526314</v>
      </c>
      <c r="D14" s="67">
        <f t="shared" ref="D14:E14" si="3">D9*0.0718</f>
        <v>39778711.578947365</v>
      </c>
      <c r="E14" s="67">
        <f t="shared" si="3"/>
        <v>41727892.631578945</v>
      </c>
      <c r="F14" s="67">
        <f>F9*0.0718+1</f>
        <v>100430893.42105263</v>
      </c>
    </row>
    <row r="15" spans="1:7" s="71" customFormat="1">
      <c r="A15" s="68"/>
      <c r="B15" s="72" t="s">
        <v>13</v>
      </c>
      <c r="C15" s="67">
        <f>C9*0.05</f>
        <v>13178473.684210526</v>
      </c>
      <c r="D15" s="67">
        <f t="shared" ref="D15:F15" si="4">D9*0.05</f>
        <v>27701052.631578948</v>
      </c>
      <c r="E15" s="67">
        <f t="shared" si="4"/>
        <v>29058421.052631576</v>
      </c>
      <c r="F15" s="67">
        <f t="shared" si="4"/>
        <v>69937947.368421063</v>
      </c>
    </row>
    <row r="16" spans="1:7" s="71" customFormat="1" ht="36" customHeight="1">
      <c r="A16" s="73"/>
      <c r="B16" s="74" t="s">
        <v>19</v>
      </c>
      <c r="C16" s="67">
        <f>C9*0.0218</f>
        <v>5745814.5263157887</v>
      </c>
      <c r="D16" s="67">
        <f t="shared" ref="D16:F16" si="5">D9*0.0218</f>
        <v>12077658.947368421</v>
      </c>
      <c r="E16" s="67">
        <f t="shared" si="5"/>
        <v>12669471.578947367</v>
      </c>
      <c r="F16" s="67">
        <f t="shared" si="5"/>
        <v>30492945.052631579</v>
      </c>
    </row>
    <row r="17" spans="1:7" s="71" customFormat="1" ht="6.75" customHeight="1">
      <c r="A17" s="75"/>
      <c r="B17" s="70"/>
      <c r="C17" s="67"/>
      <c r="D17" s="67"/>
      <c r="E17" s="67"/>
      <c r="F17" s="67"/>
    </row>
    <row r="18" spans="1:7" ht="15" customHeight="1">
      <c r="A18" s="65" t="s">
        <v>10</v>
      </c>
      <c r="B18" s="66" t="s">
        <v>3</v>
      </c>
      <c r="C18" s="67">
        <f t="shared" ref="C18:E18" si="6">C19*1.2</f>
        <v>339405473.68421048</v>
      </c>
      <c r="D18" s="67">
        <f t="shared" si="6"/>
        <v>713429052.63157892</v>
      </c>
      <c r="E18" s="67">
        <f t="shared" si="6"/>
        <v>748385684.21052635</v>
      </c>
      <c r="F18" s="67">
        <f>F19*1.2</f>
        <v>1801220210.5263155</v>
      </c>
    </row>
    <row r="19" spans="1:7">
      <c r="A19" s="68"/>
      <c r="B19" s="66" t="s">
        <v>4</v>
      </c>
      <c r="C19" s="67">
        <f t="shared" ref="C19:E19" si="7">C21/95*100</f>
        <v>282837894.7368421</v>
      </c>
      <c r="D19" s="67">
        <f t="shared" si="7"/>
        <v>594524210.52631581</v>
      </c>
      <c r="E19" s="67">
        <f t="shared" si="7"/>
        <v>623654736.84210527</v>
      </c>
      <c r="F19" s="67">
        <f>F21/95*100</f>
        <v>1501016842.105263</v>
      </c>
    </row>
    <row r="20" spans="1:7">
      <c r="A20" s="68"/>
      <c r="B20" s="66" t="s">
        <v>15</v>
      </c>
      <c r="C20" s="67">
        <f>C18-C19</f>
        <v>56567578.947368383</v>
      </c>
      <c r="D20" s="67">
        <f t="shared" ref="D20:F20" si="8">D18-D19</f>
        <v>118904842.10526311</v>
      </c>
      <c r="E20" s="67">
        <f t="shared" si="8"/>
        <v>124730947.36842108</v>
      </c>
      <c r="F20" s="67">
        <f t="shared" si="8"/>
        <v>300203368.42105246</v>
      </c>
      <c r="G20" s="69"/>
    </row>
    <row r="21" spans="1:7">
      <c r="A21" s="68"/>
      <c r="B21" s="66" t="s">
        <v>5</v>
      </c>
      <c r="C21" s="67">
        <f>SUM(C22:C23)</f>
        <v>268696000</v>
      </c>
      <c r="D21" s="67">
        <f>SUM(D22:D23)</f>
        <v>564798000</v>
      </c>
      <c r="E21" s="67">
        <f>SUM(E22:E23)</f>
        <v>592472000</v>
      </c>
      <c r="F21" s="67">
        <v>1425966000</v>
      </c>
    </row>
    <row r="22" spans="1:7" s="71" customFormat="1">
      <c r="A22" s="68"/>
      <c r="B22" s="70" t="s">
        <v>0</v>
      </c>
      <c r="C22" s="67">
        <v>263322000</v>
      </c>
      <c r="D22" s="67">
        <v>553502000</v>
      </c>
      <c r="E22" s="67">
        <v>580623000</v>
      </c>
      <c r="F22" s="67">
        <f>SUM(C22:E22)</f>
        <v>1397447000</v>
      </c>
    </row>
    <row r="23" spans="1:7">
      <c r="A23" s="68"/>
      <c r="B23" s="70" t="s">
        <v>1</v>
      </c>
      <c r="C23" s="67">
        <v>5374000</v>
      </c>
      <c r="D23" s="67">
        <v>11296000</v>
      </c>
      <c r="E23" s="67">
        <v>11849000</v>
      </c>
      <c r="F23" s="67">
        <f>SUM(C23:E23)</f>
        <v>28519000</v>
      </c>
    </row>
    <row r="24" spans="1:7">
      <c r="A24" s="68"/>
      <c r="B24" s="70" t="s">
        <v>16</v>
      </c>
      <c r="C24" s="67">
        <f t="shared" ref="C24:E24" si="9">C19*0.0665</f>
        <v>18808720</v>
      </c>
      <c r="D24" s="67">
        <f t="shared" si="9"/>
        <v>39535860</v>
      </c>
      <c r="E24" s="67">
        <f t="shared" si="9"/>
        <v>41473040</v>
      </c>
      <c r="F24" s="67">
        <f>F19*0.0665</f>
        <v>99817620</v>
      </c>
    </row>
    <row r="25" spans="1:7" s="71" customFormat="1">
      <c r="A25" s="68"/>
      <c r="B25" s="72" t="s">
        <v>13</v>
      </c>
      <c r="C25" s="67">
        <f>C19*0.05</f>
        <v>14141894.736842105</v>
      </c>
      <c r="D25" s="67">
        <f t="shared" ref="D25:F25" si="10">D19*0.05</f>
        <v>29726210.526315793</v>
      </c>
      <c r="E25" s="67">
        <f t="shared" si="10"/>
        <v>31182736.842105266</v>
      </c>
      <c r="F25" s="67">
        <f t="shared" si="10"/>
        <v>75050842.105263159</v>
      </c>
    </row>
    <row r="26" spans="1:7" s="71" customFormat="1" ht="39" customHeight="1">
      <c r="A26" s="73"/>
      <c r="B26" s="74" t="s">
        <v>18</v>
      </c>
      <c r="C26" s="67">
        <f>C19*0.0165</f>
        <v>4666825.2631578948</v>
      </c>
      <c r="D26" s="67">
        <f t="shared" ref="D26:F26" si="11">D19*0.0165</f>
        <v>9809649.4736842122</v>
      </c>
      <c r="E26" s="67">
        <f t="shared" si="11"/>
        <v>10290303.157894738</v>
      </c>
      <c r="F26" s="67">
        <f t="shared" si="11"/>
        <v>24766777.894736841</v>
      </c>
    </row>
    <row r="27" spans="1:7" ht="6" customHeight="1">
      <c r="A27" s="76"/>
      <c r="B27" s="66"/>
      <c r="C27" s="67"/>
      <c r="D27" s="67"/>
      <c r="E27" s="67"/>
      <c r="F27" s="67"/>
    </row>
    <row r="28" spans="1:7" ht="15" customHeight="1">
      <c r="A28" s="65" t="s">
        <v>11</v>
      </c>
      <c r="B28" s="66" t="s">
        <v>3</v>
      </c>
      <c r="C28" s="67"/>
      <c r="D28" s="67">
        <f t="shared" ref="D28:E28" si="12">D29*1.2</f>
        <v>1807471578.9473681</v>
      </c>
      <c r="E28" s="67">
        <f t="shared" si="12"/>
        <v>1896039157.8947368</v>
      </c>
      <c r="F28" s="67">
        <f>F29*1.2</f>
        <v>3703510736.8421054</v>
      </c>
      <c r="G28" s="60" t="s">
        <v>8</v>
      </c>
    </row>
    <row r="29" spans="1:7">
      <c r="A29" s="68"/>
      <c r="B29" s="66" t="s">
        <v>4</v>
      </c>
      <c r="C29" s="67"/>
      <c r="D29" s="67">
        <f t="shared" ref="D29:E29" si="13">D31/95*100</f>
        <v>1506226315.7894735</v>
      </c>
      <c r="E29" s="67">
        <f t="shared" si="13"/>
        <v>1580032631.5789473</v>
      </c>
      <c r="F29" s="67">
        <f>F31/95*100</f>
        <v>3086258947.3684211</v>
      </c>
    </row>
    <row r="30" spans="1:7">
      <c r="A30" s="68"/>
      <c r="B30" s="66" t="s">
        <v>15</v>
      </c>
      <c r="C30" s="67"/>
      <c r="D30" s="67">
        <f t="shared" ref="D30:F30" si="14">D28-D29</f>
        <v>301245263.15789461</v>
      </c>
      <c r="E30" s="67">
        <f t="shared" si="14"/>
        <v>316006526.31578946</v>
      </c>
      <c r="F30" s="67">
        <f t="shared" si="14"/>
        <v>617251789.47368431</v>
      </c>
      <c r="G30" s="69"/>
    </row>
    <row r="31" spans="1:7">
      <c r="A31" s="68"/>
      <c r="B31" s="66" t="s">
        <v>5</v>
      </c>
      <c r="C31" s="67"/>
      <c r="D31" s="67">
        <f>SUM(D32:D33)</f>
        <v>1430915000</v>
      </c>
      <c r="E31" s="67">
        <f>SUM(E32:E33)</f>
        <v>1501031000</v>
      </c>
      <c r="F31" s="67">
        <v>2931946000</v>
      </c>
    </row>
    <row r="32" spans="1:7">
      <c r="A32" s="68"/>
      <c r="B32" s="70" t="s">
        <v>0</v>
      </c>
      <c r="C32" s="67"/>
      <c r="D32" s="67">
        <v>1402297000</v>
      </c>
      <c r="E32" s="67">
        <v>1471010000</v>
      </c>
      <c r="F32" s="67">
        <f>SUM(D32:E32)</f>
        <v>2873307000</v>
      </c>
    </row>
    <row r="33" spans="1:6">
      <c r="A33" s="68"/>
      <c r="B33" s="70" t="s">
        <v>1</v>
      </c>
      <c r="C33" s="67"/>
      <c r="D33" s="67">
        <v>28618000</v>
      </c>
      <c r="E33" s="67">
        <v>30021000</v>
      </c>
      <c r="F33" s="67">
        <f>SUM(D33:E33)</f>
        <v>58639000</v>
      </c>
    </row>
    <row r="34" spans="1:6">
      <c r="A34" s="68"/>
      <c r="B34" s="70" t="s">
        <v>17</v>
      </c>
      <c r="C34" s="67">
        <v>3634000</v>
      </c>
      <c r="D34" s="67">
        <f t="shared" ref="D34:E34" si="15">D29*0.065</f>
        <v>97904710.526315778</v>
      </c>
      <c r="E34" s="67">
        <f t="shared" si="15"/>
        <v>102702121.05263157</v>
      </c>
      <c r="F34" s="67">
        <f>SUM(C34:E34)</f>
        <v>204240831.57894737</v>
      </c>
    </row>
    <row r="35" spans="1:6" s="71" customFormat="1">
      <c r="A35" s="68"/>
      <c r="B35" s="72" t="s">
        <v>13</v>
      </c>
      <c r="C35" s="67">
        <v>2795000</v>
      </c>
      <c r="D35" s="67">
        <f t="shared" ref="D35:E35" si="16">D29*0.05</f>
        <v>75311315.789473683</v>
      </c>
      <c r="E35" s="67">
        <f t="shared" si="16"/>
        <v>79001631.578947365</v>
      </c>
      <c r="F35" s="67">
        <f>SUM(C35:E35)</f>
        <v>157107947.36842105</v>
      </c>
    </row>
    <row r="36" spans="1:6" s="71" customFormat="1" ht="33.75" customHeight="1">
      <c r="A36" s="73"/>
      <c r="B36" s="74" t="s">
        <v>20</v>
      </c>
      <c r="C36" s="67">
        <v>839000</v>
      </c>
      <c r="D36" s="67">
        <f t="shared" ref="D36:E36" si="17">D29*0.015</f>
        <v>22593394.736842103</v>
      </c>
      <c r="E36" s="67">
        <f t="shared" si="17"/>
        <v>23700489.47368421</v>
      </c>
      <c r="F36" s="67">
        <f>SUM(C36:E36)</f>
        <v>47132884.210526317</v>
      </c>
    </row>
    <row r="37" spans="1:6">
      <c r="B37" s="77" t="s">
        <v>6</v>
      </c>
      <c r="C37" s="78">
        <f>C13+C23+C33</f>
        <v>10382000</v>
      </c>
      <c r="D37" s="78">
        <f t="shared" ref="D37:F38" si="18">D13+D23+D33</f>
        <v>50440000</v>
      </c>
      <c r="E37" s="78">
        <f t="shared" si="18"/>
        <v>52912000</v>
      </c>
      <c r="F37" s="78">
        <f t="shared" si="18"/>
        <v>113734000</v>
      </c>
    </row>
    <row r="38" spans="1:6">
      <c r="B38" s="77" t="s">
        <v>7</v>
      </c>
      <c r="C38" s="78">
        <f>C14+C24+C34</f>
        <v>41367008.210526317</v>
      </c>
      <c r="D38" s="78">
        <v>177219283</v>
      </c>
      <c r="E38" s="78">
        <f t="shared" si="18"/>
        <v>185903053.68421054</v>
      </c>
      <c r="F38" s="78">
        <f>F14+F24+F34</f>
        <v>404489345</v>
      </c>
    </row>
    <row r="40" spans="1:6">
      <c r="D40" s="69"/>
    </row>
    <row r="42" spans="1:6" ht="32.25" customHeight="1">
      <c r="A42" s="79"/>
      <c r="B42" s="79"/>
    </row>
  </sheetData>
  <mergeCells count="6">
    <mergeCell ref="A4:F4"/>
    <mergeCell ref="A8:A16"/>
    <mergeCell ref="A18:A26"/>
    <mergeCell ref="A28:A36"/>
    <mergeCell ref="A42:B42"/>
    <mergeCell ref="A5:F5"/>
  </mergeCells>
  <pageMargins left="0.51181102362204722" right="0.51181102362204722" top="0.74803149606299213" bottom="0.35433070866141736" header="0.31496062992125984" footer="0.31496062992125984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view="pageBreakPreview" zoomScaleNormal="100" zoomScaleSheetLayoutView="10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A35" sqref="A35"/>
    </sheetView>
  </sheetViews>
  <sheetFormatPr defaultRowHeight="15"/>
  <cols>
    <col min="1" max="1" width="40.7109375" style="1" customWidth="1"/>
    <col min="2" max="2" width="50" style="1" customWidth="1"/>
    <col min="3" max="3" width="14.5703125" style="1" customWidth="1"/>
    <col min="4" max="4" width="15.85546875" style="1" customWidth="1"/>
    <col min="5" max="5" width="16.140625" style="1" customWidth="1"/>
    <col min="6" max="6" width="15.85546875" style="1" customWidth="1"/>
    <col min="7" max="7" width="11.5703125" style="1" bestFit="1" customWidth="1"/>
    <col min="8" max="16384" width="9.140625" style="1"/>
  </cols>
  <sheetData>
    <row r="1" spans="1:7" ht="39.75" customHeight="1">
      <c r="A1" s="52" t="s">
        <v>44</v>
      </c>
      <c r="B1" s="52"/>
      <c r="C1" s="52"/>
      <c r="D1" s="52"/>
      <c r="E1" s="52"/>
      <c r="F1" s="52"/>
    </row>
    <row r="3" spans="1:7">
      <c r="F3" s="46" t="s">
        <v>12</v>
      </c>
    </row>
    <row r="4" spans="1:7">
      <c r="A4" s="33" t="s">
        <v>42</v>
      </c>
      <c r="B4" s="33" t="s">
        <v>43</v>
      </c>
      <c r="C4" s="8">
        <v>2022</v>
      </c>
      <c r="D4" s="8">
        <v>2023</v>
      </c>
      <c r="E4" s="8">
        <v>2024</v>
      </c>
      <c r="F4" s="8" t="s">
        <v>2</v>
      </c>
    </row>
    <row r="5" spans="1:7" ht="15" customHeight="1">
      <c r="A5" s="48" t="s">
        <v>9</v>
      </c>
      <c r="B5" s="3" t="s">
        <v>3</v>
      </c>
      <c r="C5" s="7">
        <f t="shared" ref="C5:E5" si="0">C6*1.2</f>
        <v>316283368.42105258</v>
      </c>
      <c r="D5" s="7">
        <f t="shared" si="0"/>
        <v>664825263.15789473</v>
      </c>
      <c r="E5" s="7">
        <f t="shared" si="0"/>
        <v>697402105.26315773</v>
      </c>
      <c r="F5" s="7">
        <f>F6*1.2</f>
        <v>1678510736.8421052</v>
      </c>
    </row>
    <row r="6" spans="1:7">
      <c r="A6" s="49"/>
      <c r="B6" s="3" t="s">
        <v>4</v>
      </c>
      <c r="C6" s="7">
        <f t="shared" ref="C6:E6" si="1">C8/95*100</f>
        <v>263569473.68421051</v>
      </c>
      <c r="D6" s="7">
        <f t="shared" si="1"/>
        <v>554021052.63157892</v>
      </c>
      <c r="E6" s="7">
        <f t="shared" si="1"/>
        <v>581168421.0526315</v>
      </c>
      <c r="F6" s="7">
        <f>F8/95*100</f>
        <v>1398758947.3684211</v>
      </c>
      <c r="G6" s="12"/>
    </row>
    <row r="7" spans="1:7">
      <c r="A7" s="49"/>
      <c r="B7" s="3" t="s">
        <v>15</v>
      </c>
      <c r="C7" s="7">
        <f>C5-C6</f>
        <v>52713894.736842066</v>
      </c>
      <c r="D7" s="7">
        <f t="shared" ref="D7:F7" si="2">D5-D6</f>
        <v>110804210.52631581</v>
      </c>
      <c r="E7" s="7">
        <f t="shared" si="2"/>
        <v>116233684.21052623</v>
      </c>
      <c r="F7" s="7">
        <f t="shared" si="2"/>
        <v>279751789.47368407</v>
      </c>
      <c r="G7" s="12"/>
    </row>
    <row r="8" spans="1:7">
      <c r="A8" s="49"/>
      <c r="B8" s="9" t="s">
        <v>5</v>
      </c>
      <c r="C8" s="10">
        <f>SUM(C9:C10)</f>
        <v>250391000</v>
      </c>
      <c r="D8" s="10">
        <f>SUM(D9:D10)</f>
        <v>526320000</v>
      </c>
      <c r="E8" s="10">
        <f>SUM(E9:E10)</f>
        <v>552110000</v>
      </c>
      <c r="F8" s="10">
        <v>1328821000</v>
      </c>
    </row>
    <row r="9" spans="1:7" s="2" customFormat="1">
      <c r="A9" s="49"/>
      <c r="B9" s="4" t="s">
        <v>0</v>
      </c>
      <c r="C9" s="7">
        <v>245383000</v>
      </c>
      <c r="D9" s="7">
        <v>515794000</v>
      </c>
      <c r="E9" s="7">
        <v>541068000</v>
      </c>
      <c r="F9" s="7">
        <f>SUM(C9:E9)</f>
        <v>1302245000</v>
      </c>
    </row>
    <row r="10" spans="1:7" s="2" customFormat="1">
      <c r="A10" s="49"/>
      <c r="B10" s="4" t="s">
        <v>1</v>
      </c>
      <c r="C10" s="7">
        <v>5008000</v>
      </c>
      <c r="D10" s="7">
        <v>10526000</v>
      </c>
      <c r="E10" s="7">
        <v>11042000</v>
      </c>
      <c r="F10" s="7">
        <f>SUM(C10:E10)</f>
        <v>26576000</v>
      </c>
    </row>
    <row r="11" spans="1:7" s="2" customFormat="1">
      <c r="A11" s="49"/>
      <c r="B11" s="4" t="s">
        <v>14</v>
      </c>
      <c r="C11" s="7">
        <f>C6*0.0718</f>
        <v>18924288.210526314</v>
      </c>
      <c r="D11" s="7">
        <f t="shared" ref="D11:E11" si="3">D6*0.0718</f>
        <v>39778711.578947365</v>
      </c>
      <c r="E11" s="7">
        <f t="shared" si="3"/>
        <v>41727892.631578945</v>
      </c>
      <c r="F11" s="7">
        <f>F6*0.0718</f>
        <v>100430892.42105263</v>
      </c>
    </row>
    <row r="12" spans="1:7" s="2" customFormat="1">
      <c r="A12" s="49"/>
      <c r="B12" s="13" t="s">
        <v>13</v>
      </c>
      <c r="C12" s="7">
        <f>C6*0.05</f>
        <v>13178473.684210526</v>
      </c>
      <c r="D12" s="7">
        <f t="shared" ref="D12:F12" si="4">D6*0.05</f>
        <v>27701052.631578948</v>
      </c>
      <c r="E12" s="7">
        <f t="shared" si="4"/>
        <v>29058421.052631576</v>
      </c>
      <c r="F12" s="7">
        <f t="shared" si="4"/>
        <v>69937947.368421063</v>
      </c>
    </row>
    <row r="13" spans="1:7" s="2" customFormat="1" ht="74.25" customHeight="1">
      <c r="A13" s="50"/>
      <c r="B13" s="14" t="s">
        <v>19</v>
      </c>
      <c r="C13" s="7">
        <f>C6*0.0218</f>
        <v>5745814.5263157887</v>
      </c>
      <c r="D13" s="7">
        <f t="shared" ref="D13:F13" si="5">D6*0.0218</f>
        <v>12077658.947368421</v>
      </c>
      <c r="E13" s="7">
        <f t="shared" si="5"/>
        <v>12669471.578947367</v>
      </c>
      <c r="F13" s="7">
        <f t="shared" si="5"/>
        <v>30492945.052631579</v>
      </c>
    </row>
    <row r="14" spans="1:7" s="2" customFormat="1" ht="6.75" customHeight="1">
      <c r="A14" s="5"/>
      <c r="B14" s="4"/>
      <c r="C14" s="7"/>
      <c r="D14" s="7"/>
      <c r="E14" s="7"/>
      <c r="F14" s="7"/>
    </row>
    <row r="15" spans="1:7" ht="15" customHeight="1">
      <c r="A15" s="48" t="s">
        <v>10</v>
      </c>
      <c r="B15" s="3" t="s">
        <v>3</v>
      </c>
      <c r="C15" s="7">
        <f t="shared" ref="C15:E15" si="6">C16*1.2</f>
        <v>339405473.68421048</v>
      </c>
      <c r="D15" s="7">
        <f t="shared" si="6"/>
        <v>713429052.63157892</v>
      </c>
      <c r="E15" s="7">
        <f t="shared" si="6"/>
        <v>748385684.21052635</v>
      </c>
      <c r="F15" s="7">
        <f>F16*1.2</f>
        <v>1801220210.5263155</v>
      </c>
    </row>
    <row r="16" spans="1:7">
      <c r="A16" s="49"/>
      <c r="B16" s="3" t="s">
        <v>4</v>
      </c>
      <c r="C16" s="7">
        <f t="shared" ref="C16:E16" si="7">C18/95*100</f>
        <v>282837894.7368421</v>
      </c>
      <c r="D16" s="7">
        <f t="shared" si="7"/>
        <v>594524210.52631581</v>
      </c>
      <c r="E16" s="7">
        <f t="shared" si="7"/>
        <v>623654736.84210527</v>
      </c>
      <c r="F16" s="7">
        <f>F18/95*100</f>
        <v>1501016842.105263</v>
      </c>
    </row>
    <row r="17" spans="1:7">
      <c r="A17" s="49"/>
      <c r="B17" s="3" t="s">
        <v>15</v>
      </c>
      <c r="C17" s="7">
        <f>C15-C16</f>
        <v>56567578.947368383</v>
      </c>
      <c r="D17" s="7">
        <f t="shared" ref="D17:F17" si="8">D15-D16</f>
        <v>118904842.10526311</v>
      </c>
      <c r="E17" s="7">
        <f t="shared" si="8"/>
        <v>124730947.36842108</v>
      </c>
      <c r="F17" s="7">
        <f t="shared" si="8"/>
        <v>300203368.42105246</v>
      </c>
      <c r="G17" s="12"/>
    </row>
    <row r="18" spans="1:7">
      <c r="A18" s="49"/>
      <c r="B18" s="9" t="s">
        <v>5</v>
      </c>
      <c r="C18" s="10">
        <f>SUM(C19:C20)</f>
        <v>268696000</v>
      </c>
      <c r="D18" s="10">
        <f>SUM(D19:D20)</f>
        <v>564798000</v>
      </c>
      <c r="E18" s="10">
        <f>SUM(E19:E20)</f>
        <v>592472000</v>
      </c>
      <c r="F18" s="10">
        <v>1425966000</v>
      </c>
    </row>
    <row r="19" spans="1:7" s="2" customFormat="1">
      <c r="A19" s="49"/>
      <c r="B19" s="4" t="s">
        <v>0</v>
      </c>
      <c r="C19" s="7">
        <v>263322000</v>
      </c>
      <c r="D19" s="7">
        <v>553502000</v>
      </c>
      <c r="E19" s="7">
        <v>580623000</v>
      </c>
      <c r="F19" s="7">
        <f>SUM(C19:E19)</f>
        <v>1397447000</v>
      </c>
    </row>
    <row r="20" spans="1:7">
      <c r="A20" s="49"/>
      <c r="B20" s="4" t="s">
        <v>1</v>
      </c>
      <c r="C20" s="7">
        <v>5374000</v>
      </c>
      <c r="D20" s="7">
        <v>11296000</v>
      </c>
      <c r="E20" s="7">
        <v>11849000</v>
      </c>
      <c r="F20" s="7">
        <f>SUM(C20:E20)</f>
        <v>28519000</v>
      </c>
    </row>
    <row r="21" spans="1:7">
      <c r="A21" s="49"/>
      <c r="B21" s="4" t="s">
        <v>16</v>
      </c>
      <c r="C21" s="7">
        <f t="shared" ref="C21:E21" si="9">C16*0.0665</f>
        <v>18808720</v>
      </c>
      <c r="D21" s="7">
        <f t="shared" si="9"/>
        <v>39535860</v>
      </c>
      <c r="E21" s="7">
        <f t="shared" si="9"/>
        <v>41473040</v>
      </c>
      <c r="F21" s="7">
        <f>F16*0.0665</f>
        <v>99817620</v>
      </c>
    </row>
    <row r="22" spans="1:7" s="2" customFormat="1">
      <c r="A22" s="49"/>
      <c r="B22" s="13" t="s">
        <v>13</v>
      </c>
      <c r="C22" s="7">
        <f>C16*0.05</f>
        <v>14141894.736842105</v>
      </c>
      <c r="D22" s="7">
        <f t="shared" ref="D22:F22" si="10">D16*0.05</f>
        <v>29726210.526315793</v>
      </c>
      <c r="E22" s="7">
        <f t="shared" si="10"/>
        <v>31182736.842105266</v>
      </c>
      <c r="F22" s="7">
        <f t="shared" si="10"/>
        <v>75050842.105263159</v>
      </c>
    </row>
    <row r="23" spans="1:7" s="2" customFormat="1" ht="75" customHeight="1">
      <c r="A23" s="50"/>
      <c r="B23" s="14" t="s">
        <v>18</v>
      </c>
      <c r="C23" s="7">
        <f>C16*0.0165</f>
        <v>4666825.2631578948</v>
      </c>
      <c r="D23" s="7">
        <f t="shared" ref="D23:F23" si="11">D16*0.0165</f>
        <v>9809649.4736842122</v>
      </c>
      <c r="E23" s="7">
        <f t="shared" si="11"/>
        <v>10290303.157894738</v>
      </c>
      <c r="F23" s="7">
        <f t="shared" si="11"/>
        <v>24766777.894736841</v>
      </c>
    </row>
    <row r="24" spans="1:7" ht="6" customHeight="1">
      <c r="A24" s="6"/>
      <c r="B24" s="3"/>
      <c r="C24" s="7"/>
      <c r="D24" s="7"/>
      <c r="E24" s="7"/>
      <c r="F24" s="7"/>
    </row>
    <row r="25" spans="1:7" ht="15" customHeight="1">
      <c r="A25" s="48" t="s">
        <v>11</v>
      </c>
      <c r="B25" s="3" t="s">
        <v>3</v>
      </c>
      <c r="C25" s="7"/>
      <c r="D25" s="7">
        <f t="shared" ref="D25:E25" si="12">D26*1.2</f>
        <v>1807471578.9473681</v>
      </c>
      <c r="E25" s="7">
        <f t="shared" si="12"/>
        <v>1896039157.8947368</v>
      </c>
      <c r="F25" s="7">
        <f>F26*1.2</f>
        <v>3703510736.8421054</v>
      </c>
      <c r="G25" s="1" t="s">
        <v>8</v>
      </c>
    </row>
    <row r="26" spans="1:7">
      <c r="A26" s="49"/>
      <c r="B26" s="3" t="s">
        <v>4</v>
      </c>
      <c r="C26" s="7"/>
      <c r="D26" s="7">
        <f t="shared" ref="D26:E26" si="13">D28/95*100</f>
        <v>1506226315.7894735</v>
      </c>
      <c r="E26" s="7">
        <f t="shared" si="13"/>
        <v>1580032631.5789473</v>
      </c>
      <c r="F26" s="7">
        <f>F28/95*100</f>
        <v>3086258947.3684211</v>
      </c>
    </row>
    <row r="27" spans="1:7">
      <c r="A27" s="49"/>
      <c r="B27" s="3" t="s">
        <v>15</v>
      </c>
      <c r="C27" s="7"/>
      <c r="D27" s="7">
        <f t="shared" ref="D27:F27" si="14">D25-D26</f>
        <v>301245263.15789461</v>
      </c>
      <c r="E27" s="7">
        <f t="shared" si="14"/>
        <v>316006526.31578946</v>
      </c>
      <c r="F27" s="7">
        <f t="shared" si="14"/>
        <v>617251789.47368431</v>
      </c>
      <c r="G27" s="12"/>
    </row>
    <row r="28" spans="1:7">
      <c r="A28" s="49"/>
      <c r="B28" s="9" t="s">
        <v>5</v>
      </c>
      <c r="C28" s="10"/>
      <c r="D28" s="10">
        <f>SUM(D29:D30)</f>
        <v>1430915000</v>
      </c>
      <c r="E28" s="10">
        <f>SUM(E29:E30)</f>
        <v>1501031000</v>
      </c>
      <c r="F28" s="10">
        <v>2931946000</v>
      </c>
    </row>
    <row r="29" spans="1:7">
      <c r="A29" s="49"/>
      <c r="B29" s="4" t="s">
        <v>0</v>
      </c>
      <c r="C29" s="7"/>
      <c r="D29" s="7">
        <v>1402297000</v>
      </c>
      <c r="E29" s="7">
        <v>1471010000</v>
      </c>
      <c r="F29" s="7">
        <f>SUM(D29:E29)</f>
        <v>2873307000</v>
      </c>
    </row>
    <row r="30" spans="1:7">
      <c r="A30" s="49"/>
      <c r="B30" s="4" t="s">
        <v>1</v>
      </c>
      <c r="C30" s="7"/>
      <c r="D30" s="7">
        <v>28618000</v>
      </c>
      <c r="E30" s="7">
        <v>30021000</v>
      </c>
      <c r="F30" s="7">
        <f>SUM(D30:E30)</f>
        <v>58639000</v>
      </c>
    </row>
    <row r="31" spans="1:7">
      <c r="A31" s="49"/>
      <c r="B31" s="4" t="s">
        <v>17</v>
      </c>
      <c r="C31" s="7">
        <v>3634000</v>
      </c>
      <c r="D31" s="7">
        <f t="shared" ref="D31:E31" si="15">D26*0.065</f>
        <v>97904710.526315778</v>
      </c>
      <c r="E31" s="7">
        <f t="shared" si="15"/>
        <v>102702121.05263157</v>
      </c>
      <c r="F31" s="7">
        <f>SUM(C31:E31)</f>
        <v>204240831.57894737</v>
      </c>
    </row>
    <row r="32" spans="1:7" s="2" customFormat="1">
      <c r="A32" s="49"/>
      <c r="B32" s="13" t="s">
        <v>13</v>
      </c>
      <c r="C32" s="7">
        <v>2795000</v>
      </c>
      <c r="D32" s="7">
        <f t="shared" ref="D32:E32" si="16">D26*0.05</f>
        <v>75311315.789473683</v>
      </c>
      <c r="E32" s="7">
        <f t="shared" si="16"/>
        <v>79001631.578947365</v>
      </c>
      <c r="F32" s="7">
        <f>SUM(C32:E32)</f>
        <v>157107947.36842105</v>
      </c>
    </row>
    <row r="33" spans="1:6" s="2" customFormat="1" ht="75.75" customHeight="1">
      <c r="A33" s="50"/>
      <c r="B33" s="14" t="s">
        <v>20</v>
      </c>
      <c r="C33" s="7">
        <v>839000</v>
      </c>
      <c r="D33" s="7">
        <f t="shared" ref="D33:E33" si="17">D26*0.015</f>
        <v>22593394.736842103</v>
      </c>
      <c r="E33" s="7">
        <f t="shared" si="17"/>
        <v>23700489.47368421</v>
      </c>
      <c r="F33" s="7">
        <f>SUM(C33:E33)</f>
        <v>47132884.210526317</v>
      </c>
    </row>
    <row r="34" spans="1:6">
      <c r="B34" s="11" t="s">
        <v>6</v>
      </c>
      <c r="C34" s="47">
        <f>C10+C20+C30</f>
        <v>10382000</v>
      </c>
      <c r="D34" s="47">
        <f t="shared" ref="D34:F35" si="18">D10+D20+D30</f>
        <v>50440000</v>
      </c>
      <c r="E34" s="47">
        <f t="shared" si="18"/>
        <v>52912000</v>
      </c>
      <c r="F34" s="47">
        <f t="shared" si="18"/>
        <v>113734000</v>
      </c>
    </row>
    <row r="35" spans="1:6">
      <c r="B35" s="11" t="s">
        <v>7</v>
      </c>
      <c r="C35" s="47">
        <f>C11+C21+C31</f>
        <v>41367008.210526317</v>
      </c>
      <c r="D35" s="47">
        <f>D11+D21+D31</f>
        <v>177219282.10526314</v>
      </c>
      <c r="E35" s="47">
        <f t="shared" si="18"/>
        <v>185903053.68421054</v>
      </c>
      <c r="F35" s="47">
        <f>F11+F21+F31</f>
        <v>404489344</v>
      </c>
    </row>
    <row r="39" spans="1:6" ht="32.25" customHeight="1">
      <c r="A39" s="51" t="s">
        <v>47</v>
      </c>
      <c r="B39" s="51"/>
      <c r="F39" s="1" t="s">
        <v>46</v>
      </c>
    </row>
  </sheetData>
  <mergeCells count="5">
    <mergeCell ref="A39:B39"/>
    <mergeCell ref="A1:F1"/>
    <mergeCell ref="A5:A13"/>
    <mergeCell ref="A15:A23"/>
    <mergeCell ref="A25:A33"/>
  </mergeCells>
  <pageMargins left="0.31496062992125984" right="0.31496062992125984" top="0.35433070866141736" bottom="0.35433070866141736" header="0.31496062992125984" footer="0.31496062992125984"/>
  <pageSetup paperSize="9"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view="pageBreakPreview" zoomScale="80" zoomScaleNormal="100" zoomScaleSheetLayoutView="80" workbookViewId="0">
      <selection activeCell="D23" sqref="D23"/>
    </sheetView>
  </sheetViews>
  <sheetFormatPr defaultRowHeight="15"/>
  <cols>
    <col min="1" max="1" width="21" style="1" customWidth="1"/>
    <col min="2" max="2" width="53.28515625" style="1" customWidth="1"/>
    <col min="3" max="3" width="8.85546875" style="1" customWidth="1"/>
    <col min="4" max="4" width="13.85546875" style="1" customWidth="1"/>
    <col min="5" max="7" width="12.7109375" style="1" customWidth="1"/>
    <col min="8" max="16384" width="9.140625" style="1"/>
  </cols>
  <sheetData>
    <row r="1" spans="1:7">
      <c r="A1" s="57" t="s">
        <v>45</v>
      </c>
      <c r="B1" s="57"/>
      <c r="C1" s="57"/>
      <c r="D1" s="57"/>
      <c r="E1" s="57"/>
      <c r="F1" s="57"/>
      <c r="G1" s="57"/>
    </row>
    <row r="3" spans="1:7">
      <c r="A3" s="33" t="s">
        <v>42</v>
      </c>
      <c r="B3" s="33" t="s">
        <v>43</v>
      </c>
      <c r="C3" s="3"/>
      <c r="D3" s="3"/>
      <c r="E3" s="33">
        <v>2022</v>
      </c>
      <c r="F3" s="33">
        <v>2023</v>
      </c>
      <c r="G3" s="33">
        <v>2024</v>
      </c>
    </row>
    <row r="4" spans="1:7">
      <c r="A4" s="54" t="s">
        <v>39</v>
      </c>
      <c r="B4" s="36" t="s">
        <v>48</v>
      </c>
      <c r="C4" s="32" t="s">
        <v>12</v>
      </c>
      <c r="D4" s="44">
        <v>1398758947.3684199</v>
      </c>
      <c r="E4" s="17"/>
      <c r="F4" s="17"/>
      <c r="G4" s="17"/>
    </row>
    <row r="5" spans="1:7">
      <c r="A5" s="55"/>
      <c r="B5" s="37" t="s">
        <v>21</v>
      </c>
      <c r="C5" s="32" t="s">
        <v>12</v>
      </c>
      <c r="D5" s="44">
        <f>SUM(E5:G5)</f>
        <v>30444229.941191409</v>
      </c>
      <c r="E5" s="25">
        <f>E18-E8+E9</f>
        <v>5250515.3442390468</v>
      </c>
      <c r="F5" s="25">
        <f>F18-F8+F9</f>
        <v>12504657.81295423</v>
      </c>
      <c r="G5" s="25">
        <f>G18-G8+G9</f>
        <v>12689056.783998132</v>
      </c>
    </row>
    <row r="6" spans="1:7">
      <c r="A6" s="55"/>
      <c r="B6" s="36" t="s">
        <v>23</v>
      </c>
      <c r="C6" s="32" t="s">
        <v>12</v>
      </c>
      <c r="D6" s="44">
        <f>SUM(E6:G6)</f>
        <v>52713773.494815201</v>
      </c>
      <c r="E6" s="24">
        <v>26356886.7474076</v>
      </c>
      <c r="F6" s="24">
        <v>26356886.7474076</v>
      </c>
      <c r="G6" s="24">
        <v>0</v>
      </c>
    </row>
    <row r="7" spans="1:7">
      <c r="A7" s="55"/>
      <c r="B7" s="38" t="s">
        <v>24</v>
      </c>
      <c r="C7" s="18"/>
      <c r="D7" s="27">
        <v>7.6999999999999999E-2</v>
      </c>
      <c r="E7" s="24"/>
      <c r="F7" s="24"/>
      <c r="G7" s="24"/>
    </row>
    <row r="8" spans="1:7">
      <c r="A8" s="55"/>
      <c r="B8" s="36" t="s">
        <v>22</v>
      </c>
      <c r="C8" s="45" t="s">
        <v>12</v>
      </c>
      <c r="D8" s="26"/>
      <c r="E8" s="24"/>
      <c r="F8" s="24">
        <v>-4058960.5591007802</v>
      </c>
      <c r="G8" s="24">
        <v>-4058960.5591007802</v>
      </c>
    </row>
    <row r="9" spans="1:7" ht="29.25">
      <c r="A9" s="55"/>
      <c r="B9" s="20" t="s">
        <v>36</v>
      </c>
      <c r="C9" s="45" t="s">
        <v>12</v>
      </c>
      <c r="D9" s="28"/>
      <c r="E9" s="42">
        <f>E10+E14+E17</f>
        <v>3213122.3442390468</v>
      </c>
      <c r="F9" s="42">
        <f t="shared" ref="F9:G9" si="0">F10+F14+F17</f>
        <v>4399248.5338534499</v>
      </c>
      <c r="G9" s="42">
        <f t="shared" si="0"/>
        <v>4582549.5560973501</v>
      </c>
    </row>
    <row r="10" spans="1:7">
      <c r="A10" s="55"/>
      <c r="B10" s="18" t="s">
        <v>30</v>
      </c>
      <c r="C10" s="32" t="s">
        <v>12</v>
      </c>
      <c r="D10" s="26"/>
      <c r="E10" s="24">
        <f>E11</f>
        <v>775848</v>
      </c>
      <c r="F10" s="24">
        <f t="shared" ref="F10:G10" si="1">F11</f>
        <v>1616352</v>
      </c>
      <c r="G10" s="24">
        <f t="shared" si="1"/>
        <v>1683696</v>
      </c>
    </row>
    <row r="11" spans="1:7">
      <c r="A11" s="55"/>
      <c r="B11" s="29" t="s">
        <v>31</v>
      </c>
      <c r="C11" s="32" t="s">
        <v>12</v>
      </c>
      <c r="D11" s="26"/>
      <c r="E11" s="43">
        <f>E12*E13*12</f>
        <v>775848</v>
      </c>
      <c r="F11" s="43">
        <f>F12*F13*12</f>
        <v>1616352</v>
      </c>
      <c r="G11" s="43">
        <f>G12*G13*12</f>
        <v>1683696</v>
      </c>
    </row>
    <row r="12" spans="1:7">
      <c r="A12" s="55"/>
      <c r="B12" s="29" t="s">
        <v>32</v>
      </c>
      <c r="C12" s="21" t="s">
        <v>34</v>
      </c>
      <c r="D12" s="26"/>
      <c r="E12" s="43">
        <v>1</v>
      </c>
      <c r="F12" s="43">
        <v>2</v>
      </c>
      <c r="G12" s="43">
        <v>2</v>
      </c>
    </row>
    <row r="13" spans="1:7">
      <c r="A13" s="55"/>
      <c r="B13" s="30" t="s">
        <v>33</v>
      </c>
      <c r="C13" s="32" t="s">
        <v>12</v>
      </c>
      <c r="D13" s="26"/>
      <c r="E13" s="31">
        <v>64654</v>
      </c>
      <c r="F13" s="31">
        <v>67348</v>
      </c>
      <c r="G13" s="31">
        <v>70154</v>
      </c>
    </row>
    <row r="14" spans="1:7">
      <c r="A14" s="55"/>
      <c r="B14" s="29" t="s">
        <v>38</v>
      </c>
      <c r="C14" s="32" t="s">
        <v>12</v>
      </c>
      <c r="D14" s="26"/>
      <c r="E14" s="31">
        <f>E15*E16*12</f>
        <v>1691988</v>
      </c>
      <c r="F14" s="31">
        <f>F15*F16*12</f>
        <v>1762488</v>
      </c>
      <c r="G14" s="31">
        <f>G15*G16*12</f>
        <v>1835928</v>
      </c>
    </row>
    <row r="15" spans="1:7">
      <c r="A15" s="55"/>
      <c r="B15" s="29" t="s">
        <v>32</v>
      </c>
      <c r="C15" s="32" t="s">
        <v>34</v>
      </c>
      <c r="D15" s="26"/>
      <c r="E15" s="24">
        <f>[1]Вводные!$D$55</f>
        <v>1</v>
      </c>
      <c r="F15" s="24">
        <f>[1]Вводные!$D$55</f>
        <v>1</v>
      </c>
      <c r="G15" s="24">
        <f>[1]Вводные!$D$55</f>
        <v>1</v>
      </c>
    </row>
    <row r="16" spans="1:7">
      <c r="A16" s="55"/>
      <c r="B16" s="30" t="s">
        <v>33</v>
      </c>
      <c r="C16" s="32" t="s">
        <v>12</v>
      </c>
      <c r="D16" s="26"/>
      <c r="E16" s="24">
        <v>140999</v>
      </c>
      <c r="F16" s="24">
        <v>146874</v>
      </c>
      <c r="G16" s="24">
        <v>152994</v>
      </c>
    </row>
    <row r="17" spans="1:7">
      <c r="A17" s="55"/>
      <c r="B17" s="35" t="s">
        <v>35</v>
      </c>
      <c r="C17" s="32" t="s">
        <v>12</v>
      </c>
      <c r="D17" s="26"/>
      <c r="E17" s="24">
        <v>745286.34423904703</v>
      </c>
      <c r="F17" s="24">
        <v>1020408.53385345</v>
      </c>
      <c r="G17" s="24">
        <v>1062925.5560973501</v>
      </c>
    </row>
    <row r="18" spans="1:7">
      <c r="A18" s="55"/>
      <c r="B18" s="34" t="s">
        <v>41</v>
      </c>
      <c r="C18" s="32" t="s">
        <v>12</v>
      </c>
      <c r="D18" s="26"/>
      <c r="E18" s="42">
        <f>E22+E21+E20+E19</f>
        <v>2037393</v>
      </c>
      <c r="F18" s="42">
        <f>F22+F21+F20+F19</f>
        <v>4046448.72</v>
      </c>
      <c r="G18" s="42">
        <f>G22+G21+G20+G19</f>
        <v>4047546.6688000001</v>
      </c>
    </row>
    <row r="19" spans="1:7">
      <c r="A19" s="55"/>
      <c r="B19" s="30" t="s">
        <v>25</v>
      </c>
      <c r="C19" s="32" t="s">
        <v>12</v>
      </c>
      <c r="D19" s="26"/>
      <c r="E19" s="24">
        <v>26393</v>
      </c>
      <c r="F19" s="24">
        <v>27448.720000000001</v>
      </c>
      <c r="G19" s="24">
        <v>28546.668799999999</v>
      </c>
    </row>
    <row r="20" spans="1:7">
      <c r="A20" s="55"/>
      <c r="B20" s="40" t="s">
        <v>26</v>
      </c>
      <c r="C20" s="32" t="s">
        <v>12</v>
      </c>
      <c r="D20" s="26"/>
      <c r="E20" s="24">
        <v>1000</v>
      </c>
      <c r="F20" s="24">
        <v>0</v>
      </c>
      <c r="G20" s="24">
        <v>0</v>
      </c>
    </row>
    <row r="21" spans="1:7">
      <c r="A21" s="55"/>
      <c r="B21" s="41" t="s">
        <v>27</v>
      </c>
      <c r="C21" s="32" t="s">
        <v>12</v>
      </c>
      <c r="D21" s="26"/>
      <c r="E21" s="24">
        <v>2010000</v>
      </c>
      <c r="F21" s="24">
        <v>4019000</v>
      </c>
      <c r="G21" s="24">
        <v>4019000</v>
      </c>
    </row>
    <row r="22" spans="1:7">
      <c r="A22" s="56"/>
      <c r="B22" s="40" t="s">
        <v>28</v>
      </c>
      <c r="C22" s="32" t="s">
        <v>12</v>
      </c>
      <c r="D22" s="26"/>
      <c r="E22" s="17"/>
      <c r="F22" s="17"/>
      <c r="G22" s="17"/>
    </row>
    <row r="23" spans="1:7">
      <c r="A23" s="15"/>
      <c r="D23" s="19">
        <f>D5/D4</f>
        <v>2.1765172618533168E-2</v>
      </c>
      <c r="E23" s="16"/>
      <c r="F23" s="16"/>
      <c r="G23" s="16"/>
    </row>
    <row r="27" spans="1:7">
      <c r="A27" s="33" t="s">
        <v>42</v>
      </c>
      <c r="B27" s="33" t="s">
        <v>43</v>
      </c>
      <c r="C27" s="3"/>
      <c r="D27" s="3"/>
      <c r="E27" s="33">
        <v>2022</v>
      </c>
      <c r="F27" s="33">
        <v>2023</v>
      </c>
      <c r="G27" s="33">
        <v>2024</v>
      </c>
    </row>
    <row r="28" spans="1:7" ht="15" customHeight="1">
      <c r="A28" s="54" t="s">
        <v>40</v>
      </c>
      <c r="B28" s="36" t="s">
        <v>48</v>
      </c>
      <c r="C28" s="32" t="s">
        <v>12</v>
      </c>
      <c r="D28" s="44">
        <v>1501016842.1052599</v>
      </c>
      <c r="E28" s="17"/>
      <c r="F28" s="17"/>
      <c r="G28" s="17"/>
    </row>
    <row r="29" spans="1:7">
      <c r="A29" s="55"/>
      <c r="B29" s="37" t="s">
        <v>21</v>
      </c>
      <c r="C29" s="32" t="s">
        <v>12</v>
      </c>
      <c r="D29" s="44">
        <f>SUM(E29:G29)</f>
        <v>24824877.14389934</v>
      </c>
      <c r="E29" s="25">
        <f>E42-E32+E33</f>
        <v>3240848</v>
      </c>
      <c r="F29" s="25">
        <f>F42-F32+F33</f>
        <v>10748342.57194967</v>
      </c>
      <c r="G29" s="25">
        <f>G42-G32+G33</f>
        <v>10835686.57194967</v>
      </c>
    </row>
    <row r="30" spans="1:7">
      <c r="A30" s="55"/>
      <c r="B30" s="36" t="s">
        <v>23</v>
      </c>
      <c r="C30" s="32" t="s">
        <v>12</v>
      </c>
      <c r="D30" s="44">
        <f>SUM(E30:G30)</f>
        <v>56568000</v>
      </c>
      <c r="E30" s="24">
        <v>28284000</v>
      </c>
      <c r="F30" s="24">
        <v>28284000</v>
      </c>
      <c r="G30" s="24"/>
    </row>
    <row r="31" spans="1:7">
      <c r="A31" s="55"/>
      <c r="B31" s="38" t="s">
        <v>24</v>
      </c>
      <c r="C31" s="18"/>
      <c r="D31" s="27">
        <v>7.3999999999999996E-2</v>
      </c>
      <c r="E31" s="24"/>
      <c r="F31" s="24"/>
      <c r="G31" s="24"/>
    </row>
    <row r="32" spans="1:7">
      <c r="A32" s="55"/>
      <c r="B32" s="36" t="s">
        <v>22</v>
      </c>
      <c r="C32" s="45" t="s">
        <v>12</v>
      </c>
      <c r="D32" s="26"/>
      <c r="E32" s="24"/>
      <c r="F32" s="24">
        <v>-4185990.5719496701</v>
      </c>
      <c r="G32" s="24">
        <v>-4185990.5719496701</v>
      </c>
    </row>
    <row r="33" spans="1:7" ht="29.25">
      <c r="A33" s="55"/>
      <c r="B33" s="20" t="s">
        <v>36</v>
      </c>
      <c r="C33" s="45" t="s">
        <v>12</v>
      </c>
      <c r="D33" s="28"/>
      <c r="E33" s="42">
        <f>E34+E38+E41</f>
        <v>1009848</v>
      </c>
      <c r="F33" s="42">
        <f t="shared" ref="F33:G33" si="2">F34+F38+F41</f>
        <v>2104352</v>
      </c>
      <c r="G33" s="42">
        <f t="shared" si="2"/>
        <v>2191696</v>
      </c>
    </row>
    <row r="34" spans="1:7">
      <c r="A34" s="55"/>
      <c r="B34" s="18" t="s">
        <v>30</v>
      </c>
      <c r="C34" s="32" t="s">
        <v>12</v>
      </c>
      <c r="D34" s="26"/>
      <c r="E34" s="24">
        <f>E35</f>
        <v>775848</v>
      </c>
      <c r="F34" s="24">
        <f t="shared" ref="F34:G34" si="3">F35</f>
        <v>1616352</v>
      </c>
      <c r="G34" s="24">
        <f t="shared" si="3"/>
        <v>1683696</v>
      </c>
    </row>
    <row r="35" spans="1:7">
      <c r="A35" s="55"/>
      <c r="B35" s="29" t="s">
        <v>31</v>
      </c>
      <c r="C35" s="32" t="s">
        <v>12</v>
      </c>
      <c r="D35" s="26"/>
      <c r="E35" s="43">
        <f>E36*E37*12</f>
        <v>775848</v>
      </c>
      <c r="F35" s="43">
        <f>F36*F37*12</f>
        <v>1616352</v>
      </c>
      <c r="G35" s="43">
        <f>G36*G37*12</f>
        <v>1683696</v>
      </c>
    </row>
    <row r="36" spans="1:7">
      <c r="A36" s="55"/>
      <c r="B36" s="29" t="s">
        <v>32</v>
      </c>
      <c r="C36" s="21" t="s">
        <v>34</v>
      </c>
      <c r="D36" s="26"/>
      <c r="E36" s="43">
        <v>1</v>
      </c>
      <c r="F36" s="43">
        <v>2</v>
      </c>
      <c r="G36" s="43">
        <v>2</v>
      </c>
    </row>
    <row r="37" spans="1:7">
      <c r="A37" s="55"/>
      <c r="B37" s="30" t="s">
        <v>33</v>
      </c>
      <c r="C37" s="32" t="s">
        <v>12</v>
      </c>
      <c r="D37" s="26"/>
      <c r="E37" s="31">
        <v>64654</v>
      </c>
      <c r="F37" s="31">
        <v>67348</v>
      </c>
      <c r="G37" s="31">
        <v>70154</v>
      </c>
    </row>
    <row r="38" spans="1:7">
      <c r="A38" s="55"/>
      <c r="B38" s="29" t="s">
        <v>38</v>
      </c>
      <c r="C38" s="32" t="s">
        <v>12</v>
      </c>
      <c r="D38" s="26"/>
      <c r="E38" s="31">
        <f t="shared" ref="E38:G38" si="4">E39*E40*12/1000</f>
        <v>0</v>
      </c>
      <c r="F38" s="31">
        <f t="shared" si="4"/>
        <v>0</v>
      </c>
      <c r="G38" s="31">
        <f t="shared" si="4"/>
        <v>0</v>
      </c>
    </row>
    <row r="39" spans="1:7">
      <c r="A39" s="55"/>
      <c r="B39" s="29" t="s">
        <v>32</v>
      </c>
      <c r="C39" s="32" t="s">
        <v>34</v>
      </c>
      <c r="D39" s="26"/>
      <c r="E39" s="24"/>
      <c r="F39" s="24"/>
      <c r="G39" s="24"/>
    </row>
    <row r="40" spans="1:7">
      <c r="A40" s="55"/>
      <c r="B40" s="30" t="s">
        <v>33</v>
      </c>
      <c r="C40" s="32" t="s">
        <v>12</v>
      </c>
      <c r="D40" s="26"/>
      <c r="E40" s="24"/>
      <c r="F40" s="24"/>
      <c r="G40" s="24"/>
    </row>
    <row r="41" spans="1:7">
      <c r="A41" s="55"/>
      <c r="B41" s="35" t="s">
        <v>35</v>
      </c>
      <c r="C41" s="32" t="s">
        <v>12</v>
      </c>
      <c r="D41" s="26"/>
      <c r="E41" s="24">
        <v>234000</v>
      </c>
      <c r="F41" s="24">
        <v>488000</v>
      </c>
      <c r="G41" s="24">
        <v>508000</v>
      </c>
    </row>
    <row r="42" spans="1:7">
      <c r="A42" s="55"/>
      <c r="B42" s="34" t="s">
        <v>29</v>
      </c>
      <c r="C42" s="32" t="s">
        <v>12</v>
      </c>
      <c r="D42" s="26"/>
      <c r="E42" s="42">
        <f>E46+E45+E44+E43</f>
        <v>2231000</v>
      </c>
      <c r="F42" s="42">
        <f>F46+F45+F44+F43</f>
        <v>4458000</v>
      </c>
      <c r="G42" s="42">
        <f>G46+G45+G44+G43</f>
        <v>4458000</v>
      </c>
    </row>
    <row r="43" spans="1:7">
      <c r="A43" s="55"/>
      <c r="B43" s="30" t="s">
        <v>25</v>
      </c>
      <c r="C43" s="32" t="s">
        <v>12</v>
      </c>
      <c r="D43" s="26"/>
      <c r="E43" s="24">
        <v>3000</v>
      </c>
      <c r="F43" s="24">
        <v>3000</v>
      </c>
      <c r="G43" s="24">
        <v>3000</v>
      </c>
    </row>
    <row r="44" spans="1:7">
      <c r="A44" s="55"/>
      <c r="B44" s="40" t="s">
        <v>26</v>
      </c>
      <c r="C44" s="32" t="s">
        <v>12</v>
      </c>
      <c r="D44" s="26"/>
      <c r="E44" s="24">
        <v>1000</v>
      </c>
      <c r="F44" s="24">
        <v>0</v>
      </c>
      <c r="G44" s="24">
        <v>0</v>
      </c>
    </row>
    <row r="45" spans="1:7">
      <c r="A45" s="55"/>
      <c r="B45" s="41" t="s">
        <v>27</v>
      </c>
      <c r="C45" s="32" t="s">
        <v>12</v>
      </c>
      <c r="D45" s="26"/>
      <c r="E45" s="24">
        <v>2227000</v>
      </c>
      <c r="F45" s="24">
        <v>4455000</v>
      </c>
      <c r="G45" s="24">
        <v>4455000</v>
      </c>
    </row>
    <row r="46" spans="1:7">
      <c r="A46" s="56"/>
      <c r="B46" s="40" t="s">
        <v>28</v>
      </c>
      <c r="C46" s="32" t="s">
        <v>12</v>
      </c>
      <c r="D46" s="26"/>
      <c r="E46" s="17"/>
      <c r="F46" s="17"/>
      <c r="G46" s="17"/>
    </row>
    <row r="47" spans="1:7">
      <c r="A47" s="15"/>
      <c r="D47" s="19">
        <f>D29/D28</f>
        <v>1.6538706593778832E-2</v>
      </c>
      <c r="E47" s="16"/>
      <c r="F47" s="16"/>
      <c r="G47" s="16"/>
    </row>
    <row r="48" spans="1:7">
      <c r="A48" s="15"/>
      <c r="E48" s="16"/>
      <c r="F48" s="16"/>
      <c r="G48" s="16"/>
    </row>
    <row r="49" spans="1:7">
      <c r="A49" s="15"/>
      <c r="E49" s="16"/>
      <c r="F49" s="16"/>
      <c r="G49" s="16"/>
    </row>
    <row r="50" spans="1:7">
      <c r="A50" s="15"/>
      <c r="E50" s="16"/>
      <c r="F50" s="16"/>
      <c r="G50" s="16"/>
    </row>
    <row r="51" spans="1:7">
      <c r="A51" s="33" t="s">
        <v>42</v>
      </c>
      <c r="B51" s="33" t="s">
        <v>43</v>
      </c>
      <c r="C51" s="3"/>
      <c r="D51" s="3"/>
      <c r="E51" s="33">
        <v>2022</v>
      </c>
      <c r="F51" s="33">
        <v>2023</v>
      </c>
      <c r="G51" s="33">
        <v>2024</v>
      </c>
    </row>
    <row r="52" spans="1:7" ht="14.25" customHeight="1">
      <c r="A52" s="53" t="s">
        <v>37</v>
      </c>
      <c r="B52" s="36" t="s">
        <v>48</v>
      </c>
      <c r="C52" s="32" t="s">
        <v>12</v>
      </c>
      <c r="D52" s="44">
        <v>3086258947.3684201</v>
      </c>
      <c r="E52" s="17"/>
      <c r="F52" s="17"/>
      <c r="G52" s="17"/>
    </row>
    <row r="53" spans="1:7" ht="14.25" customHeight="1">
      <c r="A53" s="53"/>
      <c r="B53" s="37" t="s">
        <v>21</v>
      </c>
      <c r="C53" s="32" t="s">
        <v>12</v>
      </c>
      <c r="D53" s="44">
        <f>SUM(E53:G53)</f>
        <v>44818554.605093777</v>
      </c>
      <c r="E53" s="25">
        <f>E63-E56</f>
        <v>4350000</v>
      </c>
      <c r="F53" s="25">
        <f>F63-F56+F57</f>
        <v>19663477.302546889</v>
      </c>
      <c r="G53" s="25">
        <f>G63-G56+G57</f>
        <v>20805077.302546889</v>
      </c>
    </row>
    <row r="54" spans="1:7" ht="14.25" customHeight="1">
      <c r="A54" s="53"/>
      <c r="B54" s="36" t="s">
        <v>23</v>
      </c>
      <c r="C54" s="32" t="s">
        <v>12</v>
      </c>
      <c r="D54" s="44">
        <f>SUM(E54:G54)</f>
        <v>143313687.80643001</v>
      </c>
      <c r="E54" s="24">
        <v>0</v>
      </c>
      <c r="F54" s="24">
        <v>143313687.80643001</v>
      </c>
      <c r="G54" s="24">
        <v>0</v>
      </c>
    </row>
    <row r="55" spans="1:7" ht="14.25" customHeight="1">
      <c r="A55" s="53"/>
      <c r="B55" s="38" t="s">
        <v>24</v>
      </c>
      <c r="C55" s="39"/>
      <c r="D55" s="27">
        <v>6.9500000000000006E-2</v>
      </c>
      <c r="E55" s="24"/>
      <c r="F55" s="24"/>
      <c r="G55" s="24"/>
    </row>
    <row r="56" spans="1:7" ht="14.25" customHeight="1">
      <c r="A56" s="53"/>
      <c r="B56" s="36" t="s">
        <v>22</v>
      </c>
      <c r="C56" s="32" t="s">
        <v>12</v>
      </c>
      <c r="D56" s="26"/>
      <c r="E56" s="24"/>
      <c r="F56" s="24">
        <f>-$D$54*$D$55</f>
        <v>-9960301.3025468867</v>
      </c>
      <c r="G56" s="24">
        <f>-$D$54*$D$55</f>
        <v>-9960301.3025468867</v>
      </c>
    </row>
    <row r="57" spans="1:7" ht="27.75" customHeight="1">
      <c r="A57" s="53"/>
      <c r="B57" s="20" t="s">
        <v>36</v>
      </c>
      <c r="C57" s="32" t="s">
        <v>12</v>
      </c>
      <c r="D57" s="28"/>
      <c r="E57" s="42">
        <f>E58+E62</f>
        <v>0</v>
      </c>
      <c r="F57" s="42">
        <f t="shared" ref="F57:G57" si="5">F58+F62</f>
        <v>1052176</v>
      </c>
      <c r="G57" s="42">
        <f t="shared" si="5"/>
        <v>2191696</v>
      </c>
    </row>
    <row r="58" spans="1:7" ht="14.25" customHeight="1">
      <c r="A58" s="53"/>
      <c r="B58" s="18" t="s">
        <v>30</v>
      </c>
      <c r="C58" s="32" t="s">
        <v>12</v>
      </c>
      <c r="D58" s="26"/>
      <c r="E58" s="24">
        <f>E59</f>
        <v>0</v>
      </c>
      <c r="F58" s="24">
        <f t="shared" ref="F58:G58" si="6">F59</f>
        <v>808176</v>
      </c>
      <c r="G58" s="24">
        <f t="shared" si="6"/>
        <v>1683696</v>
      </c>
    </row>
    <row r="59" spans="1:7" ht="14.25" customHeight="1">
      <c r="A59" s="53"/>
      <c r="B59" s="29" t="s">
        <v>31</v>
      </c>
      <c r="C59" s="32" t="s">
        <v>12</v>
      </c>
      <c r="D59" s="26"/>
      <c r="E59" s="43">
        <f>E60*E61*12</f>
        <v>0</v>
      </c>
      <c r="F59" s="43">
        <f>F60*F61*12</f>
        <v>808176</v>
      </c>
      <c r="G59" s="43">
        <f>G60*G61*12</f>
        <v>1683696</v>
      </c>
    </row>
    <row r="60" spans="1:7" ht="14.25" customHeight="1">
      <c r="A60" s="53"/>
      <c r="B60" s="29" t="s">
        <v>32</v>
      </c>
      <c r="C60" s="21" t="s">
        <v>34</v>
      </c>
      <c r="D60" s="26"/>
      <c r="E60" s="43">
        <v>0</v>
      </c>
      <c r="F60" s="43">
        <v>1</v>
      </c>
      <c r="G60" s="43">
        <v>2</v>
      </c>
    </row>
    <row r="61" spans="1:7" ht="14.25" customHeight="1">
      <c r="A61" s="53"/>
      <c r="B61" s="30" t="s">
        <v>33</v>
      </c>
      <c r="C61" s="32" t="s">
        <v>12</v>
      </c>
      <c r="D61" s="26"/>
      <c r="E61" s="31">
        <v>64654</v>
      </c>
      <c r="F61" s="31">
        <v>67348</v>
      </c>
      <c r="G61" s="31">
        <v>70154</v>
      </c>
    </row>
    <row r="62" spans="1:7" ht="14.25" customHeight="1">
      <c r="A62" s="53"/>
      <c r="B62" s="18" t="s">
        <v>35</v>
      </c>
      <c r="C62" s="32" t="s">
        <v>12</v>
      </c>
      <c r="D62" s="26"/>
      <c r="E62" s="31"/>
      <c r="F62" s="31">
        <v>244000</v>
      </c>
      <c r="G62" s="31">
        <v>508000</v>
      </c>
    </row>
    <row r="63" spans="1:7" ht="14.25" customHeight="1">
      <c r="A63" s="53"/>
      <c r="B63" s="34" t="s">
        <v>41</v>
      </c>
      <c r="C63" s="32" t="s">
        <v>12</v>
      </c>
      <c r="D63" s="26"/>
      <c r="E63" s="42">
        <f>E67+E66+E65+E64</f>
        <v>4350000</v>
      </c>
      <c r="F63" s="42">
        <f>F67+F66+F65+F64</f>
        <v>8651000</v>
      </c>
      <c r="G63" s="42">
        <f>G67+G66+G65+G64</f>
        <v>8653080</v>
      </c>
    </row>
    <row r="64" spans="1:7" ht="14.25" customHeight="1">
      <c r="A64" s="53"/>
      <c r="B64" s="30" t="s">
        <v>25</v>
      </c>
      <c r="C64" s="32" t="s">
        <v>12</v>
      </c>
      <c r="D64" s="26"/>
      <c r="E64" s="24">
        <v>50000</v>
      </c>
      <c r="F64" s="24">
        <v>52000</v>
      </c>
      <c r="G64" s="24">
        <v>54080</v>
      </c>
    </row>
    <row r="65" spans="1:7" ht="14.25" customHeight="1">
      <c r="A65" s="53"/>
      <c r="B65" s="35" t="s">
        <v>26</v>
      </c>
      <c r="C65" s="32" t="s">
        <v>12</v>
      </c>
      <c r="D65" s="26"/>
      <c r="E65" s="24">
        <v>1000</v>
      </c>
      <c r="F65" s="24">
        <v>0</v>
      </c>
      <c r="G65" s="24">
        <v>0</v>
      </c>
    </row>
    <row r="66" spans="1:7" ht="14.25" customHeight="1">
      <c r="A66" s="53"/>
      <c r="B66" s="35" t="s">
        <v>27</v>
      </c>
      <c r="C66" s="32" t="s">
        <v>12</v>
      </c>
      <c r="D66" s="26"/>
      <c r="E66" s="24">
        <v>4299000</v>
      </c>
      <c r="F66" s="24">
        <v>8599000</v>
      </c>
      <c r="G66" s="24">
        <v>8599000</v>
      </c>
    </row>
    <row r="67" spans="1:7" ht="14.25" customHeight="1">
      <c r="A67" s="53"/>
      <c r="B67" s="35" t="s">
        <v>28</v>
      </c>
      <c r="C67" s="32" t="s">
        <v>12</v>
      </c>
      <c r="D67" s="26"/>
      <c r="E67" s="24">
        <v>0</v>
      </c>
      <c r="F67" s="24">
        <v>0</v>
      </c>
      <c r="G67" s="24">
        <v>0</v>
      </c>
    </row>
    <row r="68" spans="1:7">
      <c r="A68" s="23"/>
      <c r="D68" s="22">
        <f>D53/D52</f>
        <v>1.4521968301885199E-2</v>
      </c>
      <c r="E68" s="16"/>
      <c r="F68" s="16"/>
      <c r="G68" s="16"/>
    </row>
    <row r="72" spans="1:7" ht="30" customHeight="1">
      <c r="A72" s="51" t="s">
        <v>47</v>
      </c>
      <c r="B72" s="51"/>
      <c r="C72" s="51"/>
      <c r="D72" s="51"/>
      <c r="F72" s="58" t="s">
        <v>46</v>
      </c>
      <c r="G72" s="58"/>
    </row>
  </sheetData>
  <mergeCells count="6">
    <mergeCell ref="A52:A67"/>
    <mergeCell ref="A4:A22"/>
    <mergeCell ref="A28:A46"/>
    <mergeCell ref="A1:G1"/>
    <mergeCell ref="A72:D72"/>
    <mergeCell ref="F72:G72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Расчет</vt:lpstr>
      <vt:lpstr>Расчет средств ОБ с копейками</vt:lpstr>
      <vt:lpstr>Операцион расходы</vt:lpstr>
      <vt:lpstr>'Операцион расходы'!Область_печати</vt:lpstr>
      <vt:lpstr>Расчет!Область_печати</vt:lpstr>
      <vt:lpstr>'Расчет средств ОБ с копейками'!Область_печати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Лыскова Наталья Николаевна</dc:creator>
  <cp:lastModifiedBy>minfin user</cp:lastModifiedBy>
  <cp:lastPrinted>2022-10-12T14:49:37Z</cp:lastPrinted>
  <dcterms:created xsi:type="dcterms:W3CDTF">2022-08-26T12:48:43Z</dcterms:created>
  <dcterms:modified xsi:type="dcterms:W3CDTF">2022-10-12T14:49:53Z</dcterms:modified>
</cp:coreProperties>
</file>