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1745" windowWidth="15180" windowHeight="11625"/>
  </bookViews>
  <sheets>
    <sheet name="2023-2025" sheetId="20" r:id="rId1"/>
    <sheet name="Лист1" sheetId="21" state="hidden" r:id="rId2"/>
  </sheets>
  <definedNames>
    <definedName name="_xlnm.Print_Titles" localSheetId="0">'2023-2025'!$2:$4</definedName>
    <definedName name="_xlnm.Print_Area" localSheetId="0">'2023-2025'!$A$1:$M$40</definedName>
  </definedNames>
  <calcPr calcId="125725"/>
</workbook>
</file>

<file path=xl/calcChain.xml><?xml version="1.0" encoding="utf-8"?>
<calcChain xmlns="http://schemas.openxmlformats.org/spreadsheetml/2006/main">
  <c r="D30" i="20"/>
  <c r="E30"/>
  <c r="F30"/>
  <c r="G30"/>
  <c r="H30"/>
  <c r="I30"/>
  <c r="J30"/>
  <c r="K30"/>
  <c r="L30"/>
  <c r="M30"/>
  <c r="C30"/>
  <c r="E10" l="1"/>
  <c r="J28" l="1"/>
  <c r="H28"/>
  <c r="E28"/>
  <c r="C28"/>
  <c r="C23" l="1"/>
  <c r="M21" l="1"/>
  <c r="J21"/>
  <c r="H21"/>
  <c r="E21"/>
  <c r="C21"/>
  <c r="L5" l="1"/>
  <c r="J5"/>
  <c r="H5"/>
  <c r="E5"/>
  <c r="C5"/>
  <c r="L25"/>
  <c r="J25"/>
  <c r="H25"/>
  <c r="E25"/>
  <c r="C25"/>
  <c r="M27"/>
  <c r="J27"/>
  <c r="H27"/>
  <c r="E27"/>
  <c r="C27"/>
  <c r="M8"/>
  <c r="L8"/>
  <c r="J8"/>
  <c r="H8"/>
  <c r="E8"/>
  <c r="C8"/>
  <c r="D28"/>
  <c r="D27"/>
  <c r="D26"/>
  <c r="D25"/>
  <c r="D24"/>
  <c r="D23"/>
  <c r="D21"/>
  <c r="D20"/>
  <c r="D19"/>
  <c r="D18"/>
  <c r="D16"/>
  <c r="D15"/>
  <c r="D14"/>
  <c r="D11"/>
  <c r="D10"/>
  <c r="D9"/>
  <c r="D8"/>
  <c r="D7"/>
  <c r="D6"/>
  <c r="D5"/>
  <c r="J10" l="1"/>
  <c r="H10"/>
  <c r="C10"/>
  <c r="L9"/>
  <c r="J9"/>
  <c r="H9"/>
  <c r="E9"/>
  <c r="C9"/>
  <c r="L16"/>
  <c r="J16"/>
  <c r="H16"/>
  <c r="E16"/>
  <c r="C16"/>
  <c r="H15"/>
  <c r="E15"/>
  <c r="C15"/>
  <c r="L11"/>
  <c r="J11"/>
  <c r="H11"/>
  <c r="E11"/>
  <c r="C11"/>
  <c r="J26"/>
  <c r="H26"/>
  <c r="E26"/>
  <c r="C26"/>
  <c r="L24"/>
  <c r="J24"/>
  <c r="H24"/>
  <c r="E24"/>
  <c r="C24"/>
  <c r="E22"/>
  <c r="J19"/>
  <c r="H19"/>
  <c r="E19"/>
  <c r="C19"/>
  <c r="L7"/>
  <c r="J7"/>
  <c r="H7"/>
  <c r="E7"/>
  <c r="C7"/>
  <c r="L14" l="1"/>
  <c r="J14"/>
  <c r="H14"/>
  <c r="E14"/>
  <c r="C14"/>
  <c r="H29"/>
  <c r="E29"/>
  <c r="L6"/>
  <c r="J6"/>
  <c r="H6"/>
  <c r="E6"/>
  <c r="C6" l="1"/>
  <c r="L20"/>
  <c r="J20"/>
</calcChain>
</file>

<file path=xl/sharedStrings.xml><?xml version="1.0" encoding="utf-8"?>
<sst xmlns="http://schemas.openxmlformats.org/spreadsheetml/2006/main" count="61" uniqueCount="43">
  <si>
    <t>№ п/п</t>
  </si>
  <si>
    <t>Итого по государственным программам Архангельской области</t>
  </si>
  <si>
    <t xml:space="preserve"> -</t>
  </si>
  <si>
    <t>Наименование программ</t>
  </si>
  <si>
    <t xml:space="preserve"> тыс.рублей</t>
  </si>
  <si>
    <t xml:space="preserve">Экономическое развитие и инвестиционная деятельность в Архангельской области </t>
  </si>
  <si>
    <t>Комплексное развитие сельских территорий Архангельской области</t>
  </si>
  <si>
    <t xml:space="preserve">Совершенствование государственного управления и местного самоуправления, развитие институтов гражданского общества в Архангельской области 
</t>
  </si>
  <si>
    <t>Цифровое развитие Архангельской области</t>
  </si>
  <si>
    <t xml:space="preserve">Развитие здравоохранения Архангельской области </t>
  </si>
  <si>
    <t xml:space="preserve">Развитие образования и науки Архангельской области </t>
  </si>
  <si>
    <t xml:space="preserve">Социальная поддержка граждан в Архангельской области </t>
  </si>
  <si>
    <t xml:space="preserve">Культура Русского Севера 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</si>
  <si>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</t>
  </si>
  <si>
    <t xml:space="preserve">Обеспечение качественным, доступным жильем и объектами инженерной инфраструктуры населения Архангельской области </t>
  </si>
  <si>
    <t xml:space="preserve">Содействие занятости населения Архангельской области, улучшение условий и охраны труда </t>
  </si>
  <si>
    <t xml:space="preserve">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</t>
  </si>
  <si>
    <t xml:space="preserve"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</t>
  </si>
  <si>
    <t xml:space="preserve">Охрана окружающей среды, воспроизводство 
и использование природных ресурсов в Архангельской области 
</t>
  </si>
  <si>
    <t xml:space="preserve">Развитие торговли в Архангельской области </t>
  </si>
  <si>
    <t xml:space="preserve">Развитие лесного комплекса Архангельской области </t>
  </si>
  <si>
    <t xml:space="preserve">Развитие энергетики и жилищно-коммунального хозяйства Архангельской области </t>
  </si>
  <si>
    <t xml:space="preserve">Формирование современной городской среды в Архангельской области </t>
  </si>
  <si>
    <t xml:space="preserve">Развитие транспортной системы Архангельской области </t>
  </si>
  <si>
    <t xml:space="preserve">Развитие инфраструктуры Соловецкого архипелага </t>
  </si>
  <si>
    <t xml:space="preserve">Развитие имущественно-земельных отношений  Архангельской области </t>
  </si>
  <si>
    <t xml:space="preserve">Управление государственными финансами 
и государственным долгом Архангельской области </t>
  </si>
  <si>
    <t>Утверждено по программе на 2021 год (за счет средств федерального и областного бюджетов), тыс.рублей</t>
  </si>
  <si>
    <t>Утверждено по программе на 2022 год (за счет средств федерального и областного бюджетов), тыс.рублей</t>
  </si>
  <si>
    <t>Утверждено по программе на 2023 год (за счет средств федерального и областного бюджетов), тыс.рублей</t>
  </si>
  <si>
    <t>Утверждено по программе на 2024 год (за счет средств федерального и областного бюджетов), тыс.рублей</t>
  </si>
  <si>
    <t>Утверждено по программе на 2025 год (за счет средств федерального и областного бюджетов), тыс.рублей</t>
  </si>
  <si>
    <t>Развитие физической культуры и спорта в Архангельской области</t>
  </si>
  <si>
    <t>Молодежь Поморья</t>
  </si>
  <si>
    <t>Утверждено по программе на 2026 год (за счет средств федерального и областного бюджетов), тыс.рублей</t>
  </si>
  <si>
    <t xml:space="preserve">Управление государственным имуществом и земельными ресурсами Архангельской области </t>
  </si>
  <si>
    <t>Оценка исполнения государственной программы за 2022 год, тыс.рублей</t>
  </si>
  <si>
    <t>Объем финансирования на 2023 год согласно проекту областного закона об областном бюджете на 2023 год и на плановый период 2024 и 2025 годов, тыс.рублей</t>
  </si>
  <si>
    <t>Объем финансирования на 2024 год согласно проекту областного закона об областном бюджете на 2023 год и на плановый период 2024 и 2025 годов, тыс.рублей</t>
  </si>
  <si>
    <t>Объем финансирования на 2025 год согласно проекту областного закона об областном бюджете на 2023 год и на плановый период 2024 и 2025 годов, тыс.рублей</t>
  </si>
  <si>
    <t>-</t>
  </si>
  <si>
    <t>Исполнение согласно утвержденному отчету о государственной программе за 2021 год (за счет средств федерального и областного бюджетов), тыс.рублей</t>
  </si>
  <si>
    <t>Перечень государственных программ Архангельской области, которые предлагается финансировать из областного бюджета в 2023 году и в плановом периоде 2024 и 2025 годов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</si>
</sst>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.5"/>
      <name val="Arial"/>
      <family val="2"/>
      <charset val="204"/>
    </font>
    <font>
      <b/>
      <sz val="12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</cellStyleXfs>
  <cellXfs count="43">
    <xf numFmtId="0" fontId="0" fillId="0" borderId="0" xfId="0"/>
    <xf numFmtId="0" fontId="6" fillId="0" borderId="0" xfId="0" applyFont="1" applyFill="1" applyBorder="1"/>
    <xf numFmtId="0" fontId="2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6" fillId="2" borderId="0" xfId="0" applyFont="1" applyFill="1" applyBorder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Border="1"/>
    <xf numFmtId="0" fontId="4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0" xfId="0" applyFont="1" applyFill="1"/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165" fontId="10" fillId="2" borderId="4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vertical="top"/>
    </xf>
    <xf numFmtId="0" fontId="13" fillId="0" borderId="3" xfId="0" applyFont="1" applyFill="1" applyBorder="1" applyAlignment="1">
      <alignment horizontal="left" vertical="center" wrapText="1"/>
    </xf>
    <xf numFmtId="165" fontId="13" fillId="2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view="pageBreakPreview" zoomScale="70" zoomScaleNormal="80" zoomScaleSheetLayoutView="70" workbookViewId="0">
      <selection activeCell="A2" sqref="A2"/>
    </sheetView>
  </sheetViews>
  <sheetFormatPr defaultRowHeight="12.75" outlineLevelRow="1"/>
  <cols>
    <col min="1" max="1" width="4.5703125" style="3" customWidth="1"/>
    <col min="2" max="2" width="55.140625" style="3" customWidth="1"/>
    <col min="3" max="3" width="26.42578125" style="8" customWidth="1"/>
    <col min="4" max="4" width="26.85546875" style="8" customWidth="1"/>
    <col min="5" max="5" width="25.5703125" style="8" customWidth="1"/>
    <col min="6" max="6" width="27" style="3" customWidth="1"/>
    <col min="7" max="7" width="28.28515625" style="8" customWidth="1"/>
    <col min="8" max="8" width="26.140625" style="3" customWidth="1"/>
    <col min="9" max="9" width="27.7109375" style="8" customWidth="1"/>
    <col min="10" max="10" width="24.7109375" style="3" customWidth="1"/>
    <col min="11" max="11" width="28" style="3" customWidth="1"/>
    <col min="12" max="12" width="26.7109375" style="3" customWidth="1"/>
    <col min="13" max="13" width="25.42578125" style="3" customWidth="1"/>
    <col min="14" max="16384" width="9.140625" style="3"/>
  </cols>
  <sheetData>
    <row r="1" spans="1:13" s="2" customFormat="1" ht="45.75" customHeight="1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" customFormat="1" ht="16.149999999999999" customHeight="1">
      <c r="B2" s="40"/>
      <c r="C2" s="40"/>
      <c r="D2" s="11"/>
      <c r="E2" s="9"/>
      <c r="G2" s="9"/>
      <c r="I2" s="9"/>
      <c r="M2" s="12" t="s">
        <v>4</v>
      </c>
    </row>
    <row r="3" spans="1:13" s="1" customFormat="1" ht="18" customHeight="1">
      <c r="A3" s="38" t="s">
        <v>0</v>
      </c>
      <c r="B3" s="41" t="s">
        <v>3</v>
      </c>
      <c r="C3" s="37" t="s">
        <v>27</v>
      </c>
      <c r="D3" s="36" t="s">
        <v>41</v>
      </c>
      <c r="E3" s="35" t="s">
        <v>28</v>
      </c>
      <c r="F3" s="36" t="s">
        <v>36</v>
      </c>
      <c r="G3" s="36" t="s">
        <v>37</v>
      </c>
      <c r="H3" s="35" t="s">
        <v>29</v>
      </c>
      <c r="I3" s="36" t="s">
        <v>38</v>
      </c>
      <c r="J3" s="35" t="s">
        <v>30</v>
      </c>
      <c r="K3" s="36" t="s">
        <v>39</v>
      </c>
      <c r="L3" s="35" t="s">
        <v>31</v>
      </c>
      <c r="M3" s="35" t="s">
        <v>34</v>
      </c>
    </row>
    <row r="4" spans="1:13" s="1" customFormat="1" ht="117" customHeight="1">
      <c r="A4" s="39"/>
      <c r="B4" s="42"/>
      <c r="C4" s="37"/>
      <c r="D4" s="36"/>
      <c r="E4" s="35"/>
      <c r="F4" s="36"/>
      <c r="G4" s="36"/>
      <c r="H4" s="35"/>
      <c r="I4" s="36"/>
      <c r="J4" s="35"/>
      <c r="K4" s="36"/>
      <c r="L4" s="35"/>
      <c r="M4" s="35"/>
    </row>
    <row r="5" spans="1:13" s="1" customFormat="1" ht="28.5" customHeight="1">
      <c r="A5" s="14">
        <v>1</v>
      </c>
      <c r="B5" s="15" t="s">
        <v>9</v>
      </c>
      <c r="C5" s="16">
        <f>7040336.8+18970641.3</f>
        <v>26010978.100000001</v>
      </c>
      <c r="D5" s="17">
        <f>6508583.6+18761400.8</f>
        <v>25269984.399999999</v>
      </c>
      <c r="E5" s="16">
        <f>4780974.9+18111667.9</f>
        <v>22892642.799999997</v>
      </c>
      <c r="F5" s="16">
        <v>23959895.800000001</v>
      </c>
      <c r="G5" s="18">
        <v>21828112.899999999</v>
      </c>
      <c r="H5" s="16">
        <f>2160985+19667127.9</f>
        <v>21828112.899999999</v>
      </c>
      <c r="I5" s="16">
        <v>20772483.699999999</v>
      </c>
      <c r="J5" s="16">
        <f>2279919.4+18492564.3</f>
        <v>20772483.699999999</v>
      </c>
      <c r="K5" s="16">
        <v>21642852.5</v>
      </c>
      <c r="L5" s="16">
        <f>2837498.1+18805354.4</f>
        <v>21642852.5</v>
      </c>
      <c r="M5" s="16"/>
    </row>
    <row r="6" spans="1:13" s="1" customFormat="1" ht="33">
      <c r="A6" s="14">
        <v>2</v>
      </c>
      <c r="B6" s="15" t="s">
        <v>10</v>
      </c>
      <c r="C6" s="16">
        <f>4157606.5+25714701.7+340469.2</f>
        <v>30212777.399999999</v>
      </c>
      <c r="D6" s="19">
        <f>3972902.1+25633282.7</f>
        <v>29606184.800000001</v>
      </c>
      <c r="E6" s="16">
        <f>4283687.4+26684064.3+146322.6</f>
        <v>31114074.300000004</v>
      </c>
      <c r="F6" s="16">
        <v>32427910.699999999</v>
      </c>
      <c r="G6" s="16">
        <v>32970028.600000001</v>
      </c>
      <c r="H6" s="16">
        <f>3680704.7+29289323.9</f>
        <v>32970028.599999998</v>
      </c>
      <c r="I6" s="16">
        <v>33809663.100000001</v>
      </c>
      <c r="J6" s="16">
        <f>4263950.1+29545713</f>
        <v>33809663.100000001</v>
      </c>
      <c r="K6" s="16">
        <v>34679252</v>
      </c>
      <c r="L6" s="16">
        <f>1927097+32752155</f>
        <v>34679252</v>
      </c>
      <c r="M6" s="16"/>
    </row>
    <row r="7" spans="1:13" s="1" customFormat="1" ht="33">
      <c r="A7" s="14">
        <v>3</v>
      </c>
      <c r="B7" s="15" t="s">
        <v>11</v>
      </c>
      <c r="C7" s="16">
        <f>7117557.9+10459985.9</f>
        <v>17577543.800000001</v>
      </c>
      <c r="D7" s="16">
        <f>7061990.7+10326726.7</f>
        <v>17388717.399999999</v>
      </c>
      <c r="E7" s="16">
        <f>7607535.4+11124115.3</f>
        <v>18731650.700000003</v>
      </c>
      <c r="F7" s="16">
        <v>18621328.899999999</v>
      </c>
      <c r="G7" s="16">
        <v>20978561.600000001</v>
      </c>
      <c r="H7" s="16">
        <f>8893176.7+12085384.9</f>
        <v>20978561.600000001</v>
      </c>
      <c r="I7" s="16">
        <v>21675165</v>
      </c>
      <c r="J7" s="16">
        <f>9434399+12240766</f>
        <v>21675165</v>
      </c>
      <c r="K7" s="16">
        <v>23071335.899999999</v>
      </c>
      <c r="L7" s="16">
        <f>10229237.6+12842098.3</f>
        <v>23071335.899999999</v>
      </c>
      <c r="M7" s="16"/>
    </row>
    <row r="8" spans="1:13" s="6" customFormat="1" ht="33.75" customHeight="1">
      <c r="A8" s="20">
        <v>4</v>
      </c>
      <c r="B8" s="21" t="s">
        <v>12</v>
      </c>
      <c r="C8" s="16">
        <f>222712.5+1944762</f>
        <v>2167474.5</v>
      </c>
      <c r="D8" s="16">
        <f>210549.8+1939743.2</f>
        <v>2150293</v>
      </c>
      <c r="E8" s="16">
        <f>474618.9+1936116.5</f>
        <v>2410735.4</v>
      </c>
      <c r="F8" s="16">
        <v>2580975.4</v>
      </c>
      <c r="G8" s="16">
        <v>3364166.8</v>
      </c>
      <c r="H8" s="16">
        <f>724230.1+2639936.7</f>
        <v>3364166.8000000003</v>
      </c>
      <c r="I8" s="18">
        <v>2579846.7999999998</v>
      </c>
      <c r="J8" s="16">
        <f>308401.5+2271445.4</f>
        <v>2579846.9</v>
      </c>
      <c r="K8" s="16">
        <v>2267899.6</v>
      </c>
      <c r="L8" s="16">
        <f>176174.6+2091725</f>
        <v>2267899.6</v>
      </c>
      <c r="M8" s="16">
        <f>748312.2+2627486</f>
        <v>3375798.2</v>
      </c>
    </row>
    <row r="9" spans="1:13" s="1" customFormat="1" ht="66">
      <c r="A9" s="14">
        <v>5</v>
      </c>
      <c r="B9" s="15" t="s">
        <v>13</v>
      </c>
      <c r="C9" s="16">
        <f>312571.5+1198902.3</f>
        <v>1511473.8</v>
      </c>
      <c r="D9" s="16">
        <f>312561.8+1197081.4</f>
        <v>1509643.2</v>
      </c>
      <c r="E9" s="16">
        <f>237383+1082199</f>
        <v>1319582</v>
      </c>
      <c r="F9" s="16">
        <v>1440645.9</v>
      </c>
      <c r="G9" s="16">
        <v>1461593.4</v>
      </c>
      <c r="H9" s="16">
        <f>260530.2+1201063.2</f>
        <v>1461593.4</v>
      </c>
      <c r="I9" s="16">
        <v>1356150.6</v>
      </c>
      <c r="J9" s="16">
        <f>213132.8+1143017.8</f>
        <v>1356150.6</v>
      </c>
      <c r="K9" s="16">
        <v>1168005.1000000001</v>
      </c>
      <c r="L9" s="16">
        <f>10617.8+1157387.3</f>
        <v>1168005.1000000001</v>
      </c>
      <c r="M9" s="16"/>
    </row>
    <row r="10" spans="1:13" s="1" customFormat="1" ht="49.5">
      <c r="A10" s="14">
        <v>6</v>
      </c>
      <c r="B10" s="15" t="s">
        <v>14</v>
      </c>
      <c r="C10" s="16">
        <f>863490.5+693489.6</f>
        <v>1556980.1</v>
      </c>
      <c r="D10" s="16">
        <f>862202+664738.7</f>
        <v>1526940.7</v>
      </c>
      <c r="E10" s="18">
        <f>534002.2+731632.2+582230.5</f>
        <v>1847864.9</v>
      </c>
      <c r="F10" s="16">
        <v>1210068.2</v>
      </c>
      <c r="G10" s="16">
        <v>1459287.7</v>
      </c>
      <c r="H10" s="16">
        <f>56111.9+1403175.8</f>
        <v>1459287.7</v>
      </c>
      <c r="I10" s="16">
        <v>869204.1</v>
      </c>
      <c r="J10" s="16">
        <f>55598.7+813605.4</f>
        <v>869204.1</v>
      </c>
      <c r="K10" s="16">
        <v>478440.9</v>
      </c>
      <c r="L10" s="16">
        <v>478440.9</v>
      </c>
      <c r="M10" s="16"/>
    </row>
    <row r="11" spans="1:13" s="1" customFormat="1" ht="33">
      <c r="A11" s="14">
        <v>7</v>
      </c>
      <c r="B11" s="15" t="s">
        <v>15</v>
      </c>
      <c r="C11" s="16">
        <f>868494+471445.4</f>
        <v>1339939.3999999999</v>
      </c>
      <c r="D11" s="16">
        <f>857360.2+459101.3</f>
        <v>1316461.5</v>
      </c>
      <c r="E11" s="16">
        <f>970313.1+520972.2</f>
        <v>1491285.3</v>
      </c>
      <c r="F11" s="16">
        <v>1491285.3</v>
      </c>
      <c r="G11" s="16">
        <v>1362352.9</v>
      </c>
      <c r="H11" s="16">
        <f>771037+591315.9</f>
        <v>1362352.9</v>
      </c>
      <c r="I11" s="16">
        <v>1326406.3</v>
      </c>
      <c r="J11" s="16">
        <f>772170.4+554235.9</f>
        <v>1326406.3</v>
      </c>
      <c r="K11" s="16">
        <v>1345449.1</v>
      </c>
      <c r="L11" s="16">
        <f>771247.9+574201.2</f>
        <v>1345449.1</v>
      </c>
      <c r="M11" s="16"/>
    </row>
    <row r="12" spans="1:13" s="1" customFormat="1" ht="82.5">
      <c r="A12" s="14">
        <v>8</v>
      </c>
      <c r="B12" s="15" t="s">
        <v>16</v>
      </c>
      <c r="C12" s="16">
        <v>152865.1</v>
      </c>
      <c r="D12" s="22">
        <v>152271.1</v>
      </c>
      <c r="E12" s="16">
        <v>159860.79999999999</v>
      </c>
      <c r="F12" s="16">
        <v>179860.8</v>
      </c>
      <c r="G12" s="16">
        <v>186312.4</v>
      </c>
      <c r="H12" s="16">
        <v>186312.4</v>
      </c>
      <c r="I12" s="16">
        <v>105416</v>
      </c>
      <c r="J12" s="16">
        <v>105416</v>
      </c>
      <c r="K12" s="16">
        <v>105515</v>
      </c>
      <c r="L12" s="16">
        <v>105515</v>
      </c>
      <c r="M12" s="16"/>
    </row>
    <row r="13" spans="1:13" s="1" customFormat="1" ht="71.25" customHeight="1">
      <c r="A13" s="14">
        <v>9</v>
      </c>
      <c r="B13" s="15" t="s">
        <v>17</v>
      </c>
      <c r="C13" s="16">
        <v>1839581.4</v>
      </c>
      <c r="D13" s="16">
        <v>1818561.8</v>
      </c>
      <c r="E13" s="16">
        <v>2166030.7000000002</v>
      </c>
      <c r="F13" s="16">
        <v>2166030.7000000002</v>
      </c>
      <c r="G13" s="16">
        <v>2688127.8</v>
      </c>
      <c r="H13" s="16">
        <v>2688127.8</v>
      </c>
      <c r="I13" s="18">
        <v>2890078.3</v>
      </c>
      <c r="J13" s="16">
        <v>2890078.3</v>
      </c>
      <c r="K13" s="16">
        <v>3042908.7</v>
      </c>
      <c r="L13" s="16">
        <v>3042908.7</v>
      </c>
      <c r="M13" s="16"/>
    </row>
    <row r="14" spans="1:13" s="1" customFormat="1" ht="51" customHeight="1">
      <c r="A14" s="14">
        <v>10</v>
      </c>
      <c r="B14" s="23" t="s">
        <v>18</v>
      </c>
      <c r="C14" s="16">
        <f>53949.6+498131.6</f>
        <v>552081.19999999995</v>
      </c>
      <c r="D14" s="22">
        <f>42983.5+458095.8</f>
        <v>501079.3</v>
      </c>
      <c r="E14" s="16">
        <f>32893+1223804.1</f>
        <v>1256697.1000000001</v>
      </c>
      <c r="F14" s="16">
        <v>1297745.2</v>
      </c>
      <c r="G14" s="16">
        <v>1868889.3</v>
      </c>
      <c r="H14" s="16">
        <f>192228+1676661.3</f>
        <v>1868889.3</v>
      </c>
      <c r="I14" s="16">
        <v>1838486.8</v>
      </c>
      <c r="J14" s="16">
        <f>200228.8+1638258</f>
        <v>1838486.8</v>
      </c>
      <c r="K14" s="16">
        <v>2034390.2</v>
      </c>
      <c r="L14" s="16">
        <f>34853.8+1999536.4</f>
        <v>2034390.2</v>
      </c>
      <c r="M14" s="16"/>
    </row>
    <row r="15" spans="1:13" s="6" customFormat="1" ht="46.5" customHeight="1">
      <c r="A15" s="20">
        <v>11</v>
      </c>
      <c r="B15" s="24" t="s">
        <v>6</v>
      </c>
      <c r="C15" s="16">
        <f>931738.9+129139.3</f>
        <v>1060878.2</v>
      </c>
      <c r="D15" s="16">
        <f>930637.1+128206.8</f>
        <v>1058843.8999999999</v>
      </c>
      <c r="E15" s="16">
        <f>246301.5+248333.3</f>
        <v>494634.8</v>
      </c>
      <c r="F15" s="16">
        <v>494634.8</v>
      </c>
      <c r="G15" s="16">
        <v>109126.5</v>
      </c>
      <c r="H15" s="16">
        <f>51091.2+58035.3</f>
        <v>109126.5</v>
      </c>
      <c r="I15" s="16">
        <v>55032.6</v>
      </c>
      <c r="J15" s="16">
        <v>55032.6</v>
      </c>
      <c r="K15" s="16">
        <v>55134.5</v>
      </c>
      <c r="L15" s="16">
        <v>55134.5</v>
      </c>
      <c r="M15" s="16"/>
    </row>
    <row r="16" spans="1:13" s="1" customFormat="1" ht="33">
      <c r="A16" s="14">
        <v>12</v>
      </c>
      <c r="B16" s="25" t="s">
        <v>5</v>
      </c>
      <c r="C16" s="16">
        <f>134892.1+521018.4</f>
        <v>655910.5</v>
      </c>
      <c r="D16" s="26">
        <f>127118.8+519920</f>
        <v>647038.80000000005</v>
      </c>
      <c r="E16" s="16">
        <f>274667.2+807273.3</f>
        <v>1081940.5</v>
      </c>
      <c r="F16" s="16">
        <v>1068329</v>
      </c>
      <c r="G16" s="16">
        <v>849430.3</v>
      </c>
      <c r="H16" s="16">
        <f>146100.4+703329.9</f>
        <v>849430.3</v>
      </c>
      <c r="I16" s="22">
        <v>680000.1</v>
      </c>
      <c r="J16" s="22">
        <f>89311.8+590688.3</f>
        <v>680000.10000000009</v>
      </c>
      <c r="K16" s="16">
        <v>704842.6</v>
      </c>
      <c r="L16" s="16">
        <f>89311.8+615530.8</f>
        <v>704842.60000000009</v>
      </c>
      <c r="M16" s="16"/>
    </row>
    <row r="17" spans="1:13" s="1" customFormat="1" ht="27.75" customHeight="1">
      <c r="A17" s="14">
        <v>13</v>
      </c>
      <c r="B17" s="25" t="s">
        <v>19</v>
      </c>
      <c r="C17" s="27">
        <v>5349.3</v>
      </c>
      <c r="D17" s="22">
        <v>5250.1</v>
      </c>
      <c r="E17" s="22" t="s">
        <v>40</v>
      </c>
      <c r="F17" s="22" t="s">
        <v>40</v>
      </c>
      <c r="G17" s="16" t="s">
        <v>40</v>
      </c>
      <c r="H17" s="16" t="s">
        <v>40</v>
      </c>
      <c r="I17" s="16" t="s">
        <v>40</v>
      </c>
      <c r="J17" s="16" t="s">
        <v>40</v>
      </c>
      <c r="K17" s="16" t="s">
        <v>40</v>
      </c>
      <c r="L17" s="16" t="s">
        <v>40</v>
      </c>
      <c r="M17" s="16" t="s">
        <v>40</v>
      </c>
    </row>
    <row r="18" spans="1:13" s="6" customFormat="1" ht="33">
      <c r="A18" s="20">
        <v>14</v>
      </c>
      <c r="B18" s="24" t="s">
        <v>20</v>
      </c>
      <c r="C18" s="22">
        <v>1639886.3</v>
      </c>
      <c r="D18" s="22">
        <f>951617+678758</f>
        <v>1630375</v>
      </c>
      <c r="E18" s="22">
        <v>1925984.2</v>
      </c>
      <c r="F18" s="22">
        <v>1925984.2</v>
      </c>
      <c r="G18" s="22">
        <v>2113586.5</v>
      </c>
      <c r="H18" s="22">
        <v>2113586.5</v>
      </c>
      <c r="I18" s="22">
        <v>1940982.9</v>
      </c>
      <c r="J18" s="22">
        <v>1940982.9</v>
      </c>
      <c r="K18" s="22">
        <v>1966208</v>
      </c>
      <c r="L18" s="22">
        <v>1966208</v>
      </c>
      <c r="M18" s="16"/>
    </row>
    <row r="19" spans="1:13" s="1" customFormat="1" ht="33">
      <c r="A19" s="14">
        <v>15</v>
      </c>
      <c r="B19" s="25" t="s">
        <v>21</v>
      </c>
      <c r="C19" s="16">
        <f>522828.5+7232203.3</f>
        <v>7755031.7999999998</v>
      </c>
      <c r="D19" s="22">
        <f>522275.9+7210092.2</f>
        <v>7732368.1000000006</v>
      </c>
      <c r="E19" s="16">
        <f>704777.5+8002285.5</f>
        <v>8707063</v>
      </c>
      <c r="F19" s="16">
        <v>9374366</v>
      </c>
      <c r="G19" s="16">
        <v>6890626.0999999996</v>
      </c>
      <c r="H19" s="16">
        <f>715236.2+6175389.9</f>
        <v>6890626.1000000006</v>
      </c>
      <c r="I19" s="16">
        <v>4611881.8</v>
      </c>
      <c r="J19" s="16">
        <f>479376.7+4132505.1</f>
        <v>4611881.8</v>
      </c>
      <c r="K19" s="16">
        <v>10557709.699999999</v>
      </c>
      <c r="L19" s="16">
        <v>10557709.699999999</v>
      </c>
      <c r="M19" s="16"/>
    </row>
    <row r="20" spans="1:13" s="1" customFormat="1" ht="33">
      <c r="A20" s="14">
        <v>16</v>
      </c>
      <c r="B20" s="25" t="s">
        <v>22</v>
      </c>
      <c r="C20" s="16">
        <v>763652.9</v>
      </c>
      <c r="D20" s="22">
        <f>435617.3+326933.2</f>
        <v>762550.5</v>
      </c>
      <c r="E20" s="16">
        <v>817834.2</v>
      </c>
      <c r="F20" s="16">
        <v>817834.2</v>
      </c>
      <c r="G20" s="16">
        <v>734475.1</v>
      </c>
      <c r="H20" s="16">
        <v>734475.1</v>
      </c>
      <c r="I20" s="16">
        <v>413626.8</v>
      </c>
      <c r="J20" s="16">
        <f>344467.7+69159.1</f>
        <v>413626.80000000005</v>
      </c>
      <c r="K20" s="16">
        <v>562078.19999999995</v>
      </c>
      <c r="L20" s="16">
        <f>489950+72128.2</f>
        <v>562078.19999999995</v>
      </c>
      <c r="M20" s="16"/>
    </row>
    <row r="21" spans="1:13" s="1" customFormat="1" ht="33">
      <c r="A21" s="14">
        <v>17</v>
      </c>
      <c r="B21" s="15" t="s">
        <v>23</v>
      </c>
      <c r="C21" s="16">
        <f>2348000+9545433</f>
        <v>11893433</v>
      </c>
      <c r="D21" s="16">
        <f>2348000+9294773.9</f>
        <v>11642773.9</v>
      </c>
      <c r="E21" s="16">
        <f>5623296.4+11044418.2</f>
        <v>16667714.6</v>
      </c>
      <c r="F21" s="16">
        <v>17098650.199999999</v>
      </c>
      <c r="G21" s="16">
        <v>17049915.600000001</v>
      </c>
      <c r="H21" s="16">
        <f>4773107.9+12276807.7</f>
        <v>17049915.600000001</v>
      </c>
      <c r="I21" s="16">
        <v>16444129.4</v>
      </c>
      <c r="J21" s="16">
        <f>4222746.1+12221383.3</f>
        <v>16444129.4</v>
      </c>
      <c r="K21" s="16">
        <v>12097470.199999999</v>
      </c>
      <c r="L21" s="16">
        <v>12097470.199999999</v>
      </c>
      <c r="M21" s="16">
        <f>3971864.1+16112548.3</f>
        <v>20084412.400000002</v>
      </c>
    </row>
    <row r="22" spans="1:13" s="1" customFormat="1" ht="24" customHeight="1">
      <c r="A22" s="14">
        <v>18</v>
      </c>
      <c r="B22" s="15" t="s">
        <v>24</v>
      </c>
      <c r="C22" s="16">
        <v>158851.1</v>
      </c>
      <c r="D22" s="19">
        <v>156636.79999999999</v>
      </c>
      <c r="E22" s="16">
        <f>299079.7+158351.1</f>
        <v>457430.80000000005</v>
      </c>
      <c r="F22" s="16">
        <v>125120.1</v>
      </c>
      <c r="G22" s="16">
        <v>258776.4</v>
      </c>
      <c r="H22" s="16">
        <v>258776.4</v>
      </c>
      <c r="I22" s="16">
        <v>26702.400000000001</v>
      </c>
      <c r="J22" s="16">
        <v>26702.400000000001</v>
      </c>
      <c r="K22" s="16">
        <v>27271.8</v>
      </c>
      <c r="L22" s="16">
        <v>27271.8</v>
      </c>
      <c r="M22" s="16"/>
    </row>
    <row r="23" spans="1:13" s="1" customFormat="1" ht="33">
      <c r="A23" s="14">
        <v>19</v>
      </c>
      <c r="B23" s="15" t="s">
        <v>25</v>
      </c>
      <c r="C23" s="16">
        <f>5040.2+146207.6</f>
        <v>151247.80000000002</v>
      </c>
      <c r="D23" s="19">
        <f>5040.2+144425.8</f>
        <v>149466</v>
      </c>
      <c r="E23" s="16" t="s">
        <v>40</v>
      </c>
      <c r="F23" s="16" t="s">
        <v>40</v>
      </c>
      <c r="G23" s="16" t="s">
        <v>40</v>
      </c>
      <c r="H23" s="16" t="s">
        <v>40</v>
      </c>
      <c r="I23" s="16" t="s">
        <v>40</v>
      </c>
      <c r="J23" s="16" t="s">
        <v>40</v>
      </c>
      <c r="K23" s="16" t="s">
        <v>40</v>
      </c>
      <c r="L23" s="16" t="s">
        <v>40</v>
      </c>
      <c r="M23" s="16" t="s">
        <v>40</v>
      </c>
    </row>
    <row r="24" spans="1:13" s="1" customFormat="1" ht="39" customHeight="1">
      <c r="A24" s="14">
        <v>20</v>
      </c>
      <c r="B24" s="28" t="s">
        <v>26</v>
      </c>
      <c r="C24" s="16">
        <f>203831.3+7878429.5</f>
        <v>8082260.7999999998</v>
      </c>
      <c r="D24" s="16">
        <f>203804.4+7868468.9</f>
        <v>8072273.3000000007</v>
      </c>
      <c r="E24" s="16">
        <f>220478.8+7604883.7</f>
        <v>7825362.5</v>
      </c>
      <c r="F24" s="16">
        <v>8191438</v>
      </c>
      <c r="G24" s="16">
        <v>11725363.699999999</v>
      </c>
      <c r="H24" s="16">
        <f>164520.7+11560843</f>
        <v>11725363.699999999</v>
      </c>
      <c r="I24" s="16">
        <v>5714359.7000000002</v>
      </c>
      <c r="J24" s="16">
        <f>182581.2+5531778.5</f>
        <v>5714359.7000000002</v>
      </c>
      <c r="K24" s="16">
        <v>5154156.7</v>
      </c>
      <c r="L24" s="16">
        <f>184281+4969875.7</f>
        <v>5154156.7</v>
      </c>
      <c r="M24" s="16"/>
    </row>
    <row r="25" spans="1:13" s="1" customFormat="1" ht="57.75" customHeight="1">
      <c r="A25" s="29">
        <v>21</v>
      </c>
      <c r="B25" s="30" t="s">
        <v>7</v>
      </c>
      <c r="C25" s="16">
        <f>99372.8+1498743.8</f>
        <v>1598116.6</v>
      </c>
      <c r="D25" s="19">
        <f>99207.9+1470648.3</f>
        <v>1569856.2</v>
      </c>
      <c r="E25" s="16">
        <f>88629.8+1948938.3</f>
        <v>2037568.1</v>
      </c>
      <c r="F25" s="16">
        <v>2043523.8</v>
      </c>
      <c r="G25" s="16">
        <v>2682057.4</v>
      </c>
      <c r="H25" s="16">
        <f>74615.2+2607442.2</f>
        <v>2682057.4000000004</v>
      </c>
      <c r="I25" s="18">
        <v>2020362.9</v>
      </c>
      <c r="J25" s="16">
        <f>77481.9+1942881</f>
        <v>2020362.9</v>
      </c>
      <c r="K25" s="16">
        <v>1885205</v>
      </c>
      <c r="L25" s="16">
        <f>77481.9+1807723.1</f>
        <v>1885205</v>
      </c>
      <c r="M25" s="16"/>
    </row>
    <row r="26" spans="1:13" s="1" customFormat="1" ht="29.25" customHeight="1">
      <c r="A26" s="29">
        <v>22</v>
      </c>
      <c r="B26" s="21" t="s">
        <v>8</v>
      </c>
      <c r="C26" s="16">
        <f>8458.4+867964</f>
        <v>876422.4</v>
      </c>
      <c r="D26" s="19">
        <f>8458.4+865217.4</f>
        <v>873675.8</v>
      </c>
      <c r="E26" s="16">
        <f>11812.4+1116948.2</f>
        <v>1128760.5999999999</v>
      </c>
      <c r="F26" s="16">
        <v>1094225</v>
      </c>
      <c r="G26" s="16">
        <v>1323662.8</v>
      </c>
      <c r="H26" s="16">
        <f>3922.3+1319740.5</f>
        <v>1323662.8</v>
      </c>
      <c r="I26" s="16">
        <v>1121789.2</v>
      </c>
      <c r="J26" s="16">
        <f>181018.7+940770.5</f>
        <v>1121789.2</v>
      </c>
      <c r="K26" s="16">
        <v>942030.8</v>
      </c>
      <c r="L26" s="16">
        <v>942030.8</v>
      </c>
      <c r="M26" s="16"/>
    </row>
    <row r="27" spans="1:13" s="1" customFormat="1" ht="43.5" customHeight="1">
      <c r="A27" s="29">
        <v>23</v>
      </c>
      <c r="B27" s="21" t="s">
        <v>32</v>
      </c>
      <c r="C27" s="16">
        <f>178691.1+878296</f>
        <v>1056987.1000000001</v>
      </c>
      <c r="D27" s="16">
        <f>173679.1+874683.9</f>
        <v>1048363</v>
      </c>
      <c r="E27" s="16">
        <f>431259.1+939903</f>
        <v>1371162.1</v>
      </c>
      <c r="F27" s="16">
        <v>1371162.2</v>
      </c>
      <c r="G27" s="16">
        <v>1249959.6000000001</v>
      </c>
      <c r="H27" s="16">
        <f>69648.5+1180311.1</f>
        <v>1249959.6000000001</v>
      </c>
      <c r="I27" s="16">
        <v>1141921.1000000001</v>
      </c>
      <c r="J27" s="16">
        <f>335794.9+806126.2</f>
        <v>1141921.1000000001</v>
      </c>
      <c r="K27" s="16">
        <v>813873</v>
      </c>
      <c r="L27" s="16">
        <v>813873</v>
      </c>
      <c r="M27" s="16">
        <f>2002390.5+1784515.4</f>
        <v>3786905.9</v>
      </c>
    </row>
    <row r="28" spans="1:13" s="1" customFormat="1" ht="27" customHeight="1">
      <c r="A28" s="29">
        <v>24</v>
      </c>
      <c r="B28" s="21" t="s">
        <v>33</v>
      </c>
      <c r="C28" s="16">
        <f>17769+430136.7</f>
        <v>447905.7</v>
      </c>
      <c r="D28" s="16">
        <f>16792.2+430015.2</f>
        <v>446807.4</v>
      </c>
      <c r="E28" s="16">
        <f>7829.5+392556.2</f>
        <v>400385.7</v>
      </c>
      <c r="F28" s="16">
        <v>431293.7</v>
      </c>
      <c r="G28" s="16">
        <v>563400.1</v>
      </c>
      <c r="H28" s="16">
        <f>34705.5+528694.6</f>
        <v>563400.1</v>
      </c>
      <c r="I28" s="16">
        <v>402310.2</v>
      </c>
      <c r="J28" s="16">
        <f>915+401395.2</f>
        <v>402310.2</v>
      </c>
      <c r="K28" s="16">
        <v>407966.7</v>
      </c>
      <c r="L28" s="16">
        <v>407966.7</v>
      </c>
      <c r="M28" s="16">
        <v>387546.2</v>
      </c>
    </row>
    <row r="29" spans="1:13" s="1" customFormat="1" ht="43.5" customHeight="1">
      <c r="A29" s="29">
        <v>25</v>
      </c>
      <c r="B29" s="21" t="s">
        <v>35</v>
      </c>
      <c r="C29" s="16" t="s">
        <v>40</v>
      </c>
      <c r="D29" s="16" t="s">
        <v>2</v>
      </c>
      <c r="E29" s="16">
        <f>3802.4+138494.5</f>
        <v>142296.9</v>
      </c>
      <c r="F29" s="16">
        <v>142296.9</v>
      </c>
      <c r="G29" s="16">
        <v>165189</v>
      </c>
      <c r="H29" s="16">
        <f>6903.4+158285.6</f>
        <v>165189</v>
      </c>
      <c r="I29" s="16">
        <v>163505.60000000001</v>
      </c>
      <c r="J29" s="16">
        <v>163505.60000000001</v>
      </c>
      <c r="K29" s="18">
        <v>160796.9</v>
      </c>
      <c r="L29" s="16">
        <v>160796.79999999999</v>
      </c>
      <c r="M29" s="16"/>
    </row>
    <row r="30" spans="1:13" s="1" customFormat="1" ht="32.25" customHeight="1">
      <c r="A30" s="31"/>
      <c r="B30" s="32" t="s">
        <v>1</v>
      </c>
      <c r="C30" s="33">
        <f>SUM(C5:C29)</f>
        <v>119067628.29999998</v>
      </c>
      <c r="D30" s="33">
        <f t="shared" ref="D30:M30" si="0">SUM(D5:D29)</f>
        <v>117036415.99999999</v>
      </c>
      <c r="E30" s="33">
        <f t="shared" si="0"/>
        <v>126448562</v>
      </c>
      <c r="F30" s="33">
        <f t="shared" si="0"/>
        <v>129554605.00000003</v>
      </c>
      <c r="G30" s="33">
        <f t="shared" si="0"/>
        <v>133883002.5</v>
      </c>
      <c r="H30" s="33">
        <f t="shared" si="0"/>
        <v>133883002.5</v>
      </c>
      <c r="I30" s="33">
        <f t="shared" si="0"/>
        <v>121959505.39999998</v>
      </c>
      <c r="J30" s="33">
        <f t="shared" si="0"/>
        <v>121959505.49999999</v>
      </c>
      <c r="K30" s="33">
        <f t="shared" si="0"/>
        <v>125170793.10000001</v>
      </c>
      <c r="L30" s="33">
        <f t="shared" si="0"/>
        <v>125170793</v>
      </c>
      <c r="M30" s="33">
        <f t="shared" si="0"/>
        <v>27634662.699999999</v>
      </c>
    </row>
    <row r="31" spans="1:13" s="4" customFormat="1" ht="14.25" hidden="1" outlineLevel="1">
      <c r="A31" s="3"/>
      <c r="B31" s="3"/>
      <c r="C31" s="7"/>
      <c r="D31" s="7"/>
      <c r="E31" s="7"/>
      <c r="G31" s="7"/>
      <c r="I31" s="7"/>
    </row>
    <row r="32" spans="1:13" s="4" customFormat="1" ht="14.25" hidden="1" outlineLevel="1">
      <c r="A32" s="3"/>
      <c r="B32" s="3"/>
      <c r="C32" s="7"/>
      <c r="D32" s="7"/>
      <c r="E32" s="7"/>
      <c r="G32" s="7"/>
      <c r="I32" s="7"/>
    </row>
    <row r="33" spans="1:9" s="4" customFormat="1" ht="14.25" hidden="1" outlineLevel="1">
      <c r="A33" s="3"/>
      <c r="B33" s="3"/>
      <c r="C33" s="7"/>
      <c r="D33" s="7"/>
      <c r="E33" s="7"/>
      <c r="G33" s="7"/>
      <c r="I33" s="7"/>
    </row>
    <row r="34" spans="1:9" s="4" customFormat="1" ht="14.25" hidden="1" outlineLevel="1">
      <c r="A34" s="3"/>
      <c r="B34" s="3"/>
      <c r="C34" s="8"/>
      <c r="D34" s="8"/>
      <c r="E34" s="7"/>
      <c r="G34" s="7"/>
      <c r="I34" s="7"/>
    </row>
    <row r="35" spans="1:9" s="4" customFormat="1" ht="14.25" hidden="1" outlineLevel="1">
      <c r="A35" s="3"/>
      <c r="B35" s="3"/>
      <c r="C35" s="8"/>
      <c r="D35" s="8"/>
      <c r="E35" s="7"/>
      <c r="G35" s="7"/>
      <c r="I35" s="7"/>
    </row>
    <row r="36" spans="1:9" s="4" customFormat="1" ht="14.25" hidden="1" outlineLevel="1">
      <c r="A36" s="3"/>
      <c r="B36" s="3"/>
      <c r="C36" s="8"/>
      <c r="D36" s="8"/>
      <c r="E36" s="7"/>
      <c r="G36" s="7"/>
      <c r="I36" s="7"/>
    </row>
    <row r="37" spans="1:9" s="4" customFormat="1" ht="14.25" hidden="1" outlineLevel="1">
      <c r="A37" s="3"/>
      <c r="B37" s="3"/>
      <c r="C37" s="8"/>
      <c r="D37" s="8"/>
      <c r="E37" s="7"/>
      <c r="G37" s="7"/>
      <c r="I37" s="7"/>
    </row>
    <row r="38" spans="1:9" s="4" customFormat="1" ht="14.25" hidden="1" outlineLevel="1">
      <c r="A38" s="3"/>
      <c r="B38" s="3"/>
      <c r="C38" s="8"/>
      <c r="D38" s="8"/>
      <c r="E38" s="7"/>
      <c r="G38" s="7"/>
      <c r="I38" s="7"/>
    </row>
    <row r="39" spans="1:9" s="4" customFormat="1" ht="14.25" hidden="1" outlineLevel="1">
      <c r="A39" s="3"/>
      <c r="B39" s="3"/>
      <c r="C39" s="8"/>
      <c r="D39" s="8"/>
      <c r="E39" s="7"/>
      <c r="G39" s="7"/>
      <c r="I39" s="7"/>
    </row>
    <row r="40" spans="1:9" s="4" customFormat="1" ht="14.25" hidden="1" outlineLevel="1">
      <c r="A40" s="3"/>
      <c r="B40" s="3"/>
      <c r="C40" s="8"/>
      <c r="D40" s="8"/>
      <c r="E40" s="7"/>
      <c r="G40" s="7"/>
      <c r="I40" s="7"/>
    </row>
    <row r="41" spans="1:9" s="4" customFormat="1" ht="14.25" hidden="1" outlineLevel="1">
      <c r="A41" s="3"/>
      <c r="B41" s="3"/>
      <c r="C41" s="8"/>
      <c r="D41" s="8"/>
      <c r="E41" s="7"/>
      <c r="G41" s="7"/>
      <c r="I41" s="7"/>
    </row>
    <row r="42" spans="1:9" s="4" customFormat="1" ht="14.25" hidden="1" outlineLevel="1">
      <c r="A42" s="3"/>
      <c r="B42" s="3"/>
      <c r="C42" s="8"/>
      <c r="D42" s="8"/>
      <c r="E42" s="7"/>
      <c r="G42" s="7"/>
      <c r="I42" s="7"/>
    </row>
    <row r="43" spans="1:9" s="4" customFormat="1" ht="14.25" hidden="1" outlineLevel="1">
      <c r="A43" s="3"/>
      <c r="B43" s="3"/>
      <c r="C43" s="8"/>
      <c r="D43" s="8"/>
      <c r="E43" s="7"/>
      <c r="G43" s="7"/>
      <c r="I43" s="7"/>
    </row>
    <row r="44" spans="1:9" s="4" customFormat="1" ht="14.25" hidden="1" outlineLevel="1">
      <c r="A44" s="3"/>
      <c r="B44" s="3"/>
      <c r="C44" s="8"/>
      <c r="D44" s="8"/>
      <c r="E44" s="7"/>
      <c r="G44" s="7"/>
      <c r="I44" s="7"/>
    </row>
    <row r="45" spans="1:9" s="4" customFormat="1" ht="14.25" hidden="1" outlineLevel="1">
      <c r="A45" s="3"/>
      <c r="B45" s="3"/>
      <c r="C45" s="8"/>
      <c r="D45" s="8"/>
      <c r="E45" s="7"/>
      <c r="G45" s="7"/>
      <c r="I45" s="7"/>
    </row>
    <row r="46" spans="1:9" s="4" customFormat="1" ht="14.25" hidden="1" outlineLevel="1">
      <c r="A46" s="3"/>
      <c r="B46" s="3"/>
      <c r="C46" s="8"/>
      <c r="D46" s="8"/>
      <c r="E46" s="7"/>
      <c r="G46" s="7"/>
      <c r="I46" s="7"/>
    </row>
    <row r="47" spans="1:9" s="4" customFormat="1" ht="14.25" hidden="1" outlineLevel="1">
      <c r="A47" s="3"/>
      <c r="B47" s="3"/>
      <c r="C47" s="8"/>
      <c r="D47" s="8"/>
      <c r="E47" s="7"/>
      <c r="G47" s="7"/>
      <c r="I47" s="7"/>
    </row>
    <row r="48" spans="1:9" s="4" customFormat="1" ht="14.25" hidden="1" outlineLevel="1">
      <c r="A48" s="3"/>
      <c r="B48" s="3"/>
      <c r="C48" s="8"/>
      <c r="D48" s="8"/>
      <c r="E48" s="7"/>
      <c r="G48" s="7"/>
      <c r="I48" s="7"/>
    </row>
    <row r="49" spans="1:9" s="4" customFormat="1" ht="14.25" hidden="1" outlineLevel="1">
      <c r="A49" s="3"/>
      <c r="B49" s="3"/>
      <c r="C49" s="8"/>
      <c r="D49" s="8"/>
      <c r="E49" s="7"/>
      <c r="G49" s="7"/>
      <c r="I49" s="7"/>
    </row>
    <row r="50" spans="1:9" s="4" customFormat="1" ht="14.25" hidden="1" outlineLevel="1">
      <c r="A50" s="3"/>
      <c r="B50" s="3"/>
      <c r="C50" s="8"/>
      <c r="D50" s="8"/>
      <c r="E50" s="7"/>
      <c r="G50" s="7"/>
      <c r="I50" s="7"/>
    </row>
    <row r="51" spans="1:9" s="4" customFormat="1" ht="14.25" hidden="1" outlineLevel="1">
      <c r="A51" s="3"/>
      <c r="B51" s="3"/>
      <c r="C51" s="8"/>
      <c r="D51" s="8"/>
      <c r="E51" s="7"/>
      <c r="G51" s="7"/>
      <c r="I51" s="7"/>
    </row>
    <row r="52" spans="1:9" s="4" customFormat="1" ht="14.25" hidden="1" outlineLevel="1">
      <c r="A52" s="3"/>
      <c r="B52" s="3"/>
      <c r="C52" s="8"/>
      <c r="D52" s="8"/>
      <c r="E52" s="7"/>
      <c r="G52" s="7"/>
      <c r="I52" s="7"/>
    </row>
    <row r="53" spans="1:9" s="4" customFormat="1" ht="14.25" hidden="1" outlineLevel="1">
      <c r="A53" s="3"/>
      <c r="B53" s="3"/>
      <c r="C53" s="8"/>
      <c r="D53" s="8"/>
      <c r="E53" s="7"/>
      <c r="G53" s="7"/>
      <c r="I53" s="7"/>
    </row>
    <row r="54" spans="1:9" s="5" customFormat="1" ht="14.25" collapsed="1">
      <c r="A54" s="3"/>
      <c r="B54" s="3"/>
      <c r="C54" s="8"/>
      <c r="D54" s="8"/>
      <c r="E54" s="10"/>
      <c r="G54" s="10"/>
      <c r="I54" s="10"/>
    </row>
    <row r="55" spans="1:9" s="5" customFormat="1" ht="14.25">
      <c r="A55" s="3"/>
      <c r="B55" s="3"/>
      <c r="C55" s="8"/>
      <c r="D55" s="8"/>
      <c r="E55" s="10"/>
      <c r="G55" s="10"/>
      <c r="I55" s="10"/>
    </row>
    <row r="56" spans="1:9" s="5" customFormat="1" ht="14.25">
      <c r="A56" s="3"/>
      <c r="B56" s="3"/>
      <c r="C56" s="8"/>
      <c r="D56" s="8"/>
      <c r="E56" s="10"/>
      <c r="G56" s="10"/>
      <c r="I56" s="10"/>
    </row>
    <row r="57" spans="1:9" s="5" customFormat="1" ht="14.25">
      <c r="A57" s="3"/>
      <c r="B57" s="3"/>
      <c r="C57" s="8"/>
      <c r="D57" s="8"/>
      <c r="E57" s="10"/>
      <c r="G57" s="10"/>
      <c r="I57" s="10"/>
    </row>
    <row r="58" spans="1:9" s="5" customFormat="1" ht="14.25">
      <c r="A58" s="3"/>
      <c r="B58" s="3"/>
      <c r="C58" s="8"/>
      <c r="D58" s="8"/>
      <c r="E58" s="10"/>
      <c r="G58" s="10"/>
      <c r="I58" s="10"/>
    </row>
    <row r="59" spans="1:9" s="5" customFormat="1" ht="14.25">
      <c r="A59" s="3"/>
      <c r="B59" s="3"/>
      <c r="C59" s="8"/>
      <c r="D59" s="8"/>
      <c r="E59" s="10"/>
      <c r="G59" s="10"/>
      <c r="I59" s="10"/>
    </row>
    <row r="60" spans="1:9" s="5" customFormat="1" ht="14.25">
      <c r="A60" s="3"/>
      <c r="B60" s="3"/>
      <c r="C60" s="8"/>
      <c r="D60" s="8"/>
      <c r="E60" s="10"/>
      <c r="G60" s="10"/>
      <c r="I60" s="10"/>
    </row>
    <row r="61" spans="1:9" s="5" customFormat="1" ht="14.25">
      <c r="A61" s="3"/>
      <c r="B61" s="3"/>
      <c r="C61" s="8"/>
      <c r="D61" s="8"/>
      <c r="E61" s="10"/>
      <c r="G61" s="10"/>
      <c r="I61" s="10"/>
    </row>
    <row r="62" spans="1:9" s="5" customFormat="1" ht="14.25">
      <c r="A62" s="3"/>
      <c r="B62" s="3"/>
      <c r="C62" s="8"/>
      <c r="D62" s="8"/>
      <c r="E62" s="10"/>
      <c r="G62" s="10"/>
      <c r="I62" s="10"/>
    </row>
    <row r="63" spans="1:9" s="5" customFormat="1" ht="14.25">
      <c r="A63" s="3"/>
      <c r="B63" s="3"/>
      <c r="C63" s="8"/>
      <c r="D63" s="8"/>
      <c r="E63" s="10"/>
      <c r="G63" s="10"/>
      <c r="I63" s="10"/>
    </row>
    <row r="64" spans="1:9" s="5" customFormat="1" ht="14.25">
      <c r="A64" s="3"/>
      <c r="B64" s="3"/>
      <c r="C64" s="8"/>
      <c r="D64" s="8"/>
      <c r="E64" s="10"/>
      <c r="G64" s="10"/>
      <c r="I64" s="10"/>
    </row>
    <row r="65" spans="1:9" s="5" customFormat="1" ht="14.25">
      <c r="A65" s="3"/>
      <c r="B65" s="3"/>
      <c r="C65" s="8"/>
      <c r="D65" s="8"/>
      <c r="E65" s="10"/>
      <c r="G65" s="10"/>
      <c r="I65" s="10"/>
    </row>
    <row r="66" spans="1:9" s="5" customFormat="1" ht="14.25">
      <c r="A66" s="3"/>
      <c r="B66" s="3"/>
      <c r="C66" s="8"/>
      <c r="D66" s="8"/>
      <c r="E66" s="10"/>
      <c r="G66" s="10"/>
      <c r="I66" s="10"/>
    </row>
    <row r="67" spans="1:9" s="5" customFormat="1" ht="14.25">
      <c r="A67" s="3"/>
      <c r="B67" s="3"/>
      <c r="C67" s="8"/>
      <c r="D67" s="8"/>
      <c r="E67" s="10"/>
      <c r="G67" s="10"/>
      <c r="I67" s="10"/>
    </row>
    <row r="68" spans="1:9" s="5" customFormat="1" ht="14.25">
      <c r="A68" s="3"/>
      <c r="B68" s="3"/>
      <c r="C68" s="8"/>
      <c r="D68" s="8"/>
      <c r="E68" s="10"/>
      <c r="G68" s="10"/>
      <c r="I68" s="10"/>
    </row>
  </sheetData>
  <mergeCells count="15">
    <mergeCell ref="A1:M1"/>
    <mergeCell ref="L3:L4"/>
    <mergeCell ref="M3:M4"/>
    <mergeCell ref="G3:G4"/>
    <mergeCell ref="I3:I4"/>
    <mergeCell ref="K3:K4"/>
    <mergeCell ref="C3:C4"/>
    <mergeCell ref="E3:E4"/>
    <mergeCell ref="H3:H4"/>
    <mergeCell ref="D3:D4"/>
    <mergeCell ref="J3:J4"/>
    <mergeCell ref="A3:A4"/>
    <mergeCell ref="F3:F4"/>
    <mergeCell ref="B2:C2"/>
    <mergeCell ref="B3:B4"/>
  </mergeCells>
  <pageMargins left="0.43307086614173229" right="0.23622047244094491" top="0.74803149606299213" bottom="0.35433070866141736" header="0.31496062992125984" footer="0.31496062992125984"/>
  <pageSetup paperSize="9" scale="39" orientation="landscape" r:id="rId1"/>
  <headerFooter alignWithMargins="0"/>
  <rowBreaks count="1" manualBreakCount="1">
    <brk id="5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5.75"/>
  <cols>
    <col min="1" max="16384" width="9.140625" style="13"/>
  </cols>
  <sheetData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2023-2025</vt:lpstr>
      <vt:lpstr>Лист1</vt:lpstr>
      <vt:lpstr>'2023-2025'!Заголовки_для_печати</vt:lpstr>
      <vt:lpstr>'2023-2025'!Область_печати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minfin user</cp:lastModifiedBy>
  <cp:lastPrinted>2022-10-12T13:31:41Z</cp:lastPrinted>
  <dcterms:created xsi:type="dcterms:W3CDTF">2007-11-07T06:47:46Z</dcterms:created>
  <dcterms:modified xsi:type="dcterms:W3CDTF">2022-10-12T13:32:58Z</dcterms:modified>
</cp:coreProperties>
</file>