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9040" windowHeight="15840"/>
  </bookViews>
  <sheets>
    <sheet name="2023" sheetId="2" r:id="rId1"/>
  </sheets>
  <definedNames>
    <definedName name="_xlnm.Print_Titles" localSheetId="0">'2023'!$3:$4</definedName>
    <definedName name="_xlnm.Print_Area" localSheetId="0">'2023'!$A$1:$U$81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2"/>
  <c r="N12"/>
  <c r="M12"/>
  <c r="L12"/>
  <c r="S72" l="1"/>
  <c r="L24"/>
  <c r="M24"/>
  <c r="N24"/>
  <c r="O24"/>
  <c r="L25"/>
  <c r="M25"/>
  <c r="N25"/>
  <c r="O25"/>
  <c r="L26"/>
  <c r="M26"/>
  <c r="N26"/>
  <c r="O26"/>
  <c r="L27"/>
  <c r="M27"/>
  <c r="N27"/>
  <c r="O27"/>
  <c r="L28"/>
  <c r="M28"/>
  <c r="N28"/>
  <c r="O28"/>
  <c r="L29"/>
  <c r="M29"/>
  <c r="N29"/>
  <c r="O29"/>
  <c r="L30"/>
  <c r="M30"/>
  <c r="N30"/>
  <c r="O30"/>
  <c r="L31"/>
  <c r="M31"/>
  <c r="N31"/>
  <c r="O31"/>
  <c r="L32"/>
  <c r="M32"/>
  <c r="N32"/>
  <c r="O32"/>
  <c r="L33"/>
  <c r="M33"/>
  <c r="N33"/>
  <c r="O33"/>
  <c r="L37"/>
  <c r="M37"/>
  <c r="N37"/>
  <c r="O37"/>
  <c r="N46"/>
  <c r="O46"/>
  <c r="L48"/>
  <c r="F8" l="1"/>
  <c r="E8"/>
  <c r="D8"/>
  <c r="C8"/>
  <c r="G12"/>
  <c r="M54" l="1"/>
  <c r="N54"/>
  <c r="O54"/>
  <c r="L55"/>
  <c r="M55"/>
  <c r="N55"/>
  <c r="O55"/>
  <c r="L56"/>
  <c r="M56"/>
  <c r="N56"/>
  <c r="O56"/>
  <c r="L57"/>
  <c r="M57"/>
  <c r="N57"/>
  <c r="O57"/>
  <c r="L58"/>
  <c r="M58"/>
  <c r="N58"/>
  <c r="O58"/>
  <c r="L59"/>
  <c r="M59"/>
  <c r="N59"/>
  <c r="O59"/>
  <c r="L60"/>
  <c r="M60"/>
  <c r="N60"/>
  <c r="O60"/>
  <c r="L61"/>
  <c r="M61"/>
  <c r="N61"/>
  <c r="O61"/>
  <c r="L62"/>
  <c r="M62"/>
  <c r="N62"/>
  <c r="O62"/>
  <c r="L63"/>
  <c r="M63"/>
  <c r="N63"/>
  <c r="O63"/>
  <c r="L64"/>
  <c r="M64"/>
  <c r="N64"/>
  <c r="O64"/>
  <c r="L65"/>
  <c r="N65"/>
  <c r="O65"/>
  <c r="O53"/>
  <c r="N53"/>
  <c r="L53"/>
  <c r="P12" l="1"/>
  <c r="O18" l="1"/>
  <c r="O19"/>
  <c r="O20"/>
  <c r="O21"/>
  <c r="O17"/>
  <c r="N18"/>
  <c r="N19"/>
  <c r="N20"/>
  <c r="N21"/>
  <c r="N17"/>
  <c r="M18"/>
  <c r="M19"/>
  <c r="M20"/>
  <c r="M21"/>
  <c r="M17"/>
  <c r="L18"/>
  <c r="L19"/>
  <c r="L20"/>
  <c r="L21"/>
  <c r="L17"/>
  <c r="G17"/>
  <c r="O68"/>
  <c r="O69"/>
  <c r="O70"/>
  <c r="O67"/>
  <c r="N68"/>
  <c r="N69"/>
  <c r="N70"/>
  <c r="N67"/>
  <c r="M68"/>
  <c r="M69"/>
  <c r="M70"/>
  <c r="M67"/>
  <c r="L68"/>
  <c r="L69"/>
  <c r="L70"/>
  <c r="L67"/>
  <c r="P67" s="1"/>
  <c r="G68"/>
  <c r="G69"/>
  <c r="G70"/>
  <c r="G67"/>
  <c r="Q37" l="1"/>
  <c r="Q46"/>
  <c r="Q22" l="1"/>
  <c r="F51" l="1"/>
  <c r="E51"/>
  <c r="N51" s="1"/>
  <c r="D51"/>
  <c r="M51" s="1"/>
  <c r="C51"/>
  <c r="L51" s="1"/>
  <c r="F50"/>
  <c r="E50"/>
  <c r="N50" s="1"/>
  <c r="D50"/>
  <c r="M50" s="1"/>
  <c r="C50"/>
  <c r="L50" s="1"/>
  <c r="F49"/>
  <c r="E49"/>
  <c r="N49" s="1"/>
  <c r="D49"/>
  <c r="M49" s="1"/>
  <c r="C49"/>
  <c r="L49" s="1"/>
  <c r="F48"/>
  <c r="D46"/>
  <c r="M46" s="1"/>
  <c r="C46"/>
  <c r="L46" s="1"/>
  <c r="R46"/>
  <c r="E48"/>
  <c r="N48" s="1"/>
  <c r="D48"/>
  <c r="M48" s="1"/>
  <c r="F47"/>
  <c r="E47"/>
  <c r="N47" s="1"/>
  <c r="D47"/>
  <c r="M47" s="1"/>
  <c r="C47"/>
  <c r="L47" s="1"/>
  <c r="F45"/>
  <c r="E45"/>
  <c r="N45" s="1"/>
  <c r="D45"/>
  <c r="M45" s="1"/>
  <c r="C45"/>
  <c r="L45" s="1"/>
  <c r="F44"/>
  <c r="E44"/>
  <c r="N44" s="1"/>
  <c r="D44"/>
  <c r="M44" s="1"/>
  <c r="C44"/>
  <c r="L44" s="1"/>
  <c r="F43"/>
  <c r="E43"/>
  <c r="N43" s="1"/>
  <c r="D43"/>
  <c r="M43" s="1"/>
  <c r="C43"/>
  <c r="L43" s="1"/>
  <c r="F42"/>
  <c r="E42"/>
  <c r="N42" s="1"/>
  <c r="D42"/>
  <c r="M42" s="1"/>
  <c r="C42"/>
  <c r="L42" s="1"/>
  <c r="F41"/>
  <c r="E41"/>
  <c r="N41" s="1"/>
  <c r="D41"/>
  <c r="M41" s="1"/>
  <c r="C41"/>
  <c r="L41" s="1"/>
  <c r="F40"/>
  <c r="E40"/>
  <c r="N40" s="1"/>
  <c r="D40"/>
  <c r="M40" s="1"/>
  <c r="C40"/>
  <c r="L40" s="1"/>
  <c r="F39"/>
  <c r="E39"/>
  <c r="N39" s="1"/>
  <c r="D39"/>
  <c r="M39" s="1"/>
  <c r="C39"/>
  <c r="L39" s="1"/>
  <c r="F38"/>
  <c r="E38"/>
  <c r="N38" s="1"/>
  <c r="D38"/>
  <c r="M38" s="1"/>
  <c r="C38"/>
  <c r="L38" s="1"/>
  <c r="F36"/>
  <c r="E36"/>
  <c r="N36" s="1"/>
  <c r="D36"/>
  <c r="M36" s="1"/>
  <c r="C36"/>
  <c r="L36" s="1"/>
  <c r="F35"/>
  <c r="E35"/>
  <c r="N35" s="1"/>
  <c r="D35"/>
  <c r="M35" s="1"/>
  <c r="C35"/>
  <c r="L35" s="1"/>
  <c r="F34"/>
  <c r="E34"/>
  <c r="N34" s="1"/>
  <c r="D34"/>
  <c r="M34" s="1"/>
  <c r="C34"/>
  <c r="L34" s="1"/>
  <c r="Q35" l="1"/>
  <c r="O35"/>
  <c r="Q38"/>
  <c r="O38"/>
  <c r="Q42"/>
  <c r="O42"/>
  <c r="Q34"/>
  <c r="R34" s="1"/>
  <c r="O34"/>
  <c r="Q36"/>
  <c r="O36"/>
  <c r="Q39"/>
  <c r="O39"/>
  <c r="Q40"/>
  <c r="R40" s="1"/>
  <c r="O40"/>
  <c r="Q41"/>
  <c r="O41"/>
  <c r="Q43"/>
  <c r="O43"/>
  <c r="Q44"/>
  <c r="O44"/>
  <c r="Q45"/>
  <c r="O45"/>
  <c r="Q47"/>
  <c r="O47"/>
  <c r="G46"/>
  <c r="Q48"/>
  <c r="O48"/>
  <c r="Q49"/>
  <c r="O49"/>
  <c r="Q50"/>
  <c r="O50"/>
  <c r="Q51"/>
  <c r="O51"/>
  <c r="P46"/>
  <c r="R5" l="1"/>
  <c r="Q16"/>
  <c r="R24" l="1"/>
  <c r="R25"/>
  <c r="R26"/>
  <c r="R27"/>
  <c r="R28"/>
  <c r="R29"/>
  <c r="R30"/>
  <c r="R31"/>
  <c r="R32"/>
  <c r="R33"/>
  <c r="R37"/>
  <c r="R35"/>
  <c r="R36"/>
  <c r="R38"/>
  <c r="R39"/>
  <c r="R41"/>
  <c r="R42"/>
  <c r="R43"/>
  <c r="R44"/>
  <c r="R45"/>
  <c r="R47"/>
  <c r="R48"/>
  <c r="R49"/>
  <c r="R50"/>
  <c r="R51"/>
  <c r="D52"/>
  <c r="E52"/>
  <c r="F52"/>
  <c r="C52"/>
  <c r="G47"/>
  <c r="G48"/>
  <c r="G49"/>
  <c r="G50"/>
  <c r="G51"/>
  <c r="G40"/>
  <c r="G39"/>
  <c r="G34"/>
  <c r="G35"/>
  <c r="G37"/>
  <c r="G45"/>
  <c r="R68"/>
  <c r="R69"/>
  <c r="R70"/>
  <c r="R67"/>
  <c r="R54"/>
  <c r="R55"/>
  <c r="R56"/>
  <c r="R57"/>
  <c r="R58"/>
  <c r="R59"/>
  <c r="R60"/>
  <c r="R61"/>
  <c r="R62"/>
  <c r="R63"/>
  <c r="R64"/>
  <c r="R65"/>
  <c r="R53"/>
  <c r="Q66"/>
  <c r="Q71"/>
  <c r="R71" l="1"/>
  <c r="R66"/>
  <c r="P49"/>
  <c r="P51"/>
  <c r="P50"/>
  <c r="P48"/>
  <c r="P47"/>
  <c r="P42"/>
  <c r="P38"/>
  <c r="P36"/>
  <c r="Q52"/>
  <c r="Q72" s="1"/>
  <c r="P43"/>
  <c r="P37"/>
  <c r="P34"/>
  <c r="P44"/>
  <c r="P39"/>
  <c r="P45"/>
  <c r="P41"/>
  <c r="P40"/>
  <c r="P35"/>
  <c r="G36"/>
  <c r="G42"/>
  <c r="G44"/>
  <c r="G43"/>
  <c r="G41"/>
  <c r="G38"/>
  <c r="R23"/>
  <c r="R52" s="1"/>
  <c r="R18"/>
  <c r="R19"/>
  <c r="R20"/>
  <c r="R21"/>
  <c r="R17"/>
  <c r="R6"/>
  <c r="R7"/>
  <c r="R8"/>
  <c r="R9"/>
  <c r="R10"/>
  <c r="R11"/>
  <c r="R22" l="1"/>
  <c r="R16"/>
  <c r="R72" l="1"/>
  <c r="O23"/>
  <c r="D65" l="1"/>
  <c r="M65" s="1"/>
  <c r="C54"/>
  <c r="L54" s="1"/>
  <c r="G56" l="1"/>
  <c r="C66" l="1"/>
  <c r="L8" l="1"/>
  <c r="M8"/>
  <c r="N8"/>
  <c r="O8"/>
  <c r="L9"/>
  <c r="M9"/>
  <c r="N9"/>
  <c r="O9"/>
  <c r="L10"/>
  <c r="M10"/>
  <c r="N10"/>
  <c r="O10"/>
  <c r="L11"/>
  <c r="M11"/>
  <c r="N11"/>
  <c r="O11"/>
  <c r="L13"/>
  <c r="M13"/>
  <c r="N13"/>
  <c r="O13"/>
  <c r="L14"/>
  <c r="M14"/>
  <c r="N14"/>
  <c r="O14"/>
  <c r="L15"/>
  <c r="M15"/>
  <c r="N15"/>
  <c r="O15"/>
  <c r="L23"/>
  <c r="M23"/>
  <c r="N23"/>
  <c r="N52" s="1"/>
  <c r="L66" l="1"/>
  <c r="M52"/>
  <c r="O52"/>
  <c r="T52" s="1"/>
  <c r="L52"/>
  <c r="P63"/>
  <c r="P32"/>
  <c r="L22"/>
  <c r="O22"/>
  <c r="T22" s="1"/>
  <c r="N22"/>
  <c r="P28"/>
  <c r="P27"/>
  <c r="P26"/>
  <c r="P25"/>
  <c r="P23"/>
  <c r="P21"/>
  <c r="P19"/>
  <c r="P18"/>
  <c r="P17"/>
  <c r="P15"/>
  <c r="P14"/>
  <c r="P13"/>
  <c r="P11"/>
  <c r="P54"/>
  <c r="P69"/>
  <c r="P59"/>
  <c r="P55"/>
  <c r="P62"/>
  <c r="P33"/>
  <c r="P31"/>
  <c r="P30"/>
  <c r="P29"/>
  <c r="M22"/>
  <c r="P70"/>
  <c r="P68"/>
  <c r="P64"/>
  <c r="P24"/>
  <c r="P20"/>
  <c r="P10"/>
  <c r="P9"/>
  <c r="P8"/>
  <c r="P58"/>
  <c r="P56"/>
  <c r="P57"/>
  <c r="O66"/>
  <c r="T66" s="1"/>
  <c r="N66"/>
  <c r="P61"/>
  <c r="P60"/>
  <c r="D53"/>
  <c r="M53" s="1"/>
  <c r="P53" s="1"/>
  <c r="D22"/>
  <c r="E22"/>
  <c r="F22"/>
  <c r="C22"/>
  <c r="P52" l="1"/>
  <c r="U52" s="1"/>
  <c r="P65"/>
  <c r="P22"/>
  <c r="U22" s="1"/>
  <c r="F6"/>
  <c r="F5"/>
  <c r="F7"/>
  <c r="D7"/>
  <c r="E6"/>
  <c r="E5"/>
  <c r="E7"/>
  <c r="D6"/>
  <c r="D5"/>
  <c r="D16" s="1"/>
  <c r="C6"/>
  <c r="C5"/>
  <c r="C7"/>
  <c r="C16" l="1"/>
  <c r="E16"/>
  <c r="F16"/>
  <c r="P66"/>
  <c r="U66" s="1"/>
  <c r="M66"/>
  <c r="M7"/>
  <c r="L7"/>
  <c r="M6"/>
  <c r="N7"/>
  <c r="O7"/>
  <c r="L6"/>
  <c r="N6"/>
  <c r="O6"/>
  <c r="L5"/>
  <c r="N5"/>
  <c r="O5"/>
  <c r="M5"/>
  <c r="G8"/>
  <c r="N16" l="1"/>
  <c r="P6"/>
  <c r="P7"/>
  <c r="M16"/>
  <c r="O16"/>
  <c r="T16" s="1"/>
  <c r="L16"/>
  <c r="P5"/>
  <c r="P16" s="1"/>
  <c r="U16" l="1"/>
  <c r="C71"/>
  <c r="C72" s="1"/>
  <c r="G9"/>
  <c r="G10"/>
  <c r="G11"/>
  <c r="G13"/>
  <c r="G14"/>
  <c r="G15"/>
  <c r="G18"/>
  <c r="G19"/>
  <c r="G20"/>
  <c r="G21"/>
  <c r="G23"/>
  <c r="G24"/>
  <c r="G25"/>
  <c r="G26"/>
  <c r="G27"/>
  <c r="G28"/>
  <c r="G29"/>
  <c r="G30"/>
  <c r="G31"/>
  <c r="G32"/>
  <c r="G33"/>
  <c r="G53"/>
  <c r="G54"/>
  <c r="G55"/>
  <c r="G57"/>
  <c r="G58"/>
  <c r="G59"/>
  <c r="G60"/>
  <c r="G61"/>
  <c r="G62"/>
  <c r="G63"/>
  <c r="G64"/>
  <c r="G65"/>
  <c r="G52" l="1"/>
  <c r="G22"/>
  <c r="G66"/>
  <c r="L71"/>
  <c r="L72" l="1"/>
  <c r="G5" l="1"/>
  <c r="G6" l="1"/>
  <c r="G7"/>
  <c r="E71"/>
  <c r="E66"/>
  <c r="G16" l="1"/>
  <c r="E72"/>
  <c r="N71"/>
  <c r="O71" l="1"/>
  <c r="T71" s="1"/>
  <c r="M71"/>
  <c r="D71"/>
  <c r="F71"/>
  <c r="D66"/>
  <c r="F66"/>
  <c r="F72" l="1"/>
  <c r="D72"/>
  <c r="P71"/>
  <c r="U71" s="1"/>
  <c r="G71" l="1"/>
  <c r="G72" s="1"/>
  <c r="M72" l="1"/>
  <c r="N72"/>
  <c r="P72"/>
  <c r="O72" l="1"/>
  <c r="T72" l="1"/>
  <c r="U72" l="1"/>
  <c r="U77" s="1"/>
</calcChain>
</file>

<file path=xl/comments1.xml><?xml version="1.0" encoding="utf-8"?>
<comments xmlns="http://schemas.openxmlformats.org/spreadsheetml/2006/main">
  <authors>
    <author>Блинова Екатерина Николаевна</author>
    <author>Камкина Снежана Александровна</author>
  </authors>
  <commentLis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расчетом на декабрьскую сессию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B8" authorId="1">
      <text>
        <r>
          <rPr>
            <b/>
            <sz val="9"/>
            <color indexed="81"/>
            <rFont val="Tahoma"/>
            <family val="2"/>
            <charset val="204"/>
          </rPr>
          <t>Камкина Снежана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из объемов вычтен объем по сетевой организации ПАО Россети</t>
        </r>
      </text>
    </comment>
    <comment ref="B12" authorId="1">
      <text>
        <r>
          <rPr>
            <b/>
            <sz val="9"/>
            <color indexed="81"/>
            <rFont val="Tahoma"/>
            <family val="2"/>
            <charset val="204"/>
          </rPr>
          <t>Камкина Снежана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данным предприятия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</t>
        </r>
      </text>
    </comment>
    <comment ref="E22" authorId="1">
      <text>
        <r>
          <rPr>
            <b/>
            <sz val="9"/>
            <color indexed="81"/>
            <rFont val="Tahoma"/>
            <family val="2"/>
            <charset val="204"/>
          </rPr>
          <t>Камкина Снежана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факт 3 квартала 2022 г.</t>
        </r>
      </text>
    </comment>
    <comment ref="F22" authorId="1">
      <text>
        <r>
          <rPr>
            <b/>
            <sz val="9"/>
            <color indexed="81"/>
            <rFont val="Tahoma"/>
            <family val="2"/>
            <charset val="204"/>
          </rPr>
          <t>Камкина Снежана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факт 4 квартала 2022 г.</t>
        </r>
      </text>
    </comment>
  </commentList>
</comments>
</file>

<file path=xl/sharedStrings.xml><?xml version="1.0" encoding="utf-8"?>
<sst xmlns="http://schemas.openxmlformats.org/spreadsheetml/2006/main" count="107" uniqueCount="79">
  <si>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</si>
  <si>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</si>
  <si>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</si>
  <si>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</si>
  <si>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</si>
  <si>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</si>
  <si>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</si>
  <si>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</si>
  <si>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</si>
  <si>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</si>
  <si>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</si>
  <si>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</si>
  <si>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</si>
  <si>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</si>
  <si>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</si>
  <si>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</si>
  <si>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>Энергоснабжающая организация /гарантирующий поставщик</t>
  </si>
  <si>
    <t>покупатели на розничных рынках Архангельской области (прочие потребители)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</si>
  <si>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</si>
  <si>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</si>
  <si>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</si>
  <si>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потребители приравненные к категории "население" (садоводческие) одноставочный тариф на электрическую энергию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</si>
  <si>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</si>
  <si>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</si>
  <si>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</si>
  <si>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</si>
  <si>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 приравненные к категории "население"(гаражи, хоз.постройки) одноставочный тариф на электрическую энергию по двум зонам суток (ночь)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</si>
  <si>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</si>
  <si>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</si>
  <si>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Экономически обоснованный тариф на эл. Энергию
 (без НДС),
 рублей/кВт*ч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</si>
  <si>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</si>
  <si>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ООО "ТГК -2 Энергосбыт" (Каменка, Мезень)</t>
  </si>
  <si>
    <t>ООО "ТГК -2 Энергосбыт" (Коряжма)</t>
  </si>
  <si>
    <t>АО "АрхоблЭнерго"</t>
  </si>
  <si>
    <t>ООО "МТК"</t>
  </si>
  <si>
    <t>Министр ТЭК и ЖКХ АО</t>
  </si>
  <si>
    <t>Д.Н. Поташев</t>
  </si>
  <si>
    <t>декабрь
 2022 года,
рублей</t>
  </si>
  <si>
    <t>население и приравненные к ним (одноставочный тариф на электрическую энергию)</t>
  </si>
  <si>
    <t>население и приравненные к ним (одноставочный тариф на электрическую энергию по двум зонам суток (день))</t>
  </si>
  <si>
    <t>население и приравненные к нему (одноставочный тариф на электрическую энергию по двум зонам суток (ночь))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</si>
  <si>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</si>
  <si>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(день))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</si>
  <si>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(ночь))</t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</si>
  <si>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</t>
    </r>
    <r>
      <rPr>
        <u/>
        <sz val="14"/>
        <color theme="1"/>
        <rFont val="Tahoma"/>
        <family val="2"/>
        <charset val="204"/>
      </rPr>
      <t xml:space="preserve"> 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</si>
  <si>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(день)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</si>
  <si>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(ночь))</t>
    </r>
  </si>
  <si>
    <t xml:space="preserve">Расчет плановой потребности
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
 на электрическую энергию, поставляемую покупателям на розничных рынках Архангельской области,
 на 2023 год </t>
  </si>
  <si>
    <t>декабрь
 2023 года,
рублей</t>
  </si>
  <si>
    <t>Потребность в средствах областного бюджета
 всего в 2023 году
(за декабрь 2022
 - ноябрь 2023),
рублей</t>
  </si>
  <si>
    <t>1 квартал</t>
  </si>
  <si>
    <t xml:space="preserve">2 квартал </t>
  </si>
  <si>
    <t xml:space="preserve">3 квартал </t>
  </si>
  <si>
    <t>4 квартал</t>
  </si>
  <si>
    <t>2 квартал</t>
  </si>
  <si>
    <t>3 квартал</t>
  </si>
  <si>
    <t>Объем ресурса, кВТ*ч</t>
  </si>
  <si>
    <t>Потребность в средствах областного бюджета, рублей</t>
  </si>
  <si>
    <t>план 4 кв. 2022</t>
  </si>
  <si>
    <t>декабрь 2022 года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</si>
  <si>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энергию)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</si>
  <si>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 (день)</t>
  </si>
  <si>
    <t>население, проживающее в городских населенных пунктах в домах, оборудованных стационарными электроплитами без электроотопительных установок, и приравненные к нему(одноставочный тариф на электрическую энергию (ночь))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</si>
  <si>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(день))</t>
  </si>
  <si>
    <t>население, проживающее в сельских населенных пунктах, и приравненные к нему потребители (одноставочный тариф на электрическую энергию)</t>
  </si>
  <si>
    <t>потребители,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</si>
  <si>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потребители, приравненные к категории "население" (гаражи, хоз.постройки) одноставочный тариф на электрическую энергию по двум зонам суток (ночь)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</si>
  <si>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(ночь))</t>
  </si>
  <si>
    <t>Недостаток средств областного бюджета, 
рублей</t>
  </si>
  <si>
    <t>Планируется перераспределение на мероприятия региональной программы "Модернизация систем коммунальной инфраструктуры (2023 -2027 годы)"</t>
  </si>
  <si>
    <t>население, проживающее в сельских населенных пунктах, и приравненные к нему потребители (одноставочный тариф на электрическую энергию по двум зонам суток (ночь)</t>
  </si>
  <si>
    <t>население, проживающее в сельских населенных пунктах население,  и приравненные к нему потребители(одноставочный тариф на электрическую энергию по двум зонам суток (день)</t>
  </si>
  <si>
    <t>население, проживающее в сельских населенных пунктах, и приравненные к нему потребители(одноставочный тариф на электрическую энергию по двум зонам суток (день)</t>
  </si>
  <si>
    <t>население, проживающее в сельских населенных пунктах, и приравненные к нему потребители(одноставочный тариф на электрическую энергию по двум зонам суток (ночь)</t>
  </si>
  <si>
    <t>население, проживающее в сельских населенных пунктах, и приравненные к нему потребители  (одноставочный тариф на электрическую энергию по двум зонам суток (день)</t>
  </si>
  <si>
    <t>население, проживающее в сельских населенных пунктах, и приравненные к нему потребители  (одноставочный тариф на электрическую энергию по двум зонам суток (ночь)</t>
  </si>
  <si>
    <t>население, проживающее в сельских населенных пунктах, и приравненные к нему потребители  (одноставочный тариф на электрическую энергию)</t>
  </si>
  <si>
    <t>Лимит на 2023 год согласно областному закону, 
рублей</t>
  </si>
  <si>
    <t>Планируется перераспределение на реализацию инвестиционного проекта в г. Архангельск «Студенческий кампус мирового уровня «Арктическая звезда»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</si>
</sst>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4"/>
      <name val="Tahoma"/>
      <family val="2"/>
      <charset val="204"/>
    </font>
    <font>
      <sz val="1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ahoma"/>
      <family val="2"/>
      <charset val="204"/>
    </font>
    <font>
      <u/>
      <sz val="14"/>
      <color theme="1"/>
      <name val="Tahoma"/>
      <family val="2"/>
      <charset val="204"/>
    </font>
    <font>
      <sz val="12"/>
      <color indexed="81"/>
      <name val="Tahoma"/>
      <family val="2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sz val="24"/>
      <color theme="1"/>
      <name val="Tahoma"/>
      <family val="2"/>
      <charset val="204"/>
    </font>
    <font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70C0"/>
      <name val="Tahoma"/>
      <family val="2"/>
      <charset val="204"/>
    </font>
    <font>
      <sz val="12"/>
      <color rgb="FF0070C0"/>
      <name val="Tahoma"/>
      <family val="2"/>
      <charset val="204"/>
    </font>
    <font>
      <sz val="14"/>
      <color rgb="FF0070C0"/>
      <name val="Times New Roman"/>
      <family val="1"/>
      <charset val="204"/>
    </font>
    <font>
      <sz val="20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8"/>
      <color rgb="FF0070C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1" applyFont="1"/>
    <xf numFmtId="165" fontId="5" fillId="0" borderId="0" xfId="0" applyNumberFormat="1" applyFont="1"/>
    <xf numFmtId="0" fontId="6" fillId="2" borderId="1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4" applyFont="1" applyFill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1" applyFont="1" applyBorder="1"/>
    <xf numFmtId="43" fontId="5" fillId="0" borderId="0" xfId="0" applyNumberFormat="1" applyFont="1" applyBorder="1"/>
    <xf numFmtId="165" fontId="5" fillId="0" borderId="0" xfId="0" applyNumberFormat="1" applyFont="1" applyBorder="1"/>
    <xf numFmtId="4" fontId="8" fillId="0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4" fontId="5" fillId="0" borderId="0" xfId="0" applyNumberFormat="1" applyFont="1"/>
    <xf numFmtId="0" fontId="6" fillId="2" borderId="1" xfId="4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 shrinkToFi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/>
    <xf numFmtId="164" fontId="13" fillId="0" borderId="0" xfId="1" applyFont="1" applyBorder="1"/>
    <xf numFmtId="4" fontId="13" fillId="0" borderId="0" xfId="0" applyNumberFormat="1" applyFont="1"/>
    <xf numFmtId="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0" fillId="0" borderId="0" xfId="6" applyFont="1" applyFill="1" applyAlignment="1">
      <alignment wrapText="1"/>
    </xf>
    <xf numFmtId="0" fontId="21" fillId="0" borderId="0" xfId="0" applyFont="1" applyFill="1"/>
    <xf numFmtId="0" fontId="21" fillId="3" borderId="0" xfId="0" applyFont="1" applyFill="1"/>
    <xf numFmtId="0" fontId="20" fillId="0" borderId="0" xfId="0" applyFont="1" applyFill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3" borderId="0" xfId="0" applyFont="1" applyFill="1"/>
    <xf numFmtId="0" fontId="20" fillId="0" borderId="2" xfId="6" applyFont="1" applyFill="1" applyBorder="1" applyAlignment="1">
      <alignment wrapText="1"/>
    </xf>
    <xf numFmtId="0" fontId="9" fillId="0" borderId="2" xfId="6" applyFont="1" applyFill="1" applyBorder="1"/>
    <xf numFmtId="0" fontId="20" fillId="0" borderId="2" xfId="3" applyFont="1" applyFill="1" applyBorder="1"/>
    <xf numFmtId="0" fontId="19" fillId="3" borderId="0" xfId="6" applyFont="1" applyFill="1"/>
    <xf numFmtId="0" fontId="9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22" fillId="0" borderId="0" xfId="0" applyFont="1" applyFill="1"/>
    <xf numFmtId="0" fontId="22" fillId="0" borderId="0" xfId="0" applyFont="1" applyFill="1" applyBorder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/>
    <xf numFmtId="0" fontId="23" fillId="3" borderId="0" xfId="0" applyFont="1" applyFill="1"/>
    <xf numFmtId="0" fontId="24" fillId="0" borderId="0" xfId="3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4" fontId="5" fillId="0" borderId="0" xfId="0" applyNumberFormat="1" applyFont="1" applyBorder="1"/>
    <xf numFmtId="0" fontId="25" fillId="0" borderId="0" xfId="0" applyFont="1"/>
    <xf numFmtId="4" fontId="25" fillId="0" borderId="0" xfId="0" applyNumberFormat="1" applyFont="1"/>
    <xf numFmtId="4" fontId="8" fillId="3" borderId="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" fontId="27" fillId="3" borderId="0" xfId="0" applyNumberFormat="1" applyFont="1" applyFill="1" applyBorder="1" applyAlignment="1">
      <alignment horizontal="center" vertical="center" wrapText="1"/>
    </xf>
    <xf numFmtId="0" fontId="29" fillId="0" borderId="0" xfId="0" applyFont="1"/>
    <xf numFmtId="4" fontId="30" fillId="0" borderId="0" xfId="0" applyNumberFormat="1" applyFont="1"/>
    <xf numFmtId="0" fontId="31" fillId="0" borderId="0" xfId="0" applyFont="1"/>
    <xf numFmtId="0" fontId="32" fillId="0" borderId="0" xfId="0" applyFont="1" applyFill="1"/>
    <xf numFmtId="4" fontId="31" fillId="0" borderId="0" xfId="0" applyNumberFormat="1" applyFont="1" applyBorder="1"/>
    <xf numFmtId="0" fontId="10" fillId="3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9" fontId="33" fillId="2" borderId="1" xfId="0" applyNumberFormat="1" applyFont="1" applyFill="1" applyBorder="1" applyAlignment="1">
      <alignment horizontal="right" vertical="center" wrapText="1"/>
    </xf>
    <xf numFmtId="0" fontId="19" fillId="0" borderId="0" xfId="6" applyFont="1" applyFill="1" applyAlignment="1">
      <alignment horizontal="left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19" fillId="3" borderId="0" xfId="0" applyFont="1" applyFill="1" applyBorder="1"/>
    <xf numFmtId="0" fontId="10" fillId="2" borderId="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19" fillId="0" borderId="0" xfId="6" applyFont="1" applyFill="1" applyAlignment="1">
      <alignment horizontal="left" wrapText="1"/>
    </xf>
    <xf numFmtId="0" fontId="19" fillId="0" borderId="0" xfId="0" applyFont="1" applyFill="1" applyBorder="1" applyAlignment="1">
      <alignment horizontal="right"/>
    </xf>
    <xf numFmtId="0" fontId="19" fillId="0" borderId="0" xfId="6" applyFont="1" applyFill="1" applyAlignment="1">
      <alignment horizontal="center" wrapText="1"/>
    </xf>
    <xf numFmtId="0" fontId="10" fillId="2" borderId="1" xfId="3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0"/>
  <sheetViews>
    <sheetView tabSelected="1" view="pageBreakPreview" zoomScale="60" zoomScaleNormal="60" workbookViewId="0">
      <pane xSplit="2" ySplit="4" topLeftCell="C5" activePane="bottomRight" state="frozen"/>
      <selection pane="topRight" activeCell="H1" sqref="H1"/>
      <selection pane="bottomLeft" activeCell="A3" sqref="A3"/>
      <selection pane="bottomRight" activeCell="B2" sqref="B2"/>
    </sheetView>
  </sheetViews>
  <sheetFormatPr defaultRowHeight="15" outlineLevelRow="1" outlineLevelCol="1"/>
  <cols>
    <col min="1" max="1" width="28.7109375" style="2" customWidth="1"/>
    <col min="2" max="2" width="90" style="6" customWidth="1"/>
    <col min="3" max="7" width="19.7109375" style="2" customWidth="1"/>
    <col min="8" max="11" width="16.140625" style="2" customWidth="1"/>
    <col min="12" max="12" width="24" style="3" customWidth="1"/>
    <col min="13" max="13" width="20.42578125" style="3" customWidth="1"/>
    <col min="14" max="15" width="20.42578125" style="2" customWidth="1"/>
    <col min="16" max="16" width="24" style="2" customWidth="1"/>
    <col min="17" max="18" width="24" style="61" hidden="1" customWidth="1" outlineLevel="1"/>
    <col min="19" max="19" width="24" style="56" customWidth="1" collapsed="1"/>
    <col min="20" max="20" width="24" style="2" customWidth="1"/>
    <col min="21" max="21" width="27.5703125" style="2" customWidth="1"/>
    <col min="22" max="22" width="31.28515625" style="2" customWidth="1"/>
    <col min="23" max="23" width="9.140625" style="2"/>
    <col min="24" max="24" width="18" style="2" bestFit="1" customWidth="1"/>
    <col min="25" max="16384" width="9.140625" style="2"/>
  </cols>
  <sheetData>
    <row r="1" spans="1:24" ht="95.25" customHeight="1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3" spans="1:24" s="1" customFormat="1" ht="122.25" customHeight="1">
      <c r="A3" s="76" t="s">
        <v>16</v>
      </c>
      <c r="B3" s="76" t="s">
        <v>1</v>
      </c>
      <c r="C3" s="79" t="s">
        <v>56</v>
      </c>
      <c r="D3" s="80"/>
      <c r="E3" s="80"/>
      <c r="F3" s="80"/>
      <c r="G3" s="80"/>
      <c r="H3" s="79" t="s">
        <v>29</v>
      </c>
      <c r="I3" s="81"/>
      <c r="J3" s="78" t="s">
        <v>30</v>
      </c>
      <c r="K3" s="78"/>
      <c r="L3" s="77" t="s">
        <v>57</v>
      </c>
      <c r="M3" s="77"/>
      <c r="N3" s="77"/>
      <c r="O3" s="77"/>
      <c r="P3" s="77"/>
      <c r="Q3" s="87" t="s">
        <v>58</v>
      </c>
      <c r="R3" s="87" t="s">
        <v>59</v>
      </c>
      <c r="S3" s="76" t="s">
        <v>37</v>
      </c>
      <c r="T3" s="86" t="s">
        <v>48</v>
      </c>
      <c r="U3" s="77" t="s">
        <v>49</v>
      </c>
    </row>
    <row r="4" spans="1:24" s="1" customFormat="1" ht="39.75" customHeight="1">
      <c r="A4" s="76"/>
      <c r="B4" s="76"/>
      <c r="C4" s="15" t="s">
        <v>50</v>
      </c>
      <c r="D4" s="15" t="s">
        <v>51</v>
      </c>
      <c r="E4" s="15" t="s">
        <v>52</v>
      </c>
      <c r="F4" s="5" t="s">
        <v>53</v>
      </c>
      <c r="G4" s="5" t="s">
        <v>0</v>
      </c>
      <c r="H4" s="7" t="s">
        <v>2</v>
      </c>
      <c r="I4" s="7" t="s">
        <v>3</v>
      </c>
      <c r="J4" s="7" t="s">
        <v>4</v>
      </c>
      <c r="K4" s="7" t="s">
        <v>3</v>
      </c>
      <c r="L4" s="15" t="s">
        <v>50</v>
      </c>
      <c r="M4" s="15" t="s">
        <v>54</v>
      </c>
      <c r="N4" s="15" t="s">
        <v>55</v>
      </c>
      <c r="O4" s="5" t="s">
        <v>53</v>
      </c>
      <c r="P4" s="5" t="s">
        <v>0</v>
      </c>
      <c r="Q4" s="87"/>
      <c r="R4" s="87"/>
      <c r="S4" s="76"/>
      <c r="T4" s="86"/>
      <c r="U4" s="77"/>
    </row>
    <row r="5" spans="1:24" ht="72" customHeight="1">
      <c r="A5" s="85" t="s">
        <v>33</v>
      </c>
      <c r="B5" s="64" t="s">
        <v>72</v>
      </c>
      <c r="C5" s="16">
        <f>1984523+5834</f>
        <v>1990357</v>
      </c>
      <c r="D5" s="16">
        <f>1255572+3060</f>
        <v>1258632</v>
      </c>
      <c r="E5" s="16">
        <f>1144328+3332</f>
        <v>1147660</v>
      </c>
      <c r="F5" s="16">
        <f>1474646+4651</f>
        <v>1479297</v>
      </c>
      <c r="G5" s="16">
        <f>C5+D5+E5+F5</f>
        <v>5875946</v>
      </c>
      <c r="H5" s="28">
        <v>50.71</v>
      </c>
      <c r="I5" s="28">
        <v>50.71</v>
      </c>
      <c r="J5" s="28">
        <v>4.08</v>
      </c>
      <c r="K5" s="28">
        <v>4.08</v>
      </c>
      <c r="L5" s="16">
        <f t="shared" ref="L5:L15" si="0">C5*(H5-J5)</f>
        <v>92810346.910000011</v>
      </c>
      <c r="M5" s="16">
        <f t="shared" ref="M5:M15" si="1">(H5-J5)*D5</f>
        <v>58690010.160000004</v>
      </c>
      <c r="N5" s="16">
        <f t="shared" ref="N5:N15" si="2">(I5-K5)*E5</f>
        <v>53515385.800000004</v>
      </c>
      <c r="O5" s="16">
        <f t="shared" ref="O5:O15" si="3">(I5-K5)*F5</f>
        <v>68979619.109999999</v>
      </c>
      <c r="P5" s="16">
        <f>L5+M5+N5+O5</f>
        <v>273995361.98000002</v>
      </c>
      <c r="Q5" s="16">
        <v>1479297</v>
      </c>
      <c r="R5" s="16">
        <f>Q5/3*(H5-J5)</f>
        <v>22993206.370000001</v>
      </c>
      <c r="S5" s="16"/>
      <c r="T5" s="16"/>
      <c r="U5" s="16"/>
    </row>
    <row r="6" spans="1:24" ht="72" customHeight="1">
      <c r="A6" s="85"/>
      <c r="B6" s="17" t="s">
        <v>73</v>
      </c>
      <c r="C6" s="16">
        <f>966058+2977</f>
        <v>969035</v>
      </c>
      <c r="D6" s="16">
        <f>581725+1405</f>
        <v>583130</v>
      </c>
      <c r="E6" s="16">
        <f>439259+1601</f>
        <v>440860</v>
      </c>
      <c r="F6" s="16">
        <f>666999+2061</f>
        <v>669060</v>
      </c>
      <c r="G6" s="16">
        <f t="shared" ref="G6:G65" si="4">C6+D6+E6+F6</f>
        <v>2662085</v>
      </c>
      <c r="H6" s="28">
        <v>50.71</v>
      </c>
      <c r="I6" s="28">
        <v>50.71</v>
      </c>
      <c r="J6" s="28">
        <v>1.67</v>
      </c>
      <c r="K6" s="28">
        <v>1.67</v>
      </c>
      <c r="L6" s="16">
        <f t="shared" si="0"/>
        <v>47521476.399999999</v>
      </c>
      <c r="M6" s="16">
        <f t="shared" si="1"/>
        <v>28596695.199999999</v>
      </c>
      <c r="N6" s="16">
        <f t="shared" si="2"/>
        <v>21619774.399999999</v>
      </c>
      <c r="O6" s="16">
        <f t="shared" si="3"/>
        <v>32810702.399999999</v>
      </c>
      <c r="P6" s="16">
        <f t="shared" ref="P6:P70" si="5">L6+M6+N6+O6</f>
        <v>130548648.40000001</v>
      </c>
      <c r="Q6" s="16">
        <v>669060</v>
      </c>
      <c r="R6" s="16">
        <f t="shared" ref="R6:R11" si="6">Q6/3*(H6-J6)</f>
        <v>10936900.799999999</v>
      </c>
      <c r="S6" s="16"/>
      <c r="T6" s="16"/>
      <c r="U6" s="16"/>
    </row>
    <row r="7" spans="1:24" ht="72" customHeight="1">
      <c r="A7" s="85"/>
      <c r="B7" s="64" t="s">
        <v>64</v>
      </c>
      <c r="C7" s="16">
        <f>3356233+23934</f>
        <v>3380167</v>
      </c>
      <c r="D7" s="16">
        <f>2643747+25806-176</f>
        <v>2669377</v>
      </c>
      <c r="E7" s="16">
        <f>3094109+22932</f>
        <v>3117041</v>
      </c>
      <c r="F7" s="16">
        <f>2772838+36472</f>
        <v>2809310</v>
      </c>
      <c r="G7" s="16">
        <f t="shared" si="4"/>
        <v>11975895</v>
      </c>
      <c r="H7" s="28">
        <v>50.71</v>
      </c>
      <c r="I7" s="28">
        <v>50.71</v>
      </c>
      <c r="J7" s="28">
        <v>3.58</v>
      </c>
      <c r="K7" s="28">
        <v>3.58</v>
      </c>
      <c r="L7" s="16">
        <f t="shared" si="0"/>
        <v>159307270.71000001</v>
      </c>
      <c r="M7" s="16">
        <f t="shared" si="1"/>
        <v>125807738.01000001</v>
      </c>
      <c r="N7" s="16">
        <f t="shared" si="2"/>
        <v>146906142.33000001</v>
      </c>
      <c r="O7" s="16">
        <f t="shared" si="3"/>
        <v>132402780.30000001</v>
      </c>
      <c r="P7" s="16">
        <f t="shared" si="5"/>
        <v>564423931.35000014</v>
      </c>
      <c r="Q7" s="16">
        <v>2809310</v>
      </c>
      <c r="R7" s="16">
        <f t="shared" si="6"/>
        <v>44134260.100000001</v>
      </c>
      <c r="S7" s="16"/>
      <c r="T7" s="16"/>
      <c r="U7" s="16"/>
    </row>
    <row r="8" spans="1:24" ht="72" customHeight="1">
      <c r="A8" s="85"/>
      <c r="B8" s="17" t="s">
        <v>17</v>
      </c>
      <c r="C8" s="16">
        <f>4811962-66041</f>
        <v>4745921</v>
      </c>
      <c r="D8" s="16">
        <f>2913096-53782</f>
        <v>2859314</v>
      </c>
      <c r="E8" s="16">
        <f>2102292-43544</f>
        <v>2058748</v>
      </c>
      <c r="F8" s="16">
        <f>3512936-46074</f>
        <v>3466862</v>
      </c>
      <c r="G8" s="16">
        <f>C8+D8+E8+F8</f>
        <v>13130845</v>
      </c>
      <c r="H8" s="28">
        <v>50.71</v>
      </c>
      <c r="I8" s="28">
        <v>50.71</v>
      </c>
      <c r="J8" s="28">
        <v>8.4499999999999993</v>
      </c>
      <c r="K8" s="28">
        <v>8.4499999999999993</v>
      </c>
      <c r="L8" s="16">
        <f t="shared" si="0"/>
        <v>200562621.46000004</v>
      </c>
      <c r="M8" s="16">
        <f t="shared" si="1"/>
        <v>120834609.64000002</v>
      </c>
      <c r="N8" s="16">
        <f t="shared" si="2"/>
        <v>87002690.480000004</v>
      </c>
      <c r="O8" s="16">
        <f t="shared" si="3"/>
        <v>146509588.12</v>
      </c>
      <c r="P8" s="16">
        <f t="shared" si="5"/>
        <v>554909509.70000005</v>
      </c>
      <c r="Q8" s="16">
        <v>3512936</v>
      </c>
      <c r="R8" s="16">
        <f t="shared" si="6"/>
        <v>49485558.453333341</v>
      </c>
      <c r="S8" s="16"/>
      <c r="T8" s="16"/>
      <c r="U8" s="16"/>
    </row>
    <row r="9" spans="1:24" ht="72" customHeight="1">
      <c r="A9" s="85"/>
      <c r="B9" s="17" t="s">
        <v>27</v>
      </c>
      <c r="C9" s="16">
        <v>211753</v>
      </c>
      <c r="D9" s="16">
        <v>138937</v>
      </c>
      <c r="E9" s="16">
        <v>137540</v>
      </c>
      <c r="F9" s="16">
        <v>138612</v>
      </c>
      <c r="G9" s="16">
        <f t="shared" si="4"/>
        <v>626842</v>
      </c>
      <c r="H9" s="28">
        <v>50.71</v>
      </c>
      <c r="I9" s="28">
        <v>50.71</v>
      </c>
      <c r="J9" s="28">
        <v>4.37</v>
      </c>
      <c r="K9" s="28">
        <v>4.37</v>
      </c>
      <c r="L9" s="16">
        <f t="shared" si="0"/>
        <v>9812634.0200000014</v>
      </c>
      <c r="M9" s="16">
        <f t="shared" si="1"/>
        <v>6438340.5800000001</v>
      </c>
      <c r="N9" s="16">
        <f t="shared" si="2"/>
        <v>6373603.6000000006</v>
      </c>
      <c r="O9" s="16">
        <f t="shared" si="3"/>
        <v>6423280.0800000001</v>
      </c>
      <c r="P9" s="16">
        <f t="shared" si="5"/>
        <v>29047858.280000001</v>
      </c>
      <c r="Q9" s="16">
        <v>138612</v>
      </c>
      <c r="R9" s="16">
        <f t="shared" si="6"/>
        <v>2141093.3600000003</v>
      </c>
      <c r="S9" s="16"/>
      <c r="T9" s="16"/>
      <c r="U9" s="16"/>
    </row>
    <row r="10" spans="1:24" ht="72" customHeight="1">
      <c r="A10" s="85"/>
      <c r="B10" s="17" t="s">
        <v>28</v>
      </c>
      <c r="C10" s="16">
        <v>97700</v>
      </c>
      <c r="D10" s="16">
        <v>59498</v>
      </c>
      <c r="E10" s="16">
        <v>46078</v>
      </c>
      <c r="F10" s="16">
        <v>63184</v>
      </c>
      <c r="G10" s="16">
        <f t="shared" si="4"/>
        <v>266460</v>
      </c>
      <c r="H10" s="28">
        <v>50.71</v>
      </c>
      <c r="I10" s="28">
        <v>50.71</v>
      </c>
      <c r="J10" s="28">
        <v>1.78</v>
      </c>
      <c r="K10" s="28">
        <v>1.78</v>
      </c>
      <c r="L10" s="16">
        <f t="shared" si="0"/>
        <v>4780461</v>
      </c>
      <c r="M10" s="16">
        <f t="shared" si="1"/>
        <v>2911237.14</v>
      </c>
      <c r="N10" s="16">
        <f t="shared" si="2"/>
        <v>2254596.54</v>
      </c>
      <c r="O10" s="16">
        <f t="shared" si="3"/>
        <v>3091593.12</v>
      </c>
      <c r="P10" s="16">
        <f t="shared" si="5"/>
        <v>13037887.800000001</v>
      </c>
      <c r="Q10" s="16">
        <v>63184</v>
      </c>
      <c r="R10" s="16">
        <f t="shared" si="6"/>
        <v>1030531.0399999999</v>
      </c>
      <c r="S10" s="16"/>
      <c r="T10" s="16"/>
      <c r="U10" s="16"/>
    </row>
    <row r="11" spans="1:24" ht="72" customHeight="1">
      <c r="A11" s="85"/>
      <c r="B11" s="17" t="s">
        <v>23</v>
      </c>
      <c r="C11" s="16">
        <v>159774</v>
      </c>
      <c r="D11" s="16">
        <v>99379</v>
      </c>
      <c r="E11" s="16">
        <v>112141</v>
      </c>
      <c r="F11" s="16">
        <v>92963</v>
      </c>
      <c r="G11" s="16">
        <f t="shared" si="4"/>
        <v>464257</v>
      </c>
      <c r="H11" s="28">
        <v>50.71</v>
      </c>
      <c r="I11" s="28">
        <v>50.71</v>
      </c>
      <c r="J11" s="28">
        <v>3.84</v>
      </c>
      <c r="K11" s="28">
        <v>3.84</v>
      </c>
      <c r="L11" s="16">
        <f t="shared" si="0"/>
        <v>7488607.3800000008</v>
      </c>
      <c r="M11" s="16">
        <f t="shared" si="1"/>
        <v>4657893.7300000004</v>
      </c>
      <c r="N11" s="16">
        <f t="shared" si="2"/>
        <v>5256048.6700000009</v>
      </c>
      <c r="O11" s="16">
        <f t="shared" si="3"/>
        <v>4357175.8100000005</v>
      </c>
      <c r="P11" s="16">
        <f t="shared" si="5"/>
        <v>21759725.590000004</v>
      </c>
      <c r="Q11" s="16">
        <v>92963</v>
      </c>
      <c r="R11" s="16">
        <f t="shared" si="6"/>
        <v>1452391.9366666668</v>
      </c>
      <c r="S11" s="16"/>
      <c r="T11" s="16"/>
      <c r="U11" s="16"/>
    </row>
    <row r="12" spans="1:24" ht="54.75" customHeight="1">
      <c r="A12" s="85"/>
      <c r="B12" s="17" t="s">
        <v>15</v>
      </c>
      <c r="C12" s="16">
        <v>78641</v>
      </c>
      <c r="D12" s="16">
        <v>66382</v>
      </c>
      <c r="E12" s="16">
        <v>56144</v>
      </c>
      <c r="F12" s="16">
        <v>58674</v>
      </c>
      <c r="G12" s="16">
        <f t="shared" si="4"/>
        <v>259841</v>
      </c>
      <c r="H12" s="28">
        <v>50.71</v>
      </c>
      <c r="I12" s="28">
        <v>50.71</v>
      </c>
      <c r="J12" s="16">
        <v>0.5</v>
      </c>
      <c r="K12" s="16">
        <v>0.5</v>
      </c>
      <c r="L12" s="16">
        <f>C12*(H12-J12)</f>
        <v>3948564.61</v>
      </c>
      <c r="M12" s="16">
        <f>(H12-J12)*D12</f>
        <v>3333040.22</v>
      </c>
      <c r="N12" s="16">
        <f>(I12-K12)*E12</f>
        <v>2818990.24</v>
      </c>
      <c r="O12" s="16">
        <f>(I12-K12)*F12</f>
        <v>2946021.54</v>
      </c>
      <c r="P12" s="16">
        <f t="shared" ref="P12" si="7">L12+M12+N12+O12</f>
        <v>13046616.609999999</v>
      </c>
      <c r="Q12" s="16"/>
      <c r="R12" s="16"/>
      <c r="S12" s="16"/>
      <c r="T12" s="16"/>
      <c r="U12" s="16"/>
    </row>
    <row r="13" spans="1:24" ht="54.75" hidden="1" customHeight="1" outlineLevel="1">
      <c r="A13" s="85"/>
      <c r="B13" s="17" t="s">
        <v>24</v>
      </c>
      <c r="C13" s="16">
        <v>0</v>
      </c>
      <c r="D13" s="16">
        <v>0</v>
      </c>
      <c r="E13" s="16">
        <v>0</v>
      </c>
      <c r="F13" s="16">
        <v>0</v>
      </c>
      <c r="G13" s="16">
        <f t="shared" si="4"/>
        <v>0</v>
      </c>
      <c r="H13" s="28">
        <v>50.71</v>
      </c>
      <c r="I13" s="28">
        <v>50.71</v>
      </c>
      <c r="J13" s="16">
        <v>5.05</v>
      </c>
      <c r="K13" s="16">
        <v>5.05</v>
      </c>
      <c r="L13" s="16">
        <f t="shared" si="0"/>
        <v>0</v>
      </c>
      <c r="M13" s="16">
        <f t="shared" si="1"/>
        <v>0</v>
      </c>
      <c r="N13" s="16">
        <f t="shared" si="2"/>
        <v>0</v>
      </c>
      <c r="O13" s="16">
        <f t="shared" si="3"/>
        <v>0</v>
      </c>
      <c r="P13" s="16">
        <f t="shared" si="5"/>
        <v>0</v>
      </c>
      <c r="Q13" s="16"/>
      <c r="R13" s="16"/>
      <c r="S13" s="16"/>
      <c r="T13" s="16"/>
      <c r="U13" s="16"/>
    </row>
    <row r="14" spans="1:24" ht="48.75" hidden="1" customHeight="1" outlineLevel="1">
      <c r="A14" s="85"/>
      <c r="B14" s="17" t="s">
        <v>25</v>
      </c>
      <c r="C14" s="16">
        <v>0</v>
      </c>
      <c r="D14" s="16">
        <v>0</v>
      </c>
      <c r="E14" s="16">
        <v>0</v>
      </c>
      <c r="F14" s="16">
        <v>0</v>
      </c>
      <c r="G14" s="16">
        <f t="shared" si="4"/>
        <v>0</v>
      </c>
      <c r="H14" s="28">
        <v>50.71</v>
      </c>
      <c r="I14" s="28">
        <v>50.71</v>
      </c>
      <c r="J14" s="16">
        <v>5.74</v>
      </c>
      <c r="K14" s="16">
        <v>5.74</v>
      </c>
      <c r="L14" s="16">
        <f t="shared" si="0"/>
        <v>0</v>
      </c>
      <c r="M14" s="16">
        <f t="shared" si="1"/>
        <v>0</v>
      </c>
      <c r="N14" s="16">
        <f t="shared" si="2"/>
        <v>0</v>
      </c>
      <c r="O14" s="16">
        <f t="shared" si="3"/>
        <v>0</v>
      </c>
      <c r="P14" s="16">
        <f t="shared" si="5"/>
        <v>0</v>
      </c>
      <c r="Q14" s="16"/>
      <c r="R14" s="16"/>
      <c r="S14" s="16"/>
      <c r="T14" s="16"/>
      <c r="U14" s="16"/>
    </row>
    <row r="15" spans="1:24" ht="48.75" hidden="1" customHeight="1" outlineLevel="1">
      <c r="A15" s="85"/>
      <c r="B15" s="17" t="s">
        <v>26</v>
      </c>
      <c r="C15" s="16">
        <v>0</v>
      </c>
      <c r="D15" s="16">
        <v>0</v>
      </c>
      <c r="E15" s="16">
        <v>0</v>
      </c>
      <c r="F15" s="16">
        <v>0</v>
      </c>
      <c r="G15" s="16">
        <f t="shared" si="4"/>
        <v>0</v>
      </c>
      <c r="H15" s="28">
        <v>50.71</v>
      </c>
      <c r="I15" s="28">
        <v>50.71</v>
      </c>
      <c r="J15" s="16">
        <v>2.35</v>
      </c>
      <c r="K15" s="16">
        <v>2.35</v>
      </c>
      <c r="L15" s="16">
        <f t="shared" si="0"/>
        <v>0</v>
      </c>
      <c r="M15" s="16">
        <f t="shared" si="1"/>
        <v>0</v>
      </c>
      <c r="N15" s="16">
        <f t="shared" si="2"/>
        <v>0</v>
      </c>
      <c r="O15" s="16">
        <f t="shared" si="3"/>
        <v>0</v>
      </c>
      <c r="P15" s="16">
        <f t="shared" si="5"/>
        <v>0</v>
      </c>
      <c r="Q15" s="16"/>
      <c r="R15" s="16"/>
      <c r="S15" s="16"/>
      <c r="T15" s="16"/>
      <c r="U15" s="16"/>
      <c r="X15" s="14"/>
    </row>
    <row r="16" spans="1:24" ht="46.5" customHeight="1" collapsed="1">
      <c r="A16" s="85"/>
      <c r="B16" s="65" t="s">
        <v>5</v>
      </c>
      <c r="C16" s="18">
        <f>SUM(C5:C15)</f>
        <v>11633348</v>
      </c>
      <c r="D16" s="18">
        <f>SUM(D5:D15)</f>
        <v>7734649</v>
      </c>
      <c r="E16" s="18">
        <f>SUM(E5:E15)</f>
        <v>7116212</v>
      </c>
      <c r="F16" s="18">
        <f>SUM(F5:F15)</f>
        <v>8777962</v>
      </c>
      <c r="G16" s="18">
        <f>SUM(G5:G15)</f>
        <v>35262171</v>
      </c>
      <c r="H16" s="18"/>
      <c r="I16" s="18"/>
      <c r="J16" s="18"/>
      <c r="K16" s="18"/>
      <c r="L16" s="18">
        <f t="shared" ref="L16:R16" si="8">SUM(L5:L15)</f>
        <v>526231982.49000001</v>
      </c>
      <c r="M16" s="18">
        <f t="shared" si="8"/>
        <v>351269564.68000001</v>
      </c>
      <c r="N16" s="18">
        <f t="shared" si="8"/>
        <v>325747232.06000012</v>
      </c>
      <c r="O16" s="18">
        <f t="shared" si="8"/>
        <v>397520760.48000002</v>
      </c>
      <c r="P16" s="18">
        <f t="shared" si="8"/>
        <v>1600769539.71</v>
      </c>
      <c r="Q16" s="18">
        <f t="shared" si="8"/>
        <v>8765362</v>
      </c>
      <c r="R16" s="18">
        <f t="shared" si="8"/>
        <v>132173942.06000003</v>
      </c>
      <c r="S16" s="18">
        <v>133810202.90828013</v>
      </c>
      <c r="T16" s="18">
        <f>O16/3</f>
        <v>132506920.16000001</v>
      </c>
      <c r="U16" s="18">
        <f>P16+S16-T16</f>
        <v>1602072822.4582801</v>
      </c>
    </row>
    <row r="17" spans="1:21" ht="76.5" customHeight="1">
      <c r="A17" s="85" t="s">
        <v>34</v>
      </c>
      <c r="B17" s="64" t="s">
        <v>71</v>
      </c>
      <c r="C17" s="16">
        <v>37053</v>
      </c>
      <c r="D17" s="16">
        <v>30611</v>
      </c>
      <c r="E17" s="16">
        <v>32329</v>
      </c>
      <c r="F17" s="16">
        <v>33530</v>
      </c>
      <c r="G17" s="16">
        <f>C17+D17+E17+F17</f>
        <v>133523</v>
      </c>
      <c r="H17" s="28">
        <v>79.09</v>
      </c>
      <c r="I17" s="28">
        <v>79.09</v>
      </c>
      <c r="J17" s="28">
        <v>4.08</v>
      </c>
      <c r="K17" s="28">
        <v>4.08</v>
      </c>
      <c r="L17" s="16">
        <f>C17*(H17-J17)</f>
        <v>2779345.5300000003</v>
      </c>
      <c r="M17" s="16">
        <f>(H17-J17)*D17</f>
        <v>2296131.1100000003</v>
      </c>
      <c r="N17" s="16">
        <f>(I17-K17)*E17</f>
        <v>2424998.29</v>
      </c>
      <c r="O17" s="16">
        <f>(I17-K17)*F17</f>
        <v>2515085.3000000003</v>
      </c>
      <c r="P17" s="16">
        <f t="shared" si="5"/>
        <v>10015560.23</v>
      </c>
      <c r="Q17" s="16">
        <v>35636</v>
      </c>
      <c r="R17" s="16">
        <f t="shared" ref="R17:R70" si="9">Q17/3*(H17-J17)</f>
        <v>891018.78666666674</v>
      </c>
      <c r="S17" s="16"/>
      <c r="T17" s="16"/>
      <c r="U17" s="16"/>
    </row>
    <row r="18" spans="1:21" ht="76.5" customHeight="1">
      <c r="A18" s="85"/>
      <c r="B18" s="17" t="s">
        <v>70</v>
      </c>
      <c r="C18" s="16">
        <v>12117</v>
      </c>
      <c r="D18" s="16">
        <v>10063</v>
      </c>
      <c r="E18" s="16">
        <v>10675</v>
      </c>
      <c r="F18" s="16">
        <v>11801</v>
      </c>
      <c r="G18" s="16">
        <f t="shared" si="4"/>
        <v>44656</v>
      </c>
      <c r="H18" s="28">
        <v>79.09</v>
      </c>
      <c r="I18" s="28">
        <v>79.09</v>
      </c>
      <c r="J18" s="28">
        <v>1.67</v>
      </c>
      <c r="K18" s="28">
        <v>1.67</v>
      </c>
      <c r="L18" s="16">
        <f t="shared" ref="L18:L21" si="10">C18*(H18-J18)</f>
        <v>938098.14</v>
      </c>
      <c r="M18" s="16">
        <f t="shared" ref="M18:M21" si="11">(H18-J18)*D18</f>
        <v>779077.46</v>
      </c>
      <c r="N18" s="16">
        <f t="shared" ref="N18:N21" si="12">(I18-K18)*E18</f>
        <v>826458.5</v>
      </c>
      <c r="O18" s="16">
        <f t="shared" ref="O18:O21" si="13">(I18-K18)*F18</f>
        <v>913633.42</v>
      </c>
      <c r="P18" s="16">
        <f t="shared" si="5"/>
        <v>3457267.52</v>
      </c>
      <c r="Q18" s="16">
        <v>10846</v>
      </c>
      <c r="R18" s="16">
        <f t="shared" si="9"/>
        <v>279899.10666666669</v>
      </c>
      <c r="S18" s="16"/>
      <c r="T18" s="16"/>
      <c r="U18" s="16"/>
    </row>
    <row r="19" spans="1:21" ht="72.75" customHeight="1">
      <c r="A19" s="85"/>
      <c r="B19" s="64" t="s">
        <v>64</v>
      </c>
      <c r="C19" s="16">
        <v>43313</v>
      </c>
      <c r="D19" s="16">
        <v>36016</v>
      </c>
      <c r="E19" s="16">
        <v>41572</v>
      </c>
      <c r="F19" s="16">
        <v>40164</v>
      </c>
      <c r="G19" s="16">
        <f t="shared" si="4"/>
        <v>161065</v>
      </c>
      <c r="H19" s="28">
        <v>79.09</v>
      </c>
      <c r="I19" s="28">
        <v>79.09</v>
      </c>
      <c r="J19" s="28">
        <v>3.58</v>
      </c>
      <c r="K19" s="28">
        <v>3.58</v>
      </c>
      <c r="L19" s="16">
        <f t="shared" si="10"/>
        <v>3270564.6300000004</v>
      </c>
      <c r="M19" s="16">
        <f t="shared" si="11"/>
        <v>2719568.16</v>
      </c>
      <c r="N19" s="16">
        <f t="shared" si="12"/>
        <v>3139101.72</v>
      </c>
      <c r="O19" s="16">
        <f t="shared" si="13"/>
        <v>3032783.64</v>
      </c>
      <c r="P19" s="16">
        <f t="shared" si="5"/>
        <v>12162018.150000002</v>
      </c>
      <c r="Q19" s="16">
        <v>44933</v>
      </c>
      <c r="R19" s="16">
        <f t="shared" si="9"/>
        <v>1130963.6100000001</v>
      </c>
      <c r="S19" s="16"/>
      <c r="T19" s="16"/>
      <c r="U19" s="16"/>
    </row>
    <row r="20" spans="1:21" ht="72.75" customHeight="1">
      <c r="A20" s="85"/>
      <c r="B20" s="17" t="s">
        <v>17</v>
      </c>
      <c r="C20" s="16">
        <v>117075</v>
      </c>
      <c r="D20" s="16">
        <v>62748</v>
      </c>
      <c r="E20" s="16">
        <v>22606</v>
      </c>
      <c r="F20" s="16">
        <v>71250</v>
      </c>
      <c r="G20" s="16">
        <f t="shared" si="4"/>
        <v>273679</v>
      </c>
      <c r="H20" s="28">
        <v>79.09</v>
      </c>
      <c r="I20" s="28">
        <v>79.09</v>
      </c>
      <c r="J20" s="28">
        <v>8.4499999999999993</v>
      </c>
      <c r="K20" s="28">
        <v>8.4499999999999993</v>
      </c>
      <c r="L20" s="16">
        <f t="shared" si="10"/>
        <v>8270178</v>
      </c>
      <c r="M20" s="16">
        <f t="shared" si="11"/>
        <v>4432518.72</v>
      </c>
      <c r="N20" s="16">
        <f t="shared" si="12"/>
        <v>1596887.84</v>
      </c>
      <c r="O20" s="16">
        <f t="shared" si="13"/>
        <v>5033100</v>
      </c>
      <c r="P20" s="16">
        <f t="shared" si="5"/>
        <v>19332684.559999999</v>
      </c>
      <c r="Q20" s="16">
        <v>96441</v>
      </c>
      <c r="R20" s="16">
        <f t="shared" si="9"/>
        <v>2270864.08</v>
      </c>
      <c r="S20" s="16"/>
      <c r="T20" s="16"/>
      <c r="U20" s="16"/>
    </row>
    <row r="21" spans="1:21" ht="52.5" customHeight="1">
      <c r="A21" s="85"/>
      <c r="B21" s="17" t="s">
        <v>24</v>
      </c>
      <c r="C21" s="16">
        <v>125</v>
      </c>
      <c r="D21" s="16">
        <v>87</v>
      </c>
      <c r="E21" s="16">
        <v>72</v>
      </c>
      <c r="F21" s="16">
        <v>390</v>
      </c>
      <c r="G21" s="16">
        <f t="shared" si="4"/>
        <v>674</v>
      </c>
      <c r="H21" s="28">
        <v>79.09</v>
      </c>
      <c r="I21" s="28">
        <v>79.09</v>
      </c>
      <c r="J21" s="28">
        <v>5.05</v>
      </c>
      <c r="K21" s="28">
        <v>5.05</v>
      </c>
      <c r="L21" s="16">
        <f t="shared" si="10"/>
        <v>9255</v>
      </c>
      <c r="M21" s="16">
        <f t="shared" si="11"/>
        <v>6441.4800000000005</v>
      </c>
      <c r="N21" s="16">
        <f t="shared" si="12"/>
        <v>5330.88</v>
      </c>
      <c r="O21" s="16">
        <f t="shared" si="13"/>
        <v>28875.600000000002</v>
      </c>
      <c r="P21" s="16">
        <f t="shared" si="5"/>
        <v>49902.960000000006</v>
      </c>
      <c r="Q21" s="16">
        <v>1549</v>
      </c>
      <c r="R21" s="16">
        <f t="shared" si="9"/>
        <v>38229.320000000007</v>
      </c>
      <c r="S21" s="16"/>
      <c r="T21" s="16"/>
      <c r="U21" s="16"/>
    </row>
    <row r="22" spans="1:21" ht="46.5" customHeight="1">
      <c r="A22" s="85"/>
      <c r="B22" s="65" t="s">
        <v>5</v>
      </c>
      <c r="C22" s="18">
        <f>SUM(C17:C21)</f>
        <v>209683</v>
      </c>
      <c r="D22" s="18">
        <f t="shared" ref="D22:G22" si="14">SUM(D17:D21)</f>
        <v>139525</v>
      </c>
      <c r="E22" s="18">
        <f t="shared" si="14"/>
        <v>107254</v>
      </c>
      <c r="F22" s="18">
        <f t="shared" si="14"/>
        <v>157135</v>
      </c>
      <c r="G22" s="18">
        <f t="shared" si="14"/>
        <v>613597</v>
      </c>
      <c r="H22" s="18"/>
      <c r="I22" s="18"/>
      <c r="J22" s="18"/>
      <c r="K22" s="18"/>
      <c r="L22" s="18">
        <f>SUM(L17:L21)</f>
        <v>15267441.300000001</v>
      </c>
      <c r="M22" s="18">
        <f t="shared" ref="M22:P22" si="15">SUM(M17:M21)</f>
        <v>10233736.93</v>
      </c>
      <c r="N22" s="18">
        <f t="shared" si="15"/>
        <v>7992777.2299999995</v>
      </c>
      <c r="O22" s="18">
        <f t="shared" si="15"/>
        <v>11523477.959999999</v>
      </c>
      <c r="P22" s="18">
        <f t="shared" si="15"/>
        <v>45017433.420000002</v>
      </c>
      <c r="Q22" s="18">
        <f>SUM(Q17:Q21)</f>
        <v>189405</v>
      </c>
      <c r="R22" s="18">
        <f>SUM(R17:R21)</f>
        <v>4610974.9033333343</v>
      </c>
      <c r="S22" s="18">
        <v>4525730.2699999996</v>
      </c>
      <c r="T22" s="18">
        <f>O22/3</f>
        <v>3841159.32</v>
      </c>
      <c r="U22" s="18">
        <f>P22+S22-T22</f>
        <v>45702004.369999997</v>
      </c>
    </row>
    <row r="23" spans="1:21" ht="57" customHeight="1">
      <c r="A23" s="72" t="s">
        <v>31</v>
      </c>
      <c r="B23" s="57" t="s">
        <v>18</v>
      </c>
      <c r="C23" s="16">
        <v>3645</v>
      </c>
      <c r="D23" s="16">
        <v>207</v>
      </c>
      <c r="E23" s="16">
        <v>453</v>
      </c>
      <c r="F23" s="16">
        <v>3711</v>
      </c>
      <c r="G23" s="16">
        <f t="shared" si="4"/>
        <v>8016</v>
      </c>
      <c r="H23" s="28">
        <v>31.732040000000001</v>
      </c>
      <c r="I23" s="28">
        <v>31.732040000000001</v>
      </c>
      <c r="J23" s="28">
        <v>6.1525899999999991</v>
      </c>
      <c r="K23" s="28">
        <v>6.1525899999999991</v>
      </c>
      <c r="L23" s="16">
        <f t="shared" ref="L23" si="16">C23*(H23-J23)</f>
        <v>93237.095249999998</v>
      </c>
      <c r="M23" s="16">
        <f t="shared" ref="M23" si="17">(H23-J23)*D23</f>
        <v>5294.9461500000007</v>
      </c>
      <c r="N23" s="16">
        <f t="shared" ref="N23" si="18">(I23-K23)*E23</f>
        <v>11587.49085</v>
      </c>
      <c r="O23" s="16">
        <f>(I23-K23)*F23</f>
        <v>94925.338950000005</v>
      </c>
      <c r="P23" s="16">
        <f t="shared" si="5"/>
        <v>205044.87119999999</v>
      </c>
      <c r="Q23" s="16">
        <v>3711</v>
      </c>
      <c r="R23" s="16">
        <f t="shared" si="9"/>
        <v>31641.77965</v>
      </c>
      <c r="S23" s="16"/>
      <c r="T23" s="16"/>
      <c r="U23" s="16"/>
    </row>
    <row r="24" spans="1:21" ht="57" customHeight="1">
      <c r="A24" s="73"/>
      <c r="B24" s="57" t="s">
        <v>19</v>
      </c>
      <c r="C24" s="16">
        <v>866119</v>
      </c>
      <c r="D24" s="16">
        <v>484497</v>
      </c>
      <c r="E24" s="16">
        <v>406103</v>
      </c>
      <c r="F24" s="16">
        <v>791356</v>
      </c>
      <c r="G24" s="16">
        <f t="shared" si="4"/>
        <v>2548075</v>
      </c>
      <c r="H24" s="28">
        <v>32.860719999999993</v>
      </c>
      <c r="I24" s="28">
        <v>32.860719999999993</v>
      </c>
      <c r="J24" s="28">
        <v>7.2812699999999992</v>
      </c>
      <c r="K24" s="28">
        <v>7.2812699999999992</v>
      </c>
      <c r="L24" s="16">
        <f t="shared" ref="L24:L51" si="19">C24*(H24-J24)</f>
        <v>22154847.654549994</v>
      </c>
      <c r="M24" s="16">
        <f t="shared" ref="M24:M51" si="20">(H24-J24)*D24</f>
        <v>12393166.786649996</v>
      </c>
      <c r="N24" s="16">
        <f t="shared" ref="N24:N51" si="21">(I24-K24)*E24</f>
        <v>10387891.383349998</v>
      </c>
      <c r="O24" s="16">
        <f t="shared" ref="O24:O51" si="22">(I24-K24)*F24</f>
        <v>20242451.234199997</v>
      </c>
      <c r="P24" s="16">
        <f t="shared" si="5"/>
        <v>65178357.058749989</v>
      </c>
      <c r="Q24" s="16">
        <v>791356</v>
      </c>
      <c r="R24" s="16">
        <f t="shared" si="9"/>
        <v>6747483.7447333317</v>
      </c>
      <c r="S24" s="16"/>
      <c r="T24" s="16"/>
      <c r="U24" s="16"/>
    </row>
    <row r="25" spans="1:21" ht="57" customHeight="1">
      <c r="A25" s="73"/>
      <c r="B25" s="57" t="s">
        <v>20</v>
      </c>
      <c r="C25" s="16">
        <v>1071177</v>
      </c>
      <c r="D25" s="16">
        <v>636505</v>
      </c>
      <c r="E25" s="16">
        <v>509472</v>
      </c>
      <c r="F25" s="16">
        <v>841051</v>
      </c>
      <c r="G25" s="16">
        <f t="shared" si="4"/>
        <v>3058205</v>
      </c>
      <c r="H25" s="28">
        <v>34.029449999999997</v>
      </c>
      <c r="I25" s="28">
        <v>34.029449999999997</v>
      </c>
      <c r="J25" s="28">
        <v>8.4499999999999993</v>
      </c>
      <c r="K25" s="28">
        <v>8.4499999999999993</v>
      </c>
      <c r="L25" s="16">
        <f t="shared" si="19"/>
        <v>27400118.512649998</v>
      </c>
      <c r="M25" s="16">
        <f t="shared" si="20"/>
        <v>16281447.822249999</v>
      </c>
      <c r="N25" s="16">
        <f t="shared" si="21"/>
        <v>13032013.550399998</v>
      </c>
      <c r="O25" s="16">
        <f t="shared" si="22"/>
        <v>21513622.001949999</v>
      </c>
      <c r="P25" s="16">
        <f t="shared" si="5"/>
        <v>78227201.887249991</v>
      </c>
      <c r="Q25" s="16">
        <v>841051</v>
      </c>
      <c r="R25" s="16">
        <f t="shared" si="9"/>
        <v>7171207.3339833319</v>
      </c>
      <c r="S25" s="16"/>
      <c r="T25" s="16"/>
      <c r="U25" s="16"/>
    </row>
    <row r="26" spans="1:21" ht="53.25" customHeight="1">
      <c r="A26" s="73"/>
      <c r="B26" s="57" t="s">
        <v>8</v>
      </c>
      <c r="C26" s="16">
        <v>1547</v>
      </c>
      <c r="D26" s="16">
        <v>1139</v>
      </c>
      <c r="E26" s="16">
        <v>1085</v>
      </c>
      <c r="F26" s="16">
        <v>1525</v>
      </c>
      <c r="G26" s="16">
        <f t="shared" si="4"/>
        <v>5296</v>
      </c>
      <c r="H26" s="28">
        <v>32.860719999999993</v>
      </c>
      <c r="I26" s="28">
        <v>32.860719999999993</v>
      </c>
      <c r="J26" s="28">
        <v>7.2812699999999992</v>
      </c>
      <c r="K26" s="28">
        <v>7.2812699999999992</v>
      </c>
      <c r="L26" s="16">
        <f t="shared" si="19"/>
        <v>39571.409149999992</v>
      </c>
      <c r="M26" s="16">
        <f t="shared" si="20"/>
        <v>29134.993549999992</v>
      </c>
      <c r="N26" s="16">
        <f t="shared" si="21"/>
        <v>27753.703249999995</v>
      </c>
      <c r="O26" s="16">
        <f t="shared" si="22"/>
        <v>39008.66124999999</v>
      </c>
      <c r="P26" s="16">
        <f t="shared" si="5"/>
        <v>135468.76719999994</v>
      </c>
      <c r="Q26" s="16">
        <v>1525</v>
      </c>
      <c r="R26" s="16">
        <f t="shared" si="9"/>
        <v>13002.887083333329</v>
      </c>
      <c r="S26" s="16"/>
      <c r="T26" s="16"/>
      <c r="U26" s="16"/>
    </row>
    <row r="27" spans="1:21" ht="45" customHeight="1">
      <c r="A27" s="73"/>
      <c r="B27" s="57" t="s">
        <v>9</v>
      </c>
      <c r="C27" s="16">
        <v>2501</v>
      </c>
      <c r="D27" s="16">
        <v>1013</v>
      </c>
      <c r="E27" s="16">
        <v>524</v>
      </c>
      <c r="F27" s="16">
        <v>770</v>
      </c>
      <c r="G27" s="16">
        <f t="shared" si="4"/>
        <v>4808</v>
      </c>
      <c r="H27" s="28">
        <v>32.860719999999993</v>
      </c>
      <c r="I27" s="28">
        <v>32.860719999999993</v>
      </c>
      <c r="J27" s="28">
        <v>7.2812699999999992</v>
      </c>
      <c r="K27" s="28">
        <v>7.2812699999999992</v>
      </c>
      <c r="L27" s="16">
        <f t="shared" si="19"/>
        <v>63974.204449999983</v>
      </c>
      <c r="M27" s="16">
        <f t="shared" si="20"/>
        <v>25911.982849999993</v>
      </c>
      <c r="N27" s="16">
        <f t="shared" si="21"/>
        <v>13403.631799999997</v>
      </c>
      <c r="O27" s="16">
        <f t="shared" si="22"/>
        <v>19696.176499999994</v>
      </c>
      <c r="P27" s="16">
        <f t="shared" si="5"/>
        <v>122985.99559999997</v>
      </c>
      <c r="Q27" s="16">
        <v>770</v>
      </c>
      <c r="R27" s="16">
        <f t="shared" si="9"/>
        <v>6565.3921666666656</v>
      </c>
      <c r="S27" s="16"/>
      <c r="T27" s="16"/>
      <c r="U27" s="16"/>
    </row>
    <row r="28" spans="1:21" ht="45" customHeight="1">
      <c r="A28" s="73"/>
      <c r="B28" s="57" t="s">
        <v>10</v>
      </c>
      <c r="C28" s="16">
        <v>894</v>
      </c>
      <c r="D28" s="16">
        <v>897</v>
      </c>
      <c r="E28" s="16">
        <v>1126</v>
      </c>
      <c r="F28" s="16">
        <v>1664</v>
      </c>
      <c r="G28" s="16">
        <f t="shared" si="4"/>
        <v>4581</v>
      </c>
      <c r="H28" s="28">
        <v>34.029449999999997</v>
      </c>
      <c r="I28" s="28">
        <v>34.029449999999997</v>
      </c>
      <c r="J28" s="28">
        <v>8.4499999999999993</v>
      </c>
      <c r="K28" s="28">
        <v>8.4499999999999993</v>
      </c>
      <c r="L28" s="16">
        <f t="shared" si="19"/>
        <v>22868.028299999998</v>
      </c>
      <c r="M28" s="16">
        <f t="shared" si="20"/>
        <v>22944.766649999998</v>
      </c>
      <c r="N28" s="16">
        <f t="shared" si="21"/>
        <v>28802.460699999996</v>
      </c>
      <c r="O28" s="16">
        <f t="shared" si="22"/>
        <v>42564.2048</v>
      </c>
      <c r="P28" s="16">
        <f t="shared" si="5"/>
        <v>117179.46044999998</v>
      </c>
      <c r="Q28" s="16">
        <v>1664</v>
      </c>
      <c r="R28" s="16">
        <f t="shared" si="9"/>
        <v>14188.068266666665</v>
      </c>
      <c r="S28" s="16"/>
      <c r="T28" s="16"/>
      <c r="U28" s="16"/>
    </row>
    <row r="29" spans="1:21" ht="45" customHeight="1">
      <c r="A29" s="73"/>
      <c r="B29" s="57" t="s">
        <v>11</v>
      </c>
      <c r="C29" s="16">
        <v>701</v>
      </c>
      <c r="D29" s="16">
        <v>233</v>
      </c>
      <c r="E29" s="16">
        <v>186</v>
      </c>
      <c r="F29" s="16">
        <v>667</v>
      </c>
      <c r="G29" s="16">
        <f t="shared" si="4"/>
        <v>1787</v>
      </c>
      <c r="H29" s="28">
        <v>34.029449999999997</v>
      </c>
      <c r="I29" s="28">
        <v>34.029449999999997</v>
      </c>
      <c r="J29" s="28">
        <v>8.4499999999999993</v>
      </c>
      <c r="K29" s="28">
        <v>8.4499999999999993</v>
      </c>
      <c r="L29" s="16">
        <f t="shared" si="19"/>
        <v>17931.194449999999</v>
      </c>
      <c r="M29" s="16">
        <f t="shared" si="20"/>
        <v>5960.0118499999999</v>
      </c>
      <c r="N29" s="16">
        <f t="shared" si="21"/>
        <v>4757.7776999999996</v>
      </c>
      <c r="O29" s="16">
        <f t="shared" si="22"/>
        <v>17061.493149999998</v>
      </c>
      <c r="P29" s="16">
        <f t="shared" si="5"/>
        <v>45710.477149999992</v>
      </c>
      <c r="Q29" s="16">
        <v>667</v>
      </c>
      <c r="R29" s="16">
        <f t="shared" si="9"/>
        <v>5687.1643833333328</v>
      </c>
      <c r="S29" s="16"/>
      <c r="T29" s="16"/>
      <c r="U29" s="16"/>
    </row>
    <row r="30" spans="1:21" ht="38.25" customHeight="1">
      <c r="A30" s="73"/>
      <c r="B30" s="57" t="s">
        <v>12</v>
      </c>
      <c r="C30" s="16">
        <v>2800</v>
      </c>
      <c r="D30" s="16">
        <v>447</v>
      </c>
      <c r="E30" s="16">
        <v>290</v>
      </c>
      <c r="F30" s="16">
        <v>2414</v>
      </c>
      <c r="G30" s="16">
        <f t="shared" si="4"/>
        <v>5951</v>
      </c>
      <c r="H30" s="28">
        <v>28.88053</v>
      </c>
      <c r="I30" s="28">
        <v>28.88053</v>
      </c>
      <c r="J30" s="28">
        <v>3.3010799999999989</v>
      </c>
      <c r="K30" s="28">
        <v>3.3010799999999989</v>
      </c>
      <c r="L30" s="16">
        <f t="shared" si="19"/>
        <v>71622.460000000006</v>
      </c>
      <c r="M30" s="16">
        <f t="shared" si="20"/>
        <v>11434.014150000001</v>
      </c>
      <c r="N30" s="16">
        <f t="shared" si="21"/>
        <v>7418.0405000000001</v>
      </c>
      <c r="O30" s="16">
        <f t="shared" si="22"/>
        <v>61748.792300000001</v>
      </c>
      <c r="P30" s="16">
        <f t="shared" si="5"/>
        <v>152223.30695</v>
      </c>
      <c r="Q30" s="16">
        <v>2414</v>
      </c>
      <c r="R30" s="16">
        <f t="shared" si="9"/>
        <v>20582.930766666668</v>
      </c>
      <c r="S30" s="16"/>
      <c r="T30" s="16"/>
      <c r="U30" s="16"/>
    </row>
    <row r="31" spans="1:21" ht="39.75" customHeight="1">
      <c r="A31" s="73"/>
      <c r="B31" s="57" t="s">
        <v>13</v>
      </c>
      <c r="C31" s="16">
        <v>258354</v>
      </c>
      <c r="D31" s="16">
        <v>208933</v>
      </c>
      <c r="E31" s="16">
        <v>186671</v>
      </c>
      <c r="F31" s="16">
        <v>298448</v>
      </c>
      <c r="G31" s="16">
        <f t="shared" si="4"/>
        <v>952406</v>
      </c>
      <c r="H31" s="28">
        <v>28.88053</v>
      </c>
      <c r="I31" s="28">
        <v>28.88053</v>
      </c>
      <c r="J31" s="28">
        <v>3.3010799999999989</v>
      </c>
      <c r="K31" s="28">
        <v>3.3010799999999989</v>
      </c>
      <c r="L31" s="16">
        <f t="shared" si="19"/>
        <v>6608553.2253</v>
      </c>
      <c r="M31" s="16">
        <f t="shared" si="20"/>
        <v>5344391.2268500002</v>
      </c>
      <c r="N31" s="16">
        <f t="shared" si="21"/>
        <v>4774941.51095</v>
      </c>
      <c r="O31" s="16">
        <f t="shared" si="22"/>
        <v>7634135.6936000008</v>
      </c>
      <c r="P31" s="16">
        <f t="shared" si="5"/>
        <v>24362021.6567</v>
      </c>
      <c r="Q31" s="16">
        <v>298448</v>
      </c>
      <c r="R31" s="16">
        <f t="shared" si="9"/>
        <v>2544711.8978666668</v>
      </c>
      <c r="S31" s="16"/>
      <c r="T31" s="16"/>
      <c r="U31" s="16"/>
    </row>
    <row r="32" spans="1:21" ht="53.25" customHeight="1">
      <c r="A32" s="74"/>
      <c r="B32" s="57" t="s">
        <v>14</v>
      </c>
      <c r="C32" s="16">
        <v>684191</v>
      </c>
      <c r="D32" s="16">
        <v>262020</v>
      </c>
      <c r="E32" s="16">
        <v>166011</v>
      </c>
      <c r="F32" s="16">
        <v>450047</v>
      </c>
      <c r="G32" s="16">
        <f t="shared" si="4"/>
        <v>1562269</v>
      </c>
      <c r="H32" s="28">
        <v>28.88053</v>
      </c>
      <c r="I32" s="28">
        <v>28.88053</v>
      </c>
      <c r="J32" s="28">
        <v>3.3010799999999989</v>
      </c>
      <c r="K32" s="28">
        <v>3.3010799999999989</v>
      </c>
      <c r="L32" s="16">
        <f t="shared" si="19"/>
        <v>17501229.474950001</v>
      </c>
      <c r="M32" s="16">
        <f t="shared" si="20"/>
        <v>6702327.4890000001</v>
      </c>
      <c r="N32" s="16">
        <f t="shared" si="21"/>
        <v>4246470.0739500001</v>
      </c>
      <c r="O32" s="16">
        <f t="shared" si="22"/>
        <v>11511954.73415</v>
      </c>
      <c r="P32" s="16">
        <f t="shared" si="5"/>
        <v>39961981.772050001</v>
      </c>
      <c r="Q32" s="16">
        <v>450047</v>
      </c>
      <c r="R32" s="16">
        <f t="shared" si="9"/>
        <v>3837318.2447166666</v>
      </c>
      <c r="S32" s="16"/>
      <c r="T32" s="16"/>
      <c r="U32" s="16"/>
    </row>
    <row r="33" spans="1:21" ht="53.25" customHeight="1">
      <c r="A33" s="72" t="s">
        <v>31</v>
      </c>
      <c r="B33" s="57" t="s">
        <v>15</v>
      </c>
      <c r="C33" s="16">
        <v>1078826</v>
      </c>
      <c r="D33" s="16">
        <v>240472</v>
      </c>
      <c r="E33" s="16">
        <v>554531</v>
      </c>
      <c r="F33" s="16">
        <v>1074839</v>
      </c>
      <c r="G33" s="16">
        <f t="shared" si="4"/>
        <v>2948668</v>
      </c>
      <c r="H33" s="28">
        <v>28.88053</v>
      </c>
      <c r="I33" s="28">
        <v>28.88053</v>
      </c>
      <c r="J33" s="28">
        <v>0.5</v>
      </c>
      <c r="K33" s="28">
        <v>0.5</v>
      </c>
      <c r="L33" s="16">
        <f t="shared" si="19"/>
        <v>30617653.657779999</v>
      </c>
      <c r="M33" s="16">
        <f t="shared" si="20"/>
        <v>6824722.8101599999</v>
      </c>
      <c r="N33" s="16">
        <f t="shared" si="21"/>
        <v>15737883.681430001</v>
      </c>
      <c r="O33" s="16">
        <f t="shared" si="22"/>
        <v>30504500.484670002</v>
      </c>
      <c r="P33" s="16">
        <f t="shared" si="5"/>
        <v>83684760.634039998</v>
      </c>
      <c r="Q33" s="16">
        <v>1074839</v>
      </c>
      <c r="R33" s="16">
        <f t="shared" si="9"/>
        <v>10168166.828223335</v>
      </c>
      <c r="S33" s="16"/>
      <c r="T33" s="16"/>
      <c r="U33" s="16"/>
    </row>
    <row r="34" spans="1:21" ht="55.5" customHeight="1">
      <c r="A34" s="73"/>
      <c r="B34" s="17" t="s">
        <v>38</v>
      </c>
      <c r="C34" s="16">
        <f>742748/2</f>
        <v>371374</v>
      </c>
      <c r="D34" s="16">
        <f>742748/2</f>
        <v>371374</v>
      </c>
      <c r="E34" s="16">
        <f>605532/2</f>
        <v>302766</v>
      </c>
      <c r="F34" s="16">
        <f>605532/2</f>
        <v>302766</v>
      </c>
      <c r="G34" s="16">
        <f t="shared" si="4"/>
        <v>1348280</v>
      </c>
      <c r="H34" s="28">
        <v>30.08</v>
      </c>
      <c r="I34" s="28">
        <v>30.08</v>
      </c>
      <c r="J34" s="28">
        <v>5.05</v>
      </c>
      <c r="K34" s="28">
        <v>5.05</v>
      </c>
      <c r="L34" s="16">
        <f t="shared" si="19"/>
        <v>9295491.2199999988</v>
      </c>
      <c r="M34" s="16">
        <f t="shared" si="20"/>
        <v>9295491.2199999988</v>
      </c>
      <c r="N34" s="16">
        <f t="shared" si="21"/>
        <v>7578232.9799999995</v>
      </c>
      <c r="O34" s="16">
        <f t="shared" si="22"/>
        <v>7578232.9799999995</v>
      </c>
      <c r="P34" s="16">
        <f t="shared" ref="P34:P51" si="23">L34+M34+N34+O34</f>
        <v>33747448.399999999</v>
      </c>
      <c r="Q34" s="16">
        <f>F34</f>
        <v>302766</v>
      </c>
      <c r="R34" s="16">
        <f>Q34/3*(H34-J34)</f>
        <v>2526077.6599999997</v>
      </c>
      <c r="S34" s="16"/>
      <c r="T34" s="16"/>
      <c r="U34" s="16"/>
    </row>
    <row r="35" spans="1:21" ht="55.5" customHeight="1">
      <c r="A35" s="73"/>
      <c r="B35" s="17" t="s">
        <v>39</v>
      </c>
      <c r="C35" s="16">
        <f>1002412/2</f>
        <v>501206</v>
      </c>
      <c r="D35" s="16">
        <f>1002412/2</f>
        <v>501206</v>
      </c>
      <c r="E35" s="16">
        <f>801520/2</f>
        <v>400760</v>
      </c>
      <c r="F35" s="16">
        <f>801520/2</f>
        <v>400760</v>
      </c>
      <c r="G35" s="16">
        <f t="shared" si="4"/>
        <v>1803932</v>
      </c>
      <c r="H35" s="28">
        <v>30.08</v>
      </c>
      <c r="I35" s="28">
        <v>30.08</v>
      </c>
      <c r="J35" s="28">
        <v>5.74</v>
      </c>
      <c r="K35" s="28">
        <v>5.74</v>
      </c>
      <c r="L35" s="16">
        <f t="shared" si="19"/>
        <v>12199354.039999997</v>
      </c>
      <c r="M35" s="16">
        <f t="shared" si="20"/>
        <v>12199354.039999997</v>
      </c>
      <c r="N35" s="16">
        <f t="shared" si="21"/>
        <v>9754498.3999999985</v>
      </c>
      <c r="O35" s="16">
        <f t="shared" si="22"/>
        <v>9754498.3999999985</v>
      </c>
      <c r="P35" s="16">
        <f t="shared" si="23"/>
        <v>43907704.879999988</v>
      </c>
      <c r="Q35" s="16">
        <f t="shared" ref="Q35:Q51" si="24">F35</f>
        <v>400760</v>
      </c>
      <c r="R35" s="16">
        <f t="shared" si="9"/>
        <v>3251499.4666666659</v>
      </c>
      <c r="S35" s="16"/>
      <c r="T35" s="16"/>
      <c r="U35" s="16"/>
    </row>
    <row r="36" spans="1:21" ht="55.5" customHeight="1">
      <c r="A36" s="73"/>
      <c r="B36" s="17" t="s">
        <v>40</v>
      </c>
      <c r="C36" s="16">
        <f>750922/2</f>
        <v>375461</v>
      </c>
      <c r="D36" s="16">
        <f>750922/2</f>
        <v>375461</v>
      </c>
      <c r="E36" s="16">
        <f>486845/2</f>
        <v>243422.5</v>
      </c>
      <c r="F36" s="16">
        <f>486845/2</f>
        <v>243422.5</v>
      </c>
      <c r="G36" s="16">
        <f t="shared" si="4"/>
        <v>1237767</v>
      </c>
      <c r="H36" s="28">
        <v>30.08</v>
      </c>
      <c r="I36" s="28">
        <v>30.08</v>
      </c>
      <c r="J36" s="28">
        <v>2.35</v>
      </c>
      <c r="K36" s="28">
        <v>2.35</v>
      </c>
      <c r="L36" s="16">
        <f t="shared" si="19"/>
        <v>10411533.529999999</v>
      </c>
      <c r="M36" s="16">
        <f t="shared" si="20"/>
        <v>10411533.529999999</v>
      </c>
      <c r="N36" s="16">
        <f t="shared" si="21"/>
        <v>6750105.9249999989</v>
      </c>
      <c r="O36" s="16">
        <f t="shared" si="22"/>
        <v>6750105.9249999989</v>
      </c>
      <c r="P36" s="16">
        <f t="shared" si="23"/>
        <v>34323278.909999996</v>
      </c>
      <c r="Q36" s="16">
        <f t="shared" si="24"/>
        <v>243422.5</v>
      </c>
      <c r="R36" s="16">
        <f t="shared" si="9"/>
        <v>2250035.3083333331</v>
      </c>
      <c r="S36" s="16"/>
      <c r="T36" s="16"/>
      <c r="U36" s="16"/>
    </row>
    <row r="37" spans="1:21" ht="91.5" customHeight="1">
      <c r="A37" s="73"/>
      <c r="B37" s="17" t="s">
        <v>41</v>
      </c>
      <c r="C37" s="16">
        <v>0</v>
      </c>
      <c r="D37" s="16">
        <v>0</v>
      </c>
      <c r="E37" s="16">
        <v>0</v>
      </c>
      <c r="F37" s="16">
        <v>0</v>
      </c>
      <c r="G37" s="16">
        <f t="shared" si="4"/>
        <v>0</v>
      </c>
      <c r="H37" s="28">
        <v>30.08</v>
      </c>
      <c r="I37" s="28">
        <v>30.08</v>
      </c>
      <c r="J37" s="28">
        <v>3.84</v>
      </c>
      <c r="K37" s="28">
        <v>3.84</v>
      </c>
      <c r="L37" s="16">
        <f t="shared" si="19"/>
        <v>0</v>
      </c>
      <c r="M37" s="16">
        <f t="shared" si="20"/>
        <v>0</v>
      </c>
      <c r="N37" s="16">
        <f t="shared" si="21"/>
        <v>0</v>
      </c>
      <c r="O37" s="16">
        <f t="shared" si="22"/>
        <v>0</v>
      </c>
      <c r="P37" s="16">
        <f t="shared" si="23"/>
        <v>0</v>
      </c>
      <c r="Q37" s="16">
        <f t="shared" si="24"/>
        <v>0</v>
      </c>
      <c r="R37" s="16">
        <f t="shared" si="9"/>
        <v>0</v>
      </c>
      <c r="S37" s="16"/>
      <c r="T37" s="16"/>
      <c r="U37" s="16"/>
    </row>
    <row r="38" spans="1:21" ht="91.5" customHeight="1">
      <c r="A38" s="73"/>
      <c r="B38" s="17" t="s">
        <v>42</v>
      </c>
      <c r="C38" s="16">
        <f>241554/2</f>
        <v>120777</v>
      </c>
      <c r="D38" s="16">
        <f>241554/2</f>
        <v>120777</v>
      </c>
      <c r="E38" s="16">
        <f>147300/2</f>
        <v>73650</v>
      </c>
      <c r="F38" s="16">
        <f>147300/2</f>
        <v>73650</v>
      </c>
      <c r="G38" s="16">
        <f t="shared" si="4"/>
        <v>388854</v>
      </c>
      <c r="H38" s="28">
        <v>30.08</v>
      </c>
      <c r="I38" s="28">
        <v>30.08</v>
      </c>
      <c r="J38" s="28">
        <v>4.37</v>
      </c>
      <c r="K38" s="28">
        <v>4.37</v>
      </c>
      <c r="L38" s="16">
        <f t="shared" si="19"/>
        <v>3105176.6699999995</v>
      </c>
      <c r="M38" s="16">
        <f t="shared" si="20"/>
        <v>3105176.6699999995</v>
      </c>
      <c r="N38" s="16">
        <f t="shared" si="21"/>
        <v>1893541.4999999998</v>
      </c>
      <c r="O38" s="16">
        <f t="shared" si="22"/>
        <v>1893541.4999999998</v>
      </c>
      <c r="P38" s="16">
        <f t="shared" si="23"/>
        <v>9997436.339999998</v>
      </c>
      <c r="Q38" s="16">
        <f t="shared" si="24"/>
        <v>73650</v>
      </c>
      <c r="R38" s="16">
        <f t="shared" si="9"/>
        <v>631180.49999999988</v>
      </c>
      <c r="S38" s="16"/>
      <c r="T38" s="16"/>
      <c r="U38" s="16"/>
    </row>
    <row r="39" spans="1:21" ht="91.5" customHeight="1">
      <c r="A39" s="73"/>
      <c r="B39" s="17" t="s">
        <v>43</v>
      </c>
      <c r="C39" s="16">
        <f>200625/2</f>
        <v>100312.5</v>
      </c>
      <c r="D39" s="16">
        <f>200625/2</f>
        <v>100312.5</v>
      </c>
      <c r="E39" s="16">
        <f>111523/2</f>
        <v>55761.5</v>
      </c>
      <c r="F39" s="16">
        <f>111523/2</f>
        <v>55761.5</v>
      </c>
      <c r="G39" s="16">
        <f t="shared" si="4"/>
        <v>312148</v>
      </c>
      <c r="H39" s="28">
        <v>30.08</v>
      </c>
      <c r="I39" s="28">
        <v>30.08</v>
      </c>
      <c r="J39" s="28">
        <v>1.78</v>
      </c>
      <c r="K39" s="28">
        <v>1.78</v>
      </c>
      <c r="L39" s="16">
        <f t="shared" si="19"/>
        <v>2838843.7499999995</v>
      </c>
      <c r="M39" s="16">
        <f t="shared" si="20"/>
        <v>2838843.7499999995</v>
      </c>
      <c r="N39" s="16">
        <f t="shared" si="21"/>
        <v>1578050.45</v>
      </c>
      <c r="O39" s="16">
        <f t="shared" si="22"/>
        <v>1578050.45</v>
      </c>
      <c r="P39" s="16">
        <f t="shared" si="23"/>
        <v>8833788.3999999985</v>
      </c>
      <c r="Q39" s="16">
        <f t="shared" si="24"/>
        <v>55761.5</v>
      </c>
      <c r="R39" s="16">
        <f t="shared" si="9"/>
        <v>526016.81666666665</v>
      </c>
      <c r="S39" s="16"/>
      <c r="T39" s="16"/>
      <c r="U39" s="16"/>
    </row>
    <row r="40" spans="1:21" ht="91.5" customHeight="1">
      <c r="A40" s="73"/>
      <c r="B40" s="17" t="s">
        <v>60</v>
      </c>
      <c r="C40" s="16">
        <f>85104/2</f>
        <v>42552</v>
      </c>
      <c r="D40" s="16">
        <f>85104/2</f>
        <v>42552</v>
      </c>
      <c r="E40" s="16">
        <f>74550/2</f>
        <v>37275</v>
      </c>
      <c r="F40" s="16">
        <f>74550/2</f>
        <v>37275</v>
      </c>
      <c r="G40" s="16">
        <f t="shared" si="4"/>
        <v>159654</v>
      </c>
      <c r="H40" s="28">
        <v>30.08</v>
      </c>
      <c r="I40" s="28">
        <v>30.08</v>
      </c>
      <c r="J40" s="28">
        <v>3.84</v>
      </c>
      <c r="K40" s="28">
        <v>3.84</v>
      </c>
      <c r="L40" s="16">
        <f t="shared" si="19"/>
        <v>1116564.48</v>
      </c>
      <c r="M40" s="16">
        <f t="shared" si="20"/>
        <v>1116564.48</v>
      </c>
      <c r="N40" s="16">
        <f t="shared" si="21"/>
        <v>978095.99999999988</v>
      </c>
      <c r="O40" s="16">
        <f t="shared" si="22"/>
        <v>978095.99999999988</v>
      </c>
      <c r="P40" s="16">
        <f t="shared" si="23"/>
        <v>4189320.96</v>
      </c>
      <c r="Q40" s="16">
        <f t="shared" si="24"/>
        <v>37275</v>
      </c>
      <c r="R40" s="16">
        <f>Q40/3*(H40-J40)</f>
        <v>326032</v>
      </c>
      <c r="S40" s="16"/>
      <c r="T40" s="16"/>
      <c r="U40" s="16"/>
    </row>
    <row r="41" spans="1:21" ht="91.5" customHeight="1">
      <c r="A41" s="73"/>
      <c r="B41" s="17" t="s">
        <v>61</v>
      </c>
      <c r="C41" s="16">
        <f>118784/2</f>
        <v>59392</v>
      </c>
      <c r="D41" s="16">
        <f>118784/2</f>
        <v>59392</v>
      </c>
      <c r="E41" s="16">
        <f>90215/2</f>
        <v>45107.5</v>
      </c>
      <c r="F41" s="16">
        <f>90215/2</f>
        <v>45107.5</v>
      </c>
      <c r="G41" s="16">
        <f t="shared" si="4"/>
        <v>208999</v>
      </c>
      <c r="H41" s="28">
        <v>30.08</v>
      </c>
      <c r="I41" s="28">
        <v>30.08</v>
      </c>
      <c r="J41" s="28">
        <v>4.37</v>
      </c>
      <c r="K41" s="28">
        <v>4.37</v>
      </c>
      <c r="L41" s="16">
        <f t="shared" si="19"/>
        <v>1526968.3199999998</v>
      </c>
      <c r="M41" s="16">
        <f t="shared" si="20"/>
        <v>1526968.3199999998</v>
      </c>
      <c r="N41" s="16">
        <f t="shared" si="21"/>
        <v>1159713.825</v>
      </c>
      <c r="O41" s="16">
        <f t="shared" si="22"/>
        <v>1159713.825</v>
      </c>
      <c r="P41" s="16">
        <f t="shared" si="23"/>
        <v>5373364.29</v>
      </c>
      <c r="Q41" s="16">
        <f t="shared" si="24"/>
        <v>45107.5</v>
      </c>
      <c r="R41" s="16">
        <f t="shared" si="9"/>
        <v>386571.27499999997</v>
      </c>
      <c r="S41" s="16"/>
      <c r="T41" s="16"/>
      <c r="U41" s="16"/>
    </row>
    <row r="42" spans="1:21" ht="91.5" customHeight="1">
      <c r="A42" s="73"/>
      <c r="B42" s="17" t="s">
        <v>62</v>
      </c>
      <c r="C42" s="16">
        <f>71386/2</f>
        <v>35693</v>
      </c>
      <c r="D42" s="16">
        <f>71386/2</f>
        <v>35693</v>
      </c>
      <c r="E42" s="16">
        <f>54269/2</f>
        <v>27134.5</v>
      </c>
      <c r="F42" s="16">
        <f>54269/2</f>
        <v>27134.5</v>
      </c>
      <c r="G42" s="16">
        <f t="shared" si="4"/>
        <v>125655</v>
      </c>
      <c r="H42" s="28">
        <v>30.08</v>
      </c>
      <c r="I42" s="28">
        <v>30.08</v>
      </c>
      <c r="J42" s="28">
        <v>1.78</v>
      </c>
      <c r="K42" s="28">
        <v>1.78</v>
      </c>
      <c r="L42" s="16">
        <f t="shared" si="19"/>
        <v>1010111.8999999999</v>
      </c>
      <c r="M42" s="16">
        <f t="shared" si="20"/>
        <v>1010111.8999999999</v>
      </c>
      <c r="N42" s="16">
        <f t="shared" si="21"/>
        <v>767906.35</v>
      </c>
      <c r="O42" s="16">
        <f t="shared" si="22"/>
        <v>767906.35</v>
      </c>
      <c r="P42" s="16">
        <f t="shared" si="23"/>
        <v>3556036.5</v>
      </c>
      <c r="Q42" s="16">
        <f t="shared" si="24"/>
        <v>27134.5</v>
      </c>
      <c r="R42" s="16">
        <f t="shared" si="9"/>
        <v>255968.78333333333</v>
      </c>
      <c r="S42" s="16"/>
      <c r="T42" s="16"/>
      <c r="U42" s="16"/>
    </row>
    <row r="43" spans="1:21" ht="66.75" customHeight="1">
      <c r="A43" s="73"/>
      <c r="B43" s="17" t="s">
        <v>64</v>
      </c>
      <c r="C43" s="16">
        <f>1015229/2</f>
        <v>507614.5</v>
      </c>
      <c r="D43" s="16">
        <f>1015229/2</f>
        <v>507614.5</v>
      </c>
      <c r="E43" s="16">
        <f>1071550/2</f>
        <v>535775</v>
      </c>
      <c r="F43" s="16">
        <f>1071550/2</f>
        <v>535775</v>
      </c>
      <c r="G43" s="16">
        <f t="shared" si="4"/>
        <v>2086779</v>
      </c>
      <c r="H43" s="28">
        <v>30.08</v>
      </c>
      <c r="I43" s="28">
        <v>30.08</v>
      </c>
      <c r="J43" s="28">
        <v>3.58</v>
      </c>
      <c r="K43" s="28">
        <v>3.58</v>
      </c>
      <c r="L43" s="16">
        <f t="shared" si="19"/>
        <v>13451784.25</v>
      </c>
      <c r="M43" s="16">
        <f t="shared" si="20"/>
        <v>13451784.25</v>
      </c>
      <c r="N43" s="16">
        <f t="shared" si="21"/>
        <v>14198037.5</v>
      </c>
      <c r="O43" s="16">
        <f t="shared" si="22"/>
        <v>14198037.5</v>
      </c>
      <c r="P43" s="16">
        <f t="shared" si="23"/>
        <v>55299643.5</v>
      </c>
      <c r="Q43" s="16">
        <f t="shared" si="24"/>
        <v>535775</v>
      </c>
      <c r="R43" s="16">
        <f t="shared" si="9"/>
        <v>4732679.166666666</v>
      </c>
      <c r="S43" s="16"/>
      <c r="T43" s="16"/>
      <c r="U43" s="16"/>
    </row>
    <row r="44" spans="1:21" ht="66.75" customHeight="1">
      <c r="A44" s="73"/>
      <c r="B44" s="17" t="s">
        <v>63</v>
      </c>
      <c r="C44" s="16">
        <f>687172/2</f>
        <v>343586</v>
      </c>
      <c r="D44" s="16">
        <f>687172/2</f>
        <v>343586</v>
      </c>
      <c r="E44" s="16">
        <f>593224/2</f>
        <v>296612</v>
      </c>
      <c r="F44" s="16">
        <f>593224/2</f>
        <v>296612</v>
      </c>
      <c r="G44" s="16">
        <f t="shared" si="4"/>
        <v>1280396</v>
      </c>
      <c r="H44" s="28">
        <v>30.08</v>
      </c>
      <c r="I44" s="28">
        <v>30.08</v>
      </c>
      <c r="J44" s="28">
        <v>4.08</v>
      </c>
      <c r="K44" s="28">
        <v>4.08</v>
      </c>
      <c r="L44" s="16">
        <f t="shared" si="19"/>
        <v>8933236</v>
      </c>
      <c r="M44" s="16">
        <f t="shared" si="20"/>
        <v>8933236</v>
      </c>
      <c r="N44" s="16">
        <f t="shared" si="21"/>
        <v>7711912</v>
      </c>
      <c r="O44" s="16">
        <f t="shared" si="22"/>
        <v>7711912</v>
      </c>
      <c r="P44" s="16">
        <f t="shared" si="23"/>
        <v>33290296</v>
      </c>
      <c r="Q44" s="16">
        <f t="shared" si="24"/>
        <v>296612</v>
      </c>
      <c r="R44" s="16">
        <f t="shared" si="9"/>
        <v>2570637.3333333335</v>
      </c>
      <c r="S44" s="16"/>
      <c r="T44" s="16"/>
      <c r="U44" s="16"/>
    </row>
    <row r="45" spans="1:21" ht="66.75" customHeight="1">
      <c r="A45" s="73"/>
      <c r="B45" s="17" t="s">
        <v>67</v>
      </c>
      <c r="C45" s="16">
        <f>351762/2</f>
        <v>175881</v>
      </c>
      <c r="D45" s="16">
        <f>351762/2</f>
        <v>175881</v>
      </c>
      <c r="E45" s="16">
        <f>238661/2</f>
        <v>119330.5</v>
      </c>
      <c r="F45" s="16">
        <f>238661/2</f>
        <v>119330.5</v>
      </c>
      <c r="G45" s="16">
        <f t="shared" si="4"/>
        <v>590423</v>
      </c>
      <c r="H45" s="28">
        <v>30.08</v>
      </c>
      <c r="I45" s="28">
        <v>30.08</v>
      </c>
      <c r="J45" s="28">
        <v>1.67</v>
      </c>
      <c r="K45" s="28">
        <v>1.67</v>
      </c>
      <c r="L45" s="16">
        <f t="shared" si="19"/>
        <v>4996779.209999999</v>
      </c>
      <c r="M45" s="16">
        <f t="shared" si="20"/>
        <v>4996779.209999999</v>
      </c>
      <c r="N45" s="16">
        <f t="shared" si="21"/>
        <v>3390179.5049999994</v>
      </c>
      <c r="O45" s="16">
        <f t="shared" si="22"/>
        <v>3390179.5049999994</v>
      </c>
      <c r="P45" s="16">
        <f t="shared" si="23"/>
        <v>16773917.429999996</v>
      </c>
      <c r="Q45" s="16">
        <f t="shared" si="24"/>
        <v>119330.5</v>
      </c>
      <c r="R45" s="16">
        <f t="shared" si="9"/>
        <v>1130059.835</v>
      </c>
      <c r="S45" s="16"/>
      <c r="T45" s="16"/>
      <c r="U45" s="16"/>
    </row>
    <row r="46" spans="1:21" ht="67.5" customHeight="1">
      <c r="A46" s="73"/>
      <c r="B46" s="17" t="s">
        <v>23</v>
      </c>
      <c r="C46" s="16">
        <f>61/2</f>
        <v>30.5</v>
      </c>
      <c r="D46" s="16">
        <f>61/2</f>
        <v>30.5</v>
      </c>
      <c r="E46" s="16">
        <v>0</v>
      </c>
      <c r="F46" s="16">
        <v>0</v>
      </c>
      <c r="G46" s="16">
        <f t="shared" ref="G46" si="25">C46+D46+E46+F46</f>
        <v>61</v>
      </c>
      <c r="H46" s="28">
        <v>30.08</v>
      </c>
      <c r="I46" s="28">
        <v>30.08</v>
      </c>
      <c r="J46" s="28">
        <v>3.84</v>
      </c>
      <c r="K46" s="28">
        <v>3.84</v>
      </c>
      <c r="L46" s="16">
        <f t="shared" si="19"/>
        <v>800.31999999999994</v>
      </c>
      <c r="M46" s="16">
        <f t="shared" si="20"/>
        <v>800.31999999999994</v>
      </c>
      <c r="N46" s="16">
        <f t="shared" si="21"/>
        <v>0</v>
      </c>
      <c r="O46" s="16">
        <f t="shared" si="22"/>
        <v>0</v>
      </c>
      <c r="P46" s="16">
        <f t="shared" ref="P46" si="26">L46+M46+N46+O46</f>
        <v>1600.6399999999999</v>
      </c>
      <c r="Q46" s="16">
        <f t="shared" si="24"/>
        <v>0</v>
      </c>
      <c r="R46" s="16">
        <f t="shared" ref="R46" si="27">Q46/3*(H46-J46)</f>
        <v>0</v>
      </c>
      <c r="S46" s="16"/>
      <c r="T46" s="16"/>
      <c r="U46" s="16"/>
    </row>
    <row r="47" spans="1:21" ht="67.5" customHeight="1">
      <c r="A47" s="73"/>
      <c r="B47" s="17" t="s">
        <v>27</v>
      </c>
      <c r="C47" s="16">
        <f>684/2</f>
        <v>342</v>
      </c>
      <c r="D47" s="16">
        <f>684/2</f>
        <v>342</v>
      </c>
      <c r="E47" s="16">
        <f>5059/2</f>
        <v>2529.5</v>
      </c>
      <c r="F47" s="16">
        <f>5059/2</f>
        <v>2529.5</v>
      </c>
      <c r="G47" s="16">
        <f t="shared" si="4"/>
        <v>5743</v>
      </c>
      <c r="H47" s="28">
        <v>30.08</v>
      </c>
      <c r="I47" s="28">
        <v>30.08</v>
      </c>
      <c r="J47" s="28">
        <v>4.37</v>
      </c>
      <c r="K47" s="28">
        <v>4.37</v>
      </c>
      <c r="L47" s="16">
        <f t="shared" si="19"/>
        <v>8792.82</v>
      </c>
      <c r="M47" s="16">
        <f t="shared" si="20"/>
        <v>8792.82</v>
      </c>
      <c r="N47" s="16">
        <f t="shared" si="21"/>
        <v>65033.444999999992</v>
      </c>
      <c r="O47" s="16">
        <f t="shared" si="22"/>
        <v>65033.444999999992</v>
      </c>
      <c r="P47" s="16">
        <f t="shared" si="23"/>
        <v>147652.52999999997</v>
      </c>
      <c r="Q47" s="16">
        <f t="shared" si="24"/>
        <v>2529.5</v>
      </c>
      <c r="R47" s="16">
        <f t="shared" si="9"/>
        <v>21677.814999999995</v>
      </c>
      <c r="S47" s="16"/>
      <c r="T47" s="16"/>
      <c r="U47" s="16"/>
    </row>
    <row r="48" spans="1:21" ht="67.5" customHeight="1">
      <c r="A48" s="73"/>
      <c r="B48" s="17" t="s">
        <v>28</v>
      </c>
      <c r="C48" s="16">
        <v>148.5</v>
      </c>
      <c r="D48" s="16">
        <f>297/2</f>
        <v>148.5</v>
      </c>
      <c r="E48" s="16">
        <f>2298/2</f>
        <v>1149</v>
      </c>
      <c r="F48" s="16">
        <f>2298/2</f>
        <v>1149</v>
      </c>
      <c r="G48" s="16">
        <f t="shared" si="4"/>
        <v>2595</v>
      </c>
      <c r="H48" s="28">
        <v>30.08</v>
      </c>
      <c r="I48" s="28">
        <v>30.08</v>
      </c>
      <c r="J48" s="28">
        <v>1.78</v>
      </c>
      <c r="K48" s="28">
        <v>1.78</v>
      </c>
      <c r="L48" s="16">
        <f t="shared" si="19"/>
        <v>4202.5499999999993</v>
      </c>
      <c r="M48" s="16">
        <f t="shared" si="20"/>
        <v>4202.5499999999993</v>
      </c>
      <c r="N48" s="16">
        <f t="shared" si="21"/>
        <v>32516.699999999997</v>
      </c>
      <c r="O48" s="16">
        <f t="shared" si="22"/>
        <v>32516.699999999997</v>
      </c>
      <c r="P48" s="16">
        <f t="shared" si="23"/>
        <v>73438.5</v>
      </c>
      <c r="Q48" s="16">
        <f t="shared" si="24"/>
        <v>1149</v>
      </c>
      <c r="R48" s="16">
        <f t="shared" si="9"/>
        <v>10838.9</v>
      </c>
      <c r="S48" s="16"/>
      <c r="T48" s="16"/>
      <c r="U48" s="16"/>
    </row>
    <row r="49" spans="1:21" ht="53.25" customHeight="1">
      <c r="A49" s="73"/>
      <c r="B49" s="17" t="s">
        <v>24</v>
      </c>
      <c r="C49" s="16">
        <f>514/2</f>
        <v>257</v>
      </c>
      <c r="D49" s="16">
        <f>514/2</f>
        <v>257</v>
      </c>
      <c r="E49" s="16">
        <f>2269/2</f>
        <v>1134.5</v>
      </c>
      <c r="F49" s="16">
        <f>2269/2</f>
        <v>1134.5</v>
      </c>
      <c r="G49" s="16">
        <f t="shared" si="4"/>
        <v>2783</v>
      </c>
      <c r="H49" s="28">
        <v>30.08</v>
      </c>
      <c r="I49" s="28">
        <v>30.08</v>
      </c>
      <c r="J49" s="28">
        <v>5.05</v>
      </c>
      <c r="K49" s="28">
        <v>5.05</v>
      </c>
      <c r="L49" s="16">
        <f t="shared" si="19"/>
        <v>6432.7099999999991</v>
      </c>
      <c r="M49" s="16">
        <f t="shared" si="20"/>
        <v>6432.7099999999991</v>
      </c>
      <c r="N49" s="16">
        <f t="shared" si="21"/>
        <v>28396.534999999996</v>
      </c>
      <c r="O49" s="16">
        <f t="shared" si="22"/>
        <v>28396.534999999996</v>
      </c>
      <c r="P49" s="16">
        <f t="shared" si="23"/>
        <v>69658.489999999991</v>
      </c>
      <c r="Q49" s="16">
        <f t="shared" si="24"/>
        <v>1134.5</v>
      </c>
      <c r="R49" s="16">
        <f t="shared" si="9"/>
        <v>9465.5116666666654</v>
      </c>
      <c r="S49" s="16"/>
      <c r="T49" s="16"/>
      <c r="U49" s="16"/>
    </row>
    <row r="50" spans="1:21" ht="62.25" customHeight="1">
      <c r="A50" s="73"/>
      <c r="B50" s="17" t="s">
        <v>65</v>
      </c>
      <c r="C50" s="16">
        <f>4227/2</f>
        <v>2113.5</v>
      </c>
      <c r="D50" s="16">
        <f>4227/2</f>
        <v>2113.5</v>
      </c>
      <c r="E50" s="16">
        <f>3062/2</f>
        <v>1531</v>
      </c>
      <c r="F50" s="16">
        <f>3062/2</f>
        <v>1531</v>
      </c>
      <c r="G50" s="16">
        <f t="shared" si="4"/>
        <v>7289</v>
      </c>
      <c r="H50" s="28">
        <v>30.08</v>
      </c>
      <c r="I50" s="28">
        <v>30.08</v>
      </c>
      <c r="J50" s="28">
        <v>5.74</v>
      </c>
      <c r="K50" s="28">
        <v>5.74</v>
      </c>
      <c r="L50" s="16">
        <f t="shared" si="19"/>
        <v>51442.589999999989</v>
      </c>
      <c r="M50" s="16">
        <f t="shared" si="20"/>
        <v>51442.589999999989</v>
      </c>
      <c r="N50" s="16">
        <f t="shared" si="21"/>
        <v>37264.539999999994</v>
      </c>
      <c r="O50" s="16">
        <f t="shared" si="22"/>
        <v>37264.539999999994</v>
      </c>
      <c r="P50" s="16">
        <f t="shared" si="23"/>
        <v>177414.25999999995</v>
      </c>
      <c r="Q50" s="16">
        <f t="shared" si="24"/>
        <v>1531</v>
      </c>
      <c r="R50" s="16">
        <f t="shared" si="9"/>
        <v>12421.513333333331</v>
      </c>
      <c r="S50" s="16"/>
      <c r="T50" s="16"/>
      <c r="U50" s="16"/>
    </row>
    <row r="51" spans="1:21" ht="62.25" customHeight="1">
      <c r="A51" s="73"/>
      <c r="B51" s="17" t="s">
        <v>66</v>
      </c>
      <c r="C51" s="16">
        <f>1219/2</f>
        <v>609.5</v>
      </c>
      <c r="D51" s="16">
        <f>1219/2</f>
        <v>609.5</v>
      </c>
      <c r="E51" s="16">
        <f>723/2</f>
        <v>361.5</v>
      </c>
      <c r="F51" s="16">
        <f>723/2</f>
        <v>361.5</v>
      </c>
      <c r="G51" s="16">
        <f t="shared" si="4"/>
        <v>1942</v>
      </c>
      <c r="H51" s="28">
        <v>30.08</v>
      </c>
      <c r="I51" s="28">
        <v>30.08</v>
      </c>
      <c r="J51" s="28">
        <v>2.35</v>
      </c>
      <c r="K51" s="28">
        <v>2.35</v>
      </c>
      <c r="L51" s="16">
        <f t="shared" si="19"/>
        <v>16901.434999999998</v>
      </c>
      <c r="M51" s="16">
        <f t="shared" si="20"/>
        <v>16901.434999999998</v>
      </c>
      <c r="N51" s="16">
        <f t="shared" si="21"/>
        <v>10024.394999999999</v>
      </c>
      <c r="O51" s="16">
        <f t="shared" si="22"/>
        <v>10024.394999999999</v>
      </c>
      <c r="P51" s="16">
        <f t="shared" si="23"/>
        <v>53851.659999999989</v>
      </c>
      <c r="Q51" s="16">
        <f t="shared" si="24"/>
        <v>361.5</v>
      </c>
      <c r="R51" s="16">
        <f t="shared" si="9"/>
        <v>3341.4649999999997</v>
      </c>
      <c r="S51" s="16"/>
      <c r="T51" s="16"/>
      <c r="U51" s="16"/>
    </row>
    <row r="52" spans="1:21" ht="37.5" customHeight="1">
      <c r="A52" s="74"/>
      <c r="B52" s="65" t="s">
        <v>5</v>
      </c>
      <c r="C52" s="18">
        <f>SUM(C23:C51)</f>
        <v>6608105</v>
      </c>
      <c r="D52" s="18">
        <f t="shared" ref="D52:G52" si="28">SUM(D23:D51)</f>
        <v>4473713</v>
      </c>
      <c r="E52" s="18">
        <f t="shared" si="28"/>
        <v>3970752</v>
      </c>
      <c r="F52" s="18">
        <f t="shared" si="28"/>
        <v>5610792</v>
      </c>
      <c r="G52" s="18">
        <f t="shared" si="28"/>
        <v>20663362</v>
      </c>
      <c r="H52" s="18"/>
      <c r="I52" s="18"/>
      <c r="J52" s="18"/>
      <c r="K52" s="18"/>
      <c r="L52" s="18">
        <f>SUM(L23:L51)</f>
        <v>173566022.71182996</v>
      </c>
      <c r="M52" s="18">
        <f t="shared" ref="M52:O52" si="29">SUM(M23:M51)</f>
        <v>116621152.64510997</v>
      </c>
      <c r="N52" s="18">
        <f t="shared" si="29"/>
        <v>104206433.35487998</v>
      </c>
      <c r="O52" s="18">
        <f t="shared" si="29"/>
        <v>147615178.86551997</v>
      </c>
      <c r="P52" s="18">
        <f>SUM(P23:P51)</f>
        <v>542008787.57733977</v>
      </c>
      <c r="Q52" s="18">
        <f>SUM(Q23:Q51)</f>
        <v>5610792</v>
      </c>
      <c r="R52" s="18">
        <f>SUM(R23:R51)</f>
        <v>49205059.621839993</v>
      </c>
      <c r="S52" s="18">
        <v>57340053.48999995</v>
      </c>
      <c r="T52" s="18">
        <f>O52/3</f>
        <v>49205059.621839993</v>
      </c>
      <c r="U52" s="18">
        <f>P52+S52-T52</f>
        <v>550143781.44549966</v>
      </c>
    </row>
    <row r="53" spans="1:21" ht="66" customHeight="1">
      <c r="A53" s="72" t="s">
        <v>32</v>
      </c>
      <c r="B53" s="64" t="s">
        <v>38</v>
      </c>
      <c r="C53" s="16">
        <v>6156209</v>
      </c>
      <c r="D53" s="16">
        <f>4716973+91-64</f>
        <v>4717000</v>
      </c>
      <c r="E53" s="16">
        <v>4533869</v>
      </c>
      <c r="F53" s="16">
        <v>5243161</v>
      </c>
      <c r="G53" s="16">
        <f t="shared" si="4"/>
        <v>20650239</v>
      </c>
      <c r="H53" s="28">
        <v>5.05</v>
      </c>
      <c r="I53" s="28">
        <v>5.05</v>
      </c>
      <c r="J53" s="28">
        <v>4.87</v>
      </c>
      <c r="K53" s="28">
        <v>4.87</v>
      </c>
      <c r="L53" s="16">
        <f>C53*(H53-J53)</f>
        <v>1108117.6199999982</v>
      </c>
      <c r="M53" s="16">
        <f>(H53-J53)*D53</f>
        <v>849059.9999999986</v>
      </c>
      <c r="N53" s="16">
        <f>(I53-K53)*E53</f>
        <v>816096.41999999876</v>
      </c>
      <c r="O53" s="16">
        <f>(I53-K53)*F53</f>
        <v>943768.97999999847</v>
      </c>
      <c r="P53" s="16">
        <f>L53+M53+N53+O53</f>
        <v>3717043.019999994</v>
      </c>
      <c r="Q53" s="16">
        <v>5243097</v>
      </c>
      <c r="R53" s="16">
        <f t="shared" si="9"/>
        <v>314585.81999999948</v>
      </c>
      <c r="S53" s="16"/>
      <c r="T53" s="16"/>
      <c r="U53" s="16"/>
    </row>
    <row r="54" spans="1:21" ht="66" customHeight="1">
      <c r="A54" s="73"/>
      <c r="B54" s="64" t="s">
        <v>39</v>
      </c>
      <c r="C54" s="16">
        <f>133021</f>
        <v>133021</v>
      </c>
      <c r="D54" s="16">
        <v>90859</v>
      </c>
      <c r="E54" s="16">
        <v>84920</v>
      </c>
      <c r="F54" s="16">
        <v>112833</v>
      </c>
      <c r="G54" s="16">
        <f t="shared" si="4"/>
        <v>421633</v>
      </c>
      <c r="H54" s="28">
        <v>5.74</v>
      </c>
      <c r="I54" s="28">
        <v>5.74</v>
      </c>
      <c r="J54" s="28">
        <v>5.19</v>
      </c>
      <c r="K54" s="28">
        <v>5.19</v>
      </c>
      <c r="L54" s="16">
        <f t="shared" ref="L54:L65" si="30">C54*(H54-J54)</f>
        <v>73161.549999999974</v>
      </c>
      <c r="M54" s="16">
        <f t="shared" ref="M54:M65" si="31">(H54-J54)*D54</f>
        <v>49972.449999999983</v>
      </c>
      <c r="N54" s="16">
        <f t="shared" ref="N54:N65" si="32">(I54-K54)*E54</f>
        <v>46705.999999999985</v>
      </c>
      <c r="O54" s="16">
        <f t="shared" ref="O54:O65" si="33">(I54-K54)*F54</f>
        <v>62058.14999999998</v>
      </c>
      <c r="P54" s="16">
        <f t="shared" si="5"/>
        <v>231898.14999999991</v>
      </c>
      <c r="Q54" s="16">
        <v>110107</v>
      </c>
      <c r="R54" s="16">
        <f t="shared" si="9"/>
        <v>20186.283333333329</v>
      </c>
      <c r="S54" s="16"/>
      <c r="T54" s="16"/>
      <c r="U54" s="16"/>
    </row>
    <row r="55" spans="1:21" ht="66" customHeight="1">
      <c r="A55" s="74"/>
      <c r="B55" s="64" t="s">
        <v>40</v>
      </c>
      <c r="C55" s="16">
        <v>55806</v>
      </c>
      <c r="D55" s="16">
        <v>37841</v>
      </c>
      <c r="E55" s="16">
        <v>33816</v>
      </c>
      <c r="F55" s="16">
        <v>48286</v>
      </c>
      <c r="G55" s="16">
        <f t="shared" si="4"/>
        <v>175749</v>
      </c>
      <c r="H55" s="28">
        <v>2.35</v>
      </c>
      <c r="I55" s="28">
        <v>2.35</v>
      </c>
      <c r="J55" s="28">
        <v>2.17</v>
      </c>
      <c r="K55" s="28">
        <v>2.17</v>
      </c>
      <c r="L55" s="16">
        <f t="shared" si="30"/>
        <v>10045.080000000009</v>
      </c>
      <c r="M55" s="16">
        <f t="shared" si="31"/>
        <v>6811.3800000000065</v>
      </c>
      <c r="N55" s="16">
        <f t="shared" si="32"/>
        <v>6086.8800000000056</v>
      </c>
      <c r="O55" s="16">
        <f t="shared" si="33"/>
        <v>8691.4800000000068</v>
      </c>
      <c r="P55" s="16">
        <f t="shared" si="5"/>
        <v>31634.820000000025</v>
      </c>
      <c r="Q55" s="16">
        <v>46753</v>
      </c>
      <c r="R55" s="16">
        <f t="shared" si="9"/>
        <v>2805.1800000000026</v>
      </c>
      <c r="S55" s="16"/>
      <c r="T55" s="16"/>
      <c r="U55" s="16"/>
    </row>
    <row r="56" spans="1:21" s="29" customFormat="1" ht="84" customHeight="1">
      <c r="A56" s="72" t="s">
        <v>32</v>
      </c>
      <c r="B56" s="66" t="s">
        <v>41</v>
      </c>
      <c r="C56" s="16">
        <v>34469</v>
      </c>
      <c r="D56" s="16">
        <v>17830</v>
      </c>
      <c r="E56" s="16">
        <v>5659</v>
      </c>
      <c r="F56" s="16">
        <v>12147</v>
      </c>
      <c r="G56" s="28">
        <f t="shared" si="4"/>
        <v>70105</v>
      </c>
      <c r="H56" s="28">
        <v>3.84</v>
      </c>
      <c r="I56" s="28">
        <v>3.84</v>
      </c>
      <c r="J56" s="28">
        <v>3.7</v>
      </c>
      <c r="K56" s="28">
        <v>3.7</v>
      </c>
      <c r="L56" s="16">
        <f t="shared" si="30"/>
        <v>4825.6599999999889</v>
      </c>
      <c r="M56" s="16">
        <f t="shared" si="31"/>
        <v>2496.1999999999944</v>
      </c>
      <c r="N56" s="16">
        <f t="shared" si="32"/>
        <v>792.25999999999817</v>
      </c>
      <c r="O56" s="16">
        <f t="shared" si="33"/>
        <v>1700.5799999999961</v>
      </c>
      <c r="P56" s="28">
        <f t="shared" si="5"/>
        <v>9814.6999999999771</v>
      </c>
      <c r="Q56" s="28">
        <v>12147</v>
      </c>
      <c r="R56" s="16">
        <f t="shared" si="9"/>
        <v>566.85999999999865</v>
      </c>
      <c r="S56" s="28"/>
      <c r="T56" s="28"/>
      <c r="U56" s="28"/>
    </row>
    <row r="57" spans="1:21" s="29" customFormat="1" ht="84" customHeight="1">
      <c r="A57" s="73"/>
      <c r="B57" s="66" t="s">
        <v>42</v>
      </c>
      <c r="C57" s="28">
        <v>20181</v>
      </c>
      <c r="D57" s="28">
        <v>8851</v>
      </c>
      <c r="E57" s="28">
        <v>956</v>
      </c>
      <c r="F57" s="28">
        <v>7412</v>
      </c>
      <c r="G57" s="28">
        <f t="shared" si="4"/>
        <v>37400</v>
      </c>
      <c r="H57" s="28">
        <v>4.37</v>
      </c>
      <c r="I57" s="28">
        <v>4.37</v>
      </c>
      <c r="J57" s="28">
        <v>3.94</v>
      </c>
      <c r="K57" s="28">
        <v>3.94</v>
      </c>
      <c r="L57" s="16">
        <f t="shared" si="30"/>
        <v>8677.8300000000036</v>
      </c>
      <c r="M57" s="16">
        <f t="shared" si="31"/>
        <v>3805.9300000000012</v>
      </c>
      <c r="N57" s="16">
        <f t="shared" si="32"/>
        <v>411.08000000000015</v>
      </c>
      <c r="O57" s="16">
        <f t="shared" si="33"/>
        <v>3187.1600000000012</v>
      </c>
      <c r="P57" s="28">
        <f t="shared" si="5"/>
        <v>16082.000000000007</v>
      </c>
      <c r="Q57" s="28">
        <v>7412</v>
      </c>
      <c r="R57" s="16">
        <f t="shared" si="9"/>
        <v>1062.386666666667</v>
      </c>
      <c r="S57" s="28"/>
      <c r="T57" s="28"/>
      <c r="U57" s="28"/>
    </row>
    <row r="58" spans="1:21" s="29" customFormat="1" ht="84" customHeight="1">
      <c r="A58" s="73"/>
      <c r="B58" s="66" t="s">
        <v>43</v>
      </c>
      <c r="C58" s="16">
        <v>12744</v>
      </c>
      <c r="D58" s="16">
        <v>7365</v>
      </c>
      <c r="E58" s="28">
        <v>410</v>
      </c>
      <c r="F58" s="28">
        <v>4135</v>
      </c>
      <c r="G58" s="28">
        <f t="shared" si="4"/>
        <v>24654</v>
      </c>
      <c r="H58" s="28">
        <v>1.78</v>
      </c>
      <c r="I58" s="28">
        <v>1.78</v>
      </c>
      <c r="J58" s="28">
        <v>1.65</v>
      </c>
      <c r="K58" s="28">
        <v>1.65</v>
      </c>
      <c r="L58" s="16">
        <f t="shared" si="30"/>
        <v>1656.7200000000014</v>
      </c>
      <c r="M58" s="16">
        <f t="shared" si="31"/>
        <v>957.45000000000084</v>
      </c>
      <c r="N58" s="16">
        <f t="shared" si="32"/>
        <v>53.300000000000047</v>
      </c>
      <c r="O58" s="16">
        <f t="shared" si="33"/>
        <v>537.55000000000052</v>
      </c>
      <c r="P58" s="28">
        <f t="shared" si="5"/>
        <v>3205.0200000000032</v>
      </c>
      <c r="Q58" s="28">
        <v>4135</v>
      </c>
      <c r="R58" s="16">
        <f t="shared" si="9"/>
        <v>179.18333333333348</v>
      </c>
      <c r="S58" s="28"/>
      <c r="T58" s="28"/>
      <c r="U58" s="28"/>
    </row>
    <row r="59" spans="1:21" ht="84" customHeight="1">
      <c r="A59" s="73"/>
      <c r="B59" s="57" t="s">
        <v>44</v>
      </c>
      <c r="C59" s="28">
        <v>1175627</v>
      </c>
      <c r="D59" s="28">
        <v>992766</v>
      </c>
      <c r="E59" s="28">
        <v>966013</v>
      </c>
      <c r="F59" s="28">
        <v>1088044</v>
      </c>
      <c r="G59" s="28">
        <f t="shared" si="4"/>
        <v>4222450</v>
      </c>
      <c r="H59" s="28">
        <v>3.84</v>
      </c>
      <c r="I59" s="28">
        <v>3.84</v>
      </c>
      <c r="J59" s="28">
        <v>3.7</v>
      </c>
      <c r="K59" s="28">
        <v>3.7</v>
      </c>
      <c r="L59" s="16">
        <f t="shared" si="30"/>
        <v>164587.77999999962</v>
      </c>
      <c r="M59" s="16">
        <f t="shared" si="31"/>
        <v>138987.23999999967</v>
      </c>
      <c r="N59" s="16">
        <f t="shared" si="32"/>
        <v>135241.81999999969</v>
      </c>
      <c r="O59" s="16">
        <f t="shared" si="33"/>
        <v>152326.15999999965</v>
      </c>
      <c r="P59" s="16">
        <f t="shared" si="5"/>
        <v>591142.99999999872</v>
      </c>
      <c r="Q59" s="16">
        <v>1087437</v>
      </c>
      <c r="R59" s="16">
        <f t="shared" si="9"/>
        <v>50747.059999999881</v>
      </c>
      <c r="S59" s="16"/>
      <c r="T59" s="16"/>
      <c r="U59" s="16"/>
    </row>
    <row r="60" spans="1:21" ht="84" customHeight="1">
      <c r="A60" s="73"/>
      <c r="B60" s="57" t="s">
        <v>45</v>
      </c>
      <c r="C60" s="16">
        <v>17508</v>
      </c>
      <c r="D60" s="16">
        <v>12606</v>
      </c>
      <c r="E60" s="16">
        <v>7792</v>
      </c>
      <c r="F60" s="16">
        <v>18649</v>
      </c>
      <c r="G60" s="16">
        <f t="shared" si="4"/>
        <v>56555</v>
      </c>
      <c r="H60" s="28">
        <v>4.37</v>
      </c>
      <c r="I60" s="28">
        <v>4.37</v>
      </c>
      <c r="J60" s="28">
        <v>3.94</v>
      </c>
      <c r="K60" s="28">
        <v>3.94</v>
      </c>
      <c r="L60" s="16">
        <f t="shared" si="30"/>
        <v>7528.4400000000032</v>
      </c>
      <c r="M60" s="16">
        <f t="shared" si="31"/>
        <v>5420.5800000000017</v>
      </c>
      <c r="N60" s="16">
        <f t="shared" si="32"/>
        <v>3350.5600000000013</v>
      </c>
      <c r="O60" s="16">
        <f t="shared" si="33"/>
        <v>8019.0700000000033</v>
      </c>
      <c r="P60" s="16">
        <f t="shared" si="5"/>
        <v>24318.650000000009</v>
      </c>
      <c r="Q60" s="16">
        <v>18278</v>
      </c>
      <c r="R60" s="16">
        <f t="shared" si="9"/>
        <v>2619.8466666666677</v>
      </c>
      <c r="S60" s="16"/>
      <c r="T60" s="16"/>
      <c r="U60" s="16"/>
    </row>
    <row r="61" spans="1:21" ht="84" customHeight="1">
      <c r="A61" s="73"/>
      <c r="B61" s="57" t="s">
        <v>46</v>
      </c>
      <c r="C61" s="16">
        <v>8440</v>
      </c>
      <c r="D61" s="16">
        <v>5730</v>
      </c>
      <c r="E61" s="16">
        <v>3058</v>
      </c>
      <c r="F61" s="16">
        <v>11731</v>
      </c>
      <c r="G61" s="16">
        <f t="shared" si="4"/>
        <v>28959</v>
      </c>
      <c r="H61" s="28">
        <v>1.78</v>
      </c>
      <c r="I61" s="28">
        <v>1.78</v>
      </c>
      <c r="J61" s="28">
        <v>1.65</v>
      </c>
      <c r="K61" s="28">
        <v>1.65</v>
      </c>
      <c r="L61" s="16">
        <f t="shared" si="30"/>
        <v>1097.200000000001</v>
      </c>
      <c r="M61" s="16">
        <f t="shared" si="31"/>
        <v>744.90000000000066</v>
      </c>
      <c r="N61" s="16">
        <f t="shared" si="32"/>
        <v>397.54000000000036</v>
      </c>
      <c r="O61" s="16">
        <f t="shared" si="33"/>
        <v>1525.0300000000013</v>
      </c>
      <c r="P61" s="16">
        <f t="shared" si="5"/>
        <v>3764.6700000000037</v>
      </c>
      <c r="Q61" s="16">
        <v>11524</v>
      </c>
      <c r="R61" s="16">
        <f t="shared" si="9"/>
        <v>499.37333333333379</v>
      </c>
      <c r="S61" s="16"/>
      <c r="T61" s="16"/>
      <c r="U61" s="16"/>
    </row>
    <row r="62" spans="1:21" ht="67.5" customHeight="1">
      <c r="A62" s="73"/>
      <c r="B62" s="17" t="s">
        <v>21</v>
      </c>
      <c r="C62" s="16">
        <v>125540</v>
      </c>
      <c r="D62" s="16">
        <v>200037</v>
      </c>
      <c r="E62" s="16">
        <v>257500</v>
      </c>
      <c r="F62" s="16">
        <v>130621</v>
      </c>
      <c r="G62" s="16">
        <f t="shared" si="4"/>
        <v>713698</v>
      </c>
      <c r="H62" s="28">
        <v>3.68</v>
      </c>
      <c r="I62" s="28">
        <v>3.68</v>
      </c>
      <c r="J62" s="28">
        <v>3.55</v>
      </c>
      <c r="K62" s="28">
        <v>3.55</v>
      </c>
      <c r="L62" s="16">
        <f t="shared" si="30"/>
        <v>16320.200000000043</v>
      </c>
      <c r="M62" s="16">
        <f t="shared" si="31"/>
        <v>26004.810000000067</v>
      </c>
      <c r="N62" s="16">
        <f t="shared" si="32"/>
        <v>33475.000000000087</v>
      </c>
      <c r="O62" s="16">
        <f t="shared" si="33"/>
        <v>16980.730000000043</v>
      </c>
      <c r="P62" s="16">
        <f t="shared" si="5"/>
        <v>92780.740000000238</v>
      </c>
      <c r="Q62" s="16">
        <v>130621</v>
      </c>
      <c r="R62" s="16">
        <f t="shared" si="9"/>
        <v>5660.2433333333483</v>
      </c>
      <c r="S62" s="16"/>
      <c r="T62" s="16"/>
      <c r="U62" s="16"/>
    </row>
    <row r="63" spans="1:21" ht="67.5" customHeight="1">
      <c r="A63" s="73"/>
      <c r="B63" s="17" t="s">
        <v>22</v>
      </c>
      <c r="C63" s="16">
        <v>206018</v>
      </c>
      <c r="D63" s="16">
        <v>108055</v>
      </c>
      <c r="E63" s="16">
        <v>114047</v>
      </c>
      <c r="F63" s="16">
        <v>143391</v>
      </c>
      <c r="G63" s="16">
        <f t="shared" si="4"/>
        <v>571511</v>
      </c>
      <c r="H63" s="28">
        <v>5.05</v>
      </c>
      <c r="I63" s="28">
        <v>5.05</v>
      </c>
      <c r="J63" s="28">
        <v>4.87</v>
      </c>
      <c r="K63" s="28">
        <v>4.87</v>
      </c>
      <c r="L63" s="16">
        <f t="shared" si="30"/>
        <v>37083.23999999994</v>
      </c>
      <c r="M63" s="16">
        <f t="shared" si="31"/>
        <v>19449.899999999969</v>
      </c>
      <c r="N63" s="16">
        <f t="shared" si="32"/>
        <v>20528.459999999966</v>
      </c>
      <c r="O63" s="16">
        <f t="shared" si="33"/>
        <v>25810.379999999961</v>
      </c>
      <c r="P63" s="16">
        <f t="shared" si="5"/>
        <v>102871.97999999984</v>
      </c>
      <c r="Q63" s="16">
        <v>143391</v>
      </c>
      <c r="R63" s="16">
        <f t="shared" si="9"/>
        <v>8603.4599999999864</v>
      </c>
      <c r="S63" s="16"/>
      <c r="T63" s="16"/>
      <c r="U63" s="16"/>
    </row>
    <row r="64" spans="1:21" ht="67.5" customHeight="1">
      <c r="A64" s="73"/>
      <c r="B64" s="17" t="s">
        <v>23</v>
      </c>
      <c r="C64" s="16">
        <v>10496</v>
      </c>
      <c r="D64" s="16">
        <v>7832</v>
      </c>
      <c r="E64" s="16">
        <v>7025</v>
      </c>
      <c r="F64" s="16">
        <v>8922</v>
      </c>
      <c r="G64" s="16">
        <f t="shared" si="4"/>
        <v>34275</v>
      </c>
      <c r="H64" s="28">
        <v>3.84</v>
      </c>
      <c r="I64" s="28">
        <v>3.84</v>
      </c>
      <c r="J64" s="28">
        <v>3.7</v>
      </c>
      <c r="K64" s="28">
        <v>3.7</v>
      </c>
      <c r="L64" s="16">
        <f t="shared" si="30"/>
        <v>1469.4399999999966</v>
      </c>
      <c r="M64" s="16">
        <f t="shared" si="31"/>
        <v>1096.4799999999975</v>
      </c>
      <c r="N64" s="16">
        <f t="shared" si="32"/>
        <v>983.49999999999773</v>
      </c>
      <c r="O64" s="16">
        <f t="shared" si="33"/>
        <v>1249.0799999999972</v>
      </c>
      <c r="P64" s="16">
        <f t="shared" si="5"/>
        <v>4798.4999999999891</v>
      </c>
      <c r="Q64" s="16">
        <v>8922</v>
      </c>
      <c r="R64" s="16">
        <f t="shared" si="9"/>
        <v>416.35999999999905</v>
      </c>
      <c r="S64" s="16"/>
      <c r="T64" s="16"/>
      <c r="U64" s="16"/>
    </row>
    <row r="65" spans="1:22" ht="67.5" customHeight="1">
      <c r="A65" s="73"/>
      <c r="B65" s="17" t="s">
        <v>24</v>
      </c>
      <c r="C65" s="16">
        <v>190968</v>
      </c>
      <c r="D65" s="16">
        <f>129754+428</f>
        <v>130182</v>
      </c>
      <c r="E65" s="16">
        <v>99381</v>
      </c>
      <c r="F65" s="16">
        <v>163201</v>
      </c>
      <c r="G65" s="16">
        <f t="shared" si="4"/>
        <v>583732</v>
      </c>
      <c r="H65" s="28">
        <v>5.05</v>
      </c>
      <c r="I65" s="28">
        <v>5.05</v>
      </c>
      <c r="J65" s="28">
        <v>4.87</v>
      </c>
      <c r="K65" s="28">
        <v>4.87</v>
      </c>
      <c r="L65" s="16">
        <f t="shared" si="30"/>
        <v>34374.239999999947</v>
      </c>
      <c r="M65" s="16">
        <f t="shared" si="31"/>
        <v>23432.759999999962</v>
      </c>
      <c r="N65" s="16">
        <f t="shared" si="32"/>
        <v>17888.579999999973</v>
      </c>
      <c r="O65" s="16">
        <f t="shared" si="33"/>
        <v>29376.179999999953</v>
      </c>
      <c r="P65" s="16">
        <f t="shared" si="5"/>
        <v>105071.75999999983</v>
      </c>
      <c r="Q65" s="16">
        <v>163201</v>
      </c>
      <c r="R65" s="16">
        <f t="shared" si="9"/>
        <v>9792.0599999999849</v>
      </c>
      <c r="S65" s="16"/>
      <c r="T65" s="16"/>
      <c r="U65" s="16"/>
    </row>
    <row r="66" spans="1:22" ht="36" customHeight="1">
      <c r="A66" s="74"/>
      <c r="B66" s="65" t="s">
        <v>5</v>
      </c>
      <c r="C66" s="18">
        <f>SUM(C53:C65)</f>
        <v>8147027</v>
      </c>
      <c r="D66" s="18">
        <f>SUM(D53:D65)</f>
        <v>6336954</v>
      </c>
      <c r="E66" s="18">
        <f>SUM(E53:E65)</f>
        <v>6114446</v>
      </c>
      <c r="F66" s="18">
        <f>SUM(F53:F65)</f>
        <v>6992533</v>
      </c>
      <c r="G66" s="18">
        <f>SUM(G53:G65)</f>
        <v>27590960</v>
      </c>
      <c r="H66" s="18"/>
      <c r="I66" s="18"/>
      <c r="J66" s="18"/>
      <c r="K66" s="18"/>
      <c r="L66" s="18">
        <f>SUM(L53:L65)</f>
        <v>1468944.9999999977</v>
      </c>
      <c r="M66" s="18">
        <f t="shared" ref="M66:R66" si="34">SUM(M53:M65)</f>
        <v>1128240.0799999982</v>
      </c>
      <c r="N66" s="18">
        <f t="shared" si="34"/>
        <v>1082011.3999999987</v>
      </c>
      <c r="O66" s="18">
        <f t="shared" si="34"/>
        <v>1255230.5299999982</v>
      </c>
      <c r="P66" s="18">
        <f t="shared" si="34"/>
        <v>4934427.0099999923</v>
      </c>
      <c r="Q66" s="18">
        <f t="shared" si="34"/>
        <v>6987025</v>
      </c>
      <c r="R66" s="18">
        <f t="shared" si="34"/>
        <v>417724.116666666</v>
      </c>
      <c r="S66" s="18">
        <v>438522.26999999769</v>
      </c>
      <c r="T66" s="18">
        <f>O66/3</f>
        <v>418410.17666666606</v>
      </c>
      <c r="U66" s="18">
        <f>P66+S66-T66</f>
        <v>4954539.1033333242</v>
      </c>
    </row>
    <row r="67" spans="1:22" ht="79.5" customHeight="1">
      <c r="A67" s="85" t="s">
        <v>6</v>
      </c>
      <c r="B67" s="64" t="s">
        <v>74</v>
      </c>
      <c r="C67" s="16">
        <v>5264</v>
      </c>
      <c r="D67" s="16">
        <v>3260</v>
      </c>
      <c r="E67" s="16">
        <v>2899</v>
      </c>
      <c r="F67" s="16">
        <v>2577</v>
      </c>
      <c r="G67" s="16">
        <f>C67+D67+E67+F67</f>
        <v>14000</v>
      </c>
      <c r="H67" s="28">
        <v>75.89</v>
      </c>
      <c r="I67" s="28">
        <v>75.89</v>
      </c>
      <c r="J67" s="28">
        <v>4.08</v>
      </c>
      <c r="K67" s="28">
        <v>4.08</v>
      </c>
      <c r="L67" s="16">
        <f>C67*(H67-J67)</f>
        <v>378007.84</v>
      </c>
      <c r="M67" s="16">
        <f>(H67-J67)*D67</f>
        <v>234100.6</v>
      </c>
      <c r="N67" s="16">
        <f>(I67-K67)*E67</f>
        <v>208177.19</v>
      </c>
      <c r="O67" s="16">
        <f>(I67-K67)*F67</f>
        <v>185054.37</v>
      </c>
      <c r="P67" s="16">
        <f>L67+M67+N67+O67</f>
        <v>1005340.0000000001</v>
      </c>
      <c r="Q67" s="16">
        <v>2355</v>
      </c>
      <c r="R67" s="16">
        <f t="shared" si="9"/>
        <v>56370.85</v>
      </c>
      <c r="S67" s="16"/>
      <c r="T67" s="16"/>
      <c r="U67" s="16"/>
    </row>
    <row r="68" spans="1:22" ht="77.25" customHeight="1">
      <c r="A68" s="85"/>
      <c r="B68" s="17" t="s">
        <v>75</v>
      </c>
      <c r="C68" s="16">
        <v>1910</v>
      </c>
      <c r="D68" s="16">
        <v>1062</v>
      </c>
      <c r="E68" s="16">
        <v>923</v>
      </c>
      <c r="F68" s="16">
        <v>778</v>
      </c>
      <c r="G68" s="16">
        <f t="shared" ref="G68:G70" si="35">C68+D68+E68+F68</f>
        <v>4673</v>
      </c>
      <c r="H68" s="28">
        <v>75.89</v>
      </c>
      <c r="I68" s="28">
        <v>75.89</v>
      </c>
      <c r="J68" s="28">
        <v>1.67</v>
      </c>
      <c r="K68" s="28">
        <v>1.67</v>
      </c>
      <c r="L68" s="16">
        <f t="shared" ref="L68:L70" si="36">C68*(H68-J68)</f>
        <v>141760.20000000001</v>
      </c>
      <c r="M68" s="16">
        <f t="shared" ref="M68:M70" si="37">(H68-J68)*D68</f>
        <v>78821.64</v>
      </c>
      <c r="N68" s="16">
        <f t="shared" ref="N68:N70" si="38">(I68-K68)*E68</f>
        <v>68505.06</v>
      </c>
      <c r="O68" s="16">
        <f t="shared" ref="O68:O70" si="39">(I68-K68)*F68</f>
        <v>57743.159999999996</v>
      </c>
      <c r="P68" s="16">
        <f t="shared" si="5"/>
        <v>346830.06</v>
      </c>
      <c r="Q68" s="16">
        <v>710</v>
      </c>
      <c r="R68" s="16">
        <f t="shared" si="9"/>
        <v>17565.399999999998</v>
      </c>
      <c r="S68" s="16"/>
      <c r="T68" s="16"/>
      <c r="U68" s="16"/>
    </row>
    <row r="69" spans="1:22" ht="67.5" customHeight="1">
      <c r="A69" s="85"/>
      <c r="B69" s="64" t="s">
        <v>76</v>
      </c>
      <c r="C69" s="16">
        <v>59790</v>
      </c>
      <c r="D69" s="16">
        <v>40643</v>
      </c>
      <c r="E69" s="16">
        <v>47776</v>
      </c>
      <c r="F69" s="16">
        <v>43725</v>
      </c>
      <c r="G69" s="16">
        <f t="shared" si="35"/>
        <v>191934</v>
      </c>
      <c r="H69" s="28">
        <v>75.89</v>
      </c>
      <c r="I69" s="28">
        <v>75.89</v>
      </c>
      <c r="J69" s="28">
        <v>3.58</v>
      </c>
      <c r="K69" s="28">
        <v>3.58</v>
      </c>
      <c r="L69" s="16">
        <f t="shared" si="36"/>
        <v>4323414.9000000004</v>
      </c>
      <c r="M69" s="16">
        <f t="shared" si="37"/>
        <v>2938895.33</v>
      </c>
      <c r="N69" s="16">
        <f t="shared" si="38"/>
        <v>3454682.56</v>
      </c>
      <c r="O69" s="16">
        <f t="shared" si="39"/>
        <v>3161754.75</v>
      </c>
      <c r="P69" s="16">
        <f t="shared" si="5"/>
        <v>13878747.540000001</v>
      </c>
      <c r="Q69" s="16">
        <v>42335</v>
      </c>
      <c r="R69" s="16">
        <f t="shared" si="9"/>
        <v>1020414.6166666667</v>
      </c>
      <c r="S69" s="16"/>
      <c r="T69" s="16"/>
      <c r="U69" s="16"/>
    </row>
    <row r="70" spans="1:22" ht="41.25" customHeight="1">
      <c r="A70" s="85"/>
      <c r="B70" s="64" t="s">
        <v>17</v>
      </c>
      <c r="C70" s="16">
        <v>91542</v>
      </c>
      <c r="D70" s="16">
        <v>36677</v>
      </c>
      <c r="E70" s="16">
        <v>23211</v>
      </c>
      <c r="F70" s="16">
        <v>62242</v>
      </c>
      <c r="G70" s="16">
        <f t="shared" si="35"/>
        <v>213672</v>
      </c>
      <c r="H70" s="28">
        <v>75.89</v>
      </c>
      <c r="I70" s="28">
        <v>75.89</v>
      </c>
      <c r="J70" s="28">
        <v>8.4499999999999993</v>
      </c>
      <c r="K70" s="28">
        <v>8.4499999999999993</v>
      </c>
      <c r="L70" s="16">
        <f t="shared" si="36"/>
        <v>6173592.4799999995</v>
      </c>
      <c r="M70" s="16">
        <f t="shared" si="37"/>
        <v>2473496.88</v>
      </c>
      <c r="N70" s="16">
        <f t="shared" si="38"/>
        <v>1565349.8399999999</v>
      </c>
      <c r="O70" s="16">
        <f t="shared" si="39"/>
        <v>4197600.4799999995</v>
      </c>
      <c r="P70" s="16">
        <f t="shared" si="5"/>
        <v>14410039.68</v>
      </c>
      <c r="Q70" s="16">
        <v>54000</v>
      </c>
      <c r="R70" s="16">
        <f t="shared" si="9"/>
        <v>1213920</v>
      </c>
      <c r="S70" s="16"/>
      <c r="T70" s="16"/>
      <c r="U70" s="16"/>
    </row>
    <row r="71" spans="1:22" ht="36.75" customHeight="1">
      <c r="A71" s="85"/>
      <c r="B71" s="65" t="s">
        <v>5</v>
      </c>
      <c r="C71" s="18">
        <f>SUM(C67:C70)</f>
        <v>158506</v>
      </c>
      <c r="D71" s="18">
        <f t="shared" ref="D71:G71" si="40">SUM(D67:D70)</f>
        <v>81642</v>
      </c>
      <c r="E71" s="18">
        <f t="shared" si="40"/>
        <v>74809</v>
      </c>
      <c r="F71" s="18">
        <f t="shared" si="40"/>
        <v>109322</v>
      </c>
      <c r="G71" s="18">
        <f t="shared" si="40"/>
        <v>424279</v>
      </c>
      <c r="H71" s="18"/>
      <c r="I71" s="18"/>
      <c r="J71" s="18"/>
      <c r="K71" s="18"/>
      <c r="L71" s="18">
        <f>SUM(L67:L70)</f>
        <v>11016775.42</v>
      </c>
      <c r="M71" s="18">
        <f t="shared" ref="M71:P71" si="41">SUM(M67:M70)</f>
        <v>5725314.4500000002</v>
      </c>
      <c r="N71" s="18">
        <f t="shared" ref="N71" si="42">SUM(N67:N70)</f>
        <v>5296714.6500000004</v>
      </c>
      <c r="O71" s="18">
        <f t="shared" si="41"/>
        <v>7602152.7599999998</v>
      </c>
      <c r="P71" s="18">
        <f t="shared" si="41"/>
        <v>29640957.280000001</v>
      </c>
      <c r="Q71" s="18">
        <f t="shared" ref="Q71" si="43">SUM(Q67:Q70)</f>
        <v>99400</v>
      </c>
      <c r="R71" s="18">
        <f>SUM(R67:R70)</f>
        <v>2308270.8666666667</v>
      </c>
      <c r="S71" s="18">
        <v>2318180.2499999963</v>
      </c>
      <c r="T71" s="18">
        <f>O71/3</f>
        <v>2534050.92</v>
      </c>
      <c r="U71" s="18">
        <f>P71+S71-T71</f>
        <v>29425086.609999999</v>
      </c>
    </row>
    <row r="72" spans="1:22" ht="48.75" customHeight="1">
      <c r="A72" s="67"/>
      <c r="B72" s="65" t="s">
        <v>7</v>
      </c>
      <c r="C72" s="18">
        <f>C71+C66+C52+C22+C16</f>
        <v>26756669</v>
      </c>
      <c r="D72" s="18">
        <f>D71+D66+D52+D22+D16</f>
        <v>18766483</v>
      </c>
      <c r="E72" s="18">
        <f>E71+E66+E52+E22+E16</f>
        <v>17383473</v>
      </c>
      <c r="F72" s="18">
        <f>F71+F66+F52+F22+F16</f>
        <v>21647744</v>
      </c>
      <c r="G72" s="18">
        <f>G71+G66+G52+G22+G16</f>
        <v>84554369</v>
      </c>
      <c r="H72" s="18"/>
      <c r="I72" s="18"/>
      <c r="J72" s="18"/>
      <c r="K72" s="18"/>
      <c r="L72" s="18">
        <f t="shared" ref="L72:U72" si="44">L71+L66+L52+L22+L16</f>
        <v>727551166.92182994</v>
      </c>
      <c r="M72" s="18">
        <f t="shared" si="44"/>
        <v>484978008.78511</v>
      </c>
      <c r="N72" s="18">
        <f t="shared" si="44"/>
        <v>444325168.69488013</v>
      </c>
      <c r="O72" s="18">
        <f t="shared" si="44"/>
        <v>565516800.59552002</v>
      </c>
      <c r="P72" s="18">
        <f t="shared" si="44"/>
        <v>2222371144.9973397</v>
      </c>
      <c r="Q72" s="18">
        <f t="shared" si="44"/>
        <v>21651984</v>
      </c>
      <c r="R72" s="18">
        <f t="shared" si="44"/>
        <v>188715971.56850669</v>
      </c>
      <c r="S72" s="18">
        <f>S71+S66+S52+S22+S16</f>
        <v>198432689.18828008</v>
      </c>
      <c r="T72" s="18">
        <f t="shared" si="44"/>
        <v>188505600.19850665</v>
      </c>
      <c r="U72" s="18">
        <f t="shared" si="44"/>
        <v>2232298233.987113</v>
      </c>
      <c r="V72" s="14"/>
    </row>
    <row r="73" spans="1:22" s="13" customFormat="1" ht="24" customHeight="1">
      <c r="A73" s="19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58"/>
      <c r="R73" s="58"/>
      <c r="S73" s="55"/>
      <c r="T73" s="21"/>
      <c r="U73" s="22"/>
    </row>
    <row r="74" spans="1:22" ht="69.75" customHeight="1">
      <c r="A74" s="23"/>
      <c r="B74" s="24"/>
      <c r="C74" s="27"/>
      <c r="D74" s="23"/>
      <c r="E74" s="23"/>
      <c r="F74" s="25"/>
      <c r="G74" s="25"/>
      <c r="H74" s="25"/>
      <c r="I74" s="25"/>
      <c r="J74" s="25"/>
      <c r="K74" s="25"/>
      <c r="L74" s="26"/>
      <c r="M74" s="26"/>
      <c r="N74" s="25"/>
      <c r="O74" s="25"/>
      <c r="P74" s="23"/>
      <c r="Q74" s="59"/>
      <c r="R74" s="59"/>
      <c r="S74" s="88" t="s">
        <v>77</v>
      </c>
      <c r="T74" s="89"/>
      <c r="U74" s="16">
        <v>1300000000</v>
      </c>
    </row>
    <row r="75" spans="1:22" ht="97.5" customHeight="1">
      <c r="G75" s="82"/>
      <c r="H75" s="82"/>
      <c r="I75" s="30"/>
      <c r="J75" s="31"/>
      <c r="K75" s="31"/>
      <c r="L75" s="32"/>
      <c r="M75" s="33"/>
      <c r="O75" s="53"/>
      <c r="P75" s="54"/>
      <c r="Q75" s="60"/>
      <c r="R75" s="60"/>
      <c r="S75" s="88" t="s">
        <v>69</v>
      </c>
      <c r="T75" s="89"/>
      <c r="U75" s="16">
        <v>53293000</v>
      </c>
    </row>
    <row r="76" spans="1:22" ht="97.5" customHeight="1">
      <c r="G76" s="68"/>
      <c r="H76" s="68"/>
      <c r="I76" s="30"/>
      <c r="J76" s="31"/>
      <c r="K76" s="31"/>
      <c r="L76" s="32"/>
      <c r="M76" s="33"/>
      <c r="O76" s="53"/>
      <c r="P76" s="54"/>
      <c r="Q76" s="60"/>
      <c r="R76" s="60"/>
      <c r="S76" s="88" t="s">
        <v>78</v>
      </c>
      <c r="T76" s="89"/>
      <c r="U76" s="16">
        <v>58337000</v>
      </c>
    </row>
    <row r="77" spans="1:22" ht="69.75" customHeight="1">
      <c r="F77" s="8"/>
      <c r="G77" s="34"/>
      <c r="H77" s="34"/>
      <c r="I77" s="35"/>
      <c r="J77" s="33"/>
      <c r="K77" s="33"/>
      <c r="L77" s="36"/>
      <c r="M77" s="33"/>
      <c r="N77" s="8"/>
      <c r="O77" s="53"/>
      <c r="P77" s="54"/>
      <c r="Q77" s="60"/>
      <c r="R77" s="60"/>
      <c r="S77" s="90" t="s">
        <v>68</v>
      </c>
      <c r="T77" s="90"/>
      <c r="U77" s="16">
        <f>U72+U75+U76-U74</f>
        <v>1043928233.987113</v>
      </c>
    </row>
    <row r="78" spans="1:22" ht="47.25" hidden="1" customHeight="1">
      <c r="F78" s="84" t="s">
        <v>35</v>
      </c>
      <c r="G78" s="84"/>
      <c r="H78" s="84"/>
      <c r="I78" s="37"/>
      <c r="J78" s="38"/>
      <c r="K78" s="39"/>
      <c r="L78" s="40" t="s">
        <v>36</v>
      </c>
      <c r="M78" s="41"/>
      <c r="N78" s="8"/>
      <c r="O78" s="8"/>
      <c r="U78" s="14"/>
    </row>
    <row r="79" spans="1:22" s="44" customFormat="1" ht="36.75" hidden="1" customHeight="1">
      <c r="A79" s="33"/>
      <c r="B79" s="43"/>
      <c r="F79" s="45"/>
      <c r="G79" s="46"/>
      <c r="H79" s="46"/>
      <c r="I79" s="47"/>
      <c r="J79" s="48"/>
      <c r="K79" s="48"/>
      <c r="L79" s="49"/>
      <c r="M79" s="48"/>
      <c r="N79" s="50"/>
      <c r="O79" s="45"/>
      <c r="Q79" s="62"/>
      <c r="R79" s="62"/>
      <c r="S79" s="56"/>
      <c r="T79" s="2"/>
      <c r="U79" s="2"/>
    </row>
    <row r="80" spans="1:22" ht="26.25" hidden="1">
      <c r="F80" s="83"/>
      <c r="G80" s="83"/>
      <c r="H80" s="83"/>
      <c r="I80" s="69"/>
      <c r="J80" s="70"/>
      <c r="K80" s="70"/>
      <c r="L80" s="71"/>
      <c r="M80" s="51"/>
      <c r="N80" s="8"/>
      <c r="O80" s="10"/>
    </row>
    <row r="81" spans="3:21" ht="47.25" hidden="1" customHeight="1">
      <c r="C81" s="14"/>
      <c r="D81" s="14"/>
      <c r="F81" s="8"/>
      <c r="G81" s="8"/>
      <c r="H81" s="8"/>
      <c r="I81" s="8"/>
      <c r="J81" s="8"/>
      <c r="K81" s="8"/>
      <c r="L81" s="9"/>
      <c r="M81" s="9"/>
      <c r="N81" s="8"/>
      <c r="O81" s="8"/>
      <c r="S81" s="12"/>
      <c r="T81" s="42"/>
      <c r="U81" s="14"/>
    </row>
    <row r="82" spans="3:21">
      <c r="F82" s="8"/>
      <c r="G82" s="8"/>
      <c r="H82" s="8"/>
      <c r="I82" s="8"/>
      <c r="J82" s="8"/>
      <c r="K82" s="8"/>
      <c r="L82" s="9"/>
      <c r="M82" s="9"/>
      <c r="N82" s="52"/>
      <c r="O82" s="10"/>
      <c r="P82" s="52"/>
      <c r="Q82" s="63"/>
      <c r="R82" s="63"/>
    </row>
    <row r="83" spans="3:21">
      <c r="F83" s="8"/>
      <c r="G83" s="8"/>
      <c r="H83" s="8"/>
      <c r="I83" s="8"/>
      <c r="J83" s="8"/>
      <c r="K83" s="8"/>
      <c r="L83" s="9"/>
      <c r="M83" s="9"/>
      <c r="N83" s="52"/>
      <c r="O83" s="8"/>
      <c r="P83" s="52"/>
      <c r="Q83" s="63"/>
      <c r="R83" s="63"/>
    </row>
    <row r="84" spans="3:21">
      <c r="C84" s="4"/>
      <c r="D84" s="4"/>
      <c r="E84" s="4"/>
      <c r="F84" s="11"/>
      <c r="G84" s="11"/>
      <c r="H84" s="8"/>
      <c r="I84" s="8"/>
      <c r="J84" s="8"/>
      <c r="K84" s="8"/>
      <c r="L84" s="9"/>
      <c r="M84" s="9"/>
      <c r="N84" s="8"/>
      <c r="O84" s="8"/>
    </row>
    <row r="85" spans="3:21">
      <c r="C85" s="4"/>
      <c r="D85" s="4"/>
      <c r="E85" s="4"/>
      <c r="F85" s="11"/>
      <c r="G85" s="11"/>
      <c r="H85" s="8"/>
      <c r="I85" s="8"/>
      <c r="J85" s="8"/>
      <c r="K85" s="8"/>
      <c r="L85" s="9"/>
      <c r="M85" s="9"/>
      <c r="N85" s="8"/>
      <c r="O85" s="8"/>
    </row>
    <row r="86" spans="3:21">
      <c r="F86" s="8"/>
      <c r="G86" s="8"/>
      <c r="H86" s="8"/>
      <c r="I86" s="8"/>
      <c r="J86" s="8"/>
      <c r="K86" s="8"/>
      <c r="L86" s="9"/>
      <c r="M86" s="9"/>
      <c r="N86" s="8"/>
      <c r="O86" s="8"/>
    </row>
    <row r="87" spans="3:21">
      <c r="F87" s="10"/>
      <c r="G87" s="8"/>
      <c r="H87" s="8"/>
      <c r="I87" s="8"/>
      <c r="J87" s="8"/>
      <c r="K87" s="8"/>
      <c r="L87" s="9"/>
      <c r="M87" s="9"/>
      <c r="N87" s="8"/>
      <c r="O87" s="8"/>
    </row>
    <row r="88" spans="3:21">
      <c r="F88" s="8"/>
      <c r="G88" s="8"/>
      <c r="H88" s="8"/>
      <c r="I88" s="8"/>
      <c r="J88" s="8"/>
      <c r="K88" s="8"/>
      <c r="L88" s="9"/>
      <c r="M88" s="9"/>
      <c r="N88" s="8"/>
      <c r="O88" s="8"/>
    </row>
    <row r="89" spans="3:21">
      <c r="F89" s="8"/>
      <c r="G89" s="8"/>
      <c r="H89" s="8"/>
      <c r="I89" s="8"/>
      <c r="J89" s="8"/>
      <c r="K89" s="8"/>
      <c r="L89" s="9"/>
      <c r="M89" s="9"/>
      <c r="N89" s="8"/>
      <c r="O89" s="8"/>
    </row>
    <row r="90" spans="3:21">
      <c r="F90" s="8"/>
      <c r="G90" s="8"/>
      <c r="H90" s="8"/>
      <c r="I90" s="8"/>
      <c r="J90" s="8"/>
      <c r="K90" s="8"/>
      <c r="L90" s="9"/>
      <c r="M90" s="9"/>
      <c r="N90" s="8"/>
      <c r="O90" s="8"/>
    </row>
  </sheetData>
  <mergeCells count="26">
    <mergeCell ref="G75:H75"/>
    <mergeCell ref="F80:H80"/>
    <mergeCell ref="F78:H78"/>
    <mergeCell ref="U3:U4"/>
    <mergeCell ref="A5:A16"/>
    <mergeCell ref="A17:A22"/>
    <mergeCell ref="T3:T4"/>
    <mergeCell ref="A67:A71"/>
    <mergeCell ref="Q3:Q4"/>
    <mergeCell ref="R3:R4"/>
    <mergeCell ref="S74:T74"/>
    <mergeCell ref="S75:T75"/>
    <mergeCell ref="S77:T77"/>
    <mergeCell ref="S76:T76"/>
    <mergeCell ref="A23:A32"/>
    <mergeCell ref="A33:A52"/>
    <mergeCell ref="A53:A55"/>
    <mergeCell ref="A56:A66"/>
    <mergeCell ref="A1:U1"/>
    <mergeCell ref="B3:B4"/>
    <mergeCell ref="A3:A4"/>
    <mergeCell ref="S3:S4"/>
    <mergeCell ref="L3:P3"/>
    <mergeCell ref="J3:K3"/>
    <mergeCell ref="C3:G3"/>
    <mergeCell ref="H3:I3"/>
  </mergeCells>
  <pageMargins left="0.39370078740157483" right="0.19685039370078741" top="0.78740157480314965" bottom="0.39370078740157483" header="0.31496062992125984" footer="0.31496062992125984"/>
  <pageSetup paperSize="9" scale="30" fitToHeight="0" orientation="landscape" r:id="rId1"/>
  <headerFooter>
    <oddFooter>&amp;C&amp;P</oddFooter>
  </headerFooter>
  <ignoredErrors>
    <ignoredError sqref="L16:O16 L22:P22 P66 M66:O6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2023-02-08T09:20:11Z</cp:lastPrinted>
  <dcterms:created xsi:type="dcterms:W3CDTF">2016-01-14T10:10:37Z</dcterms:created>
  <dcterms:modified xsi:type="dcterms:W3CDTF">2023-02-08T09:20:16Z</dcterms:modified>
</cp:coreProperties>
</file>