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120" yWindow="120" windowWidth="28695" windowHeight="12525"/>
  </bookViews>
  <sheets>
    <sheet name="Лист1" sheetId="1" r:id="rId1"/>
  </sheets>
  <definedNames>
    <definedName name="Z_40F15A73_9550_4519_BD07_5B1306791A2B_.wvu.PrintArea" localSheetId="0" hidden="1">Лист1!$A$1:$AD$292</definedName>
    <definedName name="Z_40F15A73_9550_4519_BD07_5B1306791A2B_.wvu.PrintTitles" localSheetId="0" hidden="1">Лист1!$A:$F,Лист1!$4:$7</definedName>
    <definedName name="Z_40F15A73_9550_4519_BD07_5B1306791A2B_.wvu.Rows" localSheetId="0" hidden="1">Лист1!$29:$33,Лист1!$46:$47,Лист1!$84:$86,Лист1!$102:$104,Лист1!$113:$114,Лист1!$117:$117,Лист1!$125:$125,Лист1!$127:$129,Лист1!$131:$131,Лист1!$135:$135,Лист1!$139:$139,Лист1!$279:$281</definedName>
    <definedName name="Z_F6681789_96F0_4D5A_90BA_C1A8630D3E2C_.wvu.Cols" localSheetId="0" hidden="1">Лист1!$M:$Q,Лист1!$Y:$AB,Лист1!$AD:$AD</definedName>
    <definedName name="Z_F6681789_96F0_4D5A_90BA_C1A8630D3E2C_.wvu.PrintArea" localSheetId="0" hidden="1">Лист1!$A$1:$AD$297</definedName>
    <definedName name="Z_F6681789_96F0_4D5A_90BA_C1A8630D3E2C_.wvu.PrintTitles" localSheetId="0" hidden="1">Лист1!$4:$7</definedName>
    <definedName name="Z_F6681789_96F0_4D5A_90BA_C1A8630D3E2C_.wvu.Rows" localSheetId="0" hidden="1">Лист1!$16:$17,Лист1!$29:$33,Лист1!$175:$180,Лист1!$197:$198,Лист1!$227:$228,Лист1!$286:$287</definedName>
    <definedName name="_xlnm.Print_Titles" localSheetId="0">Лист1!$4:$7</definedName>
    <definedName name="_xlnm.Print_Area" localSheetId="0">Лист1!$A$1:$AD$297</definedName>
  </definedNames>
  <calcPr calcId="125725"/>
  <customWorkbookViews>
    <customWorkbookView name="minfin user - Личное представление" guid="{F6681789-96F0-4D5A-90BA-C1A8630D3E2C}" mergeInterval="0" personalView="1" maximized="1" xWindow="1" yWindow="1" windowWidth="1916" windowHeight="850" activeSheetId="1" showComments="commIndAndComment"/>
    <customWorkbookView name="Pavlenko - Личное представление" guid="{40F15A73-9550-4519-BD07-5B1306791A2B}" mergeInterval="0" personalView="1" maximized="1" xWindow="1" yWindow="1" windowWidth="1920" windowHeight="850" activeSheetId="1"/>
    <customWorkbookView name="Телицина Татьяна Александровна - Личное представление" guid="{1B5FFDB8-A1F9-475C-854F-961801845FF2}" mergeInterval="0" personalView="1" maximized="1" xWindow="1" yWindow="1" windowWidth="1920" windowHeight="776" activeSheetId="1"/>
  </customWorkbookViews>
</workbook>
</file>

<file path=xl/calcChain.xml><?xml version="1.0" encoding="utf-8"?>
<calcChain xmlns="http://schemas.openxmlformats.org/spreadsheetml/2006/main">
  <c r="M292" i="1"/>
  <c r="M287"/>
  <c r="M285"/>
  <c r="M284"/>
  <c r="M283"/>
  <c r="N282"/>
  <c r="M278"/>
  <c r="M277"/>
  <c r="N276"/>
  <c r="M275"/>
  <c r="N274"/>
  <c r="N273"/>
  <c r="N272"/>
  <c r="N271"/>
  <c r="M264"/>
  <c r="M262"/>
  <c r="M261"/>
  <c r="M260"/>
  <c r="N259"/>
  <c r="M258"/>
  <c r="M257"/>
  <c r="M256"/>
  <c r="N255"/>
  <c r="M254"/>
  <c r="N253"/>
  <c r="N251"/>
  <c r="M250"/>
  <c r="M249"/>
  <c r="M248"/>
  <c r="M247"/>
  <c r="N246"/>
  <c r="N245"/>
  <c r="N243"/>
  <c r="N242"/>
  <c r="M240"/>
  <c r="M237"/>
  <c r="N236"/>
  <c r="M234"/>
  <c r="N233"/>
  <c r="M232"/>
  <c r="N231"/>
  <c r="M230"/>
  <c r="N229"/>
  <c r="M226"/>
  <c r="M225"/>
  <c r="M224"/>
  <c r="M223"/>
  <c r="N222"/>
  <c r="M222"/>
  <c r="M221"/>
  <c r="M220"/>
  <c r="M219"/>
  <c r="N218"/>
  <c r="N217"/>
  <c r="N216"/>
  <c r="N215"/>
  <c r="N214"/>
  <c r="M213"/>
  <c r="N212"/>
  <c r="M211"/>
  <c r="M210"/>
  <c r="N209"/>
  <c r="M208"/>
  <c r="N207"/>
  <c r="M206"/>
  <c r="N205"/>
  <c r="M204"/>
  <c r="N203"/>
  <c r="M202"/>
  <c r="N201"/>
  <c r="M200"/>
  <c r="N199"/>
  <c r="M198"/>
  <c r="M197"/>
  <c r="M196"/>
  <c r="N195"/>
  <c r="M194"/>
  <c r="M193"/>
  <c r="N192"/>
  <c r="M191"/>
  <c r="N190"/>
  <c r="M189"/>
  <c r="N188"/>
  <c r="M187"/>
  <c r="N186"/>
  <c r="N185"/>
  <c r="N184"/>
  <c r="N183"/>
  <c r="N182"/>
  <c r="N181"/>
  <c r="M174"/>
  <c r="N121"/>
  <c r="M119"/>
  <c r="N118"/>
  <c r="M112"/>
  <c r="N109"/>
  <c r="N108"/>
  <c r="N107"/>
  <c r="N106"/>
  <c r="N105"/>
  <c r="M101"/>
  <c r="M98"/>
  <c r="M96"/>
  <c r="N95"/>
  <c r="N94"/>
  <c r="N93"/>
  <c r="N92"/>
  <c r="M78"/>
  <c r="M77"/>
  <c r="N76"/>
  <c r="M74"/>
  <c r="N73"/>
  <c r="M71"/>
  <c r="N70"/>
  <c r="M66"/>
  <c r="M65"/>
  <c r="N64"/>
  <c r="M63"/>
  <c r="M62"/>
  <c r="M61"/>
  <c r="M59"/>
  <c r="N58"/>
  <c r="N57"/>
  <c r="N56"/>
  <c r="N55"/>
  <c r="N54"/>
  <c r="N53"/>
  <c r="M50"/>
  <c r="M49"/>
  <c r="N48"/>
  <c r="M45"/>
  <c r="M44"/>
  <c r="N43"/>
  <c r="M41"/>
  <c r="N40"/>
  <c r="M38"/>
  <c r="M37"/>
  <c r="N36"/>
  <c r="M27"/>
  <c r="N26"/>
  <c r="M25"/>
  <c r="N22"/>
  <c r="M21"/>
  <c r="M19"/>
  <c r="N15"/>
  <c r="N14"/>
  <c r="N12"/>
  <c r="N11"/>
  <c r="N10"/>
  <c r="N9"/>
  <c r="N8"/>
  <c r="J297"/>
  <c r="J296" s="1"/>
  <c r="J295" s="1"/>
  <c r="J293" s="1"/>
  <c r="L296"/>
  <c r="L295" s="1"/>
  <c r="L293" s="1"/>
  <c r="J292"/>
  <c r="L291"/>
  <c r="L290" s="1"/>
  <c r="J287"/>
  <c r="J286"/>
  <c r="L285"/>
  <c r="J285" s="1"/>
  <c r="J284"/>
  <c r="L283"/>
  <c r="L282" s="1"/>
  <c r="K283"/>
  <c r="K282"/>
  <c r="J281"/>
  <c r="J279"/>
  <c r="L278"/>
  <c r="J278" s="1"/>
  <c r="L277"/>
  <c r="J277" s="1"/>
  <c r="K277"/>
  <c r="K276" s="1"/>
  <c r="J275"/>
  <c r="L273"/>
  <c r="K273"/>
  <c r="J270"/>
  <c r="L269"/>
  <c r="J269" s="1"/>
  <c r="L268"/>
  <c r="L267" s="1"/>
  <c r="J264"/>
  <c r="L262"/>
  <c r="J262" s="1"/>
  <c r="J261"/>
  <c r="L260"/>
  <c r="L259" s="1"/>
  <c r="K260"/>
  <c r="K259"/>
  <c r="J258"/>
  <c r="L257"/>
  <c r="J257" s="1"/>
  <c r="L256"/>
  <c r="J256" s="1"/>
  <c r="K255"/>
  <c r="J254"/>
  <c r="L253"/>
  <c r="K253"/>
  <c r="J250"/>
  <c r="L249"/>
  <c r="J249" s="1"/>
  <c r="L248"/>
  <c r="J248" s="1"/>
  <c r="J247"/>
  <c r="K245"/>
  <c r="L243"/>
  <c r="K242"/>
  <c r="J241"/>
  <c r="J238"/>
  <c r="J237"/>
  <c r="L236"/>
  <c r="K236"/>
  <c r="J235"/>
  <c r="J234"/>
  <c r="L233"/>
  <c r="K233"/>
  <c r="J233" s="1"/>
  <c r="J232"/>
  <c r="L231"/>
  <c r="K231"/>
  <c r="J230"/>
  <c r="L229"/>
  <c r="K229"/>
  <c r="J226"/>
  <c r="J225"/>
  <c r="J224"/>
  <c r="J223"/>
  <c r="K222"/>
  <c r="J221"/>
  <c r="L218"/>
  <c r="L215"/>
  <c r="K215"/>
  <c r="J213"/>
  <c r="L212"/>
  <c r="K212"/>
  <c r="J211"/>
  <c r="J210"/>
  <c r="L209"/>
  <c r="K209"/>
  <c r="J208"/>
  <c r="L207"/>
  <c r="K207"/>
  <c r="J206"/>
  <c r="L205"/>
  <c r="K205"/>
  <c r="J204"/>
  <c r="L203"/>
  <c r="K203"/>
  <c r="J202"/>
  <c r="L201"/>
  <c r="K201"/>
  <c r="J200"/>
  <c r="L199"/>
  <c r="K199"/>
  <c r="J199" s="1"/>
  <c r="J198"/>
  <c r="J197"/>
  <c r="J196"/>
  <c r="L195"/>
  <c r="K195"/>
  <c r="J194"/>
  <c r="J193"/>
  <c r="L192"/>
  <c r="K192"/>
  <c r="J191"/>
  <c r="L190"/>
  <c r="K190"/>
  <c r="J189"/>
  <c r="L188"/>
  <c r="K188"/>
  <c r="L187"/>
  <c r="J187" s="1"/>
  <c r="K187"/>
  <c r="K186" s="1"/>
  <c r="L183"/>
  <c r="K183"/>
  <c r="J183" s="1"/>
  <c r="K182"/>
  <c r="J180"/>
  <c r="L179"/>
  <c r="J179" s="1"/>
  <c r="J176"/>
  <c r="J174"/>
  <c r="L173"/>
  <c r="L172" s="1"/>
  <c r="J172" s="1"/>
  <c r="J171"/>
  <c r="L170"/>
  <c r="L169" s="1"/>
  <c r="L166" s="1"/>
  <c r="K170"/>
  <c r="K169" s="1"/>
  <c r="L165"/>
  <c r="J165" s="1"/>
  <c r="L164"/>
  <c r="K164"/>
  <c r="K163" s="1"/>
  <c r="J162"/>
  <c r="J161" s="1"/>
  <c r="J160" s="1"/>
  <c r="L161"/>
  <c r="L160" s="1"/>
  <c r="J159"/>
  <c r="J158"/>
  <c r="L156"/>
  <c r="L155" s="1"/>
  <c r="L151"/>
  <c r="J151" s="1"/>
  <c r="J144"/>
  <c r="J142"/>
  <c r="J141"/>
  <c r="J137"/>
  <c r="J136"/>
  <c r="J134"/>
  <c r="J133"/>
  <c r="J132"/>
  <c r="J130"/>
  <c r="J126"/>
  <c r="J124" s="1"/>
  <c r="L124"/>
  <c r="J123"/>
  <c r="J122"/>
  <c r="L121"/>
  <c r="K121"/>
  <c r="J119"/>
  <c r="L118"/>
  <c r="K118"/>
  <c r="K109" s="1"/>
  <c r="K108" s="1"/>
  <c r="L115"/>
  <c r="J115" s="1"/>
  <c r="J112"/>
  <c r="J111"/>
  <c r="J110"/>
  <c r="L106"/>
  <c r="K106"/>
  <c r="J101"/>
  <c r="J98"/>
  <c r="L96"/>
  <c r="L95" s="1"/>
  <c r="L92" s="1"/>
  <c r="K95"/>
  <c r="K92" s="1"/>
  <c r="K94"/>
  <c r="J91"/>
  <c r="L90"/>
  <c r="L89" s="1"/>
  <c r="J85"/>
  <c r="J84" s="1"/>
  <c r="L84"/>
  <c r="J83"/>
  <c r="J82"/>
  <c r="J81"/>
  <c r="J80"/>
  <c r="J79"/>
  <c r="J78"/>
  <c r="J77"/>
  <c r="L76"/>
  <c r="K76"/>
  <c r="J75"/>
  <c r="J74"/>
  <c r="L73"/>
  <c r="K73"/>
  <c r="L72"/>
  <c r="J72" s="1"/>
  <c r="L71"/>
  <c r="K71"/>
  <c r="J71" s="1"/>
  <c r="K70"/>
  <c r="L67"/>
  <c r="J67" s="1"/>
  <c r="J65"/>
  <c r="L64"/>
  <c r="J64" s="1"/>
  <c r="J63"/>
  <c r="L62"/>
  <c r="J62" s="1"/>
  <c r="J60"/>
  <c r="L59"/>
  <c r="L58" s="1"/>
  <c r="K59"/>
  <c r="L55"/>
  <c r="K55"/>
  <c r="J50"/>
  <c r="L49"/>
  <c r="L48" s="1"/>
  <c r="K49"/>
  <c r="L45"/>
  <c r="L43" s="1"/>
  <c r="J44"/>
  <c r="K43"/>
  <c r="J41"/>
  <c r="L40"/>
  <c r="K40"/>
  <c r="J40" s="1"/>
  <c r="J39"/>
  <c r="J37"/>
  <c r="L36"/>
  <c r="K36"/>
  <c r="J36" s="1"/>
  <c r="L28"/>
  <c r="J28" s="1"/>
  <c r="J27"/>
  <c r="L26"/>
  <c r="J26" s="1"/>
  <c r="J25"/>
  <c r="L24"/>
  <c r="J24" s="1"/>
  <c r="L23"/>
  <c r="L22" s="1"/>
  <c r="K23"/>
  <c r="K22" s="1"/>
  <c r="J21"/>
  <c r="J20"/>
  <c r="J19"/>
  <c r="L18"/>
  <c r="K18"/>
  <c r="L13"/>
  <c r="J13" s="1"/>
  <c r="G297"/>
  <c r="G296" s="1"/>
  <c r="G295" s="1"/>
  <c r="G293" s="1"/>
  <c r="I296"/>
  <c r="I295" s="1"/>
  <c r="I293" s="1"/>
  <c r="G292"/>
  <c r="I291"/>
  <c r="I290" s="1"/>
  <c r="G287"/>
  <c r="G286"/>
  <c r="I285"/>
  <c r="G285"/>
  <c r="G284"/>
  <c r="I283"/>
  <c r="I282" s="1"/>
  <c r="H283"/>
  <c r="H282"/>
  <c r="G281"/>
  <c r="G279"/>
  <c r="I278"/>
  <c r="G278" s="1"/>
  <c r="I277"/>
  <c r="I276" s="1"/>
  <c r="H277"/>
  <c r="H276" s="1"/>
  <c r="G275"/>
  <c r="I273"/>
  <c r="H273"/>
  <c r="G270"/>
  <c r="I269"/>
  <c r="G269" s="1"/>
  <c r="G264"/>
  <c r="I262"/>
  <c r="G262" s="1"/>
  <c r="G261"/>
  <c r="I260"/>
  <c r="I259" s="1"/>
  <c r="H260"/>
  <c r="H259" s="1"/>
  <c r="G258"/>
  <c r="I257"/>
  <c r="G257" s="1"/>
  <c r="I256"/>
  <c r="G256" s="1"/>
  <c r="H255"/>
  <c r="G254"/>
  <c r="G250"/>
  <c r="I249"/>
  <c r="I248"/>
  <c r="I246" s="1"/>
  <c r="G247"/>
  <c r="H245"/>
  <c r="I243"/>
  <c r="H242"/>
  <c r="G241"/>
  <c r="G238"/>
  <c r="G237"/>
  <c r="I236"/>
  <c r="H236"/>
  <c r="G235"/>
  <c r="G234"/>
  <c r="I233"/>
  <c r="H233"/>
  <c r="G232"/>
  <c r="I231"/>
  <c r="H231"/>
  <c r="G230"/>
  <c r="I229"/>
  <c r="H229"/>
  <c r="G226"/>
  <c r="G225"/>
  <c r="G224"/>
  <c r="G223"/>
  <c r="H222"/>
  <c r="G221"/>
  <c r="I215"/>
  <c r="H215"/>
  <c r="G213"/>
  <c r="I212"/>
  <c r="H212"/>
  <c r="G211"/>
  <c r="G210"/>
  <c r="I209"/>
  <c r="H209"/>
  <c r="G208"/>
  <c r="I207"/>
  <c r="H207"/>
  <c r="G206"/>
  <c r="I205"/>
  <c r="H205"/>
  <c r="G204"/>
  <c r="I203"/>
  <c r="H203"/>
  <c r="G202"/>
  <c r="I201"/>
  <c r="H201"/>
  <c r="G200"/>
  <c r="I199"/>
  <c r="H199"/>
  <c r="G198"/>
  <c r="G197"/>
  <c r="G196"/>
  <c r="I195"/>
  <c r="H195"/>
  <c r="G194"/>
  <c r="G193"/>
  <c r="I192"/>
  <c r="H192"/>
  <c r="G191"/>
  <c r="I190"/>
  <c r="H190"/>
  <c r="G189"/>
  <c r="I188"/>
  <c r="H188"/>
  <c r="I187"/>
  <c r="H187"/>
  <c r="I186"/>
  <c r="I183"/>
  <c r="H183"/>
  <c r="G183" s="1"/>
  <c r="I182"/>
  <c r="H182"/>
  <c r="G180"/>
  <c r="I179"/>
  <c r="I178" s="1"/>
  <c r="G176"/>
  <c r="G174"/>
  <c r="I173"/>
  <c r="G173" s="1"/>
  <c r="G171"/>
  <c r="I170"/>
  <c r="I169" s="1"/>
  <c r="I166" s="1"/>
  <c r="H170"/>
  <c r="H169" s="1"/>
  <c r="I165"/>
  <c r="G165" s="1"/>
  <c r="I164"/>
  <c r="H164"/>
  <c r="H163" s="1"/>
  <c r="G162"/>
  <c r="G161" s="1"/>
  <c r="G160" s="1"/>
  <c r="I161"/>
  <c r="I160" s="1"/>
  <c r="G159"/>
  <c r="G158"/>
  <c r="I156"/>
  <c r="I155" s="1"/>
  <c r="G155" s="1"/>
  <c r="I151"/>
  <c r="I150" s="1"/>
  <c r="G144"/>
  <c r="G142"/>
  <c r="G141"/>
  <c r="G137"/>
  <c r="G136"/>
  <c r="G134"/>
  <c r="G133"/>
  <c r="G132"/>
  <c r="G130"/>
  <c r="G126"/>
  <c r="I124"/>
  <c r="G123"/>
  <c r="G122"/>
  <c r="G121" s="1"/>
  <c r="I121"/>
  <c r="H121"/>
  <c r="G119"/>
  <c r="I118"/>
  <c r="H118"/>
  <c r="I115"/>
  <c r="G115" s="1"/>
  <c r="G112"/>
  <c r="G111"/>
  <c r="G110"/>
  <c r="H109"/>
  <c r="I106"/>
  <c r="H106"/>
  <c r="G101"/>
  <c r="G98"/>
  <c r="I96"/>
  <c r="I95" s="1"/>
  <c r="I92" s="1"/>
  <c r="H95"/>
  <c r="H94"/>
  <c r="H92"/>
  <c r="G91"/>
  <c r="I90"/>
  <c r="I89" s="1"/>
  <c r="G85"/>
  <c r="G84" s="1"/>
  <c r="I84"/>
  <c r="G83"/>
  <c r="G82"/>
  <c r="G81"/>
  <c r="G80"/>
  <c r="G79"/>
  <c r="G78"/>
  <c r="G77"/>
  <c r="I76"/>
  <c r="H76"/>
  <c r="G75"/>
  <c r="G74"/>
  <c r="I73"/>
  <c r="H73"/>
  <c r="I72"/>
  <c r="G72" s="1"/>
  <c r="I71"/>
  <c r="I70" s="1"/>
  <c r="H71"/>
  <c r="H70" s="1"/>
  <c r="I67"/>
  <c r="G67" s="1"/>
  <c r="G65"/>
  <c r="I64"/>
  <c r="G64" s="1"/>
  <c r="G63"/>
  <c r="I62"/>
  <c r="I55" s="1"/>
  <c r="G60"/>
  <c r="I59"/>
  <c r="I58" s="1"/>
  <c r="H59"/>
  <c r="G59" s="1"/>
  <c r="H58"/>
  <c r="H55"/>
  <c r="G50"/>
  <c r="I49"/>
  <c r="I48" s="1"/>
  <c r="H49"/>
  <c r="H48" s="1"/>
  <c r="I45"/>
  <c r="I43" s="1"/>
  <c r="G44"/>
  <c r="H43"/>
  <c r="G41"/>
  <c r="I40"/>
  <c r="H40"/>
  <c r="G39"/>
  <c r="G37"/>
  <c r="I36"/>
  <c r="H36"/>
  <c r="I28"/>
  <c r="I26" s="1"/>
  <c r="G26" s="1"/>
  <c r="G27"/>
  <c r="G25"/>
  <c r="I24"/>
  <c r="G24" s="1"/>
  <c r="I23"/>
  <c r="H23"/>
  <c r="H22" s="1"/>
  <c r="G21"/>
  <c r="G20"/>
  <c r="G19"/>
  <c r="I18"/>
  <c r="H18"/>
  <c r="G36" l="1"/>
  <c r="I54"/>
  <c r="G62"/>
  <c r="G199"/>
  <c r="G207"/>
  <c r="H217"/>
  <c r="H214" s="1"/>
  <c r="G233"/>
  <c r="G248"/>
  <c r="I268"/>
  <c r="I267" s="1"/>
  <c r="J59"/>
  <c r="J49"/>
  <c r="L54"/>
  <c r="L150"/>
  <c r="L149" s="1"/>
  <c r="I22"/>
  <c r="G73"/>
  <c r="G151"/>
  <c r="G187"/>
  <c r="G229"/>
  <c r="I244"/>
  <c r="K54"/>
  <c r="K58"/>
  <c r="J209"/>
  <c r="L217"/>
  <c r="L214" s="1"/>
  <c r="L216" s="1"/>
  <c r="L244"/>
  <c r="I149"/>
  <c r="I148" s="1"/>
  <c r="G150"/>
  <c r="G70"/>
  <c r="I109"/>
  <c r="I108" s="1"/>
  <c r="G277"/>
  <c r="K48"/>
  <c r="L255"/>
  <c r="L251" s="1"/>
  <c r="G49"/>
  <c r="G28"/>
  <c r="I181"/>
  <c r="I184" s="1"/>
  <c r="H186"/>
  <c r="I255"/>
  <c r="G260"/>
  <c r="J55"/>
  <c r="L70"/>
  <c r="L57" s="1"/>
  <c r="J76"/>
  <c r="J215"/>
  <c r="J260"/>
  <c r="J283"/>
  <c r="J70"/>
  <c r="G55"/>
  <c r="H93"/>
  <c r="H108"/>
  <c r="G231"/>
  <c r="L15"/>
  <c r="L14" s="1"/>
  <c r="L12" s="1"/>
  <c r="J54"/>
  <c r="K93"/>
  <c r="L109"/>
  <c r="J121"/>
  <c r="J195"/>
  <c r="J201"/>
  <c r="G76"/>
  <c r="G124"/>
  <c r="G195"/>
  <c r="G203"/>
  <c r="G212"/>
  <c r="J164"/>
  <c r="J163" s="1"/>
  <c r="L178"/>
  <c r="L177" s="1"/>
  <c r="J192"/>
  <c r="J205"/>
  <c r="I53"/>
  <c r="G205"/>
  <c r="L53"/>
  <c r="K57"/>
  <c r="G164"/>
  <c r="L108"/>
  <c r="L107" s="1"/>
  <c r="I107"/>
  <c r="G186"/>
  <c r="G190"/>
  <c r="I185"/>
  <c r="J203"/>
  <c r="I288"/>
  <c r="G288" s="1"/>
  <c r="G290"/>
  <c r="L148"/>
  <c r="J149"/>
  <c r="I146"/>
  <c r="G146" s="1"/>
  <c r="G148"/>
  <c r="G118"/>
  <c r="I172"/>
  <c r="G172" s="1"/>
  <c r="G192"/>
  <c r="H216"/>
  <c r="G215"/>
  <c r="G291"/>
  <c r="J18"/>
  <c r="K56"/>
  <c r="J118"/>
  <c r="J212"/>
  <c r="J259"/>
  <c r="G40"/>
  <c r="G149"/>
  <c r="G156"/>
  <c r="G182"/>
  <c r="I218"/>
  <c r="G259"/>
  <c r="G273"/>
  <c r="J58"/>
  <c r="J150"/>
  <c r="J156"/>
  <c r="J188"/>
  <c r="K218"/>
  <c r="J229"/>
  <c r="L242"/>
  <c r="J253"/>
  <c r="I57"/>
  <c r="I56" s="1"/>
  <c r="G90"/>
  <c r="G188"/>
  <c r="G201"/>
  <c r="G209"/>
  <c r="H218"/>
  <c r="J43"/>
  <c r="J73"/>
  <c r="J90"/>
  <c r="J190"/>
  <c r="J207"/>
  <c r="K217"/>
  <c r="K214" s="1"/>
  <c r="K216" s="1"/>
  <c r="J231"/>
  <c r="J236"/>
  <c r="J255"/>
  <c r="J273"/>
  <c r="L11"/>
  <c r="K107"/>
  <c r="L175"/>
  <c r="J175" s="1"/>
  <c r="J177"/>
  <c r="L265"/>
  <c r="J265" s="1"/>
  <c r="J267"/>
  <c r="J48"/>
  <c r="J282"/>
  <c r="J22"/>
  <c r="K15"/>
  <c r="L154"/>
  <c r="J155"/>
  <c r="K271"/>
  <c r="K272" s="1"/>
  <c r="K274"/>
  <c r="J290"/>
  <c r="L288"/>
  <c r="J288" s="1"/>
  <c r="L105"/>
  <c r="L88"/>
  <c r="J89"/>
  <c r="J169"/>
  <c r="K166"/>
  <c r="J166" s="1"/>
  <c r="J23"/>
  <c r="J45"/>
  <c r="K53"/>
  <c r="J53" s="1"/>
  <c r="J92"/>
  <c r="L94"/>
  <c r="L93" s="1"/>
  <c r="J93" s="1"/>
  <c r="J96"/>
  <c r="J95" s="1"/>
  <c r="J109"/>
  <c r="L163"/>
  <c r="J170"/>
  <c r="K181"/>
  <c r="L182"/>
  <c r="L181" s="1"/>
  <c r="L184" s="1"/>
  <c r="K185"/>
  <c r="L186"/>
  <c r="L185" s="1"/>
  <c r="J222"/>
  <c r="J243"/>
  <c r="L246"/>
  <c r="K251"/>
  <c r="J251" s="1"/>
  <c r="J268"/>
  <c r="L276"/>
  <c r="J276" s="1"/>
  <c r="J106"/>
  <c r="J291"/>
  <c r="J173"/>
  <c r="J178"/>
  <c r="G163"/>
  <c r="H107"/>
  <c r="G108"/>
  <c r="G22"/>
  <c r="H15"/>
  <c r="G255"/>
  <c r="I251"/>
  <c r="I271"/>
  <c r="I272" s="1"/>
  <c r="I274"/>
  <c r="G58"/>
  <c r="I105"/>
  <c r="G282"/>
  <c r="H166"/>
  <c r="G166" s="1"/>
  <c r="G169"/>
  <c r="G276"/>
  <c r="H271"/>
  <c r="H272" s="1"/>
  <c r="H274"/>
  <c r="I88"/>
  <c r="G89"/>
  <c r="G267"/>
  <c r="I265"/>
  <c r="G265" s="1"/>
  <c r="G178"/>
  <c r="I177"/>
  <c r="I245"/>
  <c r="G246"/>
  <c r="I15"/>
  <c r="I14" s="1"/>
  <c r="G43"/>
  <c r="G245"/>
  <c r="G48"/>
  <c r="I154"/>
  <c r="I242"/>
  <c r="I13"/>
  <c r="G23"/>
  <c r="G45"/>
  <c r="H57"/>
  <c r="G71"/>
  <c r="G92"/>
  <c r="I94"/>
  <c r="G94" s="1"/>
  <c r="G96"/>
  <c r="G95" s="1"/>
  <c r="G109"/>
  <c r="I163"/>
  <c r="G170"/>
  <c r="G179"/>
  <c r="H181"/>
  <c r="H185"/>
  <c r="G185" s="1"/>
  <c r="G222"/>
  <c r="G243"/>
  <c r="G249"/>
  <c r="I253"/>
  <c r="G268"/>
  <c r="G18"/>
  <c r="H54"/>
  <c r="G106"/>
  <c r="I217"/>
  <c r="I214" s="1"/>
  <c r="I216" s="1"/>
  <c r="G236"/>
  <c r="H253"/>
  <c r="G283"/>
  <c r="AA297"/>
  <c r="Z297"/>
  <c r="Z296"/>
  <c r="Z295"/>
  <c r="AA294"/>
  <c r="Z294"/>
  <c r="Z293"/>
  <c r="AA292"/>
  <c r="Z292"/>
  <c r="Z291"/>
  <c r="Z290"/>
  <c r="AA289"/>
  <c r="Z289"/>
  <c r="Z288"/>
  <c r="AA287"/>
  <c r="Z287"/>
  <c r="Z286"/>
  <c r="Z285"/>
  <c r="Z284"/>
  <c r="AA281"/>
  <c r="Z281"/>
  <c r="AA280"/>
  <c r="Z280"/>
  <c r="AA279"/>
  <c r="Z279"/>
  <c r="AA278"/>
  <c r="Z278"/>
  <c r="AA275"/>
  <c r="Z275"/>
  <c r="AA270"/>
  <c r="Z270"/>
  <c r="Z269"/>
  <c r="Z268"/>
  <c r="Z267"/>
  <c r="AA266"/>
  <c r="Z266"/>
  <c r="Z265"/>
  <c r="AA264"/>
  <c r="Z264"/>
  <c r="AA263"/>
  <c r="Z263"/>
  <c r="AA262"/>
  <c r="Z262"/>
  <c r="AA261"/>
  <c r="Z261"/>
  <c r="AA260"/>
  <c r="Z260"/>
  <c r="AA258"/>
  <c r="Z258"/>
  <c r="Z257"/>
  <c r="Z256"/>
  <c r="AA254"/>
  <c r="Z254"/>
  <c r="AA252"/>
  <c r="Z252"/>
  <c r="AA250"/>
  <c r="Z250"/>
  <c r="AA249"/>
  <c r="Z249"/>
  <c r="AA248"/>
  <c r="Z248"/>
  <c r="AA247"/>
  <c r="Z247"/>
  <c r="Z244"/>
  <c r="AA241"/>
  <c r="Z241"/>
  <c r="Z240"/>
  <c r="Z239"/>
  <c r="Z238"/>
  <c r="AA237"/>
  <c r="Z237"/>
  <c r="AA235"/>
  <c r="Z235"/>
  <c r="AA234"/>
  <c r="Z234"/>
  <c r="AA232"/>
  <c r="Z232"/>
  <c r="AA230"/>
  <c r="Z230"/>
  <c r="AA228"/>
  <c r="Z228"/>
  <c r="AA227"/>
  <c r="Z227"/>
  <c r="AA226"/>
  <c r="Z226"/>
  <c r="AA225"/>
  <c r="Z225"/>
  <c r="AA224"/>
  <c r="Z224"/>
  <c r="AA223"/>
  <c r="Z223"/>
  <c r="AA222"/>
  <c r="AA221"/>
  <c r="Z221"/>
  <c r="AA220"/>
  <c r="Z220"/>
  <c r="AA219"/>
  <c r="Z219"/>
  <c r="AA213"/>
  <c r="Z213"/>
  <c r="Z211"/>
  <c r="AA210"/>
  <c r="Z210"/>
  <c r="AA208"/>
  <c r="Z208"/>
  <c r="AA206"/>
  <c r="Z206"/>
  <c r="AA200"/>
  <c r="Z200"/>
  <c r="AA198"/>
  <c r="Z198"/>
  <c r="AA197"/>
  <c r="Z197"/>
  <c r="AA196"/>
  <c r="Z196"/>
  <c r="AA194"/>
  <c r="Z194"/>
  <c r="AA193"/>
  <c r="Z193"/>
  <c r="AA189"/>
  <c r="Z189"/>
  <c r="AA180"/>
  <c r="Z180"/>
  <c r="Z179"/>
  <c r="Z178"/>
  <c r="Z177"/>
  <c r="AA176"/>
  <c r="Z176"/>
  <c r="Z175"/>
  <c r="AA174"/>
  <c r="Z174"/>
  <c r="Z173"/>
  <c r="Z172"/>
  <c r="AA171"/>
  <c r="Z171"/>
  <c r="AA168"/>
  <c r="Z168"/>
  <c r="Z167"/>
  <c r="Z165"/>
  <c r="AA162"/>
  <c r="Z162"/>
  <c r="Z161"/>
  <c r="Z160"/>
  <c r="AA159"/>
  <c r="Z159"/>
  <c r="AA158"/>
  <c r="Z158"/>
  <c r="AA157"/>
  <c r="Z157"/>
  <c r="Z156"/>
  <c r="Z155"/>
  <c r="Z154"/>
  <c r="AA153"/>
  <c r="Z153"/>
  <c r="Z152"/>
  <c r="AA151"/>
  <c r="Z151"/>
  <c r="Z150"/>
  <c r="Z149"/>
  <c r="Z148"/>
  <c r="AA147"/>
  <c r="Z147"/>
  <c r="Z146"/>
  <c r="AA145"/>
  <c r="Z145"/>
  <c r="AA144"/>
  <c r="Z144"/>
  <c r="AA143"/>
  <c r="Z143"/>
  <c r="AA142"/>
  <c r="Z142"/>
  <c r="AA141"/>
  <c r="Z141"/>
  <c r="AA140"/>
  <c r="Z140"/>
  <c r="AA139"/>
  <c r="Z139"/>
  <c r="AA138"/>
  <c r="Z138"/>
  <c r="AA137"/>
  <c r="Z137"/>
  <c r="AA136"/>
  <c r="Z136"/>
  <c r="AA135"/>
  <c r="Z135"/>
  <c r="AA134"/>
  <c r="Z134"/>
  <c r="AA133"/>
  <c r="Z133"/>
  <c r="AA132"/>
  <c r="Z132"/>
  <c r="AA131"/>
  <c r="Z131"/>
  <c r="AA130"/>
  <c r="Z130"/>
  <c r="AA129"/>
  <c r="Z129"/>
  <c r="AA128"/>
  <c r="Z128"/>
  <c r="AA127"/>
  <c r="Z127"/>
  <c r="AA126"/>
  <c r="Z126"/>
  <c r="AA125"/>
  <c r="Z125"/>
  <c r="Z124"/>
  <c r="AA123"/>
  <c r="Z123"/>
  <c r="AA122"/>
  <c r="Z122"/>
  <c r="AA120"/>
  <c r="Z120"/>
  <c r="AA117"/>
  <c r="Z117"/>
  <c r="AA116"/>
  <c r="Z116"/>
  <c r="AA115"/>
  <c r="Z115"/>
  <c r="AA114"/>
  <c r="Z114"/>
  <c r="AA113"/>
  <c r="Z113"/>
  <c r="AA112"/>
  <c r="Z112"/>
  <c r="AA111"/>
  <c r="Z111"/>
  <c r="AA110"/>
  <c r="Z110"/>
  <c r="AA104"/>
  <c r="Z104"/>
  <c r="AA103"/>
  <c r="Z103"/>
  <c r="AA102"/>
  <c r="Z102"/>
  <c r="AA101"/>
  <c r="Z101"/>
  <c r="AA100"/>
  <c r="Z100"/>
  <c r="AA99"/>
  <c r="Z99"/>
  <c r="AA97"/>
  <c r="Z97"/>
  <c r="Z96"/>
  <c r="AA91"/>
  <c r="Z91"/>
  <c r="Z90"/>
  <c r="Z89"/>
  <c r="Z88"/>
  <c r="Z87"/>
  <c r="AA86"/>
  <c r="Z86"/>
  <c r="AA85"/>
  <c r="Z85"/>
  <c r="Z84"/>
  <c r="AA83"/>
  <c r="Z83"/>
  <c r="AA82"/>
  <c r="Z82"/>
  <c r="AA81"/>
  <c r="Z81"/>
  <c r="AA80"/>
  <c r="Z80"/>
  <c r="AA79"/>
  <c r="Z79"/>
  <c r="AA78"/>
  <c r="Z78"/>
  <c r="AA77"/>
  <c r="Z77"/>
  <c r="AA75"/>
  <c r="Z75"/>
  <c r="AA74"/>
  <c r="Z74"/>
  <c r="AA72"/>
  <c r="Z72"/>
  <c r="AA71"/>
  <c r="Z71"/>
  <c r="AA69"/>
  <c r="Z69"/>
  <c r="AA68"/>
  <c r="Z68"/>
  <c r="AA67"/>
  <c r="Z67"/>
  <c r="AA66"/>
  <c r="Z66"/>
  <c r="AA65"/>
  <c r="Z65"/>
  <c r="AA63"/>
  <c r="Z63"/>
  <c r="Z62"/>
  <c r="AA61"/>
  <c r="AA60"/>
  <c r="Z60"/>
  <c r="AA52"/>
  <c r="Z52"/>
  <c r="AA51"/>
  <c r="Z50"/>
  <c r="AA47"/>
  <c r="Z47"/>
  <c r="AA46"/>
  <c r="Z46"/>
  <c r="AA45"/>
  <c r="Z45"/>
  <c r="AA44"/>
  <c r="Z44"/>
  <c r="AA42"/>
  <c r="Z42"/>
  <c r="AA41"/>
  <c r="Z41"/>
  <c r="AA39"/>
  <c r="Z39"/>
  <c r="Z38"/>
  <c r="AA37"/>
  <c r="Z37"/>
  <c r="AA35"/>
  <c r="Z35"/>
  <c r="AA34"/>
  <c r="Z34"/>
  <c r="AA33"/>
  <c r="Z33"/>
  <c r="AA32"/>
  <c r="Z32"/>
  <c r="AA31"/>
  <c r="Z31"/>
  <c r="AA30"/>
  <c r="Z30"/>
  <c r="AA29"/>
  <c r="Z29"/>
  <c r="AA28"/>
  <c r="Z28"/>
  <c r="AA27"/>
  <c r="Z27"/>
  <c r="AA25"/>
  <c r="Z25"/>
  <c r="AA24"/>
  <c r="Z24"/>
  <c r="AA21"/>
  <c r="Z21"/>
  <c r="AA20"/>
  <c r="Z20"/>
  <c r="AA19"/>
  <c r="Z19"/>
  <c r="AA17"/>
  <c r="Z17"/>
  <c r="AA16"/>
  <c r="Z16"/>
  <c r="Z13"/>
  <c r="AC227"/>
  <c r="AC228"/>
  <c r="AC157"/>
  <c r="AC145"/>
  <c r="AC129"/>
  <c r="AC46"/>
  <c r="AC34"/>
  <c r="AC16"/>
  <c r="AC17"/>
  <c r="X124"/>
  <c r="U124"/>
  <c r="L56" l="1"/>
  <c r="J56" s="1"/>
  <c r="J57"/>
  <c r="K51"/>
  <c r="J51" s="1"/>
  <c r="J185"/>
  <c r="J186"/>
  <c r="J108"/>
  <c r="J217"/>
  <c r="J214" s="1"/>
  <c r="J216" s="1"/>
  <c r="G244"/>
  <c r="G274"/>
  <c r="L146"/>
  <c r="J146" s="1"/>
  <c r="J148"/>
  <c r="J271"/>
  <c r="J272" s="1"/>
  <c r="J274"/>
  <c r="J94"/>
  <c r="L10"/>
  <c r="K184"/>
  <c r="J184" s="1"/>
  <c r="J181"/>
  <c r="J182"/>
  <c r="L271"/>
  <c r="L272" s="1"/>
  <c r="L9" s="1"/>
  <c r="L8" s="1"/>
  <c r="L274"/>
  <c r="K14"/>
  <c r="K12" s="1"/>
  <c r="J15"/>
  <c r="J14" s="1"/>
  <c r="J242"/>
  <c r="J218"/>
  <c r="L245"/>
  <c r="J245" s="1"/>
  <c r="J244" s="1"/>
  <c r="J246"/>
  <c r="J88"/>
  <c r="L87"/>
  <c r="J87" s="1"/>
  <c r="J154"/>
  <c r="L152"/>
  <c r="J152" s="1"/>
  <c r="K105"/>
  <c r="J107"/>
  <c r="J105" s="1"/>
  <c r="K10"/>
  <c r="H56"/>
  <c r="G56" s="1"/>
  <c r="G57"/>
  <c r="I175"/>
  <c r="G175" s="1"/>
  <c r="G177"/>
  <c r="G107"/>
  <c r="G105" s="1"/>
  <c r="H105"/>
  <c r="H10"/>
  <c r="G242"/>
  <c r="G271"/>
  <c r="G272" s="1"/>
  <c r="G253"/>
  <c r="H251"/>
  <c r="G251" s="1"/>
  <c r="G54"/>
  <c r="H51" s="1"/>
  <c r="G51" s="1"/>
  <c r="H53"/>
  <c r="G53" s="1"/>
  <c r="G181"/>
  <c r="H184"/>
  <c r="G184" s="1"/>
  <c r="G13"/>
  <c r="I10"/>
  <c r="G217"/>
  <c r="G214" s="1"/>
  <c r="G216" s="1"/>
  <c r="G218"/>
  <c r="G154"/>
  <c r="I152"/>
  <c r="G152" s="1"/>
  <c r="G88"/>
  <c r="I87"/>
  <c r="G87" s="1"/>
  <c r="H14"/>
  <c r="H12" s="1"/>
  <c r="G15"/>
  <c r="G14" s="1"/>
  <c r="I12"/>
  <c r="I93"/>
  <c r="G93" s="1"/>
  <c r="V158"/>
  <c r="S158"/>
  <c r="V124"/>
  <c r="S124"/>
  <c r="X59"/>
  <c r="AA59" s="1"/>
  <c r="U59"/>
  <c r="W59"/>
  <c r="Z59" s="1"/>
  <c r="T59"/>
  <c r="K11" l="1"/>
  <c r="J11" s="1"/>
  <c r="J12"/>
  <c r="K9"/>
  <c r="J10"/>
  <c r="H11"/>
  <c r="G12"/>
  <c r="H9"/>
  <c r="I11"/>
  <c r="I9"/>
  <c r="I8" s="1"/>
  <c r="G10"/>
  <c r="X49"/>
  <c r="AA49" s="1"/>
  <c r="W49"/>
  <c r="U23"/>
  <c r="T23"/>
  <c r="U49"/>
  <c r="T49"/>
  <c r="V297"/>
  <c r="X296"/>
  <c r="X295" s="1"/>
  <c r="X293" s="1"/>
  <c r="V292"/>
  <c r="X291"/>
  <c r="V291" s="1"/>
  <c r="V287"/>
  <c r="X286"/>
  <c r="AA286" s="1"/>
  <c r="X285"/>
  <c r="X284"/>
  <c r="AA284" s="1"/>
  <c r="X283"/>
  <c r="AA283" s="1"/>
  <c r="W283"/>
  <c r="Z283" s="1"/>
  <c r="V281"/>
  <c r="V279"/>
  <c r="V278"/>
  <c r="X277"/>
  <c r="AA277" s="1"/>
  <c r="W277"/>
  <c r="Z277" s="1"/>
  <c r="V275"/>
  <c r="W273"/>
  <c r="V270"/>
  <c r="X269"/>
  <c r="V269" s="1"/>
  <c r="V264"/>
  <c r="X259"/>
  <c r="V261"/>
  <c r="V260"/>
  <c r="W259"/>
  <c r="V258"/>
  <c r="X257"/>
  <c r="X256"/>
  <c r="W255"/>
  <c r="V254"/>
  <c r="W253"/>
  <c r="V250"/>
  <c r="V249"/>
  <c r="V247"/>
  <c r="X246"/>
  <c r="X245" s="1"/>
  <c r="W246"/>
  <c r="Z246" s="1"/>
  <c r="X243"/>
  <c r="W243"/>
  <c r="Z243" s="1"/>
  <c r="V241"/>
  <c r="X240"/>
  <c r="AA240" s="1"/>
  <c r="V237"/>
  <c r="X236"/>
  <c r="W236"/>
  <c r="V235"/>
  <c r="V234"/>
  <c r="X233"/>
  <c r="W233"/>
  <c r="V232"/>
  <c r="X231"/>
  <c r="W231"/>
  <c r="V230"/>
  <c r="X229"/>
  <c r="W229"/>
  <c r="V226"/>
  <c r="V225"/>
  <c r="V224"/>
  <c r="V223"/>
  <c r="W222"/>
  <c r="V222" s="1"/>
  <c r="V221"/>
  <c r="V220"/>
  <c r="AC220" s="1"/>
  <c r="X215"/>
  <c r="W215"/>
  <c r="V213"/>
  <c r="X212"/>
  <c r="W212"/>
  <c r="X211"/>
  <c r="AA211" s="1"/>
  <c r="V210"/>
  <c r="X209"/>
  <c r="W209"/>
  <c r="V208"/>
  <c r="X207"/>
  <c r="W207"/>
  <c r="V206"/>
  <c r="X205"/>
  <c r="W205"/>
  <c r="X204"/>
  <c r="AA204" s="1"/>
  <c r="W204"/>
  <c r="Z204" s="1"/>
  <c r="X202"/>
  <c r="AA202" s="1"/>
  <c r="W202"/>
  <c r="Z202" s="1"/>
  <c r="V200"/>
  <c r="X199"/>
  <c r="W199"/>
  <c r="V198"/>
  <c r="V197"/>
  <c r="V196"/>
  <c r="X195"/>
  <c r="W195"/>
  <c r="V194"/>
  <c r="V193"/>
  <c r="X192"/>
  <c r="W192"/>
  <c r="X191"/>
  <c r="AA191" s="1"/>
  <c r="W191"/>
  <c r="V189"/>
  <c r="X188"/>
  <c r="W188"/>
  <c r="X187"/>
  <c r="W187"/>
  <c r="W183"/>
  <c r="V180"/>
  <c r="X179"/>
  <c r="X178" s="1"/>
  <c r="V174"/>
  <c r="X173"/>
  <c r="V173" s="1"/>
  <c r="V171"/>
  <c r="X170"/>
  <c r="X169" s="1"/>
  <c r="W170"/>
  <c r="W169" s="1"/>
  <c r="V168"/>
  <c r="AC168" s="1"/>
  <c r="X167"/>
  <c r="AA167" s="1"/>
  <c r="X165"/>
  <c r="V165" s="1"/>
  <c r="X164"/>
  <c r="W164"/>
  <c r="V162"/>
  <c r="X161"/>
  <c r="X160" s="1"/>
  <c r="V159"/>
  <c r="X156"/>
  <c r="X150"/>
  <c r="V144"/>
  <c r="V143"/>
  <c r="V142"/>
  <c r="V141"/>
  <c r="V140"/>
  <c r="V138"/>
  <c r="AC138" s="1"/>
  <c r="V137"/>
  <c r="V136"/>
  <c r="V134"/>
  <c r="V133"/>
  <c r="V132"/>
  <c r="V130"/>
  <c r="V126"/>
  <c r="V123"/>
  <c r="AC123" s="1"/>
  <c r="V122"/>
  <c r="AC122" s="1"/>
  <c r="X121"/>
  <c r="V121" s="1"/>
  <c r="W121"/>
  <c r="X119"/>
  <c r="AA119" s="1"/>
  <c r="W119"/>
  <c r="V115"/>
  <c r="V112"/>
  <c r="V111"/>
  <c r="V110"/>
  <c r="V101"/>
  <c r="X98"/>
  <c r="AA98" s="1"/>
  <c r="W98"/>
  <c r="Z98" s="1"/>
  <c r="X96"/>
  <c r="AA96" s="1"/>
  <c r="W94"/>
  <c r="V91"/>
  <c r="X90"/>
  <c r="V85"/>
  <c r="X84"/>
  <c r="V80"/>
  <c r="V78"/>
  <c r="V77"/>
  <c r="X76"/>
  <c r="W76"/>
  <c r="V75"/>
  <c r="V74"/>
  <c r="X73"/>
  <c r="W73"/>
  <c r="X70"/>
  <c r="V71"/>
  <c r="W70"/>
  <c r="V67"/>
  <c r="V66"/>
  <c r="AC66" s="1"/>
  <c r="V65"/>
  <c r="X64"/>
  <c r="W64"/>
  <c r="Z64" s="1"/>
  <c r="X62"/>
  <c r="W61"/>
  <c r="Z61" s="1"/>
  <c r="V60"/>
  <c r="X58"/>
  <c r="W58"/>
  <c r="X50"/>
  <c r="AA50" s="1"/>
  <c r="V45"/>
  <c r="V44"/>
  <c r="X43"/>
  <c r="W43"/>
  <c r="V42"/>
  <c r="AC42" s="1"/>
  <c r="V41"/>
  <c r="X40"/>
  <c r="W40"/>
  <c r="V39"/>
  <c r="X38"/>
  <c r="AA38" s="1"/>
  <c r="V37"/>
  <c r="W36"/>
  <c r="V28"/>
  <c r="V27"/>
  <c r="W26"/>
  <c r="Z26" s="1"/>
  <c r="V25"/>
  <c r="V24"/>
  <c r="X23"/>
  <c r="W23"/>
  <c r="V21"/>
  <c r="V20"/>
  <c r="V19"/>
  <c r="X18"/>
  <c r="V18" s="1"/>
  <c r="U211"/>
  <c r="X22" l="1"/>
  <c r="AA23"/>
  <c r="W22"/>
  <c r="Z23"/>
  <c r="V62"/>
  <c r="AA62"/>
  <c r="W186"/>
  <c r="Z187"/>
  <c r="W106"/>
  <c r="Z119"/>
  <c r="V257"/>
  <c r="AA257"/>
  <c r="V256"/>
  <c r="AA256"/>
  <c r="V285"/>
  <c r="AA285"/>
  <c r="X186"/>
  <c r="AA187"/>
  <c r="W190"/>
  <c r="Z191"/>
  <c r="W48"/>
  <c r="Z49"/>
  <c r="K8"/>
  <c r="J8" s="1"/>
  <c r="J9"/>
  <c r="G11"/>
  <c r="G9"/>
  <c r="H8"/>
  <c r="G8" s="1"/>
  <c r="V161"/>
  <c r="V296"/>
  <c r="V195"/>
  <c r="V211"/>
  <c r="V84"/>
  <c r="X201"/>
  <c r="X190"/>
  <c r="X203"/>
  <c r="V50"/>
  <c r="W201"/>
  <c r="V201" s="1"/>
  <c r="V38"/>
  <c r="AC38" s="1"/>
  <c r="V61"/>
  <c r="AC61" s="1"/>
  <c r="V191"/>
  <c r="V119"/>
  <c r="W118"/>
  <c r="W109" s="1"/>
  <c r="W108" s="1"/>
  <c r="W107" s="1"/>
  <c r="W105" s="1"/>
  <c r="V284"/>
  <c r="X55"/>
  <c r="V192"/>
  <c r="V190"/>
  <c r="V215"/>
  <c r="V243"/>
  <c r="X166"/>
  <c r="V286"/>
  <c r="X239"/>
  <c r="AA239" s="1"/>
  <c r="W245"/>
  <c r="V245" s="1"/>
  <c r="X95"/>
  <c r="X92" s="1"/>
  <c r="X155"/>
  <c r="V90"/>
  <c r="X163"/>
  <c r="V23"/>
  <c r="X48"/>
  <c r="V48" s="1"/>
  <c r="W54"/>
  <c r="V98"/>
  <c r="V204"/>
  <c r="V209"/>
  <c r="W217"/>
  <c r="W214" s="1"/>
  <c r="W216" s="1"/>
  <c r="V259"/>
  <c r="X94"/>
  <c r="V94" s="1"/>
  <c r="V188"/>
  <c r="V207"/>
  <c r="V233"/>
  <c r="X26"/>
  <c r="V26" s="1"/>
  <c r="V277"/>
  <c r="X177"/>
  <c r="V178"/>
  <c r="V22"/>
  <c r="W242"/>
  <c r="X183"/>
  <c r="V183" s="1"/>
  <c r="V205"/>
  <c r="W218"/>
  <c r="V229"/>
  <c r="X268"/>
  <c r="X267" s="1"/>
  <c r="V267" s="1"/>
  <c r="V64"/>
  <c r="V73"/>
  <c r="X290"/>
  <c r="X172"/>
  <c r="V172" s="1"/>
  <c r="V262"/>
  <c r="V43"/>
  <c r="V179"/>
  <c r="W55"/>
  <c r="Z55" s="1"/>
  <c r="X217"/>
  <c r="V246"/>
  <c r="W276"/>
  <c r="X89"/>
  <c r="V96"/>
  <c r="V164"/>
  <c r="V231"/>
  <c r="V236"/>
  <c r="X282"/>
  <c r="V76"/>
  <c r="V202"/>
  <c r="V212"/>
  <c r="X253"/>
  <c r="V253" s="1"/>
  <c r="V283"/>
  <c r="W95"/>
  <c r="W92" s="1"/>
  <c r="W93" s="1"/>
  <c r="V40"/>
  <c r="V199"/>
  <c r="V169"/>
  <c r="W166"/>
  <c r="V186"/>
  <c r="W57"/>
  <c r="V58"/>
  <c r="X57"/>
  <c r="X56" s="1"/>
  <c r="X154"/>
  <c r="V155"/>
  <c r="X149"/>
  <c r="V150"/>
  <c r="V70"/>
  <c r="V59"/>
  <c r="V72"/>
  <c r="X106"/>
  <c r="V106" s="1"/>
  <c r="X118"/>
  <c r="X109" s="1"/>
  <c r="X108" s="1"/>
  <c r="W163"/>
  <c r="V170"/>
  <c r="W251"/>
  <c r="X255"/>
  <c r="W15"/>
  <c r="V63"/>
  <c r="X36"/>
  <c r="V151"/>
  <c r="V156"/>
  <c r="X182"/>
  <c r="W203"/>
  <c r="X273"/>
  <c r="W282"/>
  <c r="X13"/>
  <c r="X54"/>
  <c r="W182"/>
  <c r="X276"/>
  <c r="V49"/>
  <c r="V187"/>
  <c r="X218"/>
  <c r="X244"/>
  <c r="V167"/>
  <c r="AC167" s="1"/>
  <c r="V240"/>
  <c r="AC240" s="1"/>
  <c r="U50"/>
  <c r="Y23" l="1"/>
  <c r="V166"/>
  <c r="X185"/>
  <c r="V203"/>
  <c r="V160"/>
  <c r="V163"/>
  <c r="V295"/>
  <c r="V273"/>
  <c r="X238"/>
  <c r="X15"/>
  <c r="X14" s="1"/>
  <c r="X12" s="1"/>
  <c r="V239"/>
  <c r="AC239" s="1"/>
  <c r="V54"/>
  <c r="X53"/>
  <c r="V55"/>
  <c r="V244"/>
  <c r="X242"/>
  <c r="V218"/>
  <c r="W10"/>
  <c r="X93"/>
  <c r="V93" s="1"/>
  <c r="V36"/>
  <c r="V95"/>
  <c r="V89"/>
  <c r="X88"/>
  <c r="X175"/>
  <c r="V175" s="1"/>
  <c r="V177"/>
  <c r="X107"/>
  <c r="V107" s="1"/>
  <c r="V92"/>
  <c r="V268"/>
  <c r="X181"/>
  <c r="X184" s="1"/>
  <c r="W53"/>
  <c r="X288"/>
  <c r="V288" s="1"/>
  <c r="V290"/>
  <c r="V217"/>
  <c r="W185"/>
  <c r="X265"/>
  <c r="V265" s="1"/>
  <c r="V282"/>
  <c r="X152"/>
  <c r="V154"/>
  <c r="W181"/>
  <c r="V182"/>
  <c r="W56"/>
  <c r="V56" s="1"/>
  <c r="V57"/>
  <c r="V118"/>
  <c r="W274"/>
  <c r="V13"/>
  <c r="X271"/>
  <c r="X274"/>
  <c r="V276"/>
  <c r="X251"/>
  <c r="V251" s="1"/>
  <c r="V255"/>
  <c r="X148"/>
  <c r="V149"/>
  <c r="W14"/>
  <c r="W12" s="1"/>
  <c r="W271"/>
  <c r="W272" s="1"/>
  <c r="V108"/>
  <c r="V109"/>
  <c r="AC270"/>
  <c r="AA269"/>
  <c r="AA233"/>
  <c r="U72"/>
  <c r="S91"/>
  <c r="U90"/>
  <c r="U89" s="1"/>
  <c r="AA90"/>
  <c r="AC91"/>
  <c r="S85"/>
  <c r="S84" s="1"/>
  <c r="U84"/>
  <c r="AA84"/>
  <c r="U284"/>
  <c r="T63"/>
  <c r="U283"/>
  <c r="T283"/>
  <c r="S21"/>
  <c r="AC21"/>
  <c r="T61"/>
  <c r="S80"/>
  <c r="S297"/>
  <c r="S296" s="1"/>
  <c r="S295" s="1"/>
  <c r="S293" s="1"/>
  <c r="U296"/>
  <c r="U295" s="1"/>
  <c r="AA296"/>
  <c r="U285"/>
  <c r="U278"/>
  <c r="AC287"/>
  <c r="T212"/>
  <c r="U187"/>
  <c r="T187"/>
  <c r="V15" l="1"/>
  <c r="V185"/>
  <c r="W9"/>
  <c r="X214"/>
  <c r="X216" s="1"/>
  <c r="AA238"/>
  <c r="V293"/>
  <c r="AC296"/>
  <c r="AC297"/>
  <c r="V105"/>
  <c r="V242"/>
  <c r="V14"/>
  <c r="V238"/>
  <c r="V214" s="1"/>
  <c r="AC85"/>
  <c r="X10"/>
  <c r="V10" s="1"/>
  <c r="V53"/>
  <c r="AA295"/>
  <c r="Y296"/>
  <c r="X105"/>
  <c r="V152"/>
  <c r="X272"/>
  <c r="X9" s="1"/>
  <c r="Y294"/>
  <c r="Y90"/>
  <c r="AC269"/>
  <c r="Y297"/>
  <c r="AC90"/>
  <c r="X87"/>
  <c r="V88"/>
  <c r="AB297"/>
  <c r="Y91"/>
  <c r="V12"/>
  <c r="W11"/>
  <c r="V181"/>
  <c r="W184"/>
  <c r="V184" s="1"/>
  <c r="V148"/>
  <c r="X146"/>
  <c r="V271"/>
  <c r="V274"/>
  <c r="X11"/>
  <c r="U88"/>
  <c r="S89"/>
  <c r="S90"/>
  <c r="U293"/>
  <c r="U269"/>
  <c r="S269" s="1"/>
  <c r="S270"/>
  <c r="U96"/>
  <c r="U191"/>
  <c r="T191"/>
  <c r="AC295" l="1"/>
  <c r="AA89"/>
  <c r="Y89" s="1"/>
  <c r="AC268"/>
  <c r="AA268"/>
  <c r="V216"/>
  <c r="AB296"/>
  <c r="V272"/>
  <c r="AC115"/>
  <c r="AB84"/>
  <c r="AC84"/>
  <c r="V11"/>
  <c r="AA55"/>
  <c r="X8"/>
  <c r="AA267"/>
  <c r="AA293"/>
  <c r="Y293" s="1"/>
  <c r="Y295"/>
  <c r="V146"/>
  <c r="V87"/>
  <c r="AC89"/>
  <c r="AA88"/>
  <c r="U268"/>
  <c r="V9"/>
  <c r="W8"/>
  <c r="U87"/>
  <c r="S88"/>
  <c r="U262"/>
  <c r="U249"/>
  <c r="U277"/>
  <c r="T277"/>
  <c r="Z236"/>
  <c r="AA236"/>
  <c r="Z233"/>
  <c r="AA229"/>
  <c r="Z229"/>
  <c r="Z231"/>
  <c r="AA231"/>
  <c r="U164"/>
  <c r="T164"/>
  <c r="T163" s="1"/>
  <c r="Z164"/>
  <c r="AA164"/>
  <c r="U170"/>
  <c r="U169" s="1"/>
  <c r="T170"/>
  <c r="AA170"/>
  <c r="Z170"/>
  <c r="S171"/>
  <c r="AC171"/>
  <c r="Z118"/>
  <c r="S66"/>
  <c r="AC83"/>
  <c r="AC82"/>
  <c r="AC81"/>
  <c r="AC80"/>
  <c r="AC79"/>
  <c r="AB295" l="1"/>
  <c r="AC293"/>
  <c r="AC55"/>
  <c r="AC45"/>
  <c r="V8"/>
  <c r="AA265"/>
  <c r="AA169"/>
  <c r="Z163"/>
  <c r="Y164"/>
  <c r="AA87"/>
  <c r="AC88"/>
  <c r="Y88"/>
  <c r="S87"/>
  <c r="S268"/>
  <c r="U267"/>
  <c r="AB293"/>
  <c r="S170"/>
  <c r="AC229"/>
  <c r="Y171"/>
  <c r="S164"/>
  <c r="AC164"/>
  <c r="T169"/>
  <c r="AC170"/>
  <c r="Z242"/>
  <c r="U202"/>
  <c r="T202"/>
  <c r="U204"/>
  <c r="T204"/>
  <c r="U119"/>
  <c r="T119"/>
  <c r="T118" s="1"/>
  <c r="U62"/>
  <c r="U55" s="1"/>
  <c r="U38"/>
  <c r="T73"/>
  <c r="S74"/>
  <c r="Z18"/>
  <c r="Z36"/>
  <c r="AA36"/>
  <c r="Z43"/>
  <c r="Z40"/>
  <c r="AA40"/>
  <c r="Y284"/>
  <c r="Y269"/>
  <c r="Y258"/>
  <c r="Y254"/>
  <c r="Y250"/>
  <c r="Y235"/>
  <c r="Y234"/>
  <c r="Y232"/>
  <c r="Y221"/>
  <c r="Y206"/>
  <c r="Y176"/>
  <c r="Y158"/>
  <c r="Y157"/>
  <c r="Y145"/>
  <c r="Y144"/>
  <c r="Y142"/>
  <c r="Y141"/>
  <c r="Y137"/>
  <c r="Y134"/>
  <c r="Y133"/>
  <c r="Y129"/>
  <c r="Y126"/>
  <c r="Y125"/>
  <c r="Y122"/>
  <c r="Y119"/>
  <c r="Y115"/>
  <c r="Y114"/>
  <c r="Y112"/>
  <c r="Y103"/>
  <c r="Y102"/>
  <c r="Y101"/>
  <c r="Y82"/>
  <c r="Y79"/>
  <c r="Y78"/>
  <c r="Y72"/>
  <c r="Y66"/>
  <c r="Y52"/>
  <c r="Y19"/>
  <c r="Y281"/>
  <c r="Y275"/>
  <c r="Y252"/>
  <c r="Y247"/>
  <c r="Y226"/>
  <c r="Y225"/>
  <c r="Y180"/>
  <c r="Y128"/>
  <c r="Y127"/>
  <c r="Y110"/>
  <c r="Y67"/>
  <c r="Y39"/>
  <c r="AB268"/>
  <c r="AB269"/>
  <c r="AB270"/>
  <c r="AB157"/>
  <c r="AB145"/>
  <c r="AB135"/>
  <c r="AB79"/>
  <c r="AB80"/>
  <c r="AB81"/>
  <c r="AB82"/>
  <c r="AB83"/>
  <c r="AB46"/>
  <c r="AB42"/>
  <c r="Y61"/>
  <c r="T253"/>
  <c r="T251" s="1"/>
  <c r="Z253"/>
  <c r="U256"/>
  <c r="U257"/>
  <c r="M180"/>
  <c r="O179"/>
  <c r="M179" s="1"/>
  <c r="M176"/>
  <c r="AC176"/>
  <c r="AA179"/>
  <c r="AC180"/>
  <c r="O150"/>
  <c r="O149" s="1"/>
  <c r="O148" s="1"/>
  <c r="S162"/>
  <c r="S161" s="1"/>
  <c r="S160" s="1"/>
  <c r="U161"/>
  <c r="U160" s="1"/>
  <c r="M162"/>
  <c r="M161" s="1"/>
  <c r="M160" s="1"/>
  <c r="O161"/>
  <c r="O160" s="1"/>
  <c r="U156"/>
  <c r="S156" s="1"/>
  <c r="O156"/>
  <c r="O155" s="1"/>
  <c r="M155" s="1"/>
  <c r="S159"/>
  <c r="M159"/>
  <c r="AA156"/>
  <c r="M158"/>
  <c r="AD158" s="1"/>
  <c r="AC159"/>
  <c r="AC158"/>
  <c r="M142"/>
  <c r="AC142"/>
  <c r="S141"/>
  <c r="M141"/>
  <c r="AC141"/>
  <c r="M144"/>
  <c r="AC144"/>
  <c r="M137"/>
  <c r="AC137"/>
  <c r="M136"/>
  <c r="AC136"/>
  <c r="M134"/>
  <c r="AC134"/>
  <c r="M133"/>
  <c r="M132"/>
  <c r="AC132"/>
  <c r="AC130"/>
  <c r="AC169" l="1"/>
  <c r="Z169"/>
  <c r="AB279"/>
  <c r="AC279"/>
  <c r="AB126"/>
  <c r="AC126"/>
  <c r="AB267"/>
  <c r="AC267"/>
  <c r="AB281"/>
  <c r="AC281"/>
  <c r="AA178"/>
  <c r="AC87"/>
  <c r="Y87"/>
  <c r="Z251"/>
  <c r="AA155"/>
  <c r="Y156"/>
  <c r="Z166"/>
  <c r="AA166"/>
  <c r="Y28"/>
  <c r="Y74"/>
  <c r="Y83"/>
  <c r="Y262"/>
  <c r="Y62"/>
  <c r="Y153"/>
  <c r="Y187"/>
  <c r="Y38"/>
  <c r="Y42"/>
  <c r="Y170"/>
  <c r="S267"/>
  <c r="U265"/>
  <c r="Y27"/>
  <c r="Y197"/>
  <c r="Y220"/>
  <c r="Y147"/>
  <c r="Y213"/>
  <c r="Y130"/>
  <c r="Y138"/>
  <c r="Y268"/>
  <c r="Y278"/>
  <c r="Y285"/>
  <c r="S169"/>
  <c r="T166"/>
  <c r="AC248"/>
  <c r="Y264"/>
  <c r="Y287"/>
  <c r="Y248"/>
  <c r="Y135"/>
  <c r="Y159"/>
  <c r="Y198"/>
  <c r="Y230"/>
  <c r="Y257"/>
  <c r="Y68"/>
  <c r="T199"/>
  <c r="Y249"/>
  <c r="Y17"/>
  <c r="Y223"/>
  <c r="Y20"/>
  <c r="Y49"/>
  <c r="Y131"/>
  <c r="Y139"/>
  <c r="Y143"/>
  <c r="Y174"/>
  <c r="Y77"/>
  <c r="Y85"/>
  <c r="Y104"/>
  <c r="Y117"/>
  <c r="Y132"/>
  <c r="Y136"/>
  <c r="Y140"/>
  <c r="Y270"/>
  <c r="Y24"/>
  <c r="Y29"/>
  <c r="Y33"/>
  <c r="Y41"/>
  <c r="Y46"/>
  <c r="Y63"/>
  <c r="Y84"/>
  <c r="Y191"/>
  <c r="Y25"/>
  <c r="Y37"/>
  <c r="Y47"/>
  <c r="Y65"/>
  <c r="Y81"/>
  <c r="Y162"/>
  <c r="Y219"/>
  <c r="Y256"/>
  <c r="Y193"/>
  <c r="Y113"/>
  <c r="Y123"/>
  <c r="Y261"/>
  <c r="Y202"/>
  <c r="Y204"/>
  <c r="Y189"/>
  <c r="Y200"/>
  <c r="Y16"/>
  <c r="Y211"/>
  <c r="Y289"/>
  <c r="Y277"/>
  <c r="Y32"/>
  <c r="Y45"/>
  <c r="Y151"/>
  <c r="Y224"/>
  <c r="Y241"/>
  <c r="Y267"/>
  <c r="Y280"/>
  <c r="Y21"/>
  <c r="Y31"/>
  <c r="Y60"/>
  <c r="Y69"/>
  <c r="Y80"/>
  <c r="Y111"/>
  <c r="Y120"/>
  <c r="Y168"/>
  <c r="Y194"/>
  <c r="Y237"/>
  <c r="Y279"/>
  <c r="Y292"/>
  <c r="Y260"/>
  <c r="Y210"/>
  <c r="Y208"/>
  <c r="Y196"/>
  <c r="Y44"/>
  <c r="Y34"/>
  <c r="AB159"/>
  <c r="AB136"/>
  <c r="AB144"/>
  <c r="AB180"/>
  <c r="AB132"/>
  <c r="Y50"/>
  <c r="AB134"/>
  <c r="AB137"/>
  <c r="AB141"/>
  <c r="Y75"/>
  <c r="AB133"/>
  <c r="AB142"/>
  <c r="AB158"/>
  <c r="AD159"/>
  <c r="AC156"/>
  <c r="AD160"/>
  <c r="M156"/>
  <c r="O154"/>
  <c r="O152" s="1"/>
  <c r="M152" s="1"/>
  <c r="U155"/>
  <c r="S155" s="1"/>
  <c r="O178"/>
  <c r="O177" s="1"/>
  <c r="O175" s="1"/>
  <c r="M175" s="1"/>
  <c r="Y169" l="1"/>
  <c r="AB179"/>
  <c r="AC179"/>
  <c r="AB265"/>
  <c r="AC265"/>
  <c r="Y96"/>
  <c r="AC166"/>
  <c r="AC178"/>
  <c r="AA177"/>
  <c r="S265"/>
  <c r="Y265"/>
  <c r="Y155"/>
  <c r="AB156"/>
  <c r="M154"/>
  <c r="U154"/>
  <c r="M177"/>
  <c r="M178"/>
  <c r="AC250"/>
  <c r="AA273"/>
  <c r="U273"/>
  <c r="S279"/>
  <c r="S281"/>
  <c r="AB155" l="1"/>
  <c r="AC155"/>
  <c r="AA175"/>
  <c r="AB178"/>
  <c r="U152"/>
  <c r="S152" s="1"/>
  <c r="S154"/>
  <c r="AB177" l="1"/>
  <c r="AC177"/>
  <c r="Y71"/>
  <c r="AA54"/>
  <c r="T43"/>
  <c r="AB175" l="1"/>
  <c r="AC175"/>
  <c r="AA53"/>
  <c r="T51"/>
  <c r="S51" s="1"/>
  <c r="AD265"/>
  <c r="R215"/>
  <c r="Q215"/>
  <c r="O215"/>
  <c r="AA215"/>
  <c r="Z215"/>
  <c r="R283"/>
  <c r="Q283"/>
  <c r="U240"/>
  <c r="Y240" s="1"/>
  <c r="R240"/>
  <c r="S241"/>
  <c r="P241"/>
  <c r="M241"/>
  <c r="Y283" l="1"/>
  <c r="AD241"/>
  <c r="U150"/>
  <c r="U149" s="1"/>
  <c r="U148" s="1"/>
  <c r="U146" s="1"/>
  <c r="R150"/>
  <c r="P150" s="1"/>
  <c r="P151"/>
  <c r="M150"/>
  <c r="M151"/>
  <c r="AC151"/>
  <c r="AA150"/>
  <c r="Y150" l="1"/>
  <c r="AB151"/>
  <c r="M148"/>
  <c r="AA149"/>
  <c r="R149"/>
  <c r="AC112"/>
  <c r="T64"/>
  <c r="U73"/>
  <c r="S73" s="1"/>
  <c r="O73"/>
  <c r="M73" s="1"/>
  <c r="T55"/>
  <c r="R55"/>
  <c r="Q55"/>
  <c r="O55"/>
  <c r="M55" s="1"/>
  <c r="S75"/>
  <c r="P75"/>
  <c r="M75"/>
  <c r="U54"/>
  <c r="R59"/>
  <c r="R54" s="1"/>
  <c r="O54"/>
  <c r="M54" s="1"/>
  <c r="AA58"/>
  <c r="T54"/>
  <c r="Q59"/>
  <c r="Q54" s="1"/>
  <c r="N59"/>
  <c r="AC78"/>
  <c r="AC77"/>
  <c r="AA76"/>
  <c r="Z76"/>
  <c r="AC74"/>
  <c r="AA73"/>
  <c r="Z73"/>
  <c r="AC72"/>
  <c r="AC71"/>
  <c r="AA70"/>
  <c r="Z70"/>
  <c r="AC67"/>
  <c r="AC65"/>
  <c r="AA64"/>
  <c r="AC63"/>
  <c r="AC62"/>
  <c r="AC60"/>
  <c r="O23"/>
  <c r="M23" s="1"/>
  <c r="R27"/>
  <c r="Q27"/>
  <c r="N23"/>
  <c r="R49"/>
  <c r="Q49"/>
  <c r="AB150" l="1"/>
  <c r="AC150"/>
  <c r="Y59"/>
  <c r="Z54"/>
  <c r="AA57"/>
  <c r="Z58"/>
  <c r="AC64"/>
  <c r="AC149"/>
  <c r="Y149"/>
  <c r="Y73"/>
  <c r="AB75"/>
  <c r="AB74"/>
  <c r="AC59"/>
  <c r="M149"/>
  <c r="O146"/>
  <c r="M146" s="1"/>
  <c r="AC76"/>
  <c r="T53"/>
  <c r="AC73"/>
  <c r="AA148"/>
  <c r="AC70"/>
  <c r="P149"/>
  <c r="R148"/>
  <c r="AC50"/>
  <c r="AC49"/>
  <c r="AA48"/>
  <c r="Z48"/>
  <c r="AC44"/>
  <c r="AA43"/>
  <c r="AC41"/>
  <c r="AA26"/>
  <c r="AC24"/>
  <c r="AC23"/>
  <c r="AA22"/>
  <c r="Z22"/>
  <c r="AA18"/>
  <c r="U215"/>
  <c r="AC241"/>
  <c r="Z53" l="1"/>
  <c r="AB20"/>
  <c r="AC20"/>
  <c r="AC58"/>
  <c r="Z57"/>
  <c r="Y55"/>
  <c r="AB149"/>
  <c r="Y54"/>
  <c r="AA146"/>
  <c r="Y148"/>
  <c r="AC36"/>
  <c r="AC43"/>
  <c r="AC40"/>
  <c r="AC26"/>
  <c r="AB73"/>
  <c r="AB241"/>
  <c r="AA15"/>
  <c r="AC22"/>
  <c r="AC48"/>
  <c r="P148"/>
  <c r="R146"/>
  <c r="P146" s="1"/>
  <c r="AB148" l="1"/>
  <c r="AC148"/>
  <c r="AB18"/>
  <c r="AC18"/>
  <c r="AC53"/>
  <c r="AC54"/>
  <c r="Y146"/>
  <c r="Z51" l="1"/>
  <c r="Y51" s="1"/>
  <c r="AB146"/>
  <c r="AC146"/>
  <c r="P73"/>
  <c r="S61"/>
  <c r="P61"/>
  <c r="AB61"/>
  <c r="S257" l="1"/>
  <c r="AD145"/>
  <c r="AD73"/>
  <c r="U286"/>
  <c r="Y286" s="1"/>
  <c r="R286"/>
  <c r="O286"/>
  <c r="M286" s="1"/>
  <c r="P260"/>
  <c r="P257"/>
  <c r="AC260"/>
  <c r="S262"/>
  <c r="P262"/>
  <c r="S264"/>
  <c r="S261"/>
  <c r="S258"/>
  <c r="S256"/>
  <c r="S254"/>
  <c r="P264"/>
  <c r="P261"/>
  <c r="P258"/>
  <c r="P256"/>
  <c r="P254"/>
  <c r="AB260"/>
  <c r="AC264"/>
  <c r="AC262"/>
  <c r="AC261"/>
  <c r="AC258"/>
  <c r="AC257"/>
  <c r="AC256"/>
  <c r="AC254"/>
  <c r="T243"/>
  <c r="Q243"/>
  <c r="Q242" s="1"/>
  <c r="P250"/>
  <c r="T246"/>
  <c r="Q246"/>
  <c r="AB250"/>
  <c r="AB248"/>
  <c r="S250"/>
  <c r="Z222"/>
  <c r="Q222"/>
  <c r="P222" s="1"/>
  <c r="T222"/>
  <c r="S222" s="1"/>
  <c r="O238"/>
  <c r="M238" s="1"/>
  <c r="U239"/>
  <c r="R239"/>
  <c r="R238" s="1"/>
  <c r="P238" s="1"/>
  <c r="O239"/>
  <c r="U236"/>
  <c r="T236"/>
  <c r="R236"/>
  <c r="Q236"/>
  <c r="O236"/>
  <c r="M236" s="1"/>
  <c r="U233"/>
  <c r="T233"/>
  <c r="R233"/>
  <c r="Q233"/>
  <c r="O233"/>
  <c r="M233" s="1"/>
  <c r="U229"/>
  <c r="T229"/>
  <c r="R229"/>
  <c r="Q229"/>
  <c r="O229"/>
  <c r="M229" s="1"/>
  <c r="U231"/>
  <c r="T231"/>
  <c r="R231"/>
  <c r="Q231"/>
  <c r="O231"/>
  <c r="AC232"/>
  <c r="AC231"/>
  <c r="AC230"/>
  <c r="AC226"/>
  <c r="AC225"/>
  <c r="AC224"/>
  <c r="AC223"/>
  <c r="AC221"/>
  <c r="AC238"/>
  <c r="AC237"/>
  <c r="AC236"/>
  <c r="AC235"/>
  <c r="AC234"/>
  <c r="AC233"/>
  <c r="S235"/>
  <c r="P235"/>
  <c r="M235"/>
  <c r="S240"/>
  <c r="S237"/>
  <c r="S234"/>
  <c r="S232"/>
  <c r="S230"/>
  <c r="S226"/>
  <c r="S225"/>
  <c r="S224"/>
  <c r="S223"/>
  <c r="S221"/>
  <c r="S220"/>
  <c r="P240"/>
  <c r="P237"/>
  <c r="P234"/>
  <c r="P232"/>
  <c r="P230"/>
  <c r="P226"/>
  <c r="P225"/>
  <c r="P224"/>
  <c r="P223"/>
  <c r="P221"/>
  <c r="P220"/>
  <c r="P219"/>
  <c r="AB240"/>
  <c r="AB237"/>
  <c r="AB226"/>
  <c r="AB220"/>
  <c r="S213"/>
  <c r="S211"/>
  <c r="S210"/>
  <c r="S208"/>
  <c r="S206"/>
  <c r="S204"/>
  <c r="S202"/>
  <c r="S200"/>
  <c r="S198"/>
  <c r="S197"/>
  <c r="S196"/>
  <c r="S194"/>
  <c r="S193"/>
  <c r="S191"/>
  <c r="S189"/>
  <c r="S187"/>
  <c r="P213"/>
  <c r="P211"/>
  <c r="P210"/>
  <c r="P208"/>
  <c r="P206"/>
  <c r="P204"/>
  <c r="P202"/>
  <c r="P200"/>
  <c r="P198"/>
  <c r="P197"/>
  <c r="P196"/>
  <c r="P194"/>
  <c r="P193"/>
  <c r="P191"/>
  <c r="P189"/>
  <c r="P187"/>
  <c r="M239" l="1"/>
  <c r="AB239" s="1"/>
  <c r="AB230"/>
  <c r="Y229"/>
  <c r="AB224"/>
  <c r="Y236"/>
  <c r="AB221"/>
  <c r="AB256"/>
  <c r="AB234"/>
  <c r="Y233"/>
  <c r="T242"/>
  <c r="Y222"/>
  <c r="U238"/>
  <c r="Y239"/>
  <c r="Y231"/>
  <c r="AB223"/>
  <c r="AB225"/>
  <c r="AB235"/>
  <c r="AB258"/>
  <c r="AB264"/>
  <c r="AB238"/>
  <c r="AB254"/>
  <c r="AB261"/>
  <c r="AB262"/>
  <c r="AB257"/>
  <c r="M231"/>
  <c r="AB231" s="1"/>
  <c r="AB232"/>
  <c r="AD226"/>
  <c r="AD225"/>
  <c r="AD250"/>
  <c r="P229"/>
  <c r="P231"/>
  <c r="S239"/>
  <c r="AD254"/>
  <c r="P239"/>
  <c r="AB233"/>
  <c r="S231"/>
  <c r="U218"/>
  <c r="AD204"/>
  <c r="S229"/>
  <c r="P233"/>
  <c r="AB236"/>
  <c r="S236"/>
  <c r="AD258"/>
  <c r="AD196"/>
  <c r="AD202"/>
  <c r="AD221"/>
  <c r="AD234"/>
  <c r="AD256"/>
  <c r="AD200"/>
  <c r="AD208"/>
  <c r="AD232"/>
  <c r="AD206"/>
  <c r="AD257"/>
  <c r="S233"/>
  <c r="P236"/>
  <c r="T218"/>
  <c r="AA218"/>
  <c r="S260"/>
  <c r="AB229"/>
  <c r="U212"/>
  <c r="U209"/>
  <c r="T209"/>
  <c r="U207"/>
  <c r="T207"/>
  <c r="U205"/>
  <c r="T205"/>
  <c r="U203"/>
  <c r="T203"/>
  <c r="U201"/>
  <c r="T201"/>
  <c r="U199"/>
  <c r="U195"/>
  <c r="T195"/>
  <c r="U192"/>
  <c r="T192"/>
  <c r="U190"/>
  <c r="T190"/>
  <c r="U188"/>
  <c r="T188"/>
  <c r="U186"/>
  <c r="T186"/>
  <c r="R212"/>
  <c r="Q212"/>
  <c r="R209"/>
  <c r="Q209"/>
  <c r="R207"/>
  <c r="Q207"/>
  <c r="R205"/>
  <c r="Q205"/>
  <c r="R203"/>
  <c r="Q203"/>
  <c r="R201"/>
  <c r="Q201"/>
  <c r="R199"/>
  <c r="Q199"/>
  <c r="R195"/>
  <c r="Q195"/>
  <c r="R192"/>
  <c r="Q192"/>
  <c r="R190"/>
  <c r="Q190"/>
  <c r="R188"/>
  <c r="Q188"/>
  <c r="R186"/>
  <c r="Q186"/>
  <c r="O212"/>
  <c r="M212" s="1"/>
  <c r="O209"/>
  <c r="M209" s="1"/>
  <c r="O207"/>
  <c r="M207" s="1"/>
  <c r="O205"/>
  <c r="M205" s="1"/>
  <c r="O203"/>
  <c r="M203" s="1"/>
  <c r="O201"/>
  <c r="M201" s="1"/>
  <c r="O199"/>
  <c r="M199" s="1"/>
  <c r="O195"/>
  <c r="M195" s="1"/>
  <c r="O192"/>
  <c r="M192" s="1"/>
  <c r="O190"/>
  <c r="M190" s="1"/>
  <c r="O188"/>
  <c r="M188" s="1"/>
  <c r="O186"/>
  <c r="M186" s="1"/>
  <c r="AA212"/>
  <c r="AA209"/>
  <c r="AA207"/>
  <c r="AA205"/>
  <c r="AA203"/>
  <c r="AA201"/>
  <c r="AA199"/>
  <c r="AA192"/>
  <c r="AA190"/>
  <c r="AA188"/>
  <c r="AA186"/>
  <c r="Z212"/>
  <c r="Z209"/>
  <c r="Z207"/>
  <c r="Z205"/>
  <c r="Z203"/>
  <c r="Z201"/>
  <c r="Z199"/>
  <c r="Z195"/>
  <c r="Z192"/>
  <c r="Z190"/>
  <c r="Z188"/>
  <c r="Z186"/>
  <c r="AC198"/>
  <c r="AC197"/>
  <c r="S180"/>
  <c r="U179"/>
  <c r="P180"/>
  <c r="R179"/>
  <c r="R178" s="1"/>
  <c r="S174"/>
  <c r="U173"/>
  <c r="U172" s="1"/>
  <c r="S172" s="1"/>
  <c r="S168"/>
  <c r="U167"/>
  <c r="U166" s="1"/>
  <c r="S166" s="1"/>
  <c r="U165"/>
  <c r="U163" s="1"/>
  <c r="P174"/>
  <c r="R173"/>
  <c r="R172" s="1"/>
  <c r="P172" s="1"/>
  <c r="P168"/>
  <c r="R167"/>
  <c r="P167" s="1"/>
  <c r="R165"/>
  <c r="R163" s="1"/>
  <c r="M168"/>
  <c r="AB168" s="1"/>
  <c r="O167"/>
  <c r="M167" s="1"/>
  <c r="AB167" s="1"/>
  <c r="S150"/>
  <c r="S151"/>
  <c r="M138"/>
  <c r="AB138" s="1"/>
  <c r="M130"/>
  <c r="AB130" s="1"/>
  <c r="S144"/>
  <c r="S143"/>
  <c r="S142"/>
  <c r="S140"/>
  <c r="S138"/>
  <c r="S137"/>
  <c r="S136"/>
  <c r="S134"/>
  <c r="S133"/>
  <c r="S132"/>
  <c r="S130"/>
  <c r="S126"/>
  <c r="P144"/>
  <c r="P143"/>
  <c r="P142"/>
  <c r="P141"/>
  <c r="P140"/>
  <c r="P138"/>
  <c r="P137"/>
  <c r="P136"/>
  <c r="P134"/>
  <c r="P133"/>
  <c r="P132"/>
  <c r="P130"/>
  <c r="P126"/>
  <c r="M123"/>
  <c r="AB123" s="1"/>
  <c r="M122"/>
  <c r="AB122" s="1"/>
  <c r="P123"/>
  <c r="P122"/>
  <c r="S123"/>
  <c r="S122"/>
  <c r="Q118"/>
  <c r="P120"/>
  <c r="S115"/>
  <c r="P115"/>
  <c r="M115"/>
  <c r="AB115" s="1"/>
  <c r="S112"/>
  <c r="P112"/>
  <c r="AB112"/>
  <c r="AC111"/>
  <c r="M111"/>
  <c r="P111"/>
  <c r="S111"/>
  <c r="R98"/>
  <c r="Q98"/>
  <c r="T98"/>
  <c r="U98"/>
  <c r="Q64"/>
  <c r="P66"/>
  <c r="AB66"/>
  <c r="M67"/>
  <c r="AB67" s="1"/>
  <c r="P67"/>
  <c r="S67"/>
  <c r="O58"/>
  <c r="M58" s="1"/>
  <c r="R26"/>
  <c r="T26"/>
  <c r="U26"/>
  <c r="U43"/>
  <c r="Y43" s="1"/>
  <c r="R43"/>
  <c r="Q43"/>
  <c r="O43"/>
  <c r="M43" s="1"/>
  <c r="S45"/>
  <c r="S44"/>
  <c r="P45"/>
  <c r="P44"/>
  <c r="AB45"/>
  <c r="AB44"/>
  <c r="S50"/>
  <c r="S49"/>
  <c r="P50"/>
  <c r="P49"/>
  <c r="AB50"/>
  <c r="AB49"/>
  <c r="P42"/>
  <c r="U40"/>
  <c r="T40"/>
  <c r="R40"/>
  <c r="Q40"/>
  <c r="O40"/>
  <c r="M40" s="1"/>
  <c r="S42"/>
  <c r="O36"/>
  <c r="M36" s="1"/>
  <c r="U36"/>
  <c r="R36"/>
  <c r="T36"/>
  <c r="Q36"/>
  <c r="S38"/>
  <c r="P38"/>
  <c r="AB38"/>
  <c r="S28"/>
  <c r="P28"/>
  <c r="M28"/>
  <c r="Q26"/>
  <c r="O26"/>
  <c r="M26" s="1"/>
  <c r="AB189" l="1"/>
  <c r="AC189"/>
  <c r="AB196"/>
  <c r="AC196"/>
  <c r="AB202"/>
  <c r="AC202"/>
  <c r="AB210"/>
  <c r="AC210"/>
  <c r="AC218"/>
  <c r="AC222"/>
  <c r="AB187"/>
  <c r="AC187"/>
  <c r="AB194"/>
  <c r="AC194"/>
  <c r="AB200"/>
  <c r="AC200"/>
  <c r="AB208"/>
  <c r="AC208"/>
  <c r="AB193"/>
  <c r="AC193"/>
  <c r="AB206"/>
  <c r="AC206"/>
  <c r="AB213"/>
  <c r="AC213"/>
  <c r="AB191"/>
  <c r="AC191"/>
  <c r="AB204"/>
  <c r="AC204"/>
  <c r="AB211"/>
  <c r="AC211"/>
  <c r="AB222"/>
  <c r="AD231"/>
  <c r="Y199"/>
  <c r="Y212"/>
  <c r="Y186"/>
  <c r="Y167"/>
  <c r="Y40"/>
  <c r="Y26"/>
  <c r="Y98"/>
  <c r="U178"/>
  <c r="Y178" s="1"/>
  <c r="Y179"/>
  <c r="S238"/>
  <c r="Y238"/>
  <c r="AB111"/>
  <c r="AD28"/>
  <c r="AB28"/>
  <c r="M218"/>
  <c r="AD229"/>
  <c r="AC192"/>
  <c r="AD233"/>
  <c r="AC190"/>
  <c r="AC188"/>
  <c r="AC186"/>
  <c r="P201"/>
  <c r="P209"/>
  <c r="S190"/>
  <c r="S201"/>
  <c r="S205"/>
  <c r="AD205" s="1"/>
  <c r="S186"/>
  <c r="P190"/>
  <c r="P205"/>
  <c r="P195"/>
  <c r="S195"/>
  <c r="AD123"/>
  <c r="AD112"/>
  <c r="AC201"/>
  <c r="P165"/>
  <c r="P163" s="1"/>
  <c r="S165"/>
  <c r="S163" s="1"/>
  <c r="S167"/>
  <c r="AC203"/>
  <c r="AC212"/>
  <c r="AD44"/>
  <c r="O166"/>
  <c r="M166" s="1"/>
  <c r="AB166" s="1"/>
  <c r="P188"/>
  <c r="P192"/>
  <c r="P199"/>
  <c r="P203"/>
  <c r="P207"/>
  <c r="P212"/>
  <c r="S192"/>
  <c r="S203"/>
  <c r="S207"/>
  <c r="S212"/>
  <c r="AD38"/>
  <c r="R166"/>
  <c r="P166" s="1"/>
  <c r="AC199"/>
  <c r="AC207"/>
  <c r="S199"/>
  <c r="AB190"/>
  <c r="S188"/>
  <c r="S209"/>
  <c r="P186"/>
  <c r="S148"/>
  <c r="S146"/>
  <c r="S149"/>
  <c r="AC209"/>
  <c r="S179"/>
  <c r="R177"/>
  <c r="P178"/>
  <c r="P179"/>
  <c r="S173"/>
  <c r="P173"/>
  <c r="S26"/>
  <c r="P26"/>
  <c r="AB218" l="1"/>
  <c r="AB205"/>
  <c r="AC205"/>
  <c r="U177"/>
  <c r="Y177" s="1"/>
  <c r="Y203"/>
  <c r="Y190"/>
  <c r="Y192"/>
  <c r="Y207"/>
  <c r="S178"/>
  <c r="Y188"/>
  <c r="Y209"/>
  <c r="Y205"/>
  <c r="Y36"/>
  <c r="Y201"/>
  <c r="AB203"/>
  <c r="AB192"/>
  <c r="AB186"/>
  <c r="Y166"/>
  <c r="AB212"/>
  <c r="AB199"/>
  <c r="AB201"/>
  <c r="AB188"/>
  <c r="AB207"/>
  <c r="AB209"/>
  <c r="AD201"/>
  <c r="AD195"/>
  <c r="AD199"/>
  <c r="AD203"/>
  <c r="AD207"/>
  <c r="R175"/>
  <c r="P175" s="1"/>
  <c r="P177"/>
  <c r="U175" l="1"/>
  <c r="Y175" s="1"/>
  <c r="S177"/>
  <c r="S292"/>
  <c r="U291"/>
  <c r="S291" s="1"/>
  <c r="S287"/>
  <c r="S286"/>
  <c r="S285"/>
  <c r="S284"/>
  <c r="S283"/>
  <c r="U282"/>
  <c r="T282"/>
  <c r="S278"/>
  <c r="S277"/>
  <c r="U276"/>
  <c r="T276"/>
  <c r="S275"/>
  <c r="T273"/>
  <c r="U259"/>
  <c r="T259"/>
  <c r="U255"/>
  <c r="T255"/>
  <c r="U253"/>
  <c r="S249"/>
  <c r="S247"/>
  <c r="U246"/>
  <c r="T245"/>
  <c r="U244"/>
  <c r="U243"/>
  <c r="S243" s="1"/>
  <c r="S218"/>
  <c r="U217"/>
  <c r="T217"/>
  <c r="S217"/>
  <c r="S214" s="1"/>
  <c r="T215"/>
  <c r="Y215" s="1"/>
  <c r="S215"/>
  <c r="U185"/>
  <c r="T185"/>
  <c r="U183"/>
  <c r="T183"/>
  <c r="U182"/>
  <c r="T182"/>
  <c r="U121"/>
  <c r="T121"/>
  <c r="S119"/>
  <c r="U118"/>
  <c r="S110"/>
  <c r="U106"/>
  <c r="T106"/>
  <c r="S101"/>
  <c r="S98"/>
  <c r="S96"/>
  <c r="U95"/>
  <c r="T95"/>
  <c r="U94"/>
  <c r="T94"/>
  <c r="S78"/>
  <c r="S77"/>
  <c r="U76"/>
  <c r="T76"/>
  <c r="S72"/>
  <c r="S71"/>
  <c r="U70"/>
  <c r="T70"/>
  <c r="S65"/>
  <c r="U64"/>
  <c r="S63"/>
  <c r="S62"/>
  <c r="S60"/>
  <c r="S59"/>
  <c r="U58"/>
  <c r="T58"/>
  <c r="U48"/>
  <c r="T48"/>
  <c r="S43"/>
  <c r="S41"/>
  <c r="S40"/>
  <c r="S39"/>
  <c r="S37"/>
  <c r="S36"/>
  <c r="S27"/>
  <c r="S25"/>
  <c r="S24"/>
  <c r="S23"/>
  <c r="U22"/>
  <c r="T22"/>
  <c r="S20"/>
  <c r="S19"/>
  <c r="U18"/>
  <c r="U13"/>
  <c r="P292"/>
  <c r="R291"/>
  <c r="P291" s="1"/>
  <c r="P287"/>
  <c r="P286"/>
  <c r="P285"/>
  <c r="P284"/>
  <c r="P283"/>
  <c r="R282"/>
  <c r="Q282"/>
  <c r="P278"/>
  <c r="P277"/>
  <c r="R276"/>
  <c r="Q276"/>
  <c r="P275"/>
  <c r="R273"/>
  <c r="Q273"/>
  <c r="R259"/>
  <c r="Q259"/>
  <c r="R255"/>
  <c r="Q255"/>
  <c r="R253"/>
  <c r="Q253"/>
  <c r="P249"/>
  <c r="P247"/>
  <c r="R246"/>
  <c r="Q245"/>
  <c r="R244"/>
  <c r="R243"/>
  <c r="P243" s="1"/>
  <c r="R218"/>
  <c r="Q218"/>
  <c r="P218"/>
  <c r="R217"/>
  <c r="R214" s="1"/>
  <c r="R216" s="1"/>
  <c r="Q217"/>
  <c r="Q214" s="1"/>
  <c r="Q216" s="1"/>
  <c r="P217"/>
  <c r="P214" s="1"/>
  <c r="P215"/>
  <c r="R185"/>
  <c r="Q185"/>
  <c r="R183"/>
  <c r="Q183"/>
  <c r="R182"/>
  <c r="Q182"/>
  <c r="P162"/>
  <c r="P161" s="1"/>
  <c r="P160" s="1"/>
  <c r="R161"/>
  <c r="R160" s="1"/>
  <c r="R154"/>
  <c r="R152" s="1"/>
  <c r="R124"/>
  <c r="P124"/>
  <c r="R121"/>
  <c r="P121" s="1"/>
  <c r="Q121"/>
  <c r="P119"/>
  <c r="R118"/>
  <c r="P118" s="1"/>
  <c r="P110"/>
  <c r="Q109"/>
  <c r="R106"/>
  <c r="Q106"/>
  <c r="P101"/>
  <c r="P98"/>
  <c r="P96"/>
  <c r="R95"/>
  <c r="R92" s="1"/>
  <c r="Q95"/>
  <c r="Q92" s="1"/>
  <c r="R94"/>
  <c r="Q94"/>
  <c r="P78"/>
  <c r="P77"/>
  <c r="R76"/>
  <c r="Q76"/>
  <c r="P72"/>
  <c r="P71"/>
  <c r="R70"/>
  <c r="Q70"/>
  <c r="P65"/>
  <c r="R64"/>
  <c r="P64" s="1"/>
  <c r="P63"/>
  <c r="P62"/>
  <c r="P60"/>
  <c r="P59"/>
  <c r="R58"/>
  <c r="Q58"/>
  <c r="R48"/>
  <c r="Q48"/>
  <c r="P43"/>
  <c r="P41"/>
  <c r="P40"/>
  <c r="P39"/>
  <c r="P36"/>
  <c r="P34"/>
  <c r="P27"/>
  <c r="P25"/>
  <c r="P24"/>
  <c r="P23"/>
  <c r="R22"/>
  <c r="Q22"/>
  <c r="P21"/>
  <c r="P20"/>
  <c r="P19"/>
  <c r="R18"/>
  <c r="R13"/>
  <c r="O291"/>
  <c r="O282"/>
  <c r="M282" s="1"/>
  <c r="O276"/>
  <c r="M276" s="1"/>
  <c r="O273"/>
  <c r="O259"/>
  <c r="M259" s="1"/>
  <c r="O255"/>
  <c r="M255" s="1"/>
  <c r="O253"/>
  <c r="M253" s="1"/>
  <c r="O246"/>
  <c r="M246" s="1"/>
  <c r="O244"/>
  <c r="O243"/>
  <c r="M243" s="1"/>
  <c r="O218"/>
  <c r="O217"/>
  <c r="O214" s="1"/>
  <c r="O216" s="1"/>
  <c r="M217"/>
  <c r="M215"/>
  <c r="O185"/>
  <c r="M185" s="1"/>
  <c r="O183"/>
  <c r="M183" s="1"/>
  <c r="O182"/>
  <c r="M182" s="1"/>
  <c r="O173"/>
  <c r="M173" s="1"/>
  <c r="O165"/>
  <c r="M165" s="1"/>
  <c r="O124"/>
  <c r="M124"/>
  <c r="O121"/>
  <c r="M121" s="1"/>
  <c r="O118"/>
  <c r="M118" s="1"/>
  <c r="M110"/>
  <c r="O106"/>
  <c r="M106" s="1"/>
  <c r="O95"/>
  <c r="O92" s="1"/>
  <c r="M92" s="1"/>
  <c r="O94"/>
  <c r="M94" s="1"/>
  <c r="AB78"/>
  <c r="AB77"/>
  <c r="O76"/>
  <c r="M76" s="1"/>
  <c r="M72"/>
  <c r="AB72" s="1"/>
  <c r="AB71"/>
  <c r="O70"/>
  <c r="M70" s="1"/>
  <c r="AB65"/>
  <c r="O64"/>
  <c r="M64" s="1"/>
  <c r="AB63"/>
  <c r="AB62"/>
  <c r="M60"/>
  <c r="AB60" s="1"/>
  <c r="AB59"/>
  <c r="O48"/>
  <c r="M48" s="1"/>
  <c r="AB43"/>
  <c r="AB41"/>
  <c r="AB40"/>
  <c r="M39"/>
  <c r="AB39" s="1"/>
  <c r="AB37"/>
  <c r="AB36"/>
  <c r="AB27"/>
  <c r="AB26"/>
  <c r="M24"/>
  <c r="AB24" s="1"/>
  <c r="AB23"/>
  <c r="O22"/>
  <c r="M22" s="1"/>
  <c r="AB21"/>
  <c r="AB19"/>
  <c r="O13"/>
  <c r="M13" s="1"/>
  <c r="AA291"/>
  <c r="AC292"/>
  <c r="AC286"/>
  <c r="AC285"/>
  <c r="AC284"/>
  <c r="AC283"/>
  <c r="AA282"/>
  <c r="Z282"/>
  <c r="AC278"/>
  <c r="AC277"/>
  <c r="AA276"/>
  <c r="Z276"/>
  <c r="Z273"/>
  <c r="AA259"/>
  <c r="Z259"/>
  <c r="AA255"/>
  <c r="Z255"/>
  <c r="AA253"/>
  <c r="AA246"/>
  <c r="Z245"/>
  <c r="AA244"/>
  <c r="AA243"/>
  <c r="Z218"/>
  <c r="AA217"/>
  <c r="Z217"/>
  <c r="AC215"/>
  <c r="AA195"/>
  <c r="Z185"/>
  <c r="AA183"/>
  <c r="Z183"/>
  <c r="AA182"/>
  <c r="Z182"/>
  <c r="AC174"/>
  <c r="AA173"/>
  <c r="AA165"/>
  <c r="AC162"/>
  <c r="AA161"/>
  <c r="AA124"/>
  <c r="AC124"/>
  <c r="AA121"/>
  <c r="Z121"/>
  <c r="AC121"/>
  <c r="AC119"/>
  <c r="AA118"/>
  <c r="AC110"/>
  <c r="Z109"/>
  <c r="AA106"/>
  <c r="Z106"/>
  <c r="AC101"/>
  <c r="AC98"/>
  <c r="AC96"/>
  <c r="AA95"/>
  <c r="Z95"/>
  <c r="AA94"/>
  <c r="Z94"/>
  <c r="AA13"/>
  <c r="AD239"/>
  <c r="AC28"/>
  <c r="AD46"/>
  <c r="AD47"/>
  <c r="AD49"/>
  <c r="AD50"/>
  <c r="AD61"/>
  <c r="AD67"/>
  <c r="AD146"/>
  <c r="AD148"/>
  <c r="AD149"/>
  <c r="AD150"/>
  <c r="AD151"/>
  <c r="AD155"/>
  <c r="AD156"/>
  <c r="AD157"/>
  <c r="AD191"/>
  <c r="AD192"/>
  <c r="AD194"/>
  <c r="AD220"/>
  <c r="AD223"/>
  <c r="AD224"/>
  <c r="AD240"/>
  <c r="AD249"/>
  <c r="AD260"/>
  <c r="AD261"/>
  <c r="AD262"/>
  <c r="AD264"/>
  <c r="AD187"/>
  <c r="AD186"/>
  <c r="AD193"/>
  <c r="AD222"/>
  <c r="O290" l="1"/>
  <c r="M291"/>
  <c r="Z15"/>
  <c r="AC214"/>
  <c r="AC217"/>
  <c r="AB249"/>
  <c r="AC249"/>
  <c r="Z92"/>
  <c r="Y243"/>
  <c r="Y218"/>
  <c r="AA92"/>
  <c r="AA109"/>
  <c r="Y118"/>
  <c r="Z214"/>
  <c r="Y165"/>
  <c r="AA214"/>
  <c r="S175"/>
  <c r="Y255"/>
  <c r="Y183"/>
  <c r="Y273"/>
  <c r="Y282"/>
  <c r="Y58"/>
  <c r="Y70"/>
  <c r="Y76"/>
  <c r="AA160"/>
  <c r="Y161"/>
  <c r="AC291"/>
  <c r="Y291"/>
  <c r="AA172"/>
  <c r="Y173"/>
  <c r="AC246"/>
  <c r="Y246"/>
  <c r="S64"/>
  <c r="Y64"/>
  <c r="Y195"/>
  <c r="Y94"/>
  <c r="Y244"/>
  <c r="Y259"/>
  <c r="Y124"/>
  <c r="S121"/>
  <c r="AD121" s="1"/>
  <c r="Y121"/>
  <c r="T214"/>
  <c r="U214"/>
  <c r="S118"/>
  <c r="AD118" s="1"/>
  <c r="U92"/>
  <c r="T92"/>
  <c r="T15"/>
  <c r="U15"/>
  <c r="S253"/>
  <c r="Y253"/>
  <c r="U274"/>
  <c r="S18"/>
  <c r="AD18" s="1"/>
  <c r="Y18"/>
  <c r="Y48"/>
  <c r="S13"/>
  <c r="O251"/>
  <c r="M251" s="1"/>
  <c r="M163"/>
  <c r="AB98"/>
  <c r="AB277"/>
  <c r="AB283"/>
  <c r="AC161"/>
  <c r="AB162"/>
  <c r="AB96"/>
  <c r="AB119"/>
  <c r="U251"/>
  <c r="AB247"/>
  <c r="M214"/>
  <c r="AB214" s="1"/>
  <c r="AB217"/>
  <c r="AB124"/>
  <c r="AB174"/>
  <c r="AB285"/>
  <c r="AB292"/>
  <c r="AB101"/>
  <c r="AB110"/>
  <c r="AB121"/>
  <c r="AB215"/>
  <c r="AB278"/>
  <c r="AB284"/>
  <c r="AD20"/>
  <c r="AD283"/>
  <c r="AD71"/>
  <c r="AD59"/>
  <c r="AD110"/>
  <c r="U57"/>
  <c r="AD285"/>
  <c r="S273"/>
  <c r="AC273"/>
  <c r="AA274"/>
  <c r="Q57"/>
  <c r="Q56" s="1"/>
  <c r="Q271"/>
  <c r="Q272" s="1"/>
  <c r="AC95"/>
  <c r="Z108"/>
  <c r="AD27"/>
  <c r="AC13"/>
  <c r="AC27"/>
  <c r="Q15"/>
  <c r="Q14" s="1"/>
  <c r="Q12" s="1"/>
  <c r="Q11" s="1"/>
  <c r="R57"/>
  <c r="R56" s="1"/>
  <c r="AC118"/>
  <c r="AB64"/>
  <c r="O57"/>
  <c r="R93"/>
  <c r="T57"/>
  <c r="AD34"/>
  <c r="AD72"/>
  <c r="R251"/>
  <c r="AD215"/>
  <c r="AB76"/>
  <c r="P13"/>
  <c r="P94"/>
  <c r="Q181"/>
  <c r="Q184" s="1"/>
  <c r="T271"/>
  <c r="AA108"/>
  <c r="AB48"/>
  <c r="AD43"/>
  <c r="AC282"/>
  <c r="AD62"/>
  <c r="AD277"/>
  <c r="AD278"/>
  <c r="AA56"/>
  <c r="AC255"/>
  <c r="AC94"/>
  <c r="AA93"/>
  <c r="AD40"/>
  <c r="U271"/>
  <c r="U290"/>
  <c r="AD36"/>
  <c r="AD41"/>
  <c r="AC183"/>
  <c r="M273"/>
  <c r="S255"/>
  <c r="Z274"/>
  <c r="AA271"/>
  <c r="O274"/>
  <c r="S276"/>
  <c r="P276"/>
  <c r="Q274"/>
  <c r="O271"/>
  <c r="O272" s="1"/>
  <c r="R290"/>
  <c r="P290" s="1"/>
  <c r="S259"/>
  <c r="P259"/>
  <c r="P255"/>
  <c r="P253"/>
  <c r="AC259"/>
  <c r="AA251"/>
  <c r="O242"/>
  <c r="U245"/>
  <c r="S246"/>
  <c r="R245"/>
  <c r="P245" s="1"/>
  <c r="P244" s="1"/>
  <c r="P242" s="1"/>
  <c r="P246"/>
  <c r="R242"/>
  <c r="O245"/>
  <c r="M245" s="1"/>
  <c r="AA242"/>
  <c r="AC216"/>
  <c r="P216"/>
  <c r="AA185"/>
  <c r="S182"/>
  <c r="S183"/>
  <c r="AA181"/>
  <c r="P18"/>
  <c r="R15"/>
  <c r="R14" s="1"/>
  <c r="R12" s="1"/>
  <c r="AD60"/>
  <c r="AD78"/>
  <c r="AA245"/>
  <c r="R274"/>
  <c r="AD24"/>
  <c r="AD101"/>
  <c r="U242"/>
  <c r="AD77"/>
  <c r="AD98"/>
  <c r="Z181"/>
  <c r="AC182"/>
  <c r="P70"/>
  <c r="P106"/>
  <c r="S70"/>
  <c r="S94"/>
  <c r="T274"/>
  <c r="AC106"/>
  <c r="S22"/>
  <c r="AB282"/>
  <c r="P273"/>
  <c r="S216"/>
  <c r="U181"/>
  <c r="U184" s="1"/>
  <c r="S185"/>
  <c r="P185"/>
  <c r="R181"/>
  <c r="R184" s="1"/>
  <c r="O181"/>
  <c r="T181"/>
  <c r="P182"/>
  <c r="P183"/>
  <c r="O163"/>
  <c r="P154"/>
  <c r="P152" s="1"/>
  <c r="AD162"/>
  <c r="U109"/>
  <c r="S106"/>
  <c r="O109"/>
  <c r="M95"/>
  <c r="P95"/>
  <c r="S95"/>
  <c r="O93"/>
  <c r="M93" s="1"/>
  <c r="AC57"/>
  <c r="S76"/>
  <c r="P76"/>
  <c r="AB70"/>
  <c r="S55"/>
  <c r="U53"/>
  <c r="O53"/>
  <c r="Q53"/>
  <c r="P55"/>
  <c r="R53"/>
  <c r="P58"/>
  <c r="S54"/>
  <c r="S58"/>
  <c r="AB58"/>
  <c r="S48"/>
  <c r="P48"/>
  <c r="O15"/>
  <c r="P22"/>
  <c r="AB22"/>
  <c r="S282"/>
  <c r="Q93"/>
  <c r="P92"/>
  <c r="Q108"/>
  <c r="R109"/>
  <c r="R108" s="1"/>
  <c r="R107" s="1"/>
  <c r="Q251"/>
  <c r="P282"/>
  <c r="P54"/>
  <c r="R271"/>
  <c r="R272" s="1"/>
  <c r="O172"/>
  <c r="M172" s="1"/>
  <c r="AA290"/>
  <c r="AC109"/>
  <c r="AC165"/>
  <c r="AC173"/>
  <c r="Z271"/>
  <c r="AD119"/>
  <c r="AD188"/>
  <c r="AD23"/>
  <c r="AD189"/>
  <c r="AD218"/>
  <c r="AD63"/>
  <c r="AD217"/>
  <c r="AD26"/>
  <c r="AD190"/>
  <c r="O14" l="1"/>
  <c r="O12" s="1"/>
  <c r="M12" s="1"/>
  <c r="M15"/>
  <c r="O288"/>
  <c r="M288" s="1"/>
  <c r="M290"/>
  <c r="O184"/>
  <c r="M184" s="1"/>
  <c r="M181"/>
  <c r="O108"/>
  <c r="M109"/>
  <c r="O56"/>
  <c r="M57"/>
  <c r="Z14"/>
  <c r="AA163"/>
  <c r="Y163" s="1"/>
  <c r="AB253"/>
  <c r="AC253"/>
  <c r="AC271"/>
  <c r="AC276"/>
  <c r="AB195"/>
  <c r="AC195"/>
  <c r="S92"/>
  <c r="AD92" s="1"/>
  <c r="AC14"/>
  <c r="AC15"/>
  <c r="T93"/>
  <c r="Y290"/>
  <c r="Z107"/>
  <c r="Y245"/>
  <c r="AA272"/>
  <c r="AB273"/>
  <c r="AA216"/>
  <c r="Z216"/>
  <c r="AC92"/>
  <c r="Z93"/>
  <c r="AA107"/>
  <c r="Y13"/>
  <c r="AB165"/>
  <c r="AC163"/>
  <c r="Z56"/>
  <c r="T216"/>
  <c r="AB291"/>
  <c r="Y276"/>
  <c r="Y182"/>
  <c r="AB182"/>
  <c r="M216"/>
  <c r="AB216" s="1"/>
  <c r="Y242"/>
  <c r="AB255"/>
  <c r="AB95"/>
  <c r="Y53"/>
  <c r="U93"/>
  <c r="AB94"/>
  <c r="AB246"/>
  <c r="Y106"/>
  <c r="AA184"/>
  <c r="AA154"/>
  <c r="Y160"/>
  <c r="Y185"/>
  <c r="AC172"/>
  <c r="Y172"/>
  <c r="Y217"/>
  <c r="U216"/>
  <c r="U108"/>
  <c r="Y109"/>
  <c r="S245"/>
  <c r="AD245" s="1"/>
  <c r="Y92"/>
  <c r="Y95"/>
  <c r="Y22"/>
  <c r="S15"/>
  <c r="S14" s="1"/>
  <c r="S251"/>
  <c r="Y251"/>
  <c r="T272"/>
  <c r="U56"/>
  <c r="U272"/>
  <c r="T14"/>
  <c r="U14"/>
  <c r="AB54"/>
  <c r="AB183"/>
  <c r="AB276"/>
  <c r="AB118"/>
  <c r="M244"/>
  <c r="M242" s="1"/>
  <c r="AB55"/>
  <c r="AB106"/>
  <c r="AB259"/>
  <c r="AB173"/>
  <c r="AC160"/>
  <c r="AB161"/>
  <c r="AB243"/>
  <c r="AD13"/>
  <c r="AB13"/>
  <c r="AD183"/>
  <c r="AC274"/>
  <c r="P93"/>
  <c r="S290"/>
  <c r="U288"/>
  <c r="S288" s="1"/>
  <c r="R10"/>
  <c r="M271"/>
  <c r="AC108"/>
  <c r="P251"/>
  <c r="AD76"/>
  <c r="AD161"/>
  <c r="AD70"/>
  <c r="AD259"/>
  <c r="AD185"/>
  <c r="S57"/>
  <c r="S56" s="1"/>
  <c r="T56"/>
  <c r="R9"/>
  <c r="O9"/>
  <c r="M9" s="1"/>
  <c r="Q9"/>
  <c r="Z105"/>
  <c r="AD95"/>
  <c r="AA288"/>
  <c r="AC181"/>
  <c r="P274"/>
  <c r="AD255"/>
  <c r="Z184"/>
  <c r="AD152"/>
  <c r="AD154"/>
  <c r="AD273"/>
  <c r="AD276"/>
  <c r="P271"/>
  <c r="P272" s="1"/>
  <c r="AD282"/>
  <c r="M274"/>
  <c r="AD253"/>
  <c r="R288"/>
  <c r="P288" s="1"/>
  <c r="P57"/>
  <c r="P56" s="1"/>
  <c r="AD22"/>
  <c r="AB109"/>
  <c r="P184"/>
  <c r="P181"/>
  <c r="T184"/>
  <c r="S184" s="1"/>
  <c r="S181"/>
  <c r="AD106"/>
  <c r="R105"/>
  <c r="S53"/>
  <c r="M53"/>
  <c r="P53"/>
  <c r="AD58"/>
  <c r="O11"/>
  <c r="S274"/>
  <c r="AD182"/>
  <c r="S271"/>
  <c r="R11"/>
  <c r="P11" s="1"/>
  <c r="Q107"/>
  <c r="Q10" s="1"/>
  <c r="P108"/>
  <c r="P12"/>
  <c r="P15"/>
  <c r="P14" s="1"/>
  <c r="P109"/>
  <c r="Z272"/>
  <c r="AD55"/>
  <c r="AD54"/>
  <c r="AD214"/>
  <c r="AD48"/>
  <c r="O107" l="1"/>
  <c r="M108"/>
  <c r="M11"/>
  <c r="AC272"/>
  <c r="Z12"/>
  <c r="Z11"/>
  <c r="AA14"/>
  <c r="AC93"/>
  <c r="AC245"/>
  <c r="AB290"/>
  <c r="AC290"/>
  <c r="AB251"/>
  <c r="AC251"/>
  <c r="AB185"/>
  <c r="AC185"/>
  <c r="AB92"/>
  <c r="Y214"/>
  <c r="AC56"/>
  <c r="Y56"/>
  <c r="AB245"/>
  <c r="Z10"/>
  <c r="AA10"/>
  <c r="AA105"/>
  <c r="Y274"/>
  <c r="AA9"/>
  <c r="S93"/>
  <c r="AD93" s="1"/>
  <c r="AB274"/>
  <c r="S244"/>
  <c r="AD244" s="1"/>
  <c r="Y57"/>
  <c r="AB181"/>
  <c r="AB53"/>
  <c r="Y93"/>
  <c r="Y288"/>
  <c r="AB108"/>
  <c r="AC184"/>
  <c r="Y184"/>
  <c r="Y181"/>
  <c r="AC154"/>
  <c r="AA152"/>
  <c r="AB172"/>
  <c r="U107"/>
  <c r="U10" s="1"/>
  <c r="Y108"/>
  <c r="Y271"/>
  <c r="Y15"/>
  <c r="T12"/>
  <c r="T9" s="1"/>
  <c r="U12"/>
  <c r="U9" s="1"/>
  <c r="M272"/>
  <c r="AB271"/>
  <c r="AB93"/>
  <c r="AB244"/>
  <c r="M56"/>
  <c r="AB57"/>
  <c r="AB160"/>
  <c r="AB163"/>
  <c r="M14"/>
  <c r="AB14" s="1"/>
  <c r="AB15"/>
  <c r="P9"/>
  <c r="AD184"/>
  <c r="Q105"/>
  <c r="Q8" s="1"/>
  <c r="P10"/>
  <c r="AD274"/>
  <c r="AD251"/>
  <c r="AD181"/>
  <c r="R8"/>
  <c r="AD53"/>
  <c r="AD57"/>
  <c r="AD15"/>
  <c r="S272"/>
  <c r="AD271"/>
  <c r="P107"/>
  <c r="P105" s="1"/>
  <c r="AD216"/>
  <c r="O105" l="1"/>
  <c r="O8" s="1"/>
  <c r="M8" s="1"/>
  <c r="M107"/>
  <c r="M105" s="1"/>
  <c r="O10"/>
  <c r="M10" s="1"/>
  <c r="AB272"/>
  <c r="AC11"/>
  <c r="AA11"/>
  <c r="Z8"/>
  <c r="Z9"/>
  <c r="AA12"/>
  <c r="AC244"/>
  <c r="AC105"/>
  <c r="AC107"/>
  <c r="AB107"/>
  <c r="AB56"/>
  <c r="Y216"/>
  <c r="AD56"/>
  <c r="Y154"/>
  <c r="Y272"/>
  <c r="S242"/>
  <c r="AB184"/>
  <c r="U105"/>
  <c r="Y105" s="1"/>
  <c r="AB154"/>
  <c r="AC152"/>
  <c r="Y152"/>
  <c r="Y107"/>
  <c r="T11"/>
  <c r="Y14"/>
  <c r="AB11"/>
  <c r="U11"/>
  <c r="S12"/>
  <c r="S11" s="1"/>
  <c r="AD11" s="1"/>
  <c r="AD14"/>
  <c r="AA8"/>
  <c r="P8"/>
  <c r="AD272"/>
  <c r="AC288"/>
  <c r="AC12" l="1"/>
  <c r="AB12"/>
  <c r="AB105"/>
  <c r="Y8"/>
  <c r="AC242"/>
  <c r="AB242"/>
  <c r="AB9"/>
  <c r="AC9"/>
  <c r="AB10"/>
  <c r="AC10"/>
  <c r="Y10"/>
  <c r="AD242"/>
  <c r="U8"/>
  <c r="Y11"/>
  <c r="AC8"/>
  <c r="AB152"/>
  <c r="AD12"/>
  <c r="Y12"/>
  <c r="S9"/>
  <c r="AD9" s="1"/>
  <c r="AB288"/>
  <c r="AB8" l="1"/>
  <c r="Y9"/>
  <c r="T109" l="1"/>
  <c r="S109" s="1"/>
  <c r="AD109" l="1"/>
  <c r="T108"/>
  <c r="T107" l="1"/>
  <c r="T10" s="1"/>
  <c r="S108"/>
  <c r="T105" l="1"/>
  <c r="S107"/>
  <c r="AD108"/>
  <c r="S105" l="1"/>
  <c r="T8"/>
  <c r="S8" s="1"/>
  <c r="S10"/>
  <c r="AD10" l="1"/>
  <c r="AD105"/>
  <c r="AD8"/>
</calcChain>
</file>

<file path=xl/sharedStrings.xml><?xml version="1.0" encoding="utf-8"?>
<sst xmlns="http://schemas.openxmlformats.org/spreadsheetml/2006/main" count="960" uniqueCount="362">
  <si>
    <t>Наименование объекта капитального строительства (объекта недвижимого имущества, мероприятия) с указанием направления инвестирования</t>
  </si>
  <si>
    <t>Прогнозная мощность (прогнозный прирост мощности)</t>
  </si>
  <si>
    <t>Всего</t>
  </si>
  <si>
    <t>В том числе</t>
  </si>
  <si>
    <t>средства федерального бюджета и прочие целевые средства</t>
  </si>
  <si>
    <t>средства областного бюджета</t>
  </si>
  <si>
    <t>ВСЕГО по областной адресной инвестиционной программе, в том числе:</t>
  </si>
  <si>
    <t>по федеральным проектам</t>
  </si>
  <si>
    <t>вне рамок федеральных проектов</t>
  </si>
  <si>
    <t>Государственная программа Архангельской области "Развитие здравоохранения Архангельской области"</t>
  </si>
  <si>
    <t>Подпрограмма "Совершенствование системы территориального планирования Архангельской области"</t>
  </si>
  <si>
    <t>Министерство строительства и архитектуры Архангельской области</t>
  </si>
  <si>
    <t>Поликлиника ГБУЗ АО "Лешуконская центральная районная больница" по адресу: Архангельская область, Лешуконский район, с. Лешуконское, ул. Мелоспольская, д. 4, корп. 9. Проектирование и строительство</t>
  </si>
  <si>
    <t>-</t>
  </si>
  <si>
    <t>200 посещений / смену</t>
  </si>
  <si>
    <t>государственное казенное учреждение Архангельской области "Главное управление капитального строительства"</t>
  </si>
  <si>
    <t>2024/2025</t>
  </si>
  <si>
    <t>Федеральный проект "Модернизация первичного звена здравоохранения Российской Федерации"</t>
  </si>
  <si>
    <t>Врачебная амбулатория в п. Подюга Коношского района на 50 посещений в смену. Проектирование и строительство</t>
  </si>
  <si>
    <t>50 посещений в смену</t>
  </si>
  <si>
    <t>2021/2022</t>
  </si>
  <si>
    <t>вне рамок федерального проекта</t>
  </si>
  <si>
    <t>Корректировка проектной документации и строительство больницы на 16 стационарных коек и 7 коек дневного стационара в пос. Урдома Ленского района</t>
  </si>
  <si>
    <t>16 коек</t>
  </si>
  <si>
    <t>2020/2022</t>
  </si>
  <si>
    <t>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</si>
  <si>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298 посещений в смену</t>
  </si>
  <si>
    <t>2015/2022</t>
  </si>
  <si>
    <t>Корректировка ПСД, реконструкция, строительство инженерных сетей и благоустройство территории ГБУЗ АО "АОКБ", г. Архангельск, пр. Ломоносова, 292</t>
  </si>
  <si>
    <t>1520 п.м.</t>
  </si>
  <si>
    <t>2022/2024</t>
  </si>
  <si>
    <t>400 посещений, 20 коек</t>
  </si>
  <si>
    <t>2021/2023</t>
  </si>
  <si>
    <t>250 посещений в смену</t>
  </si>
  <si>
    <t>Проектирование и строительство фельдшерско-акушерского пункта в дер. Патровская Каргопольского муниципального округа Архангельской области</t>
  </si>
  <si>
    <t>20 посещений в смену</t>
  </si>
  <si>
    <t>2021/2024</t>
  </si>
  <si>
    <t>45 коек</t>
  </si>
  <si>
    <t>2015/2021</t>
  </si>
  <si>
    <t>Проектирование и строительство врачебной амбулатории в с. Сура, Пинежского района Архангельской области (для ГБУЗ АО "Карпогорская центральная районная больница")</t>
  </si>
  <si>
    <t>Проектирование и строительство фельдшерско-акушерского пункта в дер. Усачевская Каргопольского муниципального округа Архангельской области</t>
  </si>
  <si>
    <t>Проектирование и строительство фельдшерско-акушерского пункта в с. Койда Мезенского района Архангельской области &lt;*&gt;</t>
  </si>
  <si>
    <t>2020/2021</t>
  </si>
  <si>
    <t>780 посещений в смену</t>
  </si>
  <si>
    <t>Строительство лечебно-диагностического корпуса ГБУЗ Архангельской области "Архангельская областная детская клиническая больница им. П.Г.Выжлецова"</t>
  </si>
  <si>
    <t>70 коек</t>
  </si>
  <si>
    <t>2011/2022</t>
  </si>
  <si>
    <t>Федеральный проект "Развитие детского здравоохранения, включая создание современной инфраструктуры оказания медицинской помощи детям"</t>
  </si>
  <si>
    <t>Строительство офиса врача общей практики в г. Архангельск, ул. Карская, 15</t>
  </si>
  <si>
    <t>Государственная программа Архангельской области "Развитие образования и науки Архангельской области"</t>
  </si>
  <si>
    <t>Подпрограмма "Строительство и капитальный ремонт объектов инфраструктуры системы образования в Архангельской области"</t>
  </si>
  <si>
    <t>Строительство детского сада на 120 мест в пос. Малошуйка Онежского района &lt;*&gt;</t>
  </si>
  <si>
    <t>120 мест</t>
  </si>
  <si>
    <t>администрация Онежского муниципального района Архангельской области</t>
  </si>
  <si>
    <t>2019/2022</t>
  </si>
  <si>
    <t>Строительство детского сада на 220 мест в пос. Урдома Ленского района</t>
  </si>
  <si>
    <t>220 мест</t>
  </si>
  <si>
    <t>Строительство начальной общеобразовательной школы на 320 учащихся в с. Ильинско-Подомское Вилегодского муниципального округа Архангельской области &lt;*&gt;</t>
  </si>
  <si>
    <t>320 мест</t>
  </si>
  <si>
    <t>администрация Вилегодского муниципального округа Архангельской области</t>
  </si>
  <si>
    <t>Строительство пристройки на 200 учащихся к зданию школы в пос. Приводино Котласского района</t>
  </si>
  <si>
    <t>200 мест</t>
  </si>
  <si>
    <t>Строительство средней общеобразовательной школы на 240 мест в поселке Оксовский Плесецкого муниципального округа Архангельской области &lt;*&gt;</t>
  </si>
  <si>
    <t>240 мест</t>
  </si>
  <si>
    <t>администрация Плесецкого муниципального района Архангельской области</t>
  </si>
  <si>
    <t>2022/2023</t>
  </si>
  <si>
    <t>Федеральный проект "Современная школа"</t>
  </si>
  <si>
    <t>E1</t>
  </si>
  <si>
    <t>Строительство средней общеобразовательной школы на 250 учащихся с блоком временного проживания на 50 человек в с. Ровдино Шенкурского района &lt;*&gt;</t>
  </si>
  <si>
    <t>250 мест</t>
  </si>
  <si>
    <t>администрация Шенкурского муниципального района Архангельской области</t>
  </si>
  <si>
    <t>2013/2021</t>
  </si>
  <si>
    <t>Строительство школы на 1 600 мест в территориальном округе Варавино-Фактория г. Архангельска</t>
  </si>
  <si>
    <t>1600 мест</t>
  </si>
  <si>
    <t>администрация городского округа "Город Архангельск"</t>
  </si>
  <si>
    <t>2023/2024</t>
  </si>
  <si>
    <t>Строительство школы на 1 600 мест в территориальном округе Майская горка г. Архангельска</t>
  </si>
  <si>
    <t>1 600 мест</t>
  </si>
  <si>
    <t>Строительство школы на 860 мест в территориальном округе Варавино-Фактория г. Архангельска &lt;*&gt;</t>
  </si>
  <si>
    <t>860 мест</t>
  </si>
  <si>
    <t>2019/2021</t>
  </si>
  <si>
    <t>Строительство школы на 90 учащихся в с. Долгощелье Мезенского района Архангельской области &lt;*&gt;</t>
  </si>
  <si>
    <t>90 мест</t>
  </si>
  <si>
    <t>администрация Мезенского муниципального района Архангельской области</t>
  </si>
  <si>
    <t>2018/2022</t>
  </si>
  <si>
    <t>Министерство образования Архангельской области</t>
  </si>
  <si>
    <t>Государственная программа Архангельской области "Культура Русского Севера"</t>
  </si>
  <si>
    <t>Реконструкция здания Новодвинского ГКЦ</t>
  </si>
  <si>
    <t>Сельский дом культуры на 100 мест в д. Ватамановская. Строительство</t>
  </si>
  <si>
    <t>администрация Каргопольского муниципального округа Архангельской области</t>
  </si>
  <si>
    <t>Федеральный проект "Культурная среда"</t>
  </si>
  <si>
    <t>A1</t>
  </si>
  <si>
    <t>Министерство транспорта Архангельской области</t>
  </si>
  <si>
    <t>Строительство моста (Пентус)</t>
  </si>
  <si>
    <t>ДФ</t>
  </si>
  <si>
    <t>протяженность моста - 130 м</t>
  </si>
  <si>
    <t>администрация Устьянского муниципального района Архангельской области</t>
  </si>
  <si>
    <t>Федеральный проект "Развитие туристической инфраструктуры"</t>
  </si>
  <si>
    <t>J1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</si>
  <si>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области"</t>
  </si>
  <si>
    <t>Подпрограмма "Создание условий для обеспечения доступным и комфортным жильем жителей Архангельской области"</t>
  </si>
  <si>
    <t>Обеспечение земельных участков, предоставляемых многодетным семьям для индивидуального жилищного строительства, объектами инженерной инфраструктуры (подъездные дороги в дер. Боброво, с. Емецке и с. Матигоры), 1 этап: Боброво-1, Боброво-2</t>
  </si>
  <si>
    <t>0,9098 км</t>
  </si>
  <si>
    <t>Обустройство объектами инженерной инфраструктуры площадки под комплексную жилищную застройку по адресу: Архангельская область, Вилегодский муниципальный округ Архангельской области, село Ильинско-Подомское, ул. Советская</t>
  </si>
  <si>
    <t>517,3 м автомобильной дороги местного значения, 1371,1 м водопроводных сетей, 791,7 м канализационных сетей</t>
  </si>
  <si>
    <t>Проектирование и строительство канализационных очистных сооружений мощностью до 2 500 куб. м / сутки с трассами напорного коллектора в пос. Приводино Котласского района</t>
  </si>
  <si>
    <t>до 2 500 куб. м / сутки</t>
  </si>
  <si>
    <t>Реконструкция зданий жилищного фонда (устройство вентилируемых фасадов многоквартирных домов) в г. Мирный Архангельской области</t>
  </si>
  <si>
    <t>62 жилых дома</t>
  </si>
  <si>
    <t>администрация городского округа Архангельской области "Мирный"</t>
  </si>
  <si>
    <t>2014/2022</t>
  </si>
  <si>
    <t>Создание инженерной и транспортной инфраструктуры (II очереди) 17 и 19 кварталов земельного участка "Зеленый-1" в г. Коряжме Архангельской области</t>
  </si>
  <si>
    <t>184 земельных участка</t>
  </si>
  <si>
    <t>администрация городского округа Архангельской области "Город Коряжма"</t>
  </si>
  <si>
    <t>(ул. Таежная) &lt;*&gt;</t>
  </si>
  <si>
    <t>1,29 км</t>
  </si>
  <si>
    <t>администрация городского округа Архангельской области "Котлас"</t>
  </si>
  <si>
    <t>Строительство служебного жилья для молодых специалистов</t>
  </si>
  <si>
    <t>35 квартир</t>
  </si>
  <si>
    <t>Строительство школы на 860 мест в г. Котласе &lt;*&gt;</t>
  </si>
  <si>
    <t>Федеральный проект "Жилье"</t>
  </si>
  <si>
    <t>F1</t>
  </si>
  <si>
    <t>Министерство топливно-энергетического комплекса и жилищно-коммунального хозяйства Архангельской области</t>
  </si>
  <si>
    <t>Приобретение жилых помещений для переселения граждан из жилых домов, расположенных по адресам: с. Холмогоры, ул. Ломоносова, д. 64, корп. 1 и корп. 2</t>
  </si>
  <si>
    <t>9 жилых помещений</t>
  </si>
  <si>
    <t>администрация Холмогорского муниципального района Архангельской области</t>
  </si>
  <si>
    <t>Приобретение жилых помещений для переселения граждан из жилого дома, расположенного по адресу: г. Онега, ул. Привокзальная, д. 30, корп. А</t>
  </si>
  <si>
    <t>4 жилых помещения</t>
  </si>
  <si>
    <t>Министерство здравоохранения Архангельской области</t>
  </si>
  <si>
    <t>Приобретение жилых помещений для предоставления в качестве служебного жилья медицинским работникам</t>
  </si>
  <si>
    <t>Приобретение 1 квартиры</t>
  </si>
  <si>
    <t>государственное автономное учреждение здравоохранения Архангельской области "Вельская стоматологическая поликлиника"</t>
  </si>
  <si>
    <t>государственное автономное учреждение здравоохранения Архангельской области "Коряжемская стоматологическая поликлиника"</t>
  </si>
  <si>
    <t>государственное бюджетное учреждение здравоохранения Архангельской области "Архангельская областная детская клиническая больница имени П.Г. Выжлецова"</t>
  </si>
  <si>
    <t>государственное бюджетное учреждение здравоохранения Архангельской области "Архангельская областная клиническая станция скорой медицинской помощи"</t>
  </si>
  <si>
    <t>государственное бюджетное учреждение здравоохранения Архангельской области "Котласский психоневрологический диспансер"</t>
  </si>
  <si>
    <t>государственное бюджетное учреждение здравоохранения Архангельской области "Новодвинская центральная городская больница"</t>
  </si>
  <si>
    <t>государственное бюджетное учреждение здравоохранения Архангельской области "Северодвинская городская детская клиническая больница"</t>
  </si>
  <si>
    <t>Приобретение 2 квартир</t>
  </si>
  <si>
    <t>государственное бюджетное учреждение здравоохранения Архангельской области "Мирнинская центральная городская больница"</t>
  </si>
  <si>
    <t>государственное бюджетное учреждение здравоохранения Архангельской области "Северодвинская станция скорой медицинской помощи"</t>
  </si>
  <si>
    <t>Приобретение 3 квартир</t>
  </si>
  <si>
    <t>государственное бюджетное учреждение здравоохранения Архангельской области "Плесецкая центральная районная больница"</t>
  </si>
  <si>
    <t>государственное бюджетное учреждение здравоохранения Архангельской области "Приморская центральная районная больница"</t>
  </si>
  <si>
    <t>государственное бюджетное учреждение здравоохранения Архангельской области "Устьянская центральная районная больница"</t>
  </si>
  <si>
    <t>Приобретение 4 квартир</t>
  </si>
  <si>
    <t>государственное автономное учреждение здравоохранения Архангельской области "Котласская городская стоматологическая поликлиника"</t>
  </si>
  <si>
    <t>государственное бюджетное учреждение здравоохранения Архангельской области "Коношская центральная районная больница"</t>
  </si>
  <si>
    <t>государственное бюджетное учреждение здравоохранения Архангельской области "Красноборская центральная районная больница"</t>
  </si>
  <si>
    <t>государственное бюджетное учреждение здравоохранения Архангельской области "Няндомская центральная районная больница"</t>
  </si>
  <si>
    <t>Приобретение 6 квартир</t>
  </si>
  <si>
    <t>государственное бюджетное учреждение здравоохранения Архангельской области "Вельская центральная районная больница"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</si>
  <si>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области"</t>
  </si>
  <si>
    <t>Подпрограмма "Профилактика преступлений и иных правонарушений в Архангельской области"</t>
  </si>
  <si>
    <t>Строительство здания специального учреждения УФМС в г. Архангельске</t>
  </si>
  <si>
    <t>31 человек</t>
  </si>
  <si>
    <t>2017/2022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</si>
  <si>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объектах"</t>
  </si>
  <si>
    <t>Подпрограмма "Пожарная безопасность в Архангельской области"</t>
  </si>
  <si>
    <t>Проектирование и строительство объекта "Пожарное депо ГКУ "ОГПС-21" на 4 автомашины в г. Сольвычегодске Котласского района</t>
  </si>
  <si>
    <t>4 автомобиля</t>
  </si>
  <si>
    <t>2013/2022</t>
  </si>
  <si>
    <t>Государственная программа Архангельской области "Охрана окружающей среды, воспроизводство и использование природных ресурсов Архангельской области"</t>
  </si>
  <si>
    <t>Подпрограмма "Охрана окружающей среды и обеспечение экологической безопасности Архангельской области"</t>
  </si>
  <si>
    <t>Строительство кладбища в деревне Валдушки</t>
  </si>
  <si>
    <t>Площадь - 25,7 га</t>
  </si>
  <si>
    <t>2000/2028</t>
  </si>
  <si>
    <t>Государственная программа Архангельской области "Совершенствование государственного управления и местного самоуправления, развитие институтов гражданского общества в Архангельской области"</t>
  </si>
  <si>
    <t>Подпрограмма "Развитие отдельных направлений системы государственного управления Архангельской области"</t>
  </si>
  <si>
    <t>Администрация Губернатора Архангельской области и Правительства Архангельской области</t>
  </si>
  <si>
    <t>536 кв м</t>
  </si>
  <si>
    <t>государственное казенное учреждение Архангельской области "Управление делами"</t>
  </si>
  <si>
    <t>Государственная программа Архангельской области "Развитие энергетики и жилищно-коммунального хозяйства Архангельской области"</t>
  </si>
  <si>
    <t>Подпрограмма "Энергосбережение и повышение энергетической эффективности в Архангельской области"</t>
  </si>
  <si>
    <t>Водоснабжение правобережной части города Каргополя Каргопольского муниципального округа Архангельской области. Строительство</t>
  </si>
  <si>
    <t>6,58 км</t>
  </si>
  <si>
    <t>Федеральный проект "Чистая вода"</t>
  </si>
  <si>
    <t>F5</t>
  </si>
  <si>
    <t>администрация Приморского муниципального района Архангельской области</t>
  </si>
  <si>
    <t>Проектирование и строительство водопровода от дер. Рикасиха до пос. Лайский Док МО Приморское Приморского района Архангельской области</t>
  </si>
  <si>
    <t>4,5665 км</t>
  </si>
  <si>
    <t>4,709 км</t>
  </si>
  <si>
    <t>Реконструкция водопровода с. Яренск Ленского района Архангельской области (Строительство ВОС. 1 этап)</t>
  </si>
  <si>
    <t>500 куб м/сутки</t>
  </si>
  <si>
    <t>администрация Ленского муниципального района Архангельской области</t>
  </si>
  <si>
    <t>Реконструкция водопроводных очистных сооружений г. Вельск (1 этап)</t>
  </si>
  <si>
    <t>6 600 куб м / сутки</t>
  </si>
  <si>
    <t>администрация Вельского муниципального района Архангельской области</t>
  </si>
  <si>
    <t>Реконструкция очистных сооружений водопровода в г. Котласе Архангельской области</t>
  </si>
  <si>
    <t>30 000 куб. м / сутки</t>
  </si>
  <si>
    <t>Реконструкция системы водоснабжения г. Каргополя (левобережная часть) и пос. Пригородный</t>
  </si>
  <si>
    <t>17,231 км</t>
  </si>
  <si>
    <t>Реконструкция системы водоснабжения п. Плесецк Архангельской области ВЗУ-1 (1 этап)</t>
  </si>
  <si>
    <t>2 520 куб м / сутки</t>
  </si>
  <si>
    <t>администрация Плесецкого муниципального округа Архангельской области</t>
  </si>
  <si>
    <t>Реконструкция системы водоснабжения пос. Двинской (1 этап)</t>
  </si>
  <si>
    <t>730,93 куб. м/сутки</t>
  </si>
  <si>
    <t>администрация Верхнетоемского муниципального округа Архангельской области</t>
  </si>
  <si>
    <t>Реконструкция системы водоснабжения с вводом в эксплуатацию новой скважины, строительство и подключение блочно-модульной станции очистки воды пос. Ерцево</t>
  </si>
  <si>
    <t>530 куб м/сутки</t>
  </si>
  <si>
    <t>администрация Коношского муниципального района Архангельской области</t>
  </si>
  <si>
    <t>Станция очистки холодной воды производительностью 490 м3/сут. и водопроводные сети для нужд хозяйственно-питьевого водоснабжения районного центра поселка Березник Архангельской области. Строительство</t>
  </si>
  <si>
    <t>490 куб. м / сутки</t>
  </si>
  <si>
    <t>администрация Виноградовского муниципального округа Архангельской области</t>
  </si>
  <si>
    <t>Строительство водоочистных сооружений и водонасосной станции, реконструкция сетей водоснабжения, пос. Шипицыно (1 этап)</t>
  </si>
  <si>
    <t>767,9 куб м / сутки</t>
  </si>
  <si>
    <t>администрация Котласского муниципального района Архангельской области</t>
  </si>
  <si>
    <t>Установка и подключение блочно-модульной станции холодной воды в дер. Рембуево</t>
  </si>
  <si>
    <t>100 куб м/сутки</t>
  </si>
  <si>
    <t>Государственная программа Архангельской области "Развитие транспортной системы Архангельской области"</t>
  </si>
  <si>
    <t>Подпрограмма "Развитие общественного пассажирского транспорта и транспортной инфраструктуры Архангельской области"</t>
  </si>
  <si>
    <t>Проектирование и строительство наплавного моста</t>
  </si>
  <si>
    <t>1 мост</t>
  </si>
  <si>
    <t>Проектирование и строительство судов ледового класса для осуществления грузопассажирских перевозок в период ледохода на территории Архангельской области</t>
  </si>
  <si>
    <t>2 судна</t>
  </si>
  <si>
    <t>государственное бюджетное учреждение Архангельской области "Региональная транспортная служба"</t>
  </si>
  <si>
    <t>Разработка проектной документации и строительство причальных сооружений</t>
  </si>
  <si>
    <t>1 причал</t>
  </si>
  <si>
    <t>Реконструкция моста через Никольское устье Северной Двины в г. Северодвинске</t>
  </si>
  <si>
    <t>протяженность дороги - 2,916 км, в том числе моста - 185,8 пог. м</t>
  </si>
  <si>
    <t>администрация городского округа Архангельской области "Северодвинск"</t>
  </si>
  <si>
    <t>2019/2023</t>
  </si>
  <si>
    <t>Федеральный проект "Региональная и местная дорожная сеть"</t>
  </si>
  <si>
    <t>R1</t>
  </si>
  <si>
    <t>протяженность - 2,32 км</t>
  </si>
  <si>
    <t>протяженность - 2 км</t>
  </si>
  <si>
    <t>Строительство автодороги по ул. Ушинского на участке от ул. Маяковского до ул. Посадская (протяженность 1 900 м) в г. Котласе Архангельской области</t>
  </si>
  <si>
    <t>строительная длина - 1,8909 км</t>
  </si>
  <si>
    <t>Строительство автомобильной дороги по проспекту Мира на участке от ул. Ушинского до объездной автомобильной дороги "Котлас - Коряжма, км 0 - км 41"</t>
  </si>
  <si>
    <t>протяженность дороги - 1,38 км</t>
  </si>
  <si>
    <t>Строительство окружной дороги (соединение ул. Окружной с ул. Юбилейной) в г. Северодвинске (1-й этап)</t>
  </si>
  <si>
    <t>Строительная длина: первый этап - 1077,15 м</t>
  </si>
  <si>
    <t>Строительство окружной дороги (соединение ул. Окружной с ул. Юбилейной) в г. Северодвинске (2 этап)</t>
  </si>
  <si>
    <t>Строительная длина: второй этап - 263,44 м</t>
  </si>
  <si>
    <t>Подпрограмма "Развитие и совершенствование сети автомобильных дорог общего пользования регионального значения"</t>
  </si>
  <si>
    <t>Строительство мостового перехода через реку Устья на км 139 + 309 автомобильной дороги Шангалы - Квазеньга - Кизема</t>
  </si>
  <si>
    <t>протяженность дороги - 5,6 км, в том числе моста - 113,6 п. м</t>
  </si>
  <si>
    <t>государственное казенное учреждение Архангельской области "Дорожное агентство "Архангельскавтодор"</t>
  </si>
  <si>
    <t>Государственная программа Архангельской области "Развитие инфраструктуры Соловецкого архипелага"</t>
  </si>
  <si>
    <t>Реконструкция аэропортового комплекса "Соловки" о. Соловецкий, Архангельская область</t>
  </si>
  <si>
    <t>68 675 кв. м</t>
  </si>
  <si>
    <t>2018/2021</t>
  </si>
  <si>
    <t>Федеральный проект "Развитие региональных аэропортов и маршрутов"</t>
  </si>
  <si>
    <t>V7</t>
  </si>
  <si>
    <t>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</si>
  <si>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10 коек</t>
  </si>
  <si>
    <t>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</si>
  <si>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протяженность - 14,4 км, производительность - 600 куб. м / сутки</t>
  </si>
  <si>
    <t>Государственная программа Архангельской области "Комплексное развитие сельских территорий Архангельской области"</t>
  </si>
  <si>
    <t>Подпрограмма "Создание условий для обеспечения доступным и комфортным жильем сельского населения"</t>
  </si>
  <si>
    <t>Комплексное обустройство площадки под компактную жилищную застройку в дер. Бор Няндомского района Архангельской области. Строительство</t>
  </si>
  <si>
    <t>Автомобильные дороги - 1,05864 км, водопровод - 900 м, расчетная мощность освещения - 2,48 кВт</t>
  </si>
  <si>
    <t>администрация Няндомского муниципального района Архангельской области</t>
  </si>
  <si>
    <t>Комплексное обустройство площадки под компактную жилищную застройку в дер. Куимиха Котласского района Архангельской области. Строительство</t>
  </si>
  <si>
    <t>Проезжая часть протяженностью 3413,5 м, уличное освещение протяженностью 2450 м</t>
  </si>
  <si>
    <t>администрация городского поселения "Приводинское"</t>
  </si>
  <si>
    <t>Подпрограмма "Создание и развитие инфраструктуры на сельских территориях"</t>
  </si>
  <si>
    <t>Строительство детского сада "Золушка" в с. Черевково Красноборского района Архангельской области (90 мест)</t>
  </si>
  <si>
    <t>администрация Красноборского муниципального района Архангельской области</t>
  </si>
  <si>
    <t>Строительство детского сада на 60 мест в пос. Лайский Док Приморского района Архангельской области</t>
  </si>
  <si>
    <t>60 мест</t>
  </si>
  <si>
    <t>352 учащихся</t>
  </si>
  <si>
    <t>75 мест</t>
  </si>
  <si>
    <t>Государственная программа Архангельской области "Развитие физической культуры и спорта в Архангельской области"</t>
  </si>
  <si>
    <t>Здание крытой ледовой арены учебно-тренировочного комплекса на территории стадиона "Север" в г. Северодвинске Архангельской области. Строительство</t>
  </si>
  <si>
    <t>Размер хоккейного корта - 26 на 60 м</t>
  </si>
  <si>
    <t>Корректировка проектной документации и строительство многоцелевого физкультурно-оздоровительного объекта (хоккейная аренда - "Ледовый дворец") по адресу: Российская Федерация, Архангельская область, г. Коряжма, ул. Архангельская, земельный участок 35</t>
  </si>
  <si>
    <t>100 человек в смену</t>
  </si>
  <si>
    <t>Федеральный проект "Спорт - норма жизни"</t>
  </si>
  <si>
    <t>P5</t>
  </si>
  <si>
    <t>Проектирование и строительство крытого катка с искусственным льдом в г. Архангельске</t>
  </si>
  <si>
    <t>Строительство объекта "Спортивный зал "ГАПОУ АО "Каргопольский индустриальный техникум" по адресу: г. Каргополь, ул. Семенковская, д. 79"</t>
  </si>
  <si>
    <t>44 человека</t>
  </si>
  <si>
    <t>2021/2021</t>
  </si>
  <si>
    <t>Строительство спортивного зала ГБНОУ АО "АГЛ имени М.В. Ломоносова" по адресу: г. Архангельск, набережная Северной Двины, д. 25</t>
  </si>
  <si>
    <t>483,9 кв. м</t>
  </si>
  <si>
    <t>500 посещений в смену</t>
  </si>
  <si>
    <t>В рамках дорожного фонда (ДФ)</t>
  </si>
  <si>
    <t>Наименование заказчика по объектам государственной (муниципальной) собственности</t>
  </si>
  <si>
    <t>Код федераль-ного проекта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</si>
  <si>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</si>
  <si>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к уточненной сводной бюджетной росписи на год</t>
  </si>
  <si>
    <t>Поликлиника для детского населения в г. Котлас. Строительство</t>
  </si>
  <si>
    <t>Общая площадь здания 4740,9 кв. м вместимость зрительного зала 269 чел</t>
  </si>
  <si>
    <t>общая площадь - 554 кв. м зрительный зал - 100 мест</t>
  </si>
  <si>
    <t>государственное бюджетное учреждение здравоохранения Архангельской области "Каргопольская центральная районная больница имени Н.Д. Кировой"</t>
  </si>
  <si>
    <t>Государственное автономное спортивное учреждение Архангельской области "Спортивная школа олимпийского резерва "Устьянский лыжный клуб"</t>
  </si>
  <si>
    <t>Строительство социально-культурного центра в пос. Лайский Док МО "Приморское" Приморского района Архангельской области (на 75 мест)</t>
  </si>
  <si>
    <t>Строительство объекта "Средняя общеобразовательная школа на 352 учащихся с интернатом на 80 мест в п. Шалакуша" &lt;*&gt;</t>
  </si>
  <si>
    <t>рублей</t>
  </si>
  <si>
    <t>Проектирование и строительство фельдшерско-акушерского пункта в дер. Гридино Няндомского муниципального района Архангельской области</t>
  </si>
  <si>
    <t>Р2</t>
  </si>
  <si>
    <t>Федеральный проект "Содействие занятости"</t>
  </si>
  <si>
    <t xml:space="preserve">Строительство канализационной насосной станции в Южном районе в г. Котласе </t>
  </si>
  <si>
    <t>Агентство государственной противопожарной службы и гражданской защиты Архангельской области</t>
  </si>
  <si>
    <t>Закупка маломерного судна, подлежащего государственной регистрации</t>
  </si>
  <si>
    <t>Подпрограмма "Снижение рисков и смягчение последствий чрезвычайных ситуаций межмуниципального и регионального характера, а также обеспечение безопасности людей на водных объектах в Архангельской области"</t>
  </si>
  <si>
    <t>Проектирование и строительство объекта "Укрепление правого берега реки Северная Двина в Соломбальском территориальном округе г. Архангельска на участке от ул. Маяковского до ул. Кедрова"</t>
  </si>
  <si>
    <t>Подпрограмма "Развитие водохозяйственного комплекса Архангельской области"</t>
  </si>
  <si>
    <t xml:space="preserve">Строительство станции очистки холодной воды по адресу: Архангельская область, Холмогорский район, МО Емецкое, дер. Кузнецово </t>
  </si>
  <si>
    <t>408 куб м/сутки</t>
  </si>
  <si>
    <t>Государственная программа Архангельской области "Молодежь Поморья"</t>
  </si>
  <si>
    <t>Приобретение помещений для муниципального учреждения "Молодежный Центр" по адресу: Архангельская область, г. Котлас, ул. Володарского, д. 21</t>
  </si>
  <si>
    <t>Агентство по делам молодежи Архангельской области</t>
  </si>
  <si>
    <t>460,1 кв. м</t>
  </si>
  <si>
    <t>Комитет по управлению имуществом администрации муниципального образования "Котлас"</t>
  </si>
  <si>
    <t>Проектирование и строительство больницыв пос. Березник Виноградовского муниципального округа Архангельской области</t>
  </si>
  <si>
    <t>Государственная программа Архангельской области "Экономическое развитие и инвестиционная деятельность в Архангельской области"</t>
  </si>
  <si>
    <t>Подпрограмма "Развитие промышленности и инвестиционной деятельности в Архангельской области"</t>
  </si>
  <si>
    <t>Реконструкция участков автомобильной дороги общего пользования местного значения на территории поселка Строитель Плесецкого муниципального округа Архангельской области</t>
  </si>
  <si>
    <t>Протяжен-ность - 586,16 м</t>
  </si>
  <si>
    <t>Министерство  спорта Архангельской области</t>
  </si>
  <si>
    <t>Поликлиника на 250 посещений в смену, второй пусковой комплекс по адресу Архангельская область, Пинежский район, с. Карпогоры, ул. Ленина 47 Б. Корректировка проектной документации и строительство</t>
  </si>
  <si>
    <t>Проектирование и строительство фельдшерско-акушерского пункта в дер. Шиловская Вельского района Архангельской области</t>
  </si>
  <si>
    <t>Школа на 320 мест в дер. Горка Муравьевская Вельского района. Проектирование и строительство</t>
  </si>
  <si>
    <t>Школа на 320 мест в г. Няндома Няндомского района. Проектирование и строительство</t>
  </si>
  <si>
    <t>Школа на 320 мест в г. Каргополе. Проектирование и строительство</t>
  </si>
  <si>
    <t>Школа на 320 мест в п. Коноша Коношского района. Проектирование и строительство</t>
  </si>
  <si>
    <t>к плану                              на 11 месяцев</t>
  </si>
  <si>
    <t>Проектирование и строительство объекта "Пожарное депо в пос. Обозерский Плесецкого муниципального округа Архангельской области"</t>
  </si>
  <si>
    <t>2 автомобиля</t>
  </si>
  <si>
    <t>Корректировка проектной документации и строительство объекта "Комплекс базы ГБУ АО "Служба спасения им. И.А. Поливаного"</t>
  </si>
  <si>
    <t>Исполнено на 30.09.2022</t>
  </si>
  <si>
    <t>Исполнение 9 месяцев, в процентах</t>
  </si>
  <si>
    <t>Остаток</t>
  </si>
  <si>
    <t>Исполнение, в процентах</t>
  </si>
  <si>
    <t>Министерство природных ресурсов и лесопромышленного комплекса Архангельской области</t>
  </si>
  <si>
    <t>Строительство объекта "Комплекс обработки и утилизации твердых коммунальных отходов мощностью 70 000 тонн в год, расположенный по адресу: Архангельская область, Котласский р-н, муниципальное образование "Черемушское"</t>
  </si>
  <si>
    <t>70 000 тонн в год</t>
  </si>
  <si>
    <t>Федеральный проект "Комплексная система обращения с твердыми коммунальными отходами"</t>
  </si>
  <si>
    <t>G2</t>
  </si>
  <si>
    <t xml:space="preserve">Проектирование водопровода от точки подключения к городскому водопроводу по адресу: г. Архангельск, ул. Дрейера 1 стр. 1 МО "Город Архангельск" до ВОС дер. Рикасово д. 27 МО "Заостровское" Приморского района Архангельской области </t>
  </si>
  <si>
    <t>Проектирование и строительство водопровода от точки подключения к городскому водопроводу по адресу: г. Архангельск, ул. Дрейера 1 стр. 1 МО Город Архангельск до ВОС дер. Рикасово д. 27 МО Заостровское Приморского района Архангельской области (2 этап)</t>
  </si>
  <si>
    <t>Здание государственного автономного учреждения Архангельской области "Спортивная школа олимпийского резерва "Устьянский лыжный клуб" в Устьянском районе. Пронектирование и строительство</t>
  </si>
  <si>
    <t>Приобретение земельного участка из земель сельскохозяйственного назначения в государственную собственность Архангельской области в соответствии со ст. 6 Федерального закона от 24 июля 2002 г. № 101-ФЗ "Об обороте земель сельскохозяйственного назначения"</t>
  </si>
  <si>
    <t>МИНИСТЕРСТВО ИМУЩЕСТВЕННЫХ ОТНОШЕНИЙ АРХАНГЕЛЬСКОЙ ОБЛАСТИ</t>
  </si>
  <si>
    <t>87790 кв.м</t>
  </si>
  <si>
    <t>Государственная программа Архангельской области "Управление государственным имуществом и земельными ресурсами Архангельской области"</t>
  </si>
  <si>
    <t>Министерство  имущественных отношений Архангельской области</t>
  </si>
  <si>
    <t>Обоснование инвестиций, проведение технологического и ценового аудита обоснования инвестиций, проектирование и строительство дополнительного корпуса ГБОУ АО "Специальная (коррекционная) общеобразовательная школа № 31"</t>
  </si>
  <si>
    <t>Государственная программа Архангельской области "Социальная поддержка граждан в Архангельской области"</t>
  </si>
  <si>
    <t>Подпрограмма "Развитие системы отдыха и оздоровления детей"</t>
  </si>
  <si>
    <t>Министерство труда, занятости и социального развития Архангельской области</t>
  </si>
  <si>
    <t>ГБОУ АО "Специальная (коррекционная) общеобразовательная школа № 31"</t>
  </si>
  <si>
    <t>Обоснование инвестиций, проведение технологического и ценового аудита обоснования инвестиций, проектирование, строительство и реконструкция объектов ГАУ АО "Центр детского отдыха "Северный Артек", в том числе его обособленных структурных подразделений"</t>
  </si>
  <si>
    <t>до 500 мест</t>
  </si>
  <si>
    <t>2022/2027</t>
  </si>
  <si>
    <t xml:space="preserve">Уточненная сводная бюджетная роспись на 2022 год, </t>
  </si>
  <si>
    <t>государственное автономное учреждение Архангельской области "Центр детского отдыха "Северный Артек""</t>
  </si>
  <si>
    <t>Утверждено постановлением Правительства Архангельской области  от 24.01.2022 № 19-пп (в ред. от 09.01.2023 № 14-пп) на 2022 год</t>
  </si>
  <si>
    <t>ОТЧЕТ ОБ ИСПОЛНЕНИИ ОБЛАСТНОЙ АДРЕСНОЙ ИНВЕСТИЦИОННОЙ ПРОГАММЫ ЗА 2022 ГОД</t>
  </si>
  <si>
    <t>Исполнение</t>
  </si>
  <si>
    <t>№ 9</t>
  </si>
  <si>
    <t>№ 4</t>
  </si>
  <si>
    <t>государственное бюджетное учреждение здравоохранения Архангельской области "Архангельская городская клиническая больница № 4"</t>
  </si>
  <si>
    <t>государственное бюджетное учреждение здравоохранения Архангельской области "Архангельская городская клиническая поликлиника № 1"</t>
  </si>
  <si>
    <t>государственное бюджетное учреждение здравоохранения Архангельской области "Северодвинская городская больница № 2 скорой медицинской помощи"</t>
  </si>
  <si>
    <t>Строительство учебных корпусов № 5 и № 6 в Загородном комплексе "Бабанегово", расположенном по адресу: Архангельская область, Приморский район, д. Бабанегово</t>
  </si>
  <si>
    <t>Строительство автодорог в рамках комплексной застройки квартала № 152 в г. Архангельске</t>
  </si>
  <si>
    <t>Строительство автодорог в рамках комплексной застройки квартала № 85 в г. Северодвинске</t>
  </si>
  <si>
    <t>Школа на 320 мест                         в пос. Катунино Приморского района. Проектирование и строительство</t>
  </si>
  <si>
    <t>Прогнозный срок (начало/ окончание)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</si>
</sst>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0"/>
      <color rgb="FF000000"/>
      <name val="Arial Cyr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8">
    <xf numFmtId="0" fontId="0" fillId="0" borderId="0"/>
    <xf numFmtId="0" fontId="1" fillId="0" borderId="6">
      <alignment horizontal="center" vertical="center" wrapText="1"/>
    </xf>
    <xf numFmtId="4" fontId="1" fillId="0" borderId="6">
      <alignment horizontal="right" vertical="top" shrinkToFit="1"/>
    </xf>
    <xf numFmtId="10" fontId="1" fillId="3" borderId="6">
      <alignment horizontal="right" vertical="top" shrinkToFit="1"/>
    </xf>
    <xf numFmtId="4" fontId="11" fillId="0" borderId="8">
      <alignment horizontal="right" vertical="top" shrinkToFit="1"/>
    </xf>
    <xf numFmtId="0" fontId="10" fillId="0" borderId="6">
      <alignment horizontal="left" vertical="top" wrapText="1"/>
    </xf>
    <xf numFmtId="43" fontId="1" fillId="0" borderId="0" applyFont="0" applyFill="0" applyBorder="0" applyAlignment="0" applyProtection="0"/>
    <xf numFmtId="4" fontId="11" fillId="0" borderId="8">
      <alignment horizontal="right" vertical="top" shrinkToFit="1"/>
    </xf>
  </cellStyleXfs>
  <cellXfs count="103">
    <xf numFmtId="0" fontId="0" fillId="0" borderId="0" xfId="0"/>
    <xf numFmtId="0" fontId="0" fillId="0" borderId="0" xfId="0" applyFont="1"/>
    <xf numFmtId="0" fontId="0" fillId="0" borderId="0" xfId="0" applyFont="1"/>
    <xf numFmtId="0" fontId="0" fillId="2" borderId="0" xfId="0" applyFill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2" fontId="7" fillId="4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0" xfId="0" applyFont="1" applyFill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" fontId="4" fillId="0" borderId="0" xfId="0" applyNumberFormat="1" applyFont="1"/>
    <xf numFmtId="4" fontId="0" fillId="0" borderId="0" xfId="0" applyNumberFormat="1"/>
    <xf numFmtId="0" fontId="2" fillId="4" borderId="1" xfId="0" applyFont="1" applyFill="1" applyBorder="1" applyAlignment="1">
      <alignment horizontal="center"/>
    </xf>
    <xf numFmtId="4" fontId="7" fillId="4" borderId="1" xfId="0" applyNumberFormat="1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 applyProtection="1">
      <alignment vertical="top" wrapText="1"/>
    </xf>
    <xf numFmtId="0" fontId="7" fillId="4" borderId="1" xfId="0" applyFont="1" applyFill="1" applyBorder="1" applyAlignment="1">
      <alignment horizontal="right" vertical="top" wrapText="1"/>
    </xf>
    <xf numFmtId="0" fontId="2" fillId="4" borderId="1" xfId="0" applyFont="1" applyFill="1" applyBorder="1"/>
    <xf numFmtId="4" fontId="6" fillId="4" borderId="1" xfId="0" applyNumberFormat="1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4" fontId="10" fillId="4" borderId="1" xfId="2" applyNumberFormat="1" applyFont="1" applyFill="1" applyBorder="1" applyProtection="1">
      <alignment horizontal="right" vertical="top" shrinkToFit="1"/>
    </xf>
    <xf numFmtId="4" fontId="5" fillId="4" borderId="1" xfId="0" applyNumberFormat="1" applyFont="1" applyFill="1" applyBorder="1" applyAlignment="1">
      <alignment horizontal="right" vertical="top" wrapText="1"/>
    </xf>
    <xf numFmtId="4" fontId="11" fillId="4" borderId="1" xfId="4" applyNumberFormat="1" applyFill="1" applyBorder="1" applyProtection="1">
      <alignment horizontal="right" vertical="top" shrinkToFit="1"/>
    </xf>
    <xf numFmtId="4" fontId="2" fillId="0" borderId="0" xfId="0" applyNumberFormat="1" applyFont="1" applyFill="1" applyBorder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/>
    </xf>
    <xf numFmtId="43" fontId="2" fillId="4" borderId="1" xfId="0" applyNumberFormat="1" applyFont="1" applyFill="1" applyBorder="1"/>
    <xf numFmtId="4" fontId="11" fillId="4" borderId="1" xfId="0" applyNumberFormat="1" applyFont="1" applyFill="1" applyBorder="1" applyAlignment="1">
      <alignment horizontal="right" vertical="top" shrinkToFit="1"/>
    </xf>
    <xf numFmtId="4" fontId="8" fillId="4" borderId="1" xfId="0" applyNumberFormat="1" applyFont="1" applyFill="1" applyBorder="1" applyAlignment="1">
      <alignment horizontal="right" vertical="top" shrinkToFit="1"/>
    </xf>
    <xf numFmtId="43" fontId="3" fillId="4" borderId="1" xfId="0" applyNumberFormat="1" applyFont="1" applyFill="1" applyBorder="1"/>
    <xf numFmtId="0" fontId="3" fillId="4" borderId="1" xfId="0" applyFont="1" applyFill="1" applyBorder="1"/>
    <xf numFmtId="43" fontId="2" fillId="4" borderId="1" xfId="6" applyFont="1" applyFill="1" applyBorder="1" applyAlignment="1">
      <alignment horizontal="right" vertical="top"/>
    </xf>
    <xf numFmtId="43" fontId="7" fillId="4" borderId="1" xfId="6" applyFont="1" applyFill="1" applyBorder="1" applyAlignment="1">
      <alignment horizontal="right" vertical="top" wrapText="1"/>
    </xf>
    <xf numFmtId="43" fontId="6" fillId="4" borderId="1" xfId="6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top"/>
    </xf>
    <xf numFmtId="4" fontId="8" fillId="4" borderId="1" xfId="4" applyNumberFormat="1" applyFont="1" applyFill="1" applyBorder="1" applyProtection="1">
      <alignment horizontal="right" vertical="top" shrinkToFit="1"/>
    </xf>
    <xf numFmtId="4" fontId="9" fillId="4" borderId="1" xfId="2" applyNumberFormat="1" applyFont="1" applyFill="1" applyBorder="1" applyProtection="1">
      <alignment horizontal="right" vertical="top" shrinkToFit="1"/>
    </xf>
    <xf numFmtId="4" fontId="6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4" fontId="6" fillId="4" borderId="1" xfId="0" applyNumberFormat="1" applyFont="1" applyFill="1" applyBorder="1" applyAlignment="1">
      <alignment horizontal="right" vertical="top" wrapText="1"/>
    </xf>
    <xf numFmtId="2" fontId="6" fillId="4" borderId="1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7" xfId="0" applyFont="1" applyFill="1" applyBorder="1"/>
    <xf numFmtId="0" fontId="2" fillId="4" borderId="1" xfId="0" applyFont="1" applyFill="1" applyBorder="1" applyAlignment="1">
      <alignment horizontal="center" wrapText="1"/>
    </xf>
    <xf numFmtId="43" fontId="6" fillId="4" borderId="1" xfId="6" applyFont="1" applyFill="1" applyBorder="1" applyAlignment="1">
      <alignment vertical="top"/>
    </xf>
    <xf numFmtId="164" fontId="6" fillId="4" borderId="1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horizontal="center" vertical="top" wrapText="1"/>
    </xf>
    <xf numFmtId="4" fontId="5" fillId="4" borderId="1" xfId="2" applyNumberFormat="1" applyFont="1" applyFill="1" applyBorder="1" applyAlignment="1" applyProtection="1">
      <alignment horizontal="center" vertical="top" shrinkToFit="1"/>
    </xf>
    <xf numFmtId="0" fontId="14" fillId="4" borderId="1" xfId="5" applyNumberFormat="1" applyFont="1" applyFill="1" applyBorder="1" applyProtection="1">
      <alignment horizontal="left" vertical="top" wrapText="1"/>
    </xf>
    <xf numFmtId="43" fontId="7" fillId="4" borderId="1" xfId="0" applyNumberFormat="1" applyFont="1" applyFill="1" applyBorder="1" applyAlignment="1">
      <alignment horizontal="right" vertical="top" wrapText="1"/>
    </xf>
    <xf numFmtId="43" fontId="6" fillId="4" borderId="1" xfId="0" applyNumberFormat="1" applyFont="1" applyFill="1" applyBorder="1" applyAlignment="1">
      <alignment horizontal="right" vertical="top" wrapText="1"/>
    </xf>
    <xf numFmtId="4" fontId="14" fillId="4" borderId="1" xfId="2" applyNumberFormat="1" applyFont="1" applyFill="1" applyBorder="1" applyProtection="1">
      <alignment horizontal="right" vertical="top" shrinkToFit="1"/>
    </xf>
    <xf numFmtId="4" fontId="12" fillId="4" borderId="1" xfId="2" applyNumberFormat="1" applyFont="1" applyFill="1" applyBorder="1" applyProtection="1">
      <alignment horizontal="right" vertical="top" shrinkToFit="1"/>
    </xf>
    <xf numFmtId="4" fontId="13" fillId="4" borderId="1" xfId="0" applyNumberFormat="1" applyFont="1" applyFill="1" applyBorder="1" applyAlignment="1">
      <alignment horizontal="right" vertical="top" shrinkToFit="1"/>
    </xf>
    <xf numFmtId="4" fontId="11" fillId="4" borderId="1" xfId="7" applyNumberFormat="1" applyFill="1" applyBorder="1" applyProtection="1">
      <alignment horizontal="right" vertical="top" shrinkToFit="1"/>
    </xf>
    <xf numFmtId="4" fontId="6" fillId="4" borderId="1" xfId="0" applyNumberFormat="1" applyFont="1" applyFill="1" applyBorder="1" applyAlignment="1" applyProtection="1">
      <alignment horizontal="right" vertical="top" shrinkToFit="1"/>
    </xf>
    <xf numFmtId="4" fontId="10" fillId="4" borderId="1" xfId="0" applyNumberFormat="1" applyFont="1" applyFill="1" applyBorder="1" applyAlignment="1" applyProtection="1">
      <alignment horizontal="right" vertical="top" shrinkToFit="1"/>
    </xf>
    <xf numFmtId="4" fontId="11" fillId="4" borderId="1" xfId="0" applyNumberFormat="1" applyFont="1" applyFill="1" applyBorder="1" applyAlignment="1" applyProtection="1">
      <alignment horizontal="right" vertical="top" shrinkToFit="1"/>
    </xf>
    <xf numFmtId="43" fontId="11" fillId="4" borderId="1" xfId="0" applyNumberFormat="1" applyFont="1" applyFill="1" applyBorder="1" applyAlignment="1">
      <alignment horizontal="right" vertical="top" shrinkToFit="1"/>
    </xf>
    <xf numFmtId="4" fontId="9" fillId="4" borderId="1" xfId="0" applyNumberFormat="1" applyFont="1" applyFill="1" applyBorder="1" applyAlignment="1">
      <alignment horizontal="right" vertical="top" shrinkToFit="1"/>
    </xf>
    <xf numFmtId="0" fontId="9" fillId="4" borderId="1" xfId="0" applyFont="1" applyFill="1" applyBorder="1" applyAlignment="1">
      <alignment shrinkToFit="1"/>
    </xf>
    <xf numFmtId="0" fontId="8" fillId="4" borderId="1" xfId="0" applyFont="1" applyFill="1" applyBorder="1" applyAlignment="1">
      <alignment shrinkToFit="1"/>
    </xf>
    <xf numFmtId="0" fontId="2" fillId="0" borderId="1" xfId="0" applyFont="1" applyBorder="1"/>
    <xf numFmtId="0" fontId="2" fillId="4" borderId="2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4" fontId="6" fillId="4" borderId="1" xfId="0" applyNumberFormat="1" applyFont="1" applyFill="1" applyBorder="1" applyAlignment="1">
      <alignment horizontal="center" vertical="top" wrapText="1"/>
    </xf>
    <xf numFmtId="43" fontId="11" fillId="4" borderId="1" xfId="6" applyFont="1" applyFill="1" applyBorder="1" applyAlignment="1">
      <alignment horizontal="center" vertical="top" shrinkToFit="1"/>
    </xf>
    <xf numFmtId="0" fontId="6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vertical="top" wrapText="1"/>
    </xf>
    <xf numFmtId="4" fontId="7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2" fontId="6" fillId="4" borderId="1" xfId="0" applyNumberFormat="1" applyFont="1" applyFill="1" applyBorder="1" applyAlignment="1">
      <alignment horizontal="right" vertical="top" wrapText="1"/>
    </xf>
    <xf numFmtId="4" fontId="7" fillId="4" borderId="1" xfId="0" applyNumberFormat="1" applyFont="1" applyFill="1" applyBorder="1" applyAlignment="1">
      <alignment horizontal="right" vertical="top" wrapText="1"/>
    </xf>
    <xf numFmtId="0" fontId="15" fillId="0" borderId="0" xfId="0" applyFont="1" applyFill="1" applyBorder="1" applyAlignment="1" applyProtection="1">
      <alignment horizontal="center"/>
      <protection locked="0"/>
    </xf>
    <xf numFmtId="2" fontId="6" fillId="4" borderId="1" xfId="0" applyNumberFormat="1" applyFont="1" applyFill="1" applyBorder="1" applyAlignment="1">
      <alignment horizontal="center" vertical="top" wrapText="1"/>
    </xf>
  </cellXfs>
  <cellStyles count="8">
    <cellStyle name="ex79" xfId="4"/>
    <cellStyle name="ex83" xfId="7"/>
    <cellStyle name="st66" xfId="1"/>
    <cellStyle name="xl26" xfId="5"/>
    <cellStyle name="xl40" xfId="2"/>
    <cellStyle name="xl65" xfId="3"/>
    <cellStyle name="Обычный" xfId="0" builtinId="0"/>
    <cellStyle name="Финансовый" xfId="6" builtinId="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98"/>
  <sheetViews>
    <sheetView tabSelected="1" view="pageBreakPreview" topLeftCell="I1" zoomScaleNormal="80" zoomScaleSheetLayoutView="100" workbookViewId="0">
      <selection activeCell="V8" sqref="V8"/>
    </sheetView>
  </sheetViews>
  <sheetFormatPr defaultRowHeight="15"/>
  <cols>
    <col min="1" max="1" width="25.28515625" style="11" customWidth="1"/>
    <col min="2" max="2" width="10" style="10" customWidth="1"/>
    <col min="3" max="3" width="12.42578125" style="11" customWidth="1"/>
    <col min="4" max="4" width="13.140625" style="11" customWidth="1"/>
    <col min="5" max="5" width="19.5703125" style="11" customWidth="1"/>
    <col min="6" max="6" width="11.85546875" style="11" customWidth="1"/>
    <col min="7" max="7" width="22.5703125" style="11" customWidth="1"/>
    <col min="8" max="8" width="19.5703125" style="11" customWidth="1"/>
    <col min="9" max="9" width="18.140625" style="12" customWidth="1"/>
    <col min="10" max="10" width="19.140625" style="9" customWidth="1"/>
    <col min="11" max="11" width="19.42578125" style="9" customWidth="1"/>
    <col min="12" max="12" width="21" style="9" customWidth="1"/>
    <col min="13" max="13" width="18.85546875" style="9" hidden="1" customWidth="1"/>
    <col min="14" max="15" width="17.7109375" style="9" hidden="1" customWidth="1"/>
    <col min="16" max="16" width="25.42578125" style="9" hidden="1" customWidth="1"/>
    <col min="17" max="17" width="22.28515625" style="9" hidden="1" customWidth="1"/>
    <col min="18" max="18" width="0.140625" style="9" customWidth="1"/>
    <col min="19" max="19" width="25.5703125" style="9" customWidth="1"/>
    <col min="20" max="20" width="23.140625" style="9" customWidth="1"/>
    <col min="21" max="21" width="23.28515625" style="9" customWidth="1"/>
    <col min="22" max="22" width="25.5703125" style="9" customWidth="1"/>
    <col min="23" max="23" width="23.140625" style="9" customWidth="1"/>
    <col min="24" max="24" width="23.28515625" style="9" customWidth="1"/>
    <col min="25" max="28" width="23.28515625" style="9" hidden="1" customWidth="1"/>
    <col min="29" max="29" width="19.85546875" style="9" customWidth="1"/>
    <col min="30" max="30" width="18.42578125" style="4" hidden="1" customWidth="1"/>
    <col min="32" max="32" width="15" bestFit="1" customWidth="1"/>
  </cols>
  <sheetData>
    <row r="1" spans="1:32" ht="18.75">
      <c r="A1" s="101" t="s">
        <v>350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</row>
    <row r="2" spans="1:32">
      <c r="A2" s="14"/>
      <c r="B2" s="15"/>
      <c r="C2" s="14"/>
      <c r="D2" s="14"/>
      <c r="E2" s="30"/>
      <c r="F2" s="14"/>
      <c r="G2" s="8"/>
      <c r="H2" s="8"/>
      <c r="I2" s="8"/>
      <c r="J2" s="8"/>
      <c r="K2" s="8"/>
      <c r="L2" s="8"/>
      <c r="Y2" s="31"/>
      <c r="Z2" s="31"/>
      <c r="AA2" s="31"/>
    </row>
    <row r="3" spans="1:3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U3" s="13"/>
      <c r="X3" s="13"/>
      <c r="Y3" s="32"/>
      <c r="Z3" s="13"/>
      <c r="AA3" s="13"/>
      <c r="AB3" s="13"/>
      <c r="AC3" s="13" t="s">
        <v>289</v>
      </c>
      <c r="AD3" s="6" t="s">
        <v>289</v>
      </c>
    </row>
    <row r="4" spans="1:32" ht="43.5" customHeight="1">
      <c r="A4" s="85" t="s">
        <v>0</v>
      </c>
      <c r="B4" s="85" t="s">
        <v>279</v>
      </c>
      <c r="C4" s="85" t="s">
        <v>277</v>
      </c>
      <c r="D4" s="85" t="s">
        <v>1</v>
      </c>
      <c r="E4" s="85" t="s">
        <v>278</v>
      </c>
      <c r="F4" s="85" t="s">
        <v>361</v>
      </c>
      <c r="G4" s="85" t="s">
        <v>349</v>
      </c>
      <c r="H4" s="85"/>
      <c r="I4" s="85"/>
      <c r="J4" s="85" t="s">
        <v>347</v>
      </c>
      <c r="K4" s="96"/>
      <c r="L4" s="96"/>
      <c r="M4" s="84" t="s">
        <v>322</v>
      </c>
      <c r="N4" s="84"/>
      <c r="O4" s="84"/>
      <c r="P4" s="87" t="s">
        <v>280</v>
      </c>
      <c r="Q4" s="95"/>
      <c r="R4" s="95"/>
      <c r="S4" s="84" t="s">
        <v>280</v>
      </c>
      <c r="T4" s="85"/>
      <c r="U4" s="86"/>
      <c r="V4" s="84" t="s">
        <v>351</v>
      </c>
      <c r="W4" s="85"/>
      <c r="X4" s="86"/>
      <c r="Y4" s="84" t="s">
        <v>324</v>
      </c>
      <c r="Z4" s="85"/>
      <c r="AA4" s="86"/>
      <c r="AB4" s="47" t="s">
        <v>323</v>
      </c>
      <c r="AC4" s="84" t="s">
        <v>325</v>
      </c>
      <c r="AD4" s="85"/>
    </row>
    <row r="5" spans="1:32" ht="19.5" customHeight="1">
      <c r="A5" s="85"/>
      <c r="B5" s="85"/>
      <c r="C5" s="85"/>
      <c r="D5" s="85"/>
      <c r="E5" s="85"/>
      <c r="F5" s="85"/>
      <c r="G5" s="85" t="s">
        <v>2</v>
      </c>
      <c r="H5" s="88" t="s">
        <v>3</v>
      </c>
      <c r="I5" s="89"/>
      <c r="J5" s="85" t="s">
        <v>2</v>
      </c>
      <c r="K5" s="85" t="s">
        <v>3</v>
      </c>
      <c r="L5" s="85"/>
      <c r="M5" s="85" t="s">
        <v>2</v>
      </c>
      <c r="N5" s="85" t="s">
        <v>3</v>
      </c>
      <c r="O5" s="85"/>
      <c r="P5" s="85" t="s">
        <v>2</v>
      </c>
      <c r="Q5" s="85" t="s">
        <v>3</v>
      </c>
      <c r="R5" s="85"/>
      <c r="S5" s="85" t="s">
        <v>2</v>
      </c>
      <c r="T5" s="85" t="s">
        <v>3</v>
      </c>
      <c r="U5" s="85"/>
      <c r="V5" s="85" t="s">
        <v>2</v>
      </c>
      <c r="W5" s="85" t="s">
        <v>3</v>
      </c>
      <c r="X5" s="85"/>
      <c r="Y5" s="85" t="s">
        <v>2</v>
      </c>
      <c r="Z5" s="85" t="s">
        <v>3</v>
      </c>
      <c r="AA5" s="85"/>
      <c r="AB5" s="93" t="s">
        <v>281</v>
      </c>
      <c r="AC5" s="93" t="s">
        <v>281</v>
      </c>
      <c r="AD5" s="93" t="s">
        <v>318</v>
      </c>
    </row>
    <row r="6" spans="1:32" ht="67.5" customHeight="1">
      <c r="A6" s="85"/>
      <c r="B6" s="85"/>
      <c r="C6" s="96"/>
      <c r="D6" s="96"/>
      <c r="E6" s="96"/>
      <c r="F6" s="96"/>
      <c r="G6" s="85"/>
      <c r="H6" s="47" t="s">
        <v>4</v>
      </c>
      <c r="I6" s="47" t="s">
        <v>5</v>
      </c>
      <c r="J6" s="85"/>
      <c r="K6" s="47" t="s">
        <v>4</v>
      </c>
      <c r="L6" s="47" t="s">
        <v>5</v>
      </c>
      <c r="M6" s="85"/>
      <c r="N6" s="48" t="s">
        <v>4</v>
      </c>
      <c r="O6" s="48" t="s">
        <v>5</v>
      </c>
      <c r="P6" s="85"/>
      <c r="Q6" s="48" t="s">
        <v>4</v>
      </c>
      <c r="R6" s="48" t="s">
        <v>5</v>
      </c>
      <c r="S6" s="85"/>
      <c r="T6" s="48" t="s">
        <v>4</v>
      </c>
      <c r="U6" s="48" t="s">
        <v>5</v>
      </c>
      <c r="V6" s="85"/>
      <c r="W6" s="48" t="s">
        <v>4</v>
      </c>
      <c r="X6" s="48" t="s">
        <v>5</v>
      </c>
      <c r="Y6" s="85"/>
      <c r="Z6" s="48" t="s">
        <v>4</v>
      </c>
      <c r="AA6" s="48" t="s">
        <v>5</v>
      </c>
      <c r="AB6" s="94"/>
      <c r="AC6" s="94"/>
      <c r="AD6" s="94"/>
    </row>
    <row r="7" spans="1:32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  <c r="I7" s="48">
        <v>9</v>
      </c>
      <c r="J7" s="54">
        <v>7</v>
      </c>
      <c r="K7" s="18">
        <v>8</v>
      </c>
      <c r="L7" s="18">
        <v>9</v>
      </c>
      <c r="M7" s="18">
        <v>10</v>
      </c>
      <c r="N7" s="18">
        <v>11</v>
      </c>
      <c r="O7" s="18">
        <v>12</v>
      </c>
      <c r="P7" s="18">
        <v>16</v>
      </c>
      <c r="Q7" s="18">
        <v>17</v>
      </c>
      <c r="R7" s="18">
        <v>18</v>
      </c>
      <c r="S7" s="18">
        <v>10</v>
      </c>
      <c r="T7" s="18">
        <v>11</v>
      </c>
      <c r="U7" s="18">
        <v>12</v>
      </c>
      <c r="V7" s="18">
        <v>10</v>
      </c>
      <c r="W7" s="18">
        <v>11</v>
      </c>
      <c r="X7" s="18">
        <v>12</v>
      </c>
      <c r="Y7" s="18">
        <v>13</v>
      </c>
      <c r="Z7" s="18">
        <v>14</v>
      </c>
      <c r="AA7" s="18">
        <v>15</v>
      </c>
      <c r="AB7" s="18">
        <v>16</v>
      </c>
      <c r="AC7" s="18">
        <v>16</v>
      </c>
      <c r="AD7" s="18">
        <v>23</v>
      </c>
    </row>
    <row r="8" spans="1:32" s="5" customFormat="1" ht="14.25" customHeight="1">
      <c r="A8" s="80" t="s">
        <v>6</v>
      </c>
      <c r="B8" s="80"/>
      <c r="C8" s="80"/>
      <c r="D8" s="80"/>
      <c r="E8" s="80"/>
      <c r="F8" s="80"/>
      <c r="G8" s="19">
        <f>H8+I8</f>
        <v>11460342924.150002</v>
      </c>
      <c r="H8" s="19">
        <f>H9+H10</f>
        <v>8141616506.7200003</v>
      </c>
      <c r="I8" s="19">
        <f>I9+I10</f>
        <v>3318726417.4300003</v>
      </c>
      <c r="J8" s="19">
        <f>K8+L8</f>
        <v>11460342924.150002</v>
      </c>
      <c r="K8" s="19">
        <f>K9+K10</f>
        <v>8141616506.7200003</v>
      </c>
      <c r="L8" s="19">
        <f>L9+L10</f>
        <v>3318726417.4300003</v>
      </c>
      <c r="M8" s="19" t="e">
        <f>№8+O8</f>
        <v>#NAME?</v>
      </c>
      <c r="N8" s="19" t="e">
        <f>№11+№53+№92+№105+№146+№152+№163+№175+№181+№214+№242+№251+№271+№288</f>
        <v>#NAME?</v>
      </c>
      <c r="O8" s="19">
        <f t="shared" ref="O8:R8" si="0">O11+O53+O92+O105+O146+O152+O163+O175+O181+O214+O242+O251+O271+O288</f>
        <v>1821225042.6800003</v>
      </c>
      <c r="P8" s="19">
        <f t="shared" ref="P8:P13" si="1">Q8+R8</f>
        <v>6454150938.7999992</v>
      </c>
      <c r="Q8" s="19">
        <f t="shared" si="0"/>
        <v>4623231819.29</v>
      </c>
      <c r="R8" s="19">
        <f t="shared" si="0"/>
        <v>1830919119.5099995</v>
      </c>
      <c r="S8" s="19">
        <f>T8+U8</f>
        <v>10495341789.960001</v>
      </c>
      <c r="T8" s="19">
        <f>T9+T10</f>
        <v>7328621872.8400011</v>
      </c>
      <c r="U8" s="19">
        <f>U9+U10</f>
        <v>3166719917.1200004</v>
      </c>
      <c r="V8" s="19">
        <f>W8+X8</f>
        <v>10483542955.650002</v>
      </c>
      <c r="W8" s="19">
        <f>W9+W10</f>
        <v>7328621872.750001</v>
      </c>
      <c r="X8" s="19">
        <f>X9+X10</f>
        <v>3154921082.9000006</v>
      </c>
      <c r="Y8" s="19">
        <f>Z8+AA8</f>
        <v>976799968.49999905</v>
      </c>
      <c r="Z8" s="19">
        <f>K8-W8</f>
        <v>812994633.96999931</v>
      </c>
      <c r="AA8" s="19">
        <f>L8-X8</f>
        <v>163805334.52999973</v>
      </c>
      <c r="AB8" s="7" t="e">
        <f>M8/J8*100</f>
        <v>#NAME?</v>
      </c>
      <c r="AC8" s="7">
        <f>V8/J8*100</f>
        <v>91.476695113183553</v>
      </c>
      <c r="AD8" s="7" t="e">
        <f>S8/M8*100</f>
        <v>#NAME?</v>
      </c>
      <c r="AF8" s="16"/>
    </row>
    <row r="9" spans="1:32" ht="16.5" customHeight="1">
      <c r="A9" s="81" t="s">
        <v>7</v>
      </c>
      <c r="B9" s="81"/>
      <c r="C9" s="81"/>
      <c r="D9" s="81"/>
      <c r="E9" s="81"/>
      <c r="F9" s="81"/>
      <c r="G9" s="49">
        <f t="shared" ref="G9:G13" si="2">H9+I9</f>
        <v>7474970296.5699997</v>
      </c>
      <c r="H9" s="49">
        <f>H12+H54+H93+H106+H182+H215+H243+H272+H164</f>
        <v>6701115301.54</v>
      </c>
      <c r="I9" s="49">
        <f>I12+I54+I93+I106+I182+I215+I243+I272+I164</f>
        <v>773854995.02999997</v>
      </c>
      <c r="J9" s="49">
        <f t="shared" ref="J9:J13" si="3">K9+L9</f>
        <v>7474970296.5699997</v>
      </c>
      <c r="K9" s="49">
        <f>K12+K54+K93+K106+K182+K215+K243+K272+K164</f>
        <v>6701115301.54</v>
      </c>
      <c r="L9" s="49">
        <f>L12+L54+L93+L106+L182+L215+L243+L272+L164</f>
        <v>773854995.02999997</v>
      </c>
      <c r="M9" s="49" t="e">
        <f>№9+O9</f>
        <v>#NAME?</v>
      </c>
      <c r="N9" s="49" t="e">
        <f>№12+№54+№93+№106+№182+№215+№243+№272</f>
        <v>#NAME?</v>
      </c>
      <c r="O9" s="49">
        <f>O12+O54+O93+O106+O182+O215+O243+O272</f>
        <v>564680220.22000003</v>
      </c>
      <c r="P9" s="49">
        <f t="shared" si="1"/>
        <v>4770520213.6199999</v>
      </c>
      <c r="Q9" s="49">
        <f>Q12+Q54+Q93+Q106+Q182+Q215+Q243+Q272</f>
        <v>4205686360.6500001</v>
      </c>
      <c r="R9" s="49">
        <f>R12+R54+R93+R106+R182+R215+R243+R272</f>
        <v>564833852.97000015</v>
      </c>
      <c r="S9" s="49">
        <f>T9+U9</f>
        <v>7471774420.5200014</v>
      </c>
      <c r="T9" s="49">
        <f>T12+T54+T93+T106+T182+T215+T243+T272+T164</f>
        <v>6699172291.6000013</v>
      </c>
      <c r="U9" s="49">
        <f>U12+U54+U93+U106+U182+U215+U243+U272+U164</f>
        <v>772602128.92000008</v>
      </c>
      <c r="V9" s="49">
        <f>W9+X9</f>
        <v>7471774420.5200014</v>
      </c>
      <c r="W9" s="49">
        <f>W12+W54+W93+W106+W182+W215+W243+W272+W164</f>
        <v>6699172291.5100012</v>
      </c>
      <c r="X9" s="49">
        <f>X12+X54+X93+X106+X182+X215+X243+X272+X164</f>
        <v>772602129.00999999</v>
      </c>
      <c r="Y9" s="19">
        <f t="shared" ref="Y9:Y72" si="4">Z9+AA9</f>
        <v>3195876.0499987602</v>
      </c>
      <c r="Z9" s="19">
        <f t="shared" ref="Z9:Z72" si="5">K9-W9</f>
        <v>1943010.0299987793</v>
      </c>
      <c r="AA9" s="19">
        <f t="shared" ref="AA9:AA72" si="6">L9-X9</f>
        <v>1252866.0199999809</v>
      </c>
      <c r="AB9" s="7" t="e">
        <f>M9/J9*100</f>
        <v>#NAME?</v>
      </c>
      <c r="AC9" s="7">
        <f t="shared" ref="AC9:AC26" si="7">V9/J9*100</f>
        <v>99.957245635458051</v>
      </c>
      <c r="AD9" s="50" t="e">
        <f t="shared" ref="AD9:AD76" si="8">S9/M9*100</f>
        <v>#NAME?</v>
      </c>
    </row>
    <row r="10" spans="1:32" ht="13.5" customHeight="1">
      <c r="A10" s="81" t="s">
        <v>8</v>
      </c>
      <c r="B10" s="81"/>
      <c r="C10" s="81"/>
      <c r="D10" s="81"/>
      <c r="E10" s="81"/>
      <c r="F10" s="81"/>
      <c r="G10" s="49">
        <f t="shared" si="2"/>
        <v>3985372627.5800009</v>
      </c>
      <c r="H10" s="49">
        <f>H13+H55+H94+H107+H154+H165+H177+H183+H216+H244+H253+H267+H273+H290+H295</f>
        <v>1440501205.1800001</v>
      </c>
      <c r="I10" s="49">
        <f>I13+I55+I94+I107+I149+I154+I165+I177+I183+I216+I244+I253+I267+I273+I290+I295+I88</f>
        <v>2544871422.4000006</v>
      </c>
      <c r="J10" s="49">
        <f t="shared" si="3"/>
        <v>3985372627.5800009</v>
      </c>
      <c r="K10" s="49">
        <f>K13+K55+K94+K107+K154+K165+K177+K183+K216+K244+K253+K267+K273+K290+K295</f>
        <v>1440501205.1800001</v>
      </c>
      <c r="L10" s="49">
        <f>L13+L55+L94+L107+L149+L154+L165+L177+L183+L216+L244+L253+L267+L273+L290+L295+L88</f>
        <v>2544871422.4000006</v>
      </c>
      <c r="M10" s="49" t="e">
        <f>№10+O10</f>
        <v>#NAME?</v>
      </c>
      <c r="N10" s="49" t="e">
        <f>№13+№55+№94+№107+№154+№165+№177+№183+№216+№244+№253+№267+№273+№290</f>
        <v>#NAME?</v>
      </c>
      <c r="O10" s="49">
        <f>O13+O55+O94+O107+O149+O154+O165+O177+O183+O216+O244+O253+O267+O273+O290</f>
        <v>1256544822.4600003</v>
      </c>
      <c r="P10" s="49">
        <f t="shared" si="1"/>
        <v>1683630725.1799998</v>
      </c>
      <c r="Q10" s="49">
        <f>Q13+Q55+Q94+Q107+Q154+Q165+Q177+Q183+Q216+Q244+Q253+Q267+Q273+Q290</f>
        <v>417545458.63999999</v>
      </c>
      <c r="R10" s="49">
        <f>R13+R55+R94+R107+R149+R154+R165+R177+R183+R216+R244+R253+R267+R273+R290</f>
        <v>1266085266.54</v>
      </c>
      <c r="S10" s="49">
        <f>T10+U10</f>
        <v>3023567369.4400005</v>
      </c>
      <c r="T10" s="49">
        <f>T13+T55+T94+T107+T154+T165+T177+T183+T216+T244+T253+T267+T273+T290+T295</f>
        <v>629449581.24000001</v>
      </c>
      <c r="U10" s="49">
        <f>U13+U55+U94+U107+U149+U154+U165+U177+U183+U216+U244+U253+U267+U273+U290+U295+U88</f>
        <v>2394117788.2000003</v>
      </c>
      <c r="V10" s="49">
        <f>W10+X10</f>
        <v>3011768535.1300001</v>
      </c>
      <c r="W10" s="49">
        <f>W13+W55+W94+W107+W154+W165+W177+W183+W216+W244+W253+W267+W273+W290+W295</f>
        <v>629449581.24000001</v>
      </c>
      <c r="X10" s="49">
        <f>X13+X55+X94+X107+X149+X154+X165+X177+X183+X216+X244+X253+X267+X273+X290+X295+X88</f>
        <v>2382318953.8900003</v>
      </c>
      <c r="Y10" s="19">
        <f t="shared" si="4"/>
        <v>973604092.45000029</v>
      </c>
      <c r="Z10" s="19">
        <f t="shared" si="5"/>
        <v>811051623.94000006</v>
      </c>
      <c r="AA10" s="19">
        <f t="shared" si="6"/>
        <v>162552468.51000023</v>
      </c>
      <c r="AB10" s="7" t="e">
        <f t="shared" ref="AB10:AB28" si="9">M10/J10*100</f>
        <v>#NAME?</v>
      </c>
      <c r="AC10" s="7">
        <f t="shared" si="7"/>
        <v>75.570563070756251</v>
      </c>
      <c r="AD10" s="50" t="e">
        <f t="shared" si="8"/>
        <v>#NAME?</v>
      </c>
      <c r="AF10" s="17"/>
    </row>
    <row r="11" spans="1:32" s="5" customFormat="1" ht="31.5" customHeight="1">
      <c r="A11" s="80" t="s">
        <v>9</v>
      </c>
      <c r="B11" s="80"/>
      <c r="C11" s="80"/>
      <c r="D11" s="80"/>
      <c r="E11" s="80"/>
      <c r="F11" s="80"/>
      <c r="G11" s="19">
        <f t="shared" si="2"/>
        <v>3285254228.02</v>
      </c>
      <c r="H11" s="19">
        <f t="shared" ref="H11:I11" si="10">H12+H13</f>
        <v>2801095647.0999999</v>
      </c>
      <c r="I11" s="19">
        <f t="shared" si="10"/>
        <v>484158580.92000002</v>
      </c>
      <c r="J11" s="19">
        <f t="shared" si="3"/>
        <v>3285254228.02</v>
      </c>
      <c r="K11" s="19">
        <f t="shared" ref="K11:L11" si="11">K12+K13</f>
        <v>2801095647.0999999</v>
      </c>
      <c r="L11" s="19">
        <f t="shared" si="11"/>
        <v>484158580.92000002</v>
      </c>
      <c r="M11" s="19" t="e">
        <f>№11+O11</f>
        <v>#NAME?</v>
      </c>
      <c r="N11" s="19" t="e">
        <f>№12+№13</f>
        <v>#NAME?</v>
      </c>
      <c r="O11" s="19">
        <f t="shared" ref="O11" si="12">O12+O13</f>
        <v>277194899.90000004</v>
      </c>
      <c r="P11" s="19">
        <f t="shared" si="1"/>
        <v>1849151021.0300002</v>
      </c>
      <c r="Q11" s="19">
        <f t="shared" ref="Q11:R11" si="13">Q12+Q13</f>
        <v>1569311928.1100001</v>
      </c>
      <c r="R11" s="19">
        <f t="shared" si="13"/>
        <v>279839092.92000002</v>
      </c>
      <c r="S11" s="19">
        <f t="shared" ref="S11:X11" si="14">S12+S13</f>
        <v>3040767389.5100002</v>
      </c>
      <c r="T11" s="19">
        <f t="shared" si="14"/>
        <v>2600539373.0300002</v>
      </c>
      <c r="U11" s="19">
        <f t="shared" si="14"/>
        <v>440228016.48000002</v>
      </c>
      <c r="V11" s="19">
        <f t="shared" si="14"/>
        <v>3040767389.5100002</v>
      </c>
      <c r="W11" s="19">
        <f t="shared" si="14"/>
        <v>2600539372.9400001</v>
      </c>
      <c r="X11" s="19">
        <f t="shared" si="14"/>
        <v>440228016.56999999</v>
      </c>
      <c r="Y11" s="19">
        <f t="shared" si="4"/>
        <v>244486838.50999987</v>
      </c>
      <c r="Z11" s="19">
        <f t="shared" si="5"/>
        <v>200556274.15999985</v>
      </c>
      <c r="AA11" s="19">
        <f t="shared" si="6"/>
        <v>43930564.350000024</v>
      </c>
      <c r="AB11" s="7" t="e">
        <f t="shared" si="9"/>
        <v>#NAME?</v>
      </c>
      <c r="AC11" s="7">
        <f t="shared" si="7"/>
        <v>92.558054216177041</v>
      </c>
      <c r="AD11" s="7" t="e">
        <f t="shared" si="8"/>
        <v>#NAME?</v>
      </c>
    </row>
    <row r="12" spans="1:32">
      <c r="A12" s="81" t="s">
        <v>7</v>
      </c>
      <c r="B12" s="81"/>
      <c r="C12" s="81"/>
      <c r="D12" s="81"/>
      <c r="E12" s="81"/>
      <c r="F12" s="81"/>
      <c r="G12" s="49">
        <f t="shared" si="2"/>
        <v>2850936651.5499997</v>
      </c>
      <c r="H12" s="49">
        <f>H14-H13</f>
        <v>2602475647.0999999</v>
      </c>
      <c r="I12" s="49">
        <f>I14-I13</f>
        <v>248461004.44999999</v>
      </c>
      <c r="J12" s="49">
        <f t="shared" si="3"/>
        <v>2850936651.5499997</v>
      </c>
      <c r="K12" s="49">
        <f>K14-K13</f>
        <v>2602475647.0999999</v>
      </c>
      <c r="L12" s="49">
        <f>L14-L13</f>
        <v>248461004.44999999</v>
      </c>
      <c r="M12" s="49" t="e">
        <f>№12+O12</f>
        <v>#NAME?</v>
      </c>
      <c r="N12" s="49" t="e">
        <f>№14-№13</f>
        <v>#NAME?</v>
      </c>
      <c r="O12" s="49">
        <f>O14-O13</f>
        <v>145089038.06</v>
      </c>
      <c r="P12" s="49">
        <f t="shared" si="1"/>
        <v>1714400966.1700001</v>
      </c>
      <c r="Q12" s="49">
        <f>Q14-Q13</f>
        <v>1569311928.1100001</v>
      </c>
      <c r="R12" s="49">
        <f>R14-R13</f>
        <v>145089038.06000003</v>
      </c>
      <c r="S12" s="49">
        <f>T12+U12</f>
        <v>2848808900.8600001</v>
      </c>
      <c r="T12" s="49">
        <f>T14-T13</f>
        <v>2600539373.0300002</v>
      </c>
      <c r="U12" s="49">
        <f>U14-U13</f>
        <v>248269527.83000001</v>
      </c>
      <c r="V12" s="49">
        <f>W12+X12</f>
        <v>2848808900.8600001</v>
      </c>
      <c r="W12" s="49">
        <f>W14-W13</f>
        <v>2600539372.9400001</v>
      </c>
      <c r="X12" s="49">
        <f>X14-X13</f>
        <v>248269527.91999999</v>
      </c>
      <c r="Y12" s="19">
        <f t="shared" si="4"/>
        <v>2127750.6899998486</v>
      </c>
      <c r="Z12" s="19">
        <f t="shared" si="5"/>
        <v>1936274.1599998474</v>
      </c>
      <c r="AA12" s="19">
        <f t="shared" si="6"/>
        <v>191476.53000000119</v>
      </c>
      <c r="AB12" s="7" t="e">
        <f t="shared" si="9"/>
        <v>#NAME?</v>
      </c>
      <c r="AC12" s="7">
        <f t="shared" si="7"/>
        <v>99.925366609291615</v>
      </c>
      <c r="AD12" s="50" t="e">
        <f t="shared" si="8"/>
        <v>#NAME?</v>
      </c>
    </row>
    <row r="13" spans="1:32">
      <c r="A13" s="81" t="s">
        <v>8</v>
      </c>
      <c r="B13" s="81"/>
      <c r="C13" s="81"/>
      <c r="D13" s="81"/>
      <c r="E13" s="81"/>
      <c r="F13" s="81"/>
      <c r="G13" s="49">
        <f t="shared" si="2"/>
        <v>434317576.47000003</v>
      </c>
      <c r="H13" s="49">
        <v>198620000</v>
      </c>
      <c r="I13" s="49">
        <f>I20+I24+I21+I25+I28+I34+I38+I42+I45+I50+I39</f>
        <v>235697576.47000003</v>
      </c>
      <c r="J13" s="49">
        <f t="shared" si="3"/>
        <v>434317576.47000003</v>
      </c>
      <c r="K13" s="49">
        <v>198620000</v>
      </c>
      <c r="L13" s="49">
        <f>L20+L24+L21+L25+L28+L34+L38+L42+L45+L50+L39</f>
        <v>235697576.47000003</v>
      </c>
      <c r="M13" s="49" t="e">
        <f>№13+O13</f>
        <v>#NAME?</v>
      </c>
      <c r="N13" s="49"/>
      <c r="O13" s="49">
        <f>O20+O24+O21+O25+O28+O34+O38+O42+O45+O50+O39</f>
        <v>132105861.84000002</v>
      </c>
      <c r="P13" s="49">
        <f t="shared" si="1"/>
        <v>134750054.85999998</v>
      </c>
      <c r="Q13" s="49"/>
      <c r="R13" s="49">
        <f>R20+R24+R21+R25+R28+R34+R38+R42+R45+R50+R39</f>
        <v>134750054.85999998</v>
      </c>
      <c r="S13" s="49">
        <f>T13+U13</f>
        <v>191958488.65000001</v>
      </c>
      <c r="T13" s="49"/>
      <c r="U13" s="49">
        <f>U20+U24+U21+U25+U28+U34+U38+U42+U45+U50+U39</f>
        <v>191958488.65000001</v>
      </c>
      <c r="V13" s="49">
        <f>W13+X13</f>
        <v>191958488.65000001</v>
      </c>
      <c r="W13" s="49"/>
      <c r="X13" s="49">
        <f>X20+X24+X21+X25+X28+X34+X38+X42+X45+X50+X39</f>
        <v>191958488.65000001</v>
      </c>
      <c r="Y13" s="19">
        <f t="shared" si="4"/>
        <v>242359087.82000002</v>
      </c>
      <c r="Z13" s="19">
        <f t="shared" si="5"/>
        <v>198620000</v>
      </c>
      <c r="AA13" s="19">
        <f t="shared" si="6"/>
        <v>43739087.820000023</v>
      </c>
      <c r="AB13" s="7" t="e">
        <f t="shared" si="9"/>
        <v>#NAME?</v>
      </c>
      <c r="AC13" s="7">
        <f t="shared" si="7"/>
        <v>44.19772513242031</v>
      </c>
      <c r="AD13" s="50" t="e">
        <f t="shared" si="8"/>
        <v>#NAME?</v>
      </c>
    </row>
    <row r="14" spans="1:32" s="2" customFormat="1">
      <c r="A14" s="81" t="s">
        <v>10</v>
      </c>
      <c r="B14" s="81"/>
      <c r="C14" s="81"/>
      <c r="D14" s="81"/>
      <c r="E14" s="81"/>
      <c r="F14" s="81"/>
      <c r="G14" s="49">
        <f>G15</f>
        <v>3285254228.02</v>
      </c>
      <c r="H14" s="49">
        <f t="shared" ref="H14:X14" si="15">H15</f>
        <v>2801095647.0999999</v>
      </c>
      <c r="I14" s="49">
        <f t="shared" si="15"/>
        <v>484158580.92000002</v>
      </c>
      <c r="J14" s="49">
        <f>J15</f>
        <v>3285254228.02</v>
      </c>
      <c r="K14" s="49">
        <f t="shared" si="15"/>
        <v>2801095647.0999999</v>
      </c>
      <c r="L14" s="49">
        <f t="shared" si="15"/>
        <v>484158580.92000002</v>
      </c>
      <c r="M14" s="49" t="e">
        <f>M15</f>
        <v>#NAME?</v>
      </c>
      <c r="N14" s="49" t="e">
        <f>№15</f>
        <v>#NAME?</v>
      </c>
      <c r="O14" s="49">
        <f t="shared" si="15"/>
        <v>277194899.90000004</v>
      </c>
      <c r="P14" s="49">
        <f>P15</f>
        <v>1849151021.0300002</v>
      </c>
      <c r="Q14" s="49">
        <f t="shared" si="15"/>
        <v>1569311928.1100001</v>
      </c>
      <c r="R14" s="49">
        <f t="shared" si="15"/>
        <v>279839092.92000002</v>
      </c>
      <c r="S14" s="49">
        <f>S15</f>
        <v>3040767389.5100002</v>
      </c>
      <c r="T14" s="49">
        <f t="shared" si="15"/>
        <v>2600539373.0300002</v>
      </c>
      <c r="U14" s="49">
        <f t="shared" si="15"/>
        <v>440228016.48000002</v>
      </c>
      <c r="V14" s="49">
        <f>V15</f>
        <v>3040767389.5100002</v>
      </c>
      <c r="W14" s="49">
        <f t="shared" si="15"/>
        <v>2600539372.9400001</v>
      </c>
      <c r="X14" s="49">
        <f t="shared" si="15"/>
        <v>440228016.56999999</v>
      </c>
      <c r="Y14" s="19">
        <f t="shared" si="4"/>
        <v>244486838.50999987</v>
      </c>
      <c r="Z14" s="19">
        <f t="shared" si="5"/>
        <v>200556274.15999985</v>
      </c>
      <c r="AA14" s="19">
        <f t="shared" si="6"/>
        <v>43930564.350000024</v>
      </c>
      <c r="AB14" s="7" t="e">
        <f t="shared" si="9"/>
        <v>#NAME?</v>
      </c>
      <c r="AC14" s="7">
        <f t="shared" si="7"/>
        <v>92.558054216177041</v>
      </c>
      <c r="AD14" s="50" t="e">
        <f t="shared" si="8"/>
        <v>#NAME?</v>
      </c>
    </row>
    <row r="15" spans="1:32" s="5" customFormat="1" ht="18.75" customHeight="1">
      <c r="A15" s="80" t="s">
        <v>11</v>
      </c>
      <c r="B15" s="80"/>
      <c r="C15" s="80"/>
      <c r="D15" s="80"/>
      <c r="E15" s="80"/>
      <c r="F15" s="80"/>
      <c r="G15" s="19">
        <f>H15+I15</f>
        <v>3285254228.02</v>
      </c>
      <c r="H15" s="19">
        <f>H18+H21+H22+H25+H26+H34+H36+H40+H43+H48</f>
        <v>2801095647.0999999</v>
      </c>
      <c r="I15" s="19">
        <f>I18+I21+I22+I25+I26+I34+I36+I40+I43+I48+I39+I46</f>
        <v>484158580.92000002</v>
      </c>
      <c r="J15" s="19">
        <f>K15+L15</f>
        <v>3285254228.02</v>
      </c>
      <c r="K15" s="19">
        <f>K18+K21+K22+K25+K26+K34+K36+K40+K43+K48</f>
        <v>2801095647.0999999</v>
      </c>
      <c r="L15" s="19">
        <f>L18+L21+L22+L25+L26+L34+L36+L40+L43+L48+L39+L46</f>
        <v>484158580.92000002</v>
      </c>
      <c r="M15" s="19" t="e">
        <f>№15+O15</f>
        <v>#NAME?</v>
      </c>
      <c r="N15" s="19" t="e">
        <f>№18+№21+№22+№25+№26+№34+№36+№40+№43+№48</f>
        <v>#NAME?</v>
      </c>
      <c r="O15" s="19">
        <f>O18+O21+O22+O25+O26+O34+O36+O40+O43+O48+O39</f>
        <v>277194899.90000004</v>
      </c>
      <c r="P15" s="19">
        <f>Q15+R15</f>
        <v>1849151021.0300002</v>
      </c>
      <c r="Q15" s="19">
        <f>Q18+Q21+Q22+Q25+Q26+Q34+Q36+Q40+Q43+Q48</f>
        <v>1569311928.1100001</v>
      </c>
      <c r="R15" s="19">
        <f>R18+R21+R22+R25+R26+R34+R36+R40+R43+R48+R39</f>
        <v>279839092.92000002</v>
      </c>
      <c r="S15" s="19">
        <f>T15+U15</f>
        <v>3040767389.5100002</v>
      </c>
      <c r="T15" s="19">
        <f>T18+T21+T22+T25+T26+T34+T36+T40+T43+T48</f>
        <v>2600539373.0300002</v>
      </c>
      <c r="U15" s="19">
        <f>U18+U21+U22+U25+U26+U34+U36+U40+U43+U48+U39+U46</f>
        <v>440228016.48000002</v>
      </c>
      <c r="V15" s="19">
        <f>W15+X15</f>
        <v>3040767389.5100002</v>
      </c>
      <c r="W15" s="19">
        <f>W18+W21+W22+W25+W26+W34+W36+W40+W43+W48</f>
        <v>2600539372.9400001</v>
      </c>
      <c r="X15" s="19">
        <f>X18+X21+X22+X25+X26+X34+X36+X40+X43+X48+X39+X46</f>
        <v>440228016.56999999</v>
      </c>
      <c r="Y15" s="19">
        <f t="shared" si="4"/>
        <v>244486838.50999987</v>
      </c>
      <c r="Z15" s="19">
        <f t="shared" si="5"/>
        <v>200556274.15999985</v>
      </c>
      <c r="AA15" s="19">
        <f t="shared" si="6"/>
        <v>43930564.350000024</v>
      </c>
      <c r="AB15" s="7" t="e">
        <f t="shared" si="9"/>
        <v>#NAME?</v>
      </c>
      <c r="AC15" s="7">
        <f t="shared" si="7"/>
        <v>92.558054216177041</v>
      </c>
      <c r="AD15" s="7" t="e">
        <f t="shared" si="8"/>
        <v>#NAME?</v>
      </c>
    </row>
    <row r="16" spans="1:32" ht="123" hidden="1" customHeight="1">
      <c r="A16" s="46" t="s">
        <v>12</v>
      </c>
      <c r="B16" s="48" t="s">
        <v>13</v>
      </c>
      <c r="C16" s="48" t="s">
        <v>13</v>
      </c>
      <c r="D16" s="48" t="s">
        <v>14</v>
      </c>
      <c r="E16" s="48" t="s">
        <v>15</v>
      </c>
      <c r="F16" s="48" t="s">
        <v>16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19">
        <f t="shared" si="4"/>
        <v>0</v>
      </c>
      <c r="Z16" s="19">
        <f t="shared" si="5"/>
        <v>0</v>
      </c>
      <c r="AA16" s="19">
        <f t="shared" si="6"/>
        <v>0</v>
      </c>
      <c r="AB16" s="7"/>
      <c r="AC16" s="7" t="e">
        <f t="shared" si="7"/>
        <v>#DIV/0!</v>
      </c>
      <c r="AD16" s="50"/>
    </row>
    <row r="17" spans="1:30" ht="60" hidden="1" customHeight="1">
      <c r="A17" s="46" t="s">
        <v>17</v>
      </c>
      <c r="B17" s="48" t="s">
        <v>352</v>
      </c>
      <c r="C17" s="46"/>
      <c r="D17" s="46"/>
      <c r="E17" s="46"/>
      <c r="F17" s="46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19">
        <f t="shared" si="4"/>
        <v>0</v>
      </c>
      <c r="Z17" s="19">
        <f t="shared" si="5"/>
        <v>0</v>
      </c>
      <c r="AA17" s="19">
        <f t="shared" si="6"/>
        <v>0</v>
      </c>
      <c r="AB17" s="7"/>
      <c r="AC17" s="7" t="e">
        <f t="shared" si="7"/>
        <v>#DIV/0!</v>
      </c>
      <c r="AD17" s="50"/>
    </row>
    <row r="18" spans="1:30" ht="130.5" customHeight="1">
      <c r="A18" s="46" t="s">
        <v>18</v>
      </c>
      <c r="B18" s="48" t="s">
        <v>13</v>
      </c>
      <c r="C18" s="48" t="s">
        <v>13</v>
      </c>
      <c r="D18" s="48" t="s">
        <v>19</v>
      </c>
      <c r="E18" s="48" t="s">
        <v>15</v>
      </c>
      <c r="F18" s="48" t="s">
        <v>20</v>
      </c>
      <c r="G18" s="49">
        <f>H18+I18</f>
        <v>22400000</v>
      </c>
      <c r="H18" s="49">
        <f>H19</f>
        <v>0</v>
      </c>
      <c r="I18" s="49">
        <f>I19+I20</f>
        <v>22400000</v>
      </c>
      <c r="J18" s="49">
        <f>K18+L18</f>
        <v>22400000</v>
      </c>
      <c r="K18" s="49">
        <f>K19</f>
        <v>0</v>
      </c>
      <c r="L18" s="49">
        <f>L19+L20</f>
        <v>22400000</v>
      </c>
      <c r="M18" s="49">
        <v>0</v>
      </c>
      <c r="N18" s="49">
        <v>0</v>
      </c>
      <c r="O18" s="49">
        <v>0</v>
      </c>
      <c r="P18" s="49">
        <f>Q18+R18</f>
        <v>0</v>
      </c>
      <c r="Q18" s="49">
        <v>0</v>
      </c>
      <c r="R18" s="49">
        <f>R19+R20</f>
        <v>0</v>
      </c>
      <c r="S18" s="49">
        <f>T18+U18</f>
        <v>22400000</v>
      </c>
      <c r="T18" s="49">
        <v>0</v>
      </c>
      <c r="U18" s="49">
        <f>U19+U20</f>
        <v>22400000</v>
      </c>
      <c r="V18" s="49">
        <f>W18+X18</f>
        <v>22400000</v>
      </c>
      <c r="W18" s="49">
        <v>0</v>
      </c>
      <c r="X18" s="49">
        <f>X19+X20</f>
        <v>22400000</v>
      </c>
      <c r="Y18" s="19">
        <f t="shared" si="4"/>
        <v>0</v>
      </c>
      <c r="Z18" s="19">
        <f t="shared" si="5"/>
        <v>0</v>
      </c>
      <c r="AA18" s="19">
        <f t="shared" si="6"/>
        <v>0</v>
      </c>
      <c r="AB18" s="7">
        <f t="shared" si="9"/>
        <v>0</v>
      </c>
      <c r="AC18" s="7">
        <f t="shared" si="7"/>
        <v>100</v>
      </c>
      <c r="AD18" s="50" t="e">
        <f t="shared" si="8"/>
        <v>#DIV/0!</v>
      </c>
    </row>
    <row r="19" spans="1:30" ht="61.5" customHeight="1">
      <c r="A19" s="46" t="s">
        <v>17</v>
      </c>
      <c r="B19" s="48" t="s">
        <v>352</v>
      </c>
      <c r="C19" s="46"/>
      <c r="D19" s="46"/>
      <c r="E19" s="46"/>
      <c r="F19" s="46"/>
      <c r="G19" s="49">
        <f>H19+I19</f>
        <v>0</v>
      </c>
      <c r="H19" s="27"/>
      <c r="I19" s="27"/>
      <c r="J19" s="49">
        <f>K19+L19</f>
        <v>0</v>
      </c>
      <c r="K19" s="27"/>
      <c r="L19" s="27"/>
      <c r="M19" s="49" t="e">
        <f>№19+O19</f>
        <v>#NAME?</v>
      </c>
      <c r="N19" s="49"/>
      <c r="O19" s="49"/>
      <c r="P19" s="49">
        <f>Q19+R19</f>
        <v>0</v>
      </c>
      <c r="Q19" s="49"/>
      <c r="R19" s="49"/>
      <c r="S19" s="49">
        <f>T19+U19</f>
        <v>0</v>
      </c>
      <c r="T19" s="49"/>
      <c r="U19" s="49">
        <v>0</v>
      </c>
      <c r="V19" s="49">
        <f>W19+X19</f>
        <v>0</v>
      </c>
      <c r="W19" s="49"/>
      <c r="X19" s="49">
        <v>0</v>
      </c>
      <c r="Y19" s="19">
        <f t="shared" si="4"/>
        <v>0</v>
      </c>
      <c r="Z19" s="19">
        <f t="shared" si="5"/>
        <v>0</v>
      </c>
      <c r="AA19" s="19">
        <f t="shared" si="6"/>
        <v>0</v>
      </c>
      <c r="AB19" s="7" t="e">
        <f t="shared" si="9"/>
        <v>#NAME?</v>
      </c>
      <c r="AC19" s="7"/>
      <c r="AD19" s="50">
        <v>0</v>
      </c>
    </row>
    <row r="20" spans="1:30" ht="16.5" customHeight="1">
      <c r="A20" s="81" t="s">
        <v>21</v>
      </c>
      <c r="B20" s="81" t="s">
        <v>13</v>
      </c>
      <c r="C20" s="81"/>
      <c r="D20" s="81"/>
      <c r="E20" s="81"/>
      <c r="F20" s="81"/>
      <c r="G20" s="49">
        <f>I20</f>
        <v>22400000</v>
      </c>
      <c r="H20" s="20"/>
      <c r="I20" s="27">
        <v>22400000</v>
      </c>
      <c r="J20" s="49">
        <f>L20</f>
        <v>22400000</v>
      </c>
      <c r="K20" s="20"/>
      <c r="L20" s="27">
        <v>22400000</v>
      </c>
      <c r="M20" s="49">
        <v>0</v>
      </c>
      <c r="N20" s="20"/>
      <c r="O20" s="49">
        <v>0</v>
      </c>
      <c r="P20" s="49">
        <f>R20</f>
        <v>0</v>
      </c>
      <c r="Q20" s="20"/>
      <c r="R20" s="49"/>
      <c r="S20" s="49">
        <f>U20</f>
        <v>22400000</v>
      </c>
      <c r="T20" s="20"/>
      <c r="U20" s="27">
        <v>22400000</v>
      </c>
      <c r="V20" s="49">
        <f>X20</f>
        <v>22400000</v>
      </c>
      <c r="W20" s="20"/>
      <c r="X20" s="27">
        <v>22400000</v>
      </c>
      <c r="Y20" s="19">
        <f t="shared" si="4"/>
        <v>0</v>
      </c>
      <c r="Z20" s="19">
        <f t="shared" si="5"/>
        <v>0</v>
      </c>
      <c r="AA20" s="19">
        <f t="shared" si="6"/>
        <v>0</v>
      </c>
      <c r="AB20" s="7">
        <f t="shared" si="9"/>
        <v>0</v>
      </c>
      <c r="AC20" s="7">
        <f t="shared" si="7"/>
        <v>100</v>
      </c>
      <c r="AD20" s="50" t="e">
        <f t="shared" si="8"/>
        <v>#DIV/0!</v>
      </c>
    </row>
    <row r="21" spans="1:30" ht="126.75" customHeight="1">
      <c r="A21" s="46" t="s">
        <v>22</v>
      </c>
      <c r="B21" s="48" t="s">
        <v>13</v>
      </c>
      <c r="C21" s="48" t="s">
        <v>13</v>
      </c>
      <c r="D21" s="48" t="s">
        <v>23</v>
      </c>
      <c r="E21" s="48" t="s">
        <v>15</v>
      </c>
      <c r="F21" s="48" t="s">
        <v>24</v>
      </c>
      <c r="G21" s="49">
        <f>H21+I21</f>
        <v>199097976.16999999</v>
      </c>
      <c r="H21" s="27">
        <v>198620000</v>
      </c>
      <c r="I21" s="55">
        <v>477976.17</v>
      </c>
      <c r="J21" s="49">
        <f>K21+L21</f>
        <v>199097976.16999999</v>
      </c>
      <c r="K21" s="27">
        <v>198620000</v>
      </c>
      <c r="L21" s="55">
        <v>477976.17</v>
      </c>
      <c r="M21" s="49" t="e">
        <f>№21</f>
        <v>#NAME?</v>
      </c>
      <c r="N21" s="49"/>
      <c r="O21" s="56">
        <v>0</v>
      </c>
      <c r="P21" s="49">
        <f>Q21</f>
        <v>0</v>
      </c>
      <c r="Q21" s="49"/>
      <c r="R21" s="26"/>
      <c r="S21" s="49">
        <f>T21+U21</f>
        <v>477976.17</v>
      </c>
      <c r="T21" s="49"/>
      <c r="U21" s="55">
        <v>477976.17</v>
      </c>
      <c r="V21" s="49">
        <f>W21+X21</f>
        <v>477976.17</v>
      </c>
      <c r="W21" s="49"/>
      <c r="X21" s="55">
        <v>477976.17</v>
      </c>
      <c r="Y21" s="19">
        <f t="shared" si="4"/>
        <v>198620000</v>
      </c>
      <c r="Z21" s="19">
        <f t="shared" si="5"/>
        <v>198620000</v>
      </c>
      <c r="AA21" s="19">
        <f t="shared" si="6"/>
        <v>0</v>
      </c>
      <c r="AB21" s="7" t="e">
        <f t="shared" si="9"/>
        <v>#NAME?</v>
      </c>
      <c r="AC21" s="7">
        <f t="shared" si="7"/>
        <v>0.24007083306154733</v>
      </c>
      <c r="AD21" s="50">
        <v>0</v>
      </c>
    </row>
    <row r="22" spans="1:30" ht="139.5" customHeight="1">
      <c r="A22" s="46" t="s">
        <v>25</v>
      </c>
      <c r="B22" s="48" t="s">
        <v>13</v>
      </c>
      <c r="C22" s="48" t="s">
        <v>13</v>
      </c>
      <c r="D22" s="48" t="s">
        <v>26</v>
      </c>
      <c r="E22" s="48" t="s">
        <v>15</v>
      </c>
      <c r="F22" s="48" t="s">
        <v>27</v>
      </c>
      <c r="G22" s="49">
        <f>H22+I22</f>
        <v>314925417.75999999</v>
      </c>
      <c r="H22" s="49">
        <f>H23</f>
        <v>207788655.90000001</v>
      </c>
      <c r="I22" s="49">
        <f>I23+I24</f>
        <v>107136761.85999998</v>
      </c>
      <c r="J22" s="49">
        <f>K22+L22</f>
        <v>314925417.75999999</v>
      </c>
      <c r="K22" s="49">
        <f>K23</f>
        <v>207788655.90000001</v>
      </c>
      <c r="L22" s="49">
        <f>L23+L24</f>
        <v>107136761.85999998</v>
      </c>
      <c r="M22" s="49" t="e">
        <f>№22+O22</f>
        <v>#NAME?</v>
      </c>
      <c r="N22" s="49" t="e">
        <f>№23</f>
        <v>#NAME?</v>
      </c>
      <c r="O22" s="49">
        <f>O23+O24</f>
        <v>49931206.170000002</v>
      </c>
      <c r="P22" s="49">
        <f>Q22+R22</f>
        <v>187899982.88999999</v>
      </c>
      <c r="Q22" s="49">
        <f>Q23</f>
        <v>135324583.69999999</v>
      </c>
      <c r="R22" s="49">
        <f>R23+R24</f>
        <v>52575399.189999998</v>
      </c>
      <c r="S22" s="49">
        <f>T22+U22</f>
        <v>273766016.07999998</v>
      </c>
      <c r="T22" s="49">
        <f>T23</f>
        <v>207788655.90000001</v>
      </c>
      <c r="U22" s="49">
        <f>U23+U24</f>
        <v>65977360.18</v>
      </c>
      <c r="V22" s="49">
        <f>W22+X22</f>
        <v>273766016.07999998</v>
      </c>
      <c r="W22" s="49">
        <f>W23</f>
        <v>207788655.88999999</v>
      </c>
      <c r="X22" s="49">
        <f>X23+X24</f>
        <v>65977360.189999998</v>
      </c>
      <c r="Y22" s="19">
        <f t="shared" si="4"/>
        <v>41159401.680000007</v>
      </c>
      <c r="Z22" s="19">
        <f t="shared" si="5"/>
        <v>1.0000020265579224E-2</v>
      </c>
      <c r="AA22" s="19">
        <f t="shared" si="6"/>
        <v>41159401.669999987</v>
      </c>
      <c r="AB22" s="7" t="e">
        <f t="shared" si="9"/>
        <v>#NAME?</v>
      </c>
      <c r="AC22" s="7">
        <f t="shared" si="7"/>
        <v>86.930428806681149</v>
      </c>
      <c r="AD22" s="50" t="e">
        <f t="shared" si="8"/>
        <v>#NAME?</v>
      </c>
    </row>
    <row r="23" spans="1:30" ht="63.75" customHeight="1">
      <c r="A23" s="46" t="s">
        <v>17</v>
      </c>
      <c r="B23" s="48" t="s">
        <v>352</v>
      </c>
      <c r="C23" s="46"/>
      <c r="D23" s="46"/>
      <c r="E23" s="46"/>
      <c r="F23" s="46"/>
      <c r="G23" s="49">
        <f>H23+I23</f>
        <v>214746413.5</v>
      </c>
      <c r="H23" s="27">
        <f>164688355.9+43100300</f>
        <v>207788655.90000001</v>
      </c>
      <c r="I23" s="27">
        <f>5514517.6+1443240</f>
        <v>6957757.5999999996</v>
      </c>
      <c r="J23" s="49">
        <f>K23+L23</f>
        <v>214746413.5</v>
      </c>
      <c r="K23" s="27">
        <f>164688355.9+43100300</f>
        <v>207788655.90000001</v>
      </c>
      <c r="L23" s="27">
        <f>5514517.6+1443240</f>
        <v>6957757.5999999996</v>
      </c>
      <c r="M23" s="49" t="e">
        <f>№23+O23</f>
        <v>#NAME?</v>
      </c>
      <c r="N23" s="49">
        <f>92224283.7+43100300</f>
        <v>135324583.69999999</v>
      </c>
      <c r="O23" s="49">
        <f>3088089.83+1443240</f>
        <v>4531329.83</v>
      </c>
      <c r="P23" s="49">
        <f>Q23+R23</f>
        <v>139855913.53</v>
      </c>
      <c r="Q23" s="49">
        <v>135324583.69999999</v>
      </c>
      <c r="R23" s="49">
        <v>4531329.83</v>
      </c>
      <c r="S23" s="49">
        <f>T23+U23</f>
        <v>214746413.5</v>
      </c>
      <c r="T23" s="27">
        <f>164688355.9+43100300</f>
        <v>207788655.90000001</v>
      </c>
      <c r="U23" s="27">
        <f>5514517.6+1443240</f>
        <v>6957757.5999999996</v>
      </c>
      <c r="V23" s="49">
        <f>W23+X23</f>
        <v>214746413.5</v>
      </c>
      <c r="W23" s="27">
        <f>164688355.89+43100300</f>
        <v>207788655.88999999</v>
      </c>
      <c r="X23" s="27">
        <f>5514517.61+1443240</f>
        <v>6957757.6100000003</v>
      </c>
      <c r="Y23" s="19">
        <f>Z23+AA23</f>
        <v>1.9557774066925049E-8</v>
      </c>
      <c r="Z23" s="19">
        <f t="shared" si="5"/>
        <v>1.0000020265579224E-2</v>
      </c>
      <c r="AA23" s="19">
        <f t="shared" si="6"/>
        <v>-1.0000000707805157E-2</v>
      </c>
      <c r="AB23" s="7" t="e">
        <f t="shared" si="9"/>
        <v>#NAME?</v>
      </c>
      <c r="AC23" s="7">
        <f t="shared" si="7"/>
        <v>100</v>
      </c>
      <c r="AD23" s="50" t="e">
        <f t="shared" si="8"/>
        <v>#NAME?</v>
      </c>
    </row>
    <row r="24" spans="1:30">
      <c r="A24" s="81" t="s">
        <v>21</v>
      </c>
      <c r="B24" s="81" t="s">
        <v>13</v>
      </c>
      <c r="C24" s="81"/>
      <c r="D24" s="81"/>
      <c r="E24" s="81"/>
      <c r="F24" s="81"/>
      <c r="G24" s="49">
        <f>I24</f>
        <v>100179004.25999999</v>
      </c>
      <c r="H24" s="49"/>
      <c r="I24" s="27">
        <f>151689934.95-51510930.69</f>
        <v>100179004.25999999</v>
      </c>
      <c r="J24" s="49">
        <f>L24</f>
        <v>100179004.25999999</v>
      </c>
      <c r="K24" s="49"/>
      <c r="L24" s="27">
        <f>151689934.95-51510930.69</f>
        <v>100179004.25999999</v>
      </c>
      <c r="M24" s="49">
        <f>O24</f>
        <v>45399876.340000004</v>
      </c>
      <c r="N24" s="49"/>
      <c r="O24" s="49">
        <v>45399876.340000004</v>
      </c>
      <c r="P24" s="49">
        <f>R24</f>
        <v>48044069.359999999</v>
      </c>
      <c r="Q24" s="49"/>
      <c r="R24" s="49">
        <v>48044069.359999999</v>
      </c>
      <c r="S24" s="49">
        <f>U24</f>
        <v>59019602.579999998</v>
      </c>
      <c r="T24" s="49"/>
      <c r="U24" s="27">
        <v>59019602.579999998</v>
      </c>
      <c r="V24" s="49">
        <f>X24</f>
        <v>59019602.579999998</v>
      </c>
      <c r="W24" s="49"/>
      <c r="X24" s="27">
        <v>59019602.579999998</v>
      </c>
      <c r="Y24" s="19">
        <f t="shared" si="4"/>
        <v>41159401.679999992</v>
      </c>
      <c r="Z24" s="19">
        <f t="shared" si="5"/>
        <v>0</v>
      </c>
      <c r="AA24" s="19">
        <f t="shared" si="6"/>
        <v>41159401.679999992</v>
      </c>
      <c r="AB24" s="7">
        <f t="shared" si="9"/>
        <v>45.318753840047407</v>
      </c>
      <c r="AC24" s="7">
        <f t="shared" si="7"/>
        <v>58.914143752939715</v>
      </c>
      <c r="AD24" s="50">
        <f t="shared" si="8"/>
        <v>129.99947871664179</v>
      </c>
    </row>
    <row r="25" spans="1:30" ht="108.75" customHeight="1">
      <c r="A25" s="46" t="s">
        <v>28</v>
      </c>
      <c r="B25" s="48" t="s">
        <v>13</v>
      </c>
      <c r="C25" s="48" t="s">
        <v>13</v>
      </c>
      <c r="D25" s="48" t="s">
        <v>29</v>
      </c>
      <c r="E25" s="48" t="s">
        <v>15</v>
      </c>
      <c r="F25" s="48" t="s">
        <v>30</v>
      </c>
      <c r="G25" s="49">
        <f>H25+I25</f>
        <v>0</v>
      </c>
      <c r="H25" s="49"/>
      <c r="I25" s="49">
        <v>0</v>
      </c>
      <c r="J25" s="49">
        <f>K25+L25</f>
        <v>0</v>
      </c>
      <c r="K25" s="49"/>
      <c r="L25" s="49">
        <v>0</v>
      </c>
      <c r="M25" s="49" t="e">
        <f>№25+O25</f>
        <v>#NAME?</v>
      </c>
      <c r="N25" s="49"/>
      <c r="O25" s="49"/>
      <c r="P25" s="49">
        <f>Q25+R25</f>
        <v>0</v>
      </c>
      <c r="Q25" s="49"/>
      <c r="R25" s="49"/>
      <c r="S25" s="49">
        <f>T25+U25</f>
        <v>0</v>
      </c>
      <c r="T25" s="49"/>
      <c r="U25" s="49"/>
      <c r="V25" s="49">
        <f>W25+X25</f>
        <v>0</v>
      </c>
      <c r="W25" s="49"/>
      <c r="X25" s="49"/>
      <c r="Y25" s="19">
        <f t="shared" si="4"/>
        <v>0</v>
      </c>
      <c r="Z25" s="19">
        <f t="shared" si="5"/>
        <v>0</v>
      </c>
      <c r="AA25" s="19">
        <f t="shared" si="6"/>
        <v>0</v>
      </c>
      <c r="AB25" s="7"/>
      <c r="AC25" s="7"/>
      <c r="AD25" s="50">
        <v>0</v>
      </c>
    </row>
    <row r="26" spans="1:30" ht="97.5" customHeight="1">
      <c r="A26" s="46" t="s">
        <v>282</v>
      </c>
      <c r="B26" s="48" t="s">
        <v>13</v>
      </c>
      <c r="C26" s="48" t="s">
        <v>13</v>
      </c>
      <c r="D26" s="48" t="s">
        <v>31</v>
      </c>
      <c r="E26" s="48" t="s">
        <v>15</v>
      </c>
      <c r="F26" s="48" t="s">
        <v>32</v>
      </c>
      <c r="G26" s="49">
        <f>H26+I26</f>
        <v>282440986.41999996</v>
      </c>
      <c r="H26" s="49">
        <v>271416942.13999999</v>
      </c>
      <c r="I26" s="49">
        <f>I27+I28</f>
        <v>11024044.280000001</v>
      </c>
      <c r="J26" s="49">
        <f>K26+L26</f>
        <v>282440986.41999996</v>
      </c>
      <c r="K26" s="49">
        <v>271416942.13999999</v>
      </c>
      <c r="L26" s="49">
        <f>L27+L28</f>
        <v>11024044.280000001</v>
      </c>
      <c r="M26" s="49" t="e">
        <f>№26+O26</f>
        <v>#NAME?</v>
      </c>
      <c r="N26" s="49" t="e">
        <f>№27</f>
        <v>#NAME?</v>
      </c>
      <c r="O26" s="49">
        <f>O27+O28</f>
        <v>7233225.8300000001</v>
      </c>
      <c r="P26" s="49">
        <f>Q26+R26</f>
        <v>224624520.71000001</v>
      </c>
      <c r="Q26" s="49">
        <f>Q27</f>
        <v>217391294.88</v>
      </c>
      <c r="R26" s="28">
        <f>R27+R28</f>
        <v>7233225.8300000001</v>
      </c>
      <c r="S26" s="49">
        <f>T26+U26</f>
        <v>282413470.31999999</v>
      </c>
      <c r="T26" s="28">
        <f>T27+T28</f>
        <v>271416942.18000001</v>
      </c>
      <c r="U26" s="28">
        <f>U27+U28</f>
        <v>10996528.139999999</v>
      </c>
      <c r="V26" s="49">
        <f>W26+X26</f>
        <v>282413470.31999999</v>
      </c>
      <c r="W26" s="28">
        <f>W27+W28</f>
        <v>271416942.13999999</v>
      </c>
      <c r="X26" s="28">
        <f>X27+X28</f>
        <v>10996528.18</v>
      </c>
      <c r="Y26" s="19">
        <f t="shared" si="4"/>
        <v>27516.10000000149</v>
      </c>
      <c r="Z26" s="19">
        <f t="shared" si="5"/>
        <v>0</v>
      </c>
      <c r="AA26" s="19">
        <f t="shared" si="6"/>
        <v>27516.10000000149</v>
      </c>
      <c r="AB26" s="7" t="e">
        <f t="shared" si="9"/>
        <v>#NAME?</v>
      </c>
      <c r="AC26" s="7">
        <f t="shared" si="7"/>
        <v>99.990257752478229</v>
      </c>
      <c r="AD26" s="50" t="e">
        <f t="shared" si="8"/>
        <v>#NAME?</v>
      </c>
    </row>
    <row r="27" spans="1:30" ht="75">
      <c r="A27" s="46" t="s">
        <v>17</v>
      </c>
      <c r="B27" s="48" t="s">
        <v>352</v>
      </c>
      <c r="C27" s="46"/>
      <c r="D27" s="46"/>
      <c r="E27" s="46"/>
      <c r="F27" s="46"/>
      <c r="G27" s="49">
        <f>H27+I27</f>
        <v>280505219.80000001</v>
      </c>
      <c r="H27" s="49">
        <v>271416942.13999999</v>
      </c>
      <c r="I27" s="49">
        <v>9088277.6600000001</v>
      </c>
      <c r="J27" s="49">
        <f>K27+L27</f>
        <v>280505219.80000001</v>
      </c>
      <c r="K27" s="49">
        <v>271416942.13999999</v>
      </c>
      <c r="L27" s="49">
        <v>9088277.6600000001</v>
      </c>
      <c r="M27" s="49" t="e">
        <f>№27+O27</f>
        <v>#NAME?</v>
      </c>
      <c r="N27" s="28">
        <v>217391294.88</v>
      </c>
      <c r="O27" s="49">
        <v>7118706.6799999997</v>
      </c>
      <c r="P27" s="49">
        <f>Q27+R27</f>
        <v>224510001.56</v>
      </c>
      <c r="Q27" s="28">
        <f>217391294.88</f>
        <v>217391294.88</v>
      </c>
      <c r="R27" s="28">
        <f>7118706.68</f>
        <v>7118706.6799999997</v>
      </c>
      <c r="S27" s="49">
        <f>T27+U27</f>
        <v>280505219.80000001</v>
      </c>
      <c r="T27" s="49">
        <v>271416942.18000001</v>
      </c>
      <c r="U27" s="49">
        <v>9088277.6199999992</v>
      </c>
      <c r="V27" s="49">
        <f>W27+X27</f>
        <v>280505219.80000001</v>
      </c>
      <c r="W27" s="49">
        <v>271416942.13999999</v>
      </c>
      <c r="X27" s="49">
        <v>9088277.6600000001</v>
      </c>
      <c r="Y27" s="19">
        <f t="shared" si="4"/>
        <v>0</v>
      </c>
      <c r="Z27" s="19">
        <f t="shared" si="5"/>
        <v>0</v>
      </c>
      <c r="AA27" s="19">
        <f t="shared" si="6"/>
        <v>0</v>
      </c>
      <c r="AB27" s="7" t="e">
        <f t="shared" si="9"/>
        <v>#NAME?</v>
      </c>
      <c r="AC27" s="50">
        <f t="shared" ref="AC27:AC28" si="16">S27/J27*100</f>
        <v>100</v>
      </c>
      <c r="AD27" s="50" t="e">
        <f t="shared" si="8"/>
        <v>#NAME?</v>
      </c>
    </row>
    <row r="28" spans="1:30" ht="15.75" customHeight="1">
      <c r="A28" s="81" t="s">
        <v>21</v>
      </c>
      <c r="B28" s="81" t="s">
        <v>13</v>
      </c>
      <c r="C28" s="81"/>
      <c r="D28" s="81"/>
      <c r="E28" s="81"/>
      <c r="F28" s="81"/>
      <c r="G28" s="49">
        <f>H28+I28</f>
        <v>1935766.62</v>
      </c>
      <c r="H28" s="49"/>
      <c r="I28" s="27">
        <f>3469962.43-1534195.81</f>
        <v>1935766.62</v>
      </c>
      <c r="J28" s="49">
        <f>K28+L28</f>
        <v>1935766.62</v>
      </c>
      <c r="K28" s="49"/>
      <c r="L28" s="27">
        <f>3469962.43-1534195.81</f>
        <v>1935766.62</v>
      </c>
      <c r="M28" s="49">
        <f>O28</f>
        <v>114519.15</v>
      </c>
      <c r="N28" s="49"/>
      <c r="O28" s="27">
        <v>114519.15</v>
      </c>
      <c r="P28" s="49">
        <f>R28</f>
        <v>114519.15</v>
      </c>
      <c r="Q28" s="49"/>
      <c r="R28" s="28">
        <v>114519.15</v>
      </c>
      <c r="S28" s="49">
        <f>U28</f>
        <v>1908250.52</v>
      </c>
      <c r="T28" s="49"/>
      <c r="U28" s="44">
        <v>1908250.52</v>
      </c>
      <c r="V28" s="49">
        <f>X28</f>
        <v>1908250.52</v>
      </c>
      <c r="W28" s="49"/>
      <c r="X28" s="44">
        <v>1908250.52</v>
      </c>
      <c r="Y28" s="19">
        <f t="shared" si="4"/>
        <v>27516.100000000093</v>
      </c>
      <c r="Z28" s="19">
        <f t="shared" si="5"/>
        <v>0</v>
      </c>
      <c r="AA28" s="19">
        <f t="shared" si="6"/>
        <v>27516.100000000093</v>
      </c>
      <c r="AB28" s="7">
        <f t="shared" si="9"/>
        <v>5.9159585053698258</v>
      </c>
      <c r="AC28" s="50">
        <f t="shared" si="16"/>
        <v>98.578542489796618</v>
      </c>
      <c r="AD28" s="50">
        <f t="shared" si="8"/>
        <v>1666.3156511378229</v>
      </c>
    </row>
    <row r="29" spans="1:30" ht="75" hidden="1" customHeight="1">
      <c r="A29" s="82" t="s">
        <v>312</v>
      </c>
      <c r="B29" s="87" t="s">
        <v>13</v>
      </c>
      <c r="C29" s="87" t="s">
        <v>13</v>
      </c>
      <c r="D29" s="87" t="s">
        <v>33</v>
      </c>
      <c r="E29" s="87" t="s">
        <v>15</v>
      </c>
      <c r="F29" s="87" t="s">
        <v>16</v>
      </c>
      <c r="G29" s="57"/>
      <c r="H29" s="57"/>
      <c r="I29" s="57"/>
      <c r="J29" s="57"/>
      <c r="K29" s="57"/>
      <c r="L29" s="57"/>
      <c r="M29" s="20"/>
      <c r="N29" s="20"/>
      <c r="O29" s="20"/>
      <c r="P29" s="20"/>
      <c r="Q29" s="20"/>
      <c r="R29" s="20"/>
      <c r="S29" s="79"/>
      <c r="T29" s="79"/>
      <c r="U29" s="79"/>
      <c r="V29" s="79"/>
      <c r="W29" s="79"/>
      <c r="X29" s="79"/>
      <c r="Y29" s="92">
        <f t="shared" si="4"/>
        <v>0</v>
      </c>
      <c r="Z29" s="19">
        <f t="shared" si="5"/>
        <v>0</v>
      </c>
      <c r="AA29" s="19">
        <f t="shared" si="6"/>
        <v>0</v>
      </c>
      <c r="AB29" s="7"/>
      <c r="AC29" s="99">
        <v>0</v>
      </c>
      <c r="AD29" s="50"/>
    </row>
    <row r="30" spans="1:30" ht="15" hidden="1" customHeight="1">
      <c r="A30" s="82"/>
      <c r="B30" s="87"/>
      <c r="C30" s="87"/>
      <c r="D30" s="87"/>
      <c r="E30" s="87"/>
      <c r="F30" s="87"/>
      <c r="G30" s="57"/>
      <c r="H30" s="57"/>
      <c r="I30" s="57"/>
      <c r="J30" s="57"/>
      <c r="K30" s="57"/>
      <c r="L30" s="57"/>
      <c r="M30" s="20"/>
      <c r="N30" s="20"/>
      <c r="O30" s="20"/>
      <c r="P30" s="20"/>
      <c r="Q30" s="20"/>
      <c r="R30" s="20"/>
      <c r="S30" s="79"/>
      <c r="T30" s="79"/>
      <c r="U30" s="79"/>
      <c r="V30" s="79"/>
      <c r="W30" s="79"/>
      <c r="X30" s="79"/>
      <c r="Y30" s="92"/>
      <c r="Z30" s="19">
        <f t="shared" si="5"/>
        <v>0</v>
      </c>
      <c r="AA30" s="19">
        <f t="shared" si="6"/>
        <v>0</v>
      </c>
      <c r="AB30" s="7"/>
      <c r="AC30" s="99"/>
      <c r="AD30" s="50"/>
    </row>
    <row r="31" spans="1:30" ht="30" hidden="1" customHeight="1">
      <c r="A31" s="46" t="s">
        <v>17</v>
      </c>
      <c r="B31" s="48" t="s">
        <v>352</v>
      </c>
      <c r="C31" s="46"/>
      <c r="D31" s="46"/>
      <c r="E31" s="46"/>
      <c r="F31" s="46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19">
        <f t="shared" si="4"/>
        <v>0</v>
      </c>
      <c r="Z31" s="19">
        <f t="shared" si="5"/>
        <v>0</v>
      </c>
      <c r="AA31" s="19">
        <f t="shared" si="6"/>
        <v>0</v>
      </c>
      <c r="AB31" s="7"/>
      <c r="AC31" s="99">
        <v>0</v>
      </c>
      <c r="AD31" s="50"/>
    </row>
    <row r="32" spans="1:30" ht="90" hidden="1" customHeight="1">
      <c r="A32" s="46" t="s">
        <v>34</v>
      </c>
      <c r="B32" s="48" t="s">
        <v>13</v>
      </c>
      <c r="C32" s="48" t="s">
        <v>13</v>
      </c>
      <c r="D32" s="48" t="s">
        <v>35</v>
      </c>
      <c r="E32" s="48" t="s">
        <v>15</v>
      </c>
      <c r="F32" s="48" t="s">
        <v>36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19">
        <f t="shared" si="4"/>
        <v>0</v>
      </c>
      <c r="Z32" s="19">
        <f t="shared" si="5"/>
        <v>0</v>
      </c>
      <c r="AA32" s="19">
        <f t="shared" si="6"/>
        <v>0</v>
      </c>
      <c r="AB32" s="7"/>
      <c r="AC32" s="99"/>
      <c r="AD32" s="50"/>
    </row>
    <row r="33" spans="1:30" ht="30" hidden="1" customHeight="1">
      <c r="A33" s="46" t="s">
        <v>17</v>
      </c>
      <c r="B33" s="48" t="s">
        <v>352</v>
      </c>
      <c r="C33" s="46"/>
      <c r="D33" s="46"/>
      <c r="E33" s="46"/>
      <c r="F33" s="46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19">
        <f t="shared" si="4"/>
        <v>0</v>
      </c>
      <c r="Z33" s="19">
        <f t="shared" si="5"/>
        <v>0</v>
      </c>
      <c r="AA33" s="19">
        <f t="shared" si="6"/>
        <v>0</v>
      </c>
      <c r="AB33" s="7"/>
      <c r="AC33" s="50"/>
      <c r="AD33" s="50"/>
    </row>
    <row r="34" spans="1:30" ht="60" customHeight="1">
      <c r="A34" s="82" t="s">
        <v>306</v>
      </c>
      <c r="B34" s="87" t="s">
        <v>13</v>
      </c>
      <c r="C34" s="87" t="s">
        <v>13</v>
      </c>
      <c r="D34" s="87" t="s">
        <v>37</v>
      </c>
      <c r="E34" s="87" t="s">
        <v>15</v>
      </c>
      <c r="F34" s="87" t="s">
        <v>38</v>
      </c>
      <c r="G34" s="45">
        <v>82376521.930000007</v>
      </c>
      <c r="H34" s="45"/>
      <c r="I34" s="45">
        <v>82376521.930000007</v>
      </c>
      <c r="J34" s="45">
        <v>82376521.930000007</v>
      </c>
      <c r="K34" s="45"/>
      <c r="L34" s="45">
        <v>82376521.930000007</v>
      </c>
      <c r="M34" s="77">
        <v>82376521.930000007</v>
      </c>
      <c r="N34" s="77"/>
      <c r="O34" s="77">
        <v>82376521.930000007</v>
      </c>
      <c r="P34" s="77">
        <f>Q34+R34</f>
        <v>82376521.930000007</v>
      </c>
      <c r="Q34" s="77"/>
      <c r="R34" s="77">
        <v>82376521.930000007</v>
      </c>
      <c r="S34" s="77">
        <v>82376521.930000007</v>
      </c>
      <c r="T34" s="77"/>
      <c r="U34" s="77">
        <v>82376521.930000007</v>
      </c>
      <c r="V34" s="77">
        <v>82376521.930000007</v>
      </c>
      <c r="W34" s="77"/>
      <c r="X34" s="77">
        <v>82376521.930000007</v>
      </c>
      <c r="Y34" s="92">
        <f t="shared" si="4"/>
        <v>0</v>
      </c>
      <c r="Z34" s="19">
        <f t="shared" si="5"/>
        <v>0</v>
      </c>
      <c r="AA34" s="19">
        <f t="shared" si="6"/>
        <v>0</v>
      </c>
      <c r="AB34" s="102">
        <v>100</v>
      </c>
      <c r="AC34" s="99">
        <f>V34/J34*100</f>
        <v>100</v>
      </c>
      <c r="AD34" s="102">
        <f t="shared" si="8"/>
        <v>100</v>
      </c>
    </row>
    <row r="35" spans="1:30" ht="73.5" customHeight="1">
      <c r="A35" s="82"/>
      <c r="B35" s="87"/>
      <c r="C35" s="87"/>
      <c r="D35" s="87"/>
      <c r="E35" s="87"/>
      <c r="F35" s="87"/>
      <c r="G35" s="45"/>
      <c r="H35" s="45"/>
      <c r="I35" s="45"/>
      <c r="J35" s="45"/>
      <c r="K35" s="45"/>
      <c r="L35" s="45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92"/>
      <c r="Z35" s="19">
        <f t="shared" si="5"/>
        <v>0</v>
      </c>
      <c r="AA35" s="19">
        <f t="shared" si="6"/>
        <v>0</v>
      </c>
      <c r="AB35" s="102"/>
      <c r="AC35" s="99"/>
      <c r="AD35" s="102"/>
    </row>
    <row r="36" spans="1:30" ht="139.5" customHeight="1">
      <c r="A36" s="46" t="s">
        <v>39</v>
      </c>
      <c r="B36" s="48" t="s">
        <v>13</v>
      </c>
      <c r="C36" s="48" t="s">
        <v>13</v>
      </c>
      <c r="D36" s="48" t="s">
        <v>19</v>
      </c>
      <c r="E36" s="48" t="s">
        <v>15</v>
      </c>
      <c r="F36" s="48" t="s">
        <v>32</v>
      </c>
      <c r="G36" s="49">
        <f>H36+I36</f>
        <v>22982827.25</v>
      </c>
      <c r="H36" s="49">
        <f>H37</f>
        <v>203.48</v>
      </c>
      <c r="I36" s="49">
        <f>I37+I38</f>
        <v>22982623.77</v>
      </c>
      <c r="J36" s="49">
        <f>K36+L36</f>
        <v>22982827.25</v>
      </c>
      <c r="K36" s="49">
        <f>K37</f>
        <v>203.48</v>
      </c>
      <c r="L36" s="49">
        <f>L37+L38</f>
        <v>22982623.77</v>
      </c>
      <c r="M36" s="49" t="e">
        <f>№36+O36</f>
        <v>#NAME?</v>
      </c>
      <c r="N36" s="49" t="e">
        <f>№37</f>
        <v>#NAME?</v>
      </c>
      <c r="O36" s="49">
        <f>O37+O38</f>
        <v>2517225</v>
      </c>
      <c r="P36" s="49">
        <f>Q36+R36</f>
        <v>2517225</v>
      </c>
      <c r="Q36" s="49">
        <f t="shared" ref="Q36" si="17">Q37</f>
        <v>0</v>
      </c>
      <c r="R36" s="49">
        <f>R37+R38</f>
        <v>2517225</v>
      </c>
      <c r="S36" s="49">
        <f>T36+U36</f>
        <v>22817616.960000001</v>
      </c>
      <c r="T36" s="49">
        <f t="shared" ref="T36" si="18">T37</f>
        <v>203.48</v>
      </c>
      <c r="U36" s="49">
        <f>U37+U38</f>
        <v>22817413.48</v>
      </c>
      <c r="V36" s="49">
        <f>W36+X36</f>
        <v>22817616.960000001</v>
      </c>
      <c r="W36" s="49">
        <f t="shared" ref="W36" si="19">W37</f>
        <v>203.48</v>
      </c>
      <c r="X36" s="49">
        <f>X37+X38</f>
        <v>22817413.48</v>
      </c>
      <c r="Y36" s="19">
        <f t="shared" si="4"/>
        <v>165210.28999999911</v>
      </c>
      <c r="Z36" s="19">
        <f t="shared" si="5"/>
        <v>0</v>
      </c>
      <c r="AA36" s="19">
        <f t="shared" si="6"/>
        <v>165210.28999999911</v>
      </c>
      <c r="AB36" s="7" t="e">
        <f t="shared" ref="AB36:AB101" si="20">M36/J36*100</f>
        <v>#NAME?</v>
      </c>
      <c r="AC36" s="50">
        <f>V36/J36*100</f>
        <v>99.281157673932398</v>
      </c>
      <c r="AD36" s="50" t="e">
        <f t="shared" si="8"/>
        <v>#NAME?</v>
      </c>
    </row>
    <row r="37" spans="1:30" ht="63.75" customHeight="1">
      <c r="A37" s="46" t="s">
        <v>17</v>
      </c>
      <c r="B37" s="48" t="s">
        <v>352</v>
      </c>
      <c r="C37" s="46"/>
      <c r="D37" s="46"/>
      <c r="E37" s="46"/>
      <c r="F37" s="46"/>
      <c r="G37" s="49">
        <f>H37+I37</f>
        <v>210.29</v>
      </c>
      <c r="H37" s="49">
        <v>203.48</v>
      </c>
      <c r="I37" s="49">
        <v>6.81</v>
      </c>
      <c r="J37" s="49">
        <f>K37+L37</f>
        <v>210.29</v>
      </c>
      <c r="K37" s="49">
        <v>203.48</v>
      </c>
      <c r="L37" s="49">
        <v>6.81</v>
      </c>
      <c r="M37" s="49" t="e">
        <f>№37+O37</f>
        <v>#NAME?</v>
      </c>
      <c r="N37" s="28">
        <v>0</v>
      </c>
      <c r="O37" s="49">
        <v>0</v>
      </c>
      <c r="P37" s="49"/>
      <c r="Q37" s="49"/>
      <c r="R37" s="49"/>
      <c r="S37" s="49">
        <f>T37+U37</f>
        <v>210.29</v>
      </c>
      <c r="T37" s="49">
        <v>203.48</v>
      </c>
      <c r="U37" s="49">
        <v>6.81</v>
      </c>
      <c r="V37" s="49">
        <f>W37+X37</f>
        <v>210.29</v>
      </c>
      <c r="W37" s="49">
        <v>203.48</v>
      </c>
      <c r="X37" s="49">
        <v>6.81</v>
      </c>
      <c r="Y37" s="19">
        <f t="shared" si="4"/>
        <v>0</v>
      </c>
      <c r="Z37" s="19">
        <f t="shared" si="5"/>
        <v>0</v>
      </c>
      <c r="AA37" s="19">
        <f t="shared" si="6"/>
        <v>0</v>
      </c>
      <c r="AB37" s="7" t="e">
        <f t="shared" si="20"/>
        <v>#NAME?</v>
      </c>
      <c r="AC37" s="50"/>
      <c r="AD37" s="50">
        <v>0</v>
      </c>
    </row>
    <row r="38" spans="1:30">
      <c r="A38" s="81" t="s">
        <v>21</v>
      </c>
      <c r="B38" s="81" t="s">
        <v>13</v>
      </c>
      <c r="C38" s="81"/>
      <c r="D38" s="81"/>
      <c r="E38" s="81"/>
      <c r="F38" s="81"/>
      <c r="G38" s="27">
        <v>22982616.960000001</v>
      </c>
      <c r="H38" s="49"/>
      <c r="I38" s="27">
        <v>22982616.960000001</v>
      </c>
      <c r="J38" s="27">
        <v>22982616.960000001</v>
      </c>
      <c r="K38" s="49"/>
      <c r="L38" s="27">
        <v>22982616.960000001</v>
      </c>
      <c r="M38" s="49" t="e">
        <f>№38+O38</f>
        <v>#NAME?</v>
      </c>
      <c r="N38" s="49"/>
      <c r="O38" s="49">
        <v>2517225</v>
      </c>
      <c r="P38" s="49">
        <f>Q38+R38</f>
        <v>2517225</v>
      </c>
      <c r="Q38" s="49"/>
      <c r="R38" s="49">
        <v>2517225</v>
      </c>
      <c r="S38" s="49">
        <f>T38+U38</f>
        <v>22817406.670000002</v>
      </c>
      <c r="T38" s="49"/>
      <c r="U38" s="44">
        <f>22817616.96-210.29</f>
        <v>22817406.670000002</v>
      </c>
      <c r="V38" s="49">
        <f>W38+X38</f>
        <v>22817406.670000002</v>
      </c>
      <c r="W38" s="49"/>
      <c r="X38" s="44">
        <f>22817616.96-210.29</f>
        <v>22817406.670000002</v>
      </c>
      <c r="Y38" s="19">
        <f t="shared" si="4"/>
        <v>165210.28999999911</v>
      </c>
      <c r="Z38" s="19">
        <f t="shared" si="5"/>
        <v>0</v>
      </c>
      <c r="AA38" s="19">
        <f t="shared" si="6"/>
        <v>165210.28999999911</v>
      </c>
      <c r="AB38" s="7" t="e">
        <f t="shared" si="20"/>
        <v>#NAME?</v>
      </c>
      <c r="AC38" s="50">
        <f>V38/J38*100</f>
        <v>99.28115109655468</v>
      </c>
      <c r="AD38" s="50" t="e">
        <f t="shared" si="8"/>
        <v>#NAME?</v>
      </c>
    </row>
    <row r="39" spans="1:30" ht="123" customHeight="1">
      <c r="A39" s="46" t="s">
        <v>290</v>
      </c>
      <c r="B39" s="48" t="s">
        <v>13</v>
      </c>
      <c r="C39" s="48" t="s">
        <v>13</v>
      </c>
      <c r="D39" s="48" t="s">
        <v>35</v>
      </c>
      <c r="E39" s="48" t="s">
        <v>15</v>
      </c>
      <c r="F39" s="48" t="s">
        <v>20</v>
      </c>
      <c r="G39" s="49">
        <f>I39</f>
        <v>547651.19999999995</v>
      </c>
      <c r="H39" s="49"/>
      <c r="I39" s="27">
        <v>547651.19999999995</v>
      </c>
      <c r="J39" s="49">
        <f>L39</f>
        <v>547651.19999999995</v>
      </c>
      <c r="K39" s="49"/>
      <c r="L39" s="27">
        <v>547651.19999999995</v>
      </c>
      <c r="M39" s="49">
        <f>O39</f>
        <v>547651.19999999995</v>
      </c>
      <c r="N39" s="49"/>
      <c r="O39" s="49">
        <v>547651.19999999995</v>
      </c>
      <c r="P39" s="49">
        <f>R39</f>
        <v>547651.19999999995</v>
      </c>
      <c r="Q39" s="49"/>
      <c r="R39" s="49">
        <v>547651.19999999995</v>
      </c>
      <c r="S39" s="49">
        <f>U39</f>
        <v>547651.19999999995</v>
      </c>
      <c r="T39" s="49"/>
      <c r="U39" s="44">
        <v>547651.19999999995</v>
      </c>
      <c r="V39" s="49">
        <f>X39</f>
        <v>547651.19999999995</v>
      </c>
      <c r="W39" s="49"/>
      <c r="X39" s="44">
        <v>547651.19999999995</v>
      </c>
      <c r="Y39" s="19">
        <f t="shared" si="4"/>
        <v>0</v>
      </c>
      <c r="Z39" s="19">
        <f t="shared" si="5"/>
        <v>0</v>
      </c>
      <c r="AA39" s="19">
        <f t="shared" si="6"/>
        <v>0</v>
      </c>
      <c r="AB39" s="7">
        <f t="shared" si="20"/>
        <v>100</v>
      </c>
      <c r="AC39" s="50"/>
      <c r="AD39" s="50"/>
    </row>
    <row r="40" spans="1:30" ht="130.5" customHeight="1">
      <c r="A40" s="46" t="s">
        <v>40</v>
      </c>
      <c r="B40" s="48" t="s">
        <v>13</v>
      </c>
      <c r="C40" s="48" t="s">
        <v>13</v>
      </c>
      <c r="D40" s="48" t="s">
        <v>35</v>
      </c>
      <c r="E40" s="48" t="s">
        <v>15</v>
      </c>
      <c r="F40" s="48" t="s">
        <v>20</v>
      </c>
      <c r="G40" s="49">
        <f>H40+I40</f>
        <v>21233700</v>
      </c>
      <c r="H40" s="49">
        <f>H41+H42</f>
        <v>20513126.91</v>
      </c>
      <c r="I40" s="49">
        <f>I41+I42</f>
        <v>720573.09</v>
      </c>
      <c r="J40" s="49">
        <f>K40+L40</f>
        <v>21233700</v>
      </c>
      <c r="K40" s="49">
        <f>K41+K42</f>
        <v>20513126.91</v>
      </c>
      <c r="L40" s="49">
        <f>L41+L42</f>
        <v>720573.09</v>
      </c>
      <c r="M40" s="49" t="e">
        <f>№40+O40</f>
        <v>#NAME?</v>
      </c>
      <c r="N40" s="49" t="e">
        <f>№41+№42</f>
        <v>#NAME?</v>
      </c>
      <c r="O40" s="49">
        <f>O41+O42</f>
        <v>415751.8</v>
      </c>
      <c r="P40" s="49">
        <f>Q40+R40</f>
        <v>12831974.680000002</v>
      </c>
      <c r="Q40" s="49">
        <f t="shared" ref="Q40:R40" si="21">Q41+Q42</f>
        <v>12416222.880000001</v>
      </c>
      <c r="R40" s="49">
        <f t="shared" si="21"/>
        <v>415751.8</v>
      </c>
      <c r="S40" s="49">
        <f>T40+U40</f>
        <v>21200226.449999999</v>
      </c>
      <c r="T40" s="49">
        <f t="shared" ref="T40:U40" si="22">T41+T42</f>
        <v>20480737.91</v>
      </c>
      <c r="U40" s="49">
        <f t="shared" si="22"/>
        <v>719488.54</v>
      </c>
      <c r="V40" s="49">
        <f>W40+X40</f>
        <v>21200226.449999999</v>
      </c>
      <c r="W40" s="49">
        <f t="shared" ref="W40:X40" si="23">W41+W42</f>
        <v>20480737.890000001</v>
      </c>
      <c r="X40" s="49">
        <f t="shared" si="23"/>
        <v>719488.56</v>
      </c>
      <c r="Y40" s="19">
        <f t="shared" si="4"/>
        <v>33473.549999999464</v>
      </c>
      <c r="Z40" s="19">
        <f t="shared" si="5"/>
        <v>32389.019999999553</v>
      </c>
      <c r="AA40" s="19">
        <f t="shared" si="6"/>
        <v>1084.5299999999115</v>
      </c>
      <c r="AB40" s="7" t="e">
        <f t="shared" si="20"/>
        <v>#NAME?</v>
      </c>
      <c r="AC40" s="50">
        <f>V40/J40*100</f>
        <v>99.842356489919325</v>
      </c>
      <c r="AD40" s="50" t="e">
        <f t="shared" si="8"/>
        <v>#NAME?</v>
      </c>
    </row>
    <row r="41" spans="1:30" ht="75">
      <c r="A41" s="46" t="s">
        <v>17</v>
      </c>
      <c r="B41" s="48" t="s">
        <v>352</v>
      </c>
      <c r="C41" s="46"/>
      <c r="D41" s="46"/>
      <c r="E41" s="46"/>
      <c r="F41" s="46"/>
      <c r="G41" s="49">
        <f>H41+I41</f>
        <v>21200000</v>
      </c>
      <c r="H41" s="49">
        <v>20513126.91</v>
      </c>
      <c r="I41" s="49">
        <v>686873.09</v>
      </c>
      <c r="J41" s="49">
        <f>K41+L41</f>
        <v>21200000</v>
      </c>
      <c r="K41" s="49">
        <v>20513126.91</v>
      </c>
      <c r="L41" s="49">
        <v>686873.09</v>
      </c>
      <c r="M41" s="49" t="e">
        <f>№41+O41</f>
        <v>#NAME?</v>
      </c>
      <c r="N41" s="28">
        <v>12416222.880000001</v>
      </c>
      <c r="O41" s="28">
        <v>415751.8</v>
      </c>
      <c r="P41" s="49">
        <f>Q41+R41</f>
        <v>12831974.680000002</v>
      </c>
      <c r="Q41" s="28">
        <v>12416222.880000001</v>
      </c>
      <c r="R41" s="28">
        <v>415751.8</v>
      </c>
      <c r="S41" s="49">
        <f>T41+U41</f>
        <v>21166526.449999999</v>
      </c>
      <c r="T41" s="43">
        <v>20480737.91</v>
      </c>
      <c r="U41" s="43">
        <v>685788.54</v>
      </c>
      <c r="V41" s="49">
        <f>W41+X41</f>
        <v>21166526.449999999</v>
      </c>
      <c r="W41" s="43">
        <v>20480737.890000001</v>
      </c>
      <c r="X41" s="43">
        <v>685788.56</v>
      </c>
      <c r="Y41" s="19">
        <f t="shared" si="4"/>
        <v>33473.549999999464</v>
      </c>
      <c r="Z41" s="19">
        <f t="shared" si="5"/>
        <v>32389.019999999553</v>
      </c>
      <c r="AA41" s="19">
        <f t="shared" si="6"/>
        <v>1084.5299999999115</v>
      </c>
      <c r="AB41" s="7" t="e">
        <f t="shared" si="20"/>
        <v>#NAME?</v>
      </c>
      <c r="AC41" s="50">
        <f t="shared" ref="AC41:AC95" si="24">V41/J41*100</f>
        <v>99.842105896226414</v>
      </c>
      <c r="AD41" s="50" t="e">
        <f t="shared" si="8"/>
        <v>#NAME?</v>
      </c>
    </row>
    <row r="42" spans="1:30">
      <c r="A42" s="81" t="s">
        <v>21</v>
      </c>
      <c r="B42" s="81" t="s">
        <v>13</v>
      </c>
      <c r="C42" s="81"/>
      <c r="D42" s="81"/>
      <c r="E42" s="81"/>
      <c r="F42" s="81"/>
      <c r="G42" s="27">
        <v>33700</v>
      </c>
      <c r="H42" s="49"/>
      <c r="I42" s="27">
        <v>33700</v>
      </c>
      <c r="J42" s="27">
        <v>33700</v>
      </c>
      <c r="K42" s="49"/>
      <c r="L42" s="27">
        <v>33700</v>
      </c>
      <c r="M42" s="49">
        <v>0</v>
      </c>
      <c r="N42" s="49"/>
      <c r="O42" s="49">
        <v>0</v>
      </c>
      <c r="P42" s="49">
        <f>Q42+R42</f>
        <v>0</v>
      </c>
      <c r="Q42" s="49"/>
      <c r="R42" s="49">
        <v>0</v>
      </c>
      <c r="S42" s="49">
        <f>T42+U42</f>
        <v>33700</v>
      </c>
      <c r="T42" s="49"/>
      <c r="U42" s="49">
        <v>33700</v>
      </c>
      <c r="V42" s="49">
        <f>W42+X42</f>
        <v>33700</v>
      </c>
      <c r="W42" s="49"/>
      <c r="X42" s="49">
        <v>33700</v>
      </c>
      <c r="Y42" s="19">
        <f t="shared" si="4"/>
        <v>0</v>
      </c>
      <c r="Z42" s="19">
        <f t="shared" si="5"/>
        <v>0</v>
      </c>
      <c r="AA42" s="19">
        <f t="shared" si="6"/>
        <v>0</v>
      </c>
      <c r="AB42" s="7">
        <f t="shared" si="20"/>
        <v>0</v>
      </c>
      <c r="AC42" s="50">
        <f t="shared" si="24"/>
        <v>100</v>
      </c>
      <c r="AD42" s="50">
        <v>0</v>
      </c>
    </row>
    <row r="43" spans="1:30" ht="124.5" customHeight="1">
      <c r="A43" s="21" t="s">
        <v>41</v>
      </c>
      <c r="B43" s="48" t="s">
        <v>13</v>
      </c>
      <c r="C43" s="48" t="s">
        <v>13</v>
      </c>
      <c r="D43" s="48" t="s">
        <v>35</v>
      </c>
      <c r="E43" s="48" t="s">
        <v>15</v>
      </c>
      <c r="F43" s="48" t="s">
        <v>42</v>
      </c>
      <c r="G43" s="49">
        <f>H43+I43</f>
        <v>27229350.030000001</v>
      </c>
      <c r="H43" s="49">
        <f>H44+H45</f>
        <v>26256318.670000002</v>
      </c>
      <c r="I43" s="49">
        <f>I44+I45</f>
        <v>973031.36</v>
      </c>
      <c r="J43" s="49">
        <f>K43+L43</f>
        <v>27229350.030000001</v>
      </c>
      <c r="K43" s="49">
        <f>K44+K45</f>
        <v>26256318.670000002</v>
      </c>
      <c r="L43" s="49">
        <f>L44+L45</f>
        <v>973031.36</v>
      </c>
      <c r="M43" s="49" t="e">
        <f>№43+O43</f>
        <v>#NAME?</v>
      </c>
      <c r="N43" s="49" t="e">
        <f>№44+№45</f>
        <v>#NAME?</v>
      </c>
      <c r="O43" s="49">
        <f>O44+O45</f>
        <v>334087.87</v>
      </c>
      <c r="P43" s="49">
        <f t="shared" ref="P43:P45" si="25">Q43+R43</f>
        <v>10311457.569999998</v>
      </c>
      <c r="Q43" s="49">
        <f t="shared" ref="Q43:R43" si="26">Q44+Q45</f>
        <v>9977369.6999999993</v>
      </c>
      <c r="R43" s="49">
        <f t="shared" si="26"/>
        <v>334087.87</v>
      </c>
      <c r="S43" s="49">
        <f t="shared" ref="S43:S45" si="27">T43+U43</f>
        <v>25167864.149999999</v>
      </c>
      <c r="T43" s="49">
        <f t="shared" ref="T43:U43" si="28">T44+T45</f>
        <v>24352433.559999999</v>
      </c>
      <c r="U43" s="49">
        <f t="shared" si="28"/>
        <v>815430.59</v>
      </c>
      <c r="V43" s="49">
        <f t="shared" ref="V43:V45" si="29">W43+X43</f>
        <v>25167864.150000002</v>
      </c>
      <c r="W43" s="49">
        <f t="shared" ref="W43:X43" si="30">W44+W45</f>
        <v>24352433.550000001</v>
      </c>
      <c r="X43" s="49">
        <f t="shared" si="30"/>
        <v>815430.6</v>
      </c>
      <c r="Y43" s="19">
        <f t="shared" si="4"/>
        <v>2061485.8800000011</v>
      </c>
      <c r="Z43" s="19">
        <f t="shared" si="5"/>
        <v>1903885.120000001</v>
      </c>
      <c r="AA43" s="19">
        <f t="shared" si="6"/>
        <v>157600.76</v>
      </c>
      <c r="AB43" s="7" t="e">
        <f t="shared" si="20"/>
        <v>#NAME?</v>
      </c>
      <c r="AC43" s="50">
        <f t="shared" si="24"/>
        <v>92.429177054432984</v>
      </c>
      <c r="AD43" s="50" t="e">
        <f t="shared" si="8"/>
        <v>#NAME?</v>
      </c>
    </row>
    <row r="44" spans="1:30" ht="75">
      <c r="A44" s="46" t="s">
        <v>17</v>
      </c>
      <c r="B44" s="48" t="s">
        <v>352</v>
      </c>
      <c r="C44" s="46"/>
      <c r="D44" s="46"/>
      <c r="E44" s="46"/>
      <c r="F44" s="46"/>
      <c r="G44" s="49">
        <f>H44+I44</f>
        <v>27135500.030000001</v>
      </c>
      <c r="H44" s="49">
        <v>26256318.670000002</v>
      </c>
      <c r="I44" s="49">
        <v>879181.36</v>
      </c>
      <c r="J44" s="49">
        <f>K44+L44</f>
        <v>27135500.030000001</v>
      </c>
      <c r="K44" s="49">
        <v>26256318.670000002</v>
      </c>
      <c r="L44" s="49">
        <v>879181.36</v>
      </c>
      <c r="M44" s="49" t="e">
        <f>№44+O44</f>
        <v>#NAME?</v>
      </c>
      <c r="N44" s="28">
        <v>9977369.6999999993</v>
      </c>
      <c r="O44" s="28">
        <v>334087.87</v>
      </c>
      <c r="P44" s="49">
        <f t="shared" si="25"/>
        <v>10311457.569999998</v>
      </c>
      <c r="Q44" s="28">
        <v>9977369.6999999993</v>
      </c>
      <c r="R44" s="28">
        <v>334087.87</v>
      </c>
      <c r="S44" s="49">
        <f t="shared" si="27"/>
        <v>25167864.149999999</v>
      </c>
      <c r="T44" s="44">
        <v>24352433.559999999</v>
      </c>
      <c r="U44" s="44">
        <v>815430.59</v>
      </c>
      <c r="V44" s="49">
        <f t="shared" si="29"/>
        <v>25167864.150000002</v>
      </c>
      <c r="W44" s="44">
        <v>24352433.550000001</v>
      </c>
      <c r="X44" s="44">
        <v>815430.6</v>
      </c>
      <c r="Y44" s="19">
        <f t="shared" si="4"/>
        <v>1967635.8800000011</v>
      </c>
      <c r="Z44" s="19">
        <f t="shared" si="5"/>
        <v>1903885.120000001</v>
      </c>
      <c r="AA44" s="19">
        <f t="shared" si="6"/>
        <v>63750.760000000009</v>
      </c>
      <c r="AB44" s="7" t="e">
        <f t="shared" si="20"/>
        <v>#NAME?</v>
      </c>
      <c r="AC44" s="50">
        <f t="shared" si="24"/>
        <v>92.748849743602833</v>
      </c>
      <c r="AD44" s="50" t="e">
        <f t="shared" si="8"/>
        <v>#NAME?</v>
      </c>
    </row>
    <row r="45" spans="1:30">
      <c r="A45" s="81" t="s">
        <v>21</v>
      </c>
      <c r="B45" s="81" t="s">
        <v>13</v>
      </c>
      <c r="C45" s="81"/>
      <c r="D45" s="81"/>
      <c r="E45" s="81"/>
      <c r="F45" s="81"/>
      <c r="G45" s="49">
        <f>H45+I45</f>
        <v>93850</v>
      </c>
      <c r="H45" s="49"/>
      <c r="I45" s="49">
        <f>95000-1150</f>
        <v>93850</v>
      </c>
      <c r="J45" s="49">
        <f>K45+L45</f>
        <v>93850</v>
      </c>
      <c r="K45" s="49"/>
      <c r="L45" s="49">
        <f>95000-1150</f>
        <v>93850</v>
      </c>
      <c r="M45" s="49" t="e">
        <f>№45+O45</f>
        <v>#NAME?</v>
      </c>
      <c r="N45" s="49"/>
      <c r="O45" s="49">
        <v>0</v>
      </c>
      <c r="P45" s="49">
        <f t="shared" si="25"/>
        <v>0</v>
      </c>
      <c r="Q45" s="49"/>
      <c r="R45" s="49">
        <v>0</v>
      </c>
      <c r="S45" s="49">
        <f t="shared" si="27"/>
        <v>0</v>
      </c>
      <c r="T45" s="49"/>
      <c r="U45" s="49">
        <v>0</v>
      </c>
      <c r="V45" s="49">
        <f t="shared" si="29"/>
        <v>0</v>
      </c>
      <c r="W45" s="49"/>
      <c r="X45" s="49">
        <v>0</v>
      </c>
      <c r="Y45" s="19">
        <f t="shared" si="4"/>
        <v>93850</v>
      </c>
      <c r="Z45" s="19">
        <f t="shared" si="5"/>
        <v>0</v>
      </c>
      <c r="AA45" s="19">
        <f t="shared" si="6"/>
        <v>93850</v>
      </c>
      <c r="AB45" s="7" t="e">
        <f t="shared" si="20"/>
        <v>#NAME?</v>
      </c>
      <c r="AC45" s="50">
        <f t="shared" si="24"/>
        <v>0</v>
      </c>
      <c r="AD45" s="50">
        <v>0</v>
      </c>
    </row>
    <row r="46" spans="1:30" ht="119.25" customHeight="1">
      <c r="A46" s="46" t="s">
        <v>313</v>
      </c>
      <c r="B46" s="48" t="s">
        <v>13</v>
      </c>
      <c r="C46" s="48" t="s">
        <v>13</v>
      </c>
      <c r="D46" s="48" t="s">
        <v>43</v>
      </c>
      <c r="E46" s="48" t="s">
        <v>15</v>
      </c>
      <c r="F46" s="48" t="s">
        <v>42</v>
      </c>
      <c r="G46" s="49">
        <v>126641.26</v>
      </c>
      <c r="H46" s="20"/>
      <c r="I46" s="27">
        <v>126641.26</v>
      </c>
      <c r="J46" s="49">
        <v>126641.26</v>
      </c>
      <c r="K46" s="20"/>
      <c r="L46" s="27">
        <v>126641.26</v>
      </c>
      <c r="M46" s="20"/>
      <c r="N46" s="20"/>
      <c r="O46" s="20"/>
      <c r="P46" s="20"/>
      <c r="Q46" s="20"/>
      <c r="R46" s="20"/>
      <c r="S46" s="50">
        <v>0</v>
      </c>
      <c r="T46" s="20"/>
      <c r="U46" s="50">
        <v>0</v>
      </c>
      <c r="V46" s="50">
        <v>0</v>
      </c>
      <c r="W46" s="20"/>
      <c r="X46" s="50">
        <v>0</v>
      </c>
      <c r="Y46" s="19">
        <f t="shared" si="4"/>
        <v>126641.26</v>
      </c>
      <c r="Z46" s="19">
        <f t="shared" si="5"/>
        <v>0</v>
      </c>
      <c r="AA46" s="19">
        <f t="shared" si="6"/>
        <v>126641.26</v>
      </c>
      <c r="AB46" s="7">
        <f t="shared" si="20"/>
        <v>0</v>
      </c>
      <c r="AC46" s="50">
        <f t="shared" si="24"/>
        <v>0</v>
      </c>
      <c r="AD46" s="50" t="e">
        <f t="shared" si="8"/>
        <v>#DIV/0!</v>
      </c>
    </row>
    <row r="47" spans="1:30" ht="62.25" customHeight="1">
      <c r="A47" s="46" t="s">
        <v>17</v>
      </c>
      <c r="B47" s="48" t="s">
        <v>352</v>
      </c>
      <c r="C47" s="46"/>
      <c r="D47" s="46"/>
      <c r="E47" s="46"/>
      <c r="F47" s="4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19">
        <f t="shared" si="4"/>
        <v>0</v>
      </c>
      <c r="Z47" s="19">
        <f t="shared" si="5"/>
        <v>0</v>
      </c>
      <c r="AA47" s="19">
        <f t="shared" si="6"/>
        <v>0</v>
      </c>
      <c r="AB47" s="7"/>
      <c r="AC47" s="50"/>
      <c r="AD47" s="50" t="e">
        <f t="shared" si="8"/>
        <v>#DIV/0!</v>
      </c>
    </row>
    <row r="48" spans="1:30" ht="128.25" customHeight="1">
      <c r="A48" s="46" t="s">
        <v>44</v>
      </c>
      <c r="B48" s="48" t="s">
        <v>13</v>
      </c>
      <c r="C48" s="48" t="s">
        <v>13</v>
      </c>
      <c r="D48" s="48" t="s">
        <v>45</v>
      </c>
      <c r="E48" s="48" t="s">
        <v>15</v>
      </c>
      <c r="F48" s="48" t="s">
        <v>46</v>
      </c>
      <c r="G48" s="49">
        <f>H48+I48</f>
        <v>2311893156</v>
      </c>
      <c r="H48" s="49">
        <f>H49</f>
        <v>2076500400</v>
      </c>
      <c r="I48" s="49">
        <f>I49+I50</f>
        <v>235392755.99999997</v>
      </c>
      <c r="J48" s="49">
        <f>K48+L48</f>
        <v>2311893156</v>
      </c>
      <c r="K48" s="49">
        <f>K49</f>
        <v>2076500400</v>
      </c>
      <c r="L48" s="49">
        <f>L49+L50</f>
        <v>235392755.99999997</v>
      </c>
      <c r="M48" s="49" t="e">
        <f>№48+O48</f>
        <v>#NAME?</v>
      </c>
      <c r="N48" s="49" t="e">
        <f>№49</f>
        <v>#NAME?</v>
      </c>
      <c r="O48" s="49">
        <f>O49+O50</f>
        <v>133839230.09999999</v>
      </c>
      <c r="P48" s="49">
        <f t="shared" ref="P48:P50" si="31">Q48+R48</f>
        <v>1328041687.05</v>
      </c>
      <c r="Q48" s="49">
        <f>Q49</f>
        <v>1194202456.95</v>
      </c>
      <c r="R48" s="49">
        <f>R49+R50</f>
        <v>133839230.09999999</v>
      </c>
      <c r="S48" s="49">
        <f t="shared" ref="S48:S51" si="32">T48+U48</f>
        <v>2309600046.25</v>
      </c>
      <c r="T48" s="49">
        <f>T49</f>
        <v>2076500400</v>
      </c>
      <c r="U48" s="49">
        <f>U49+U50</f>
        <v>233099646.25000003</v>
      </c>
      <c r="V48" s="49">
        <f t="shared" ref="V48:V50" si="33">W48+X48</f>
        <v>2309600046.25</v>
      </c>
      <c r="W48" s="49">
        <f>W49</f>
        <v>2076500399.99</v>
      </c>
      <c r="X48" s="49">
        <f>X49+X50</f>
        <v>233099646.26000002</v>
      </c>
      <c r="Y48" s="19">
        <f t="shared" si="4"/>
        <v>2293109.7499999404</v>
      </c>
      <c r="Z48" s="19">
        <f t="shared" si="5"/>
        <v>9.9999904632568359E-3</v>
      </c>
      <c r="AA48" s="19">
        <f t="shared" si="6"/>
        <v>2293109.7399999499</v>
      </c>
      <c r="AB48" s="7" t="e">
        <f t="shared" si="20"/>
        <v>#NAME?</v>
      </c>
      <c r="AC48" s="50">
        <f t="shared" si="24"/>
        <v>99.900812468601814</v>
      </c>
      <c r="AD48" s="50" t="e">
        <f t="shared" si="8"/>
        <v>#NAME?</v>
      </c>
    </row>
    <row r="49" spans="1:30" ht="105">
      <c r="A49" s="46" t="s">
        <v>47</v>
      </c>
      <c r="B49" s="48" t="s">
        <v>353</v>
      </c>
      <c r="C49" s="46"/>
      <c r="D49" s="46"/>
      <c r="E49" s="46"/>
      <c r="F49" s="46"/>
      <c r="G49" s="49">
        <f>H49+I49</f>
        <v>2307222666.6700001</v>
      </c>
      <c r="H49" s="49">
        <f>1712978700+236222200+127299500</f>
        <v>2076500400</v>
      </c>
      <c r="I49" s="49">
        <f>190330966.67+26246911.11+14144388.89</f>
        <v>230722266.66999996</v>
      </c>
      <c r="J49" s="49">
        <f>K49+L49</f>
        <v>2307222666.6700001</v>
      </c>
      <c r="K49" s="49">
        <f>1712978700+236222200+127299500</f>
        <v>2076500400</v>
      </c>
      <c r="L49" s="49">
        <f>190330966.67+26246911.11+14144388.89</f>
        <v>230722266.66999996</v>
      </c>
      <c r="M49" s="49" t="e">
        <f>№49+O49</f>
        <v>#NAME?</v>
      </c>
      <c r="N49" s="28">
        <v>1194202456.95</v>
      </c>
      <c r="O49" s="28">
        <v>132689161.88</v>
      </c>
      <c r="P49" s="49">
        <f t="shared" si="31"/>
        <v>1326891618.8299999</v>
      </c>
      <c r="Q49" s="28">
        <f>830680756.95+236222200+127299500</f>
        <v>1194202456.95</v>
      </c>
      <c r="R49" s="28">
        <f>92297861.88+26246911.11+14144388.89</f>
        <v>132689161.88</v>
      </c>
      <c r="S49" s="49">
        <f t="shared" si="32"/>
        <v>2307222666.6700001</v>
      </c>
      <c r="T49" s="28">
        <f>1712978699.98+236222200.02+127299500</f>
        <v>2076500400</v>
      </c>
      <c r="U49" s="28">
        <f>190330966.69+26246911.09+14144388.89</f>
        <v>230722266.67000002</v>
      </c>
      <c r="V49" s="49">
        <f t="shared" si="33"/>
        <v>2307222666.6700001</v>
      </c>
      <c r="W49" s="28">
        <f>1712978699.99+236222200+127299500</f>
        <v>2076500399.99</v>
      </c>
      <c r="X49" s="28">
        <f>190330966.68+26246911.11+14144388.89</f>
        <v>230722266.68000001</v>
      </c>
      <c r="Y49" s="19">
        <f t="shared" si="4"/>
        <v>-5.9604644775390625E-8</v>
      </c>
      <c r="Z49" s="19">
        <f t="shared" si="5"/>
        <v>9.9999904632568359E-3</v>
      </c>
      <c r="AA49" s="19">
        <f t="shared" si="6"/>
        <v>-1.0000050067901611E-2</v>
      </c>
      <c r="AB49" s="7" t="e">
        <f t="shared" si="20"/>
        <v>#NAME?</v>
      </c>
      <c r="AC49" s="50">
        <f t="shared" si="24"/>
        <v>100</v>
      </c>
      <c r="AD49" s="50" t="e">
        <f t="shared" si="8"/>
        <v>#NAME?</v>
      </c>
    </row>
    <row r="50" spans="1:30" ht="19.5" customHeight="1">
      <c r="A50" s="81" t="s">
        <v>21</v>
      </c>
      <c r="B50" s="81" t="s">
        <v>13</v>
      </c>
      <c r="C50" s="81"/>
      <c r="D50" s="81"/>
      <c r="E50" s="81"/>
      <c r="F50" s="81"/>
      <c r="G50" s="49">
        <f>I50</f>
        <v>4670489.33</v>
      </c>
      <c r="H50" s="49"/>
      <c r="I50" s="49">
        <v>4670489.33</v>
      </c>
      <c r="J50" s="49">
        <f>L50</f>
        <v>4670489.33</v>
      </c>
      <c r="K50" s="49"/>
      <c r="L50" s="49">
        <v>4670489.33</v>
      </c>
      <c r="M50" s="49" t="e">
        <f>№50+O50</f>
        <v>#NAME?</v>
      </c>
      <c r="N50" s="49"/>
      <c r="O50" s="58">
        <v>1150068.22</v>
      </c>
      <c r="P50" s="49">
        <f t="shared" si="31"/>
        <v>1150068.22</v>
      </c>
      <c r="Q50" s="49"/>
      <c r="R50" s="58">
        <v>1150068.22</v>
      </c>
      <c r="S50" s="49">
        <f t="shared" si="32"/>
        <v>2377379.58</v>
      </c>
      <c r="T50" s="49"/>
      <c r="U50" s="27">
        <f>2133880.46+243499.12</f>
        <v>2377379.58</v>
      </c>
      <c r="V50" s="49">
        <f t="shared" si="33"/>
        <v>2377379.58</v>
      </c>
      <c r="W50" s="49"/>
      <c r="X50" s="27">
        <f>2133880.46+243499.12</f>
        <v>2377379.58</v>
      </c>
      <c r="Y50" s="19">
        <f t="shared" si="4"/>
        <v>2293109.75</v>
      </c>
      <c r="Z50" s="19">
        <f t="shared" si="5"/>
        <v>0</v>
      </c>
      <c r="AA50" s="19">
        <f t="shared" si="6"/>
        <v>2293109.75</v>
      </c>
      <c r="AB50" s="7" t="e">
        <f t="shared" si="20"/>
        <v>#NAME?</v>
      </c>
      <c r="AC50" s="50">
        <f t="shared" si="24"/>
        <v>50.902152044954995</v>
      </c>
      <c r="AD50" s="50" t="e">
        <f t="shared" si="8"/>
        <v>#NAME?</v>
      </c>
    </row>
    <row r="51" spans="1:30" ht="129.75" customHeight="1">
      <c r="A51" s="46" t="s">
        <v>48</v>
      </c>
      <c r="B51" s="48" t="s">
        <v>13</v>
      </c>
      <c r="C51" s="48" t="s">
        <v>13</v>
      </c>
      <c r="D51" s="48" t="s">
        <v>35</v>
      </c>
      <c r="E51" s="48" t="s">
        <v>15</v>
      </c>
      <c r="F51" s="48">
        <v>2024</v>
      </c>
      <c r="G51" s="49">
        <f>H51</f>
        <v>2384701548.7700005</v>
      </c>
      <c r="H51" s="49">
        <f>G54+G55</f>
        <v>2384701548.7700005</v>
      </c>
      <c r="I51" s="20"/>
      <c r="J51" s="49">
        <f>K51</f>
        <v>2384701548.7700005</v>
      </c>
      <c r="K51" s="49">
        <f>J54+J55</f>
        <v>2384701548.7700005</v>
      </c>
      <c r="L51" s="20"/>
      <c r="M51" s="20"/>
      <c r="N51" s="20"/>
      <c r="O51" s="20"/>
      <c r="P51" s="20"/>
      <c r="Q51" s="20"/>
      <c r="R51" s="20"/>
      <c r="S51" s="49">
        <f t="shared" si="32"/>
        <v>1224830607.71</v>
      </c>
      <c r="T51" s="49">
        <f>L54+L55</f>
        <v>1224830607.71</v>
      </c>
      <c r="U51" s="20"/>
      <c r="V51" s="20"/>
      <c r="W51" s="20"/>
      <c r="X51" s="20"/>
      <c r="Y51" s="19">
        <f t="shared" si="4"/>
        <v>2384701548.7700005</v>
      </c>
      <c r="Z51" s="19">
        <f t="shared" si="5"/>
        <v>2384701548.7700005</v>
      </c>
      <c r="AA51" s="19">
        <f t="shared" si="6"/>
        <v>0</v>
      </c>
      <c r="AB51" s="7"/>
      <c r="AC51" s="50"/>
      <c r="AD51" s="50"/>
    </row>
    <row r="52" spans="1:30" ht="75">
      <c r="A52" s="46" t="s">
        <v>17</v>
      </c>
      <c r="B52" s="48" t="s">
        <v>352</v>
      </c>
      <c r="C52" s="46"/>
      <c r="D52" s="46"/>
      <c r="E52" s="46"/>
      <c r="F52" s="46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19">
        <f t="shared" si="4"/>
        <v>0</v>
      </c>
      <c r="Z52" s="19">
        <f t="shared" si="5"/>
        <v>0</v>
      </c>
      <c r="AA52" s="19">
        <f t="shared" si="6"/>
        <v>0</v>
      </c>
      <c r="AB52" s="7"/>
      <c r="AC52" s="50"/>
      <c r="AD52" s="50"/>
    </row>
    <row r="53" spans="1:30" s="5" customFormat="1" ht="28.5" customHeight="1">
      <c r="A53" s="80" t="s">
        <v>49</v>
      </c>
      <c r="B53" s="80"/>
      <c r="C53" s="80"/>
      <c r="D53" s="80"/>
      <c r="E53" s="80"/>
      <c r="F53" s="80"/>
      <c r="G53" s="19">
        <f>H53+I53</f>
        <v>2384701548.77</v>
      </c>
      <c r="H53" s="19">
        <f>H54+H55</f>
        <v>1159870941.0599999</v>
      </c>
      <c r="I53" s="19">
        <f>I54+I55</f>
        <v>1224830607.71</v>
      </c>
      <c r="J53" s="19">
        <f>K53+L53</f>
        <v>2384701548.77</v>
      </c>
      <c r="K53" s="19">
        <f>K54+K55</f>
        <v>1159870941.0599999</v>
      </c>
      <c r="L53" s="19">
        <f>L54+L55</f>
        <v>1224830607.71</v>
      </c>
      <c r="M53" s="19" t="e">
        <f>M54+M55</f>
        <v>#NAME?</v>
      </c>
      <c r="N53" s="19" t="e">
        <f>№54+№55</f>
        <v>#NAME?</v>
      </c>
      <c r="O53" s="19">
        <f t="shared" ref="O53" si="34">O54+O55</f>
        <v>811727620.6400001</v>
      </c>
      <c r="P53" s="19">
        <f>P54+P55</f>
        <v>1816192180.05</v>
      </c>
      <c r="Q53" s="19">
        <f t="shared" ref="Q53:R53" si="35">Q54+Q55</f>
        <v>1003163044.72</v>
      </c>
      <c r="R53" s="19">
        <f t="shared" si="35"/>
        <v>813029135.32999992</v>
      </c>
      <c r="S53" s="19">
        <f>S54+S55</f>
        <v>2313542166.6099997</v>
      </c>
      <c r="T53" s="19">
        <f>T54+T55</f>
        <v>1129076835.6900001</v>
      </c>
      <c r="U53" s="19">
        <f t="shared" ref="U53" si="36">U54+U55</f>
        <v>1184465330.9200001</v>
      </c>
      <c r="V53" s="19">
        <f t="shared" ref="V53:V56" si="37">W53+X53</f>
        <v>2305142048.5799999</v>
      </c>
      <c r="W53" s="19">
        <f>W54+W55</f>
        <v>1129076835.6900001</v>
      </c>
      <c r="X53" s="19">
        <f t="shared" ref="X53" si="38">X54+X55</f>
        <v>1176065212.8899999</v>
      </c>
      <c r="Y53" s="19">
        <f t="shared" si="4"/>
        <v>79559500.190000057</v>
      </c>
      <c r="Z53" s="19">
        <f t="shared" si="5"/>
        <v>30794105.369999886</v>
      </c>
      <c r="AA53" s="19">
        <f t="shared" si="6"/>
        <v>48765394.820000172</v>
      </c>
      <c r="AB53" s="7" t="e">
        <f t="shared" si="20"/>
        <v>#NAME?</v>
      </c>
      <c r="AC53" s="50">
        <f t="shared" si="24"/>
        <v>96.663754412746698</v>
      </c>
      <c r="AD53" s="7" t="e">
        <f t="shared" si="8"/>
        <v>#NAME?</v>
      </c>
    </row>
    <row r="54" spans="1:30">
      <c r="A54" s="81" t="s">
        <v>7</v>
      </c>
      <c r="B54" s="81"/>
      <c r="C54" s="81"/>
      <c r="D54" s="81"/>
      <c r="E54" s="81"/>
      <c r="F54" s="81"/>
      <c r="G54" s="49">
        <f t="shared" ref="G54:G56" si="39">H54+I54</f>
        <v>1169253453.9100001</v>
      </c>
      <c r="H54" s="49">
        <f>H59+H65+H71+H74+H77</f>
        <v>1013548354.45</v>
      </c>
      <c r="I54" s="49">
        <f>I59+I65+I71+I74+I77</f>
        <v>155705099.46000004</v>
      </c>
      <c r="J54" s="49">
        <f t="shared" ref="J54:J56" si="40">K54+L54</f>
        <v>1169253453.9100001</v>
      </c>
      <c r="K54" s="49">
        <f>K59+K65+K71+K74+K77</f>
        <v>1013548354.45</v>
      </c>
      <c r="L54" s="49">
        <f>L59+L65+L71+L74+L77</f>
        <v>155705099.46000004</v>
      </c>
      <c r="M54" s="49" t="e">
        <f>№54+O54</f>
        <v>#NAME?</v>
      </c>
      <c r="N54" s="49" t="e">
        <f>№59+№65+№71+№74+№77</f>
        <v>#NAME?</v>
      </c>
      <c r="O54" s="49">
        <f>O59+O65+O71+O74+O77</f>
        <v>131942273.38000001</v>
      </c>
      <c r="P54" s="49">
        <f>Q54+R54</f>
        <v>1036039403.3100001</v>
      </c>
      <c r="Q54" s="49">
        <f>Q59+Q65+Q71+Q74+Q77</f>
        <v>904097129.93000007</v>
      </c>
      <c r="R54" s="49">
        <f>R59+R65+R71+R74+R77</f>
        <v>131942273.38000001</v>
      </c>
      <c r="S54" s="49">
        <f>T54+U54</f>
        <v>1169253453.9100001</v>
      </c>
      <c r="T54" s="49">
        <f>T59+T65+T71+T74+T77</f>
        <v>1013548354.45</v>
      </c>
      <c r="U54" s="49">
        <f>U59+U65+U71+U74+U77</f>
        <v>155705099.46000004</v>
      </c>
      <c r="V54" s="49">
        <f t="shared" si="37"/>
        <v>1169253453.9100001</v>
      </c>
      <c r="W54" s="49">
        <f>W59+W65+W71+W74+W77</f>
        <v>1013548354.45</v>
      </c>
      <c r="X54" s="49">
        <f>X59+X65+X71+X74+X77</f>
        <v>155705099.46000004</v>
      </c>
      <c r="Y54" s="19">
        <f t="shared" si="4"/>
        <v>0</v>
      </c>
      <c r="Z54" s="19">
        <f t="shared" si="5"/>
        <v>0</v>
      </c>
      <c r="AA54" s="19">
        <f t="shared" si="6"/>
        <v>0</v>
      </c>
      <c r="AB54" s="7" t="e">
        <f t="shared" si="20"/>
        <v>#NAME?</v>
      </c>
      <c r="AC54" s="50">
        <f t="shared" si="24"/>
        <v>100</v>
      </c>
      <c r="AD54" s="50" t="e">
        <f t="shared" si="8"/>
        <v>#NAME?</v>
      </c>
    </row>
    <row r="55" spans="1:30">
      <c r="A55" s="81" t="s">
        <v>8</v>
      </c>
      <c r="B55" s="81"/>
      <c r="C55" s="81"/>
      <c r="D55" s="81"/>
      <c r="E55" s="81"/>
      <c r="F55" s="81"/>
      <c r="G55" s="49">
        <f t="shared" si="39"/>
        <v>1215448094.8600001</v>
      </c>
      <c r="H55" s="49">
        <f>H61+H63</f>
        <v>146322586.61000001</v>
      </c>
      <c r="I55" s="49">
        <f>I60+I62+I63+I66+I67+I72+I75+I78+I79+I80+I81+I82+I83+I85</f>
        <v>1069125508.25</v>
      </c>
      <c r="J55" s="49">
        <f t="shared" si="40"/>
        <v>1215448094.8600001</v>
      </c>
      <c r="K55" s="49">
        <f>K61+K63</f>
        <v>146322586.61000001</v>
      </c>
      <c r="L55" s="49">
        <f>L60+L62+L63+L66+L67+L72+L75+L78+L79+L80+L81+L82+L83+L85</f>
        <v>1069125508.25</v>
      </c>
      <c r="M55" s="49" t="e">
        <f>№55+O55</f>
        <v>#NAME?</v>
      </c>
      <c r="N55" s="49" t="e">
        <f>№61+№63</f>
        <v>#NAME?</v>
      </c>
      <c r="O55" s="49">
        <f>O60+O62+O63+O66+O67+O72+O75+O78</f>
        <v>679785347.26000011</v>
      </c>
      <c r="P55" s="49">
        <f>Q55+R55</f>
        <v>780152776.73999989</v>
      </c>
      <c r="Q55" s="49">
        <f>Q61+Q63</f>
        <v>99065914.790000007</v>
      </c>
      <c r="R55" s="49">
        <f>R60+R62+R63+R66+R67+R72+R75+R78</f>
        <v>681086861.94999993</v>
      </c>
      <c r="S55" s="49">
        <f>T55+U55</f>
        <v>1144288712.6999998</v>
      </c>
      <c r="T55" s="49">
        <f>T61+T63</f>
        <v>115528481.23999998</v>
      </c>
      <c r="U55" s="49">
        <f>U60+U62+U63+U66+U67+U72+U75+U78+U79+U80+U81+U82+U83+U85</f>
        <v>1028760231.4599999</v>
      </c>
      <c r="V55" s="49">
        <f t="shared" si="37"/>
        <v>1135888594.6700001</v>
      </c>
      <c r="W55" s="49">
        <f>W61+W63</f>
        <v>115528481.24000001</v>
      </c>
      <c r="X55" s="49">
        <f>X60+X62+X63+X66+X67+X72+X75+X78+X79+X80+X81+X82+X83+X85</f>
        <v>1020360113.4299999</v>
      </c>
      <c r="Y55" s="19">
        <f t="shared" si="4"/>
        <v>79559500.190000057</v>
      </c>
      <c r="Z55" s="19">
        <f t="shared" si="5"/>
        <v>30794105.370000005</v>
      </c>
      <c r="AA55" s="19">
        <f t="shared" si="6"/>
        <v>48765394.820000052</v>
      </c>
      <c r="AB55" s="7" t="e">
        <f t="shared" si="20"/>
        <v>#NAME?</v>
      </c>
      <c r="AC55" s="50">
        <f t="shared" si="24"/>
        <v>93.45430705544328</v>
      </c>
      <c r="AD55" s="50" t="e">
        <f t="shared" si="8"/>
        <v>#NAME?</v>
      </c>
    </row>
    <row r="56" spans="1:30" ht="32.25" customHeight="1">
      <c r="A56" s="81" t="s">
        <v>50</v>
      </c>
      <c r="B56" s="81"/>
      <c r="C56" s="81"/>
      <c r="D56" s="81"/>
      <c r="E56" s="81"/>
      <c r="F56" s="81"/>
      <c r="G56" s="49">
        <f t="shared" si="39"/>
        <v>2383801548.7700005</v>
      </c>
      <c r="H56" s="49">
        <f t="shared" ref="H56:X56" si="41">H57</f>
        <v>1159870941.0600002</v>
      </c>
      <c r="I56" s="49">
        <f t="shared" si="41"/>
        <v>1223930607.71</v>
      </c>
      <c r="J56" s="49">
        <f t="shared" si="40"/>
        <v>2383801548.7700005</v>
      </c>
      <c r="K56" s="49">
        <f t="shared" si="41"/>
        <v>1159870941.0600002</v>
      </c>
      <c r="L56" s="49">
        <f t="shared" si="41"/>
        <v>1223930607.71</v>
      </c>
      <c r="M56" s="49" t="e">
        <f t="shared" si="41"/>
        <v>#NAME?</v>
      </c>
      <c r="N56" s="49" t="e">
        <f>№57</f>
        <v>#NAME?</v>
      </c>
      <c r="O56" s="49">
        <f t="shared" si="41"/>
        <v>811727620.6400001</v>
      </c>
      <c r="P56" s="49">
        <f t="shared" si="41"/>
        <v>1816192180.05</v>
      </c>
      <c r="Q56" s="49">
        <f t="shared" si="41"/>
        <v>1003163044.72</v>
      </c>
      <c r="R56" s="49">
        <f t="shared" si="41"/>
        <v>813029135.32999992</v>
      </c>
      <c r="S56" s="49">
        <f t="shared" si="41"/>
        <v>2312642166.6099997</v>
      </c>
      <c r="T56" s="49">
        <f t="shared" si="41"/>
        <v>1129076835.6900001</v>
      </c>
      <c r="U56" s="49">
        <f t="shared" si="41"/>
        <v>1183565330.9199998</v>
      </c>
      <c r="V56" s="19">
        <f t="shared" si="37"/>
        <v>2304242048.5799999</v>
      </c>
      <c r="W56" s="49">
        <f t="shared" si="41"/>
        <v>1129076835.6900001</v>
      </c>
      <c r="X56" s="49">
        <f t="shared" si="41"/>
        <v>1175165212.8900001</v>
      </c>
      <c r="Y56" s="19">
        <f t="shared" si="4"/>
        <v>79559500.190000057</v>
      </c>
      <c r="Z56" s="19">
        <f t="shared" si="5"/>
        <v>30794105.370000124</v>
      </c>
      <c r="AA56" s="19">
        <f t="shared" si="6"/>
        <v>48765394.819999933</v>
      </c>
      <c r="AB56" s="7" t="e">
        <f t="shared" si="20"/>
        <v>#NAME?</v>
      </c>
      <c r="AC56" s="50">
        <f t="shared" si="24"/>
        <v>96.662494819207922</v>
      </c>
      <c r="AD56" s="50" t="e">
        <f t="shared" si="8"/>
        <v>#NAME?</v>
      </c>
    </row>
    <row r="57" spans="1:30" s="5" customFormat="1">
      <c r="A57" s="80" t="s">
        <v>11</v>
      </c>
      <c r="B57" s="80"/>
      <c r="C57" s="80"/>
      <c r="D57" s="80"/>
      <c r="E57" s="80"/>
      <c r="F57" s="80"/>
      <c r="G57" s="19">
        <f>H57+I57</f>
        <v>2383801548.7700005</v>
      </c>
      <c r="H57" s="19">
        <f>H58+H61+H62+H63+H64+H67+H68+H70+H73+H76</f>
        <v>1159870941.0600002</v>
      </c>
      <c r="I57" s="19">
        <f>I58+I61+I62+I63+I64+I67+I68+I70+I73+I76+I60+I79+I80+I81+I82+I83</f>
        <v>1223930607.71</v>
      </c>
      <c r="J57" s="19">
        <f>K57+L57</f>
        <v>2383801548.7700005</v>
      </c>
      <c r="K57" s="19">
        <f>K58+K61+K62+K63+K64+K67+K68+K70+K73+K76</f>
        <v>1159870941.0600002</v>
      </c>
      <c r="L57" s="19">
        <f>L58+L61+L62+L63+L64+L67+L68+L70+L73+L76+L60+L79+L80+L81+L82+L83</f>
        <v>1223930607.71</v>
      </c>
      <c r="M57" s="19" t="e">
        <f>№57+O57</f>
        <v>#NAME?</v>
      </c>
      <c r="N57" s="19" t="e">
        <f>№58+№61+№62+№63+№64+№67+№68+№70+№73+№76</f>
        <v>#NAME?</v>
      </c>
      <c r="O57" s="19">
        <f>O58+O61+O62+O63+O64+O67+O68+O70+O73+O76+O60</f>
        <v>811727620.6400001</v>
      </c>
      <c r="P57" s="19">
        <f>Q57+R57</f>
        <v>1816192180.05</v>
      </c>
      <c r="Q57" s="19">
        <f>Q58+Q61+Q62+Q63+Q64+Q67+Q68+Q70+Q73+Q76</f>
        <v>1003163044.72</v>
      </c>
      <c r="R57" s="19">
        <f>R58+R61+R62+R63+R64+R67+R68+R70+R73+R76+R60</f>
        <v>813029135.32999992</v>
      </c>
      <c r="S57" s="19">
        <f>T57+U57</f>
        <v>2312642166.6099997</v>
      </c>
      <c r="T57" s="19">
        <f>T58+T61+T62+T63+T64+T67+T68+T70+T73+T76</f>
        <v>1129076835.6900001</v>
      </c>
      <c r="U57" s="19">
        <f>U58+U61+U62+U63+U64+U67+U68+U70+U73+U76+U60+U79+U80+U81+U82+U83</f>
        <v>1183565330.9199998</v>
      </c>
      <c r="V57" s="19">
        <f>W57+X57</f>
        <v>2304242048.5799999</v>
      </c>
      <c r="W57" s="19">
        <f>W58+W61+W62+W63+W64+W67+W68+W70+W73+W76</f>
        <v>1129076835.6900001</v>
      </c>
      <c r="X57" s="19">
        <f>X58+X61+X62+X63+X64+X67+X68+X70+X73+X76+X60+X79+X80+X81+X82+X83</f>
        <v>1175165212.8900001</v>
      </c>
      <c r="Y57" s="19">
        <f t="shared" si="4"/>
        <v>79559500.190000057</v>
      </c>
      <c r="Z57" s="19">
        <f t="shared" si="5"/>
        <v>30794105.370000124</v>
      </c>
      <c r="AA57" s="19">
        <f t="shared" si="6"/>
        <v>48765394.819999933</v>
      </c>
      <c r="AB57" s="7" t="e">
        <f t="shared" si="20"/>
        <v>#NAME?</v>
      </c>
      <c r="AC57" s="50">
        <f t="shared" si="24"/>
        <v>96.662494819207922</v>
      </c>
      <c r="AD57" s="7" t="e">
        <f t="shared" si="8"/>
        <v>#NAME?</v>
      </c>
    </row>
    <row r="58" spans="1:30" ht="128.25" customHeight="1">
      <c r="A58" s="21" t="s">
        <v>51</v>
      </c>
      <c r="B58" s="48" t="s">
        <v>13</v>
      </c>
      <c r="C58" s="48" t="s">
        <v>13</v>
      </c>
      <c r="D58" s="48" t="s">
        <v>52</v>
      </c>
      <c r="E58" s="48" t="s">
        <v>15</v>
      </c>
      <c r="F58" s="48" t="s">
        <v>54</v>
      </c>
      <c r="G58" s="49">
        <f>H58+I58</f>
        <v>105289343.30000001</v>
      </c>
      <c r="H58" s="49">
        <f>H59</f>
        <v>46861700</v>
      </c>
      <c r="I58" s="49">
        <f>I59</f>
        <v>58427643.300000004</v>
      </c>
      <c r="J58" s="49">
        <f>K58+L58</f>
        <v>105289343.30000001</v>
      </c>
      <c r="K58" s="49">
        <f>K59</f>
        <v>46861700</v>
      </c>
      <c r="L58" s="49">
        <f>L59</f>
        <v>58427643.300000004</v>
      </c>
      <c r="M58" s="49" t="e">
        <f>№58+O58</f>
        <v>#NAME?</v>
      </c>
      <c r="N58" s="49" t="e">
        <f>№59</f>
        <v>#NAME?</v>
      </c>
      <c r="O58" s="49">
        <f>O59</f>
        <v>39935092.200000003</v>
      </c>
      <c r="P58" s="49">
        <f>Q58+R58</f>
        <v>86796792.200000003</v>
      </c>
      <c r="Q58" s="49">
        <f>Q59</f>
        <v>46861700</v>
      </c>
      <c r="R58" s="49">
        <f>R59</f>
        <v>39935092.200000003</v>
      </c>
      <c r="S58" s="49">
        <f>T58+U58</f>
        <v>105289343.30000001</v>
      </c>
      <c r="T58" s="49">
        <f>T59</f>
        <v>46861700</v>
      </c>
      <c r="U58" s="49">
        <f>U59</f>
        <v>58427643.300000004</v>
      </c>
      <c r="V58" s="49">
        <f>W58+X58</f>
        <v>105289343.30000001</v>
      </c>
      <c r="W58" s="49">
        <f>W59</f>
        <v>46861700</v>
      </c>
      <c r="X58" s="49">
        <f>X59</f>
        <v>58427643.300000004</v>
      </c>
      <c r="Y58" s="19">
        <f t="shared" si="4"/>
        <v>0</v>
      </c>
      <c r="Z58" s="19">
        <f t="shared" si="5"/>
        <v>0</v>
      </c>
      <c r="AA58" s="19">
        <f t="shared" si="6"/>
        <v>0</v>
      </c>
      <c r="AB58" s="7" t="e">
        <f t="shared" si="20"/>
        <v>#NAME?</v>
      </c>
      <c r="AC58" s="50">
        <f t="shared" si="24"/>
        <v>100</v>
      </c>
      <c r="AD58" s="50" t="e">
        <f t="shared" si="8"/>
        <v>#NAME?</v>
      </c>
    </row>
    <row r="59" spans="1:30" ht="31.5" customHeight="1">
      <c r="A59" s="46" t="s">
        <v>292</v>
      </c>
      <c r="B59" s="48" t="s">
        <v>291</v>
      </c>
      <c r="C59" s="48"/>
      <c r="D59" s="48"/>
      <c r="E59" s="48"/>
      <c r="F59" s="48"/>
      <c r="G59" s="49">
        <f>H59+I59</f>
        <v>105289343.30000001</v>
      </c>
      <c r="H59" s="49">
        <f>18882200+27979500</f>
        <v>46861700</v>
      </c>
      <c r="I59" s="49">
        <f>57471282.08+385351.02+571010.2</f>
        <v>58427643.300000004</v>
      </c>
      <c r="J59" s="49">
        <f>K59+L59</f>
        <v>105289343.30000001</v>
      </c>
      <c r="K59" s="49">
        <f>18882200+27979500</f>
        <v>46861700</v>
      </c>
      <c r="L59" s="49">
        <f>57471282.08+385351.02+571010.2</f>
        <v>58427643.300000004</v>
      </c>
      <c r="M59" s="49" t="e">
        <f>№59+O59</f>
        <v>#NAME?</v>
      </c>
      <c r="N59" s="49">
        <f>18882200+27979500</f>
        <v>46861700</v>
      </c>
      <c r="O59" s="49">
        <v>39935092.200000003</v>
      </c>
      <c r="P59" s="49">
        <f>Q59+R59</f>
        <v>86796792.200000003</v>
      </c>
      <c r="Q59" s="49">
        <f>18882200+27979500</f>
        <v>46861700</v>
      </c>
      <c r="R59" s="49">
        <f>38978730.98+385351.02+571010.2</f>
        <v>39935092.200000003</v>
      </c>
      <c r="S59" s="49">
        <f>T59+U59</f>
        <v>105289343.30000001</v>
      </c>
      <c r="T59" s="49">
        <f>18882200+27979500</f>
        <v>46861700</v>
      </c>
      <c r="U59" s="49">
        <f>57471282.08+385351.02+571010.2</f>
        <v>58427643.300000004</v>
      </c>
      <c r="V59" s="49">
        <f>W59+X59</f>
        <v>105289343.30000001</v>
      </c>
      <c r="W59" s="49">
        <f>18882200+27979500</f>
        <v>46861700</v>
      </c>
      <c r="X59" s="49">
        <f>57471282.08+385351.02+571010.2</f>
        <v>58427643.300000004</v>
      </c>
      <c r="Y59" s="19">
        <f t="shared" si="4"/>
        <v>0</v>
      </c>
      <c r="Z59" s="19">
        <f t="shared" si="5"/>
        <v>0</v>
      </c>
      <c r="AA59" s="19">
        <f t="shared" si="6"/>
        <v>0</v>
      </c>
      <c r="AB59" s="7" t="e">
        <f t="shared" si="20"/>
        <v>#NAME?</v>
      </c>
      <c r="AC59" s="50">
        <f t="shared" si="24"/>
        <v>100</v>
      </c>
      <c r="AD59" s="50" t="e">
        <f t="shared" ref="AD59:AD60" si="42">S59/M59*100</f>
        <v>#NAME?</v>
      </c>
    </row>
    <row r="60" spans="1:30" ht="93.75" customHeight="1">
      <c r="A60" s="21" t="s">
        <v>51</v>
      </c>
      <c r="B60" s="48" t="s">
        <v>13</v>
      </c>
      <c r="C60" s="48" t="s">
        <v>13</v>
      </c>
      <c r="D60" s="48" t="s">
        <v>52</v>
      </c>
      <c r="E60" s="48" t="s">
        <v>53</v>
      </c>
      <c r="F60" s="48" t="s">
        <v>54</v>
      </c>
      <c r="G60" s="49">
        <f>I60</f>
        <v>891887.72</v>
      </c>
      <c r="H60" s="49"/>
      <c r="I60" s="49">
        <v>891887.72</v>
      </c>
      <c r="J60" s="49">
        <f>L60</f>
        <v>891887.72</v>
      </c>
      <c r="K60" s="49"/>
      <c r="L60" s="49">
        <v>891887.72</v>
      </c>
      <c r="M60" s="49">
        <f>O60</f>
        <v>891887.72</v>
      </c>
      <c r="N60" s="49"/>
      <c r="O60" s="49">
        <v>891887.72</v>
      </c>
      <c r="P60" s="49">
        <f>R60</f>
        <v>891887.72</v>
      </c>
      <c r="Q60" s="49"/>
      <c r="R60" s="49">
        <v>891887.72</v>
      </c>
      <c r="S60" s="49">
        <f>U60</f>
        <v>891887.72</v>
      </c>
      <c r="T60" s="49"/>
      <c r="U60" s="49">
        <v>891887.72</v>
      </c>
      <c r="V60" s="49">
        <f>X60</f>
        <v>891887.72</v>
      </c>
      <c r="W60" s="49"/>
      <c r="X60" s="49">
        <v>891887.72</v>
      </c>
      <c r="Y60" s="19">
        <f t="shared" si="4"/>
        <v>0</v>
      </c>
      <c r="Z60" s="19">
        <f t="shared" si="5"/>
        <v>0</v>
      </c>
      <c r="AA60" s="19">
        <f t="shared" si="6"/>
        <v>0</v>
      </c>
      <c r="AB60" s="7">
        <f t="shared" si="20"/>
        <v>100</v>
      </c>
      <c r="AC60" s="50">
        <f t="shared" si="24"/>
        <v>100</v>
      </c>
      <c r="AD60" s="50">
        <f t="shared" si="42"/>
        <v>100</v>
      </c>
    </row>
    <row r="61" spans="1:30" ht="150" customHeight="1">
      <c r="A61" s="46" t="s">
        <v>55</v>
      </c>
      <c r="B61" s="48" t="s">
        <v>13</v>
      </c>
      <c r="C61" s="48" t="s">
        <v>13</v>
      </c>
      <c r="D61" s="48" t="s">
        <v>56</v>
      </c>
      <c r="E61" s="48" t="s">
        <v>15</v>
      </c>
      <c r="F61" s="48" t="s">
        <v>24</v>
      </c>
      <c r="G61" s="49">
        <v>74158463.480000004</v>
      </c>
      <c r="H61" s="27">
        <v>74158463.480000004</v>
      </c>
      <c r="I61" s="49">
        <v>0</v>
      </c>
      <c r="J61" s="49">
        <v>74158463.480000004</v>
      </c>
      <c r="K61" s="27">
        <v>74158463.480000004</v>
      </c>
      <c r="L61" s="49">
        <v>0</v>
      </c>
      <c r="M61" s="49" t="e">
        <f>№61</f>
        <v>#NAME?</v>
      </c>
      <c r="N61" s="28">
        <v>44757433.840000004</v>
      </c>
      <c r="O61" s="49"/>
      <c r="P61" s="49">
        <f>Q61</f>
        <v>44757433.840000004</v>
      </c>
      <c r="Q61" s="28">
        <v>44757433.840000004</v>
      </c>
      <c r="R61" s="49"/>
      <c r="S61" s="49">
        <f>T61</f>
        <v>45497269.979999997</v>
      </c>
      <c r="T61" s="27">
        <f>44852646.76+643836.14+787.08</f>
        <v>45497269.979999997</v>
      </c>
      <c r="U61" s="49"/>
      <c r="V61" s="49">
        <f>W61</f>
        <v>45497269.979999997</v>
      </c>
      <c r="W61" s="27">
        <f>44852646.76+643836.14+787.08</f>
        <v>45497269.979999997</v>
      </c>
      <c r="X61" s="49"/>
      <c r="Y61" s="19">
        <f t="shared" si="4"/>
        <v>28661193.500000007</v>
      </c>
      <c r="Z61" s="19">
        <f t="shared" si="5"/>
        <v>28661193.500000007</v>
      </c>
      <c r="AA61" s="19">
        <f t="shared" si="6"/>
        <v>0</v>
      </c>
      <c r="AB61" s="7" t="e">
        <f t="shared" si="20"/>
        <v>#NAME?</v>
      </c>
      <c r="AC61" s="50">
        <f t="shared" si="24"/>
        <v>61.351419440169877</v>
      </c>
      <c r="AD61" s="50" t="e">
        <f t="shared" si="8"/>
        <v>#NAME?</v>
      </c>
    </row>
    <row r="62" spans="1:30" ht="105" customHeight="1">
      <c r="A62" s="21" t="s">
        <v>57</v>
      </c>
      <c r="B62" s="48" t="s">
        <v>13</v>
      </c>
      <c r="C62" s="48" t="s">
        <v>13</v>
      </c>
      <c r="D62" s="48" t="s">
        <v>58</v>
      </c>
      <c r="E62" s="48" t="s">
        <v>59</v>
      </c>
      <c r="F62" s="48" t="s">
        <v>54</v>
      </c>
      <c r="G62" s="49">
        <f>H62+I62</f>
        <v>250830431.89000002</v>
      </c>
      <c r="H62" s="49"/>
      <c r="I62" s="49">
        <f>253182200.9-2351769.01</f>
        <v>250830431.89000002</v>
      </c>
      <c r="J62" s="49">
        <f>K62+L62</f>
        <v>250830431.89000002</v>
      </c>
      <c r="K62" s="49"/>
      <c r="L62" s="49">
        <f>253182200.9-2351769.01</f>
        <v>250830431.89000002</v>
      </c>
      <c r="M62" s="49" t="e">
        <f>№62+O62</f>
        <v>#NAME?</v>
      </c>
      <c r="N62" s="49"/>
      <c r="O62" s="49">
        <v>174645817.11000001</v>
      </c>
      <c r="P62" s="49">
        <f>Q62+R62</f>
        <v>174645817.11000001</v>
      </c>
      <c r="Q62" s="49"/>
      <c r="R62" s="49">
        <v>174645817.11000001</v>
      </c>
      <c r="S62" s="49">
        <f>T62+U62</f>
        <v>250830431.88999999</v>
      </c>
      <c r="T62" s="49"/>
      <c r="U62" s="27">
        <f>232451682.31+8856003.54+9522746.04</f>
        <v>250830431.88999999</v>
      </c>
      <c r="V62" s="49">
        <f>W62+X62</f>
        <v>250830431.88999999</v>
      </c>
      <c r="W62" s="49"/>
      <c r="X62" s="27">
        <f>232451682.31+8856003.54+9522746.04</f>
        <v>250830431.88999999</v>
      </c>
      <c r="Y62" s="19">
        <f t="shared" si="4"/>
        <v>0</v>
      </c>
      <c r="Z62" s="19">
        <f t="shared" si="5"/>
        <v>0</v>
      </c>
      <c r="AA62" s="19">
        <f t="shared" si="6"/>
        <v>0</v>
      </c>
      <c r="AB62" s="7" t="e">
        <f t="shared" si="20"/>
        <v>#NAME?</v>
      </c>
      <c r="AC62" s="50">
        <f t="shared" si="24"/>
        <v>99.999999999999986</v>
      </c>
      <c r="AD62" s="50" t="e">
        <f t="shared" si="8"/>
        <v>#NAME?</v>
      </c>
    </row>
    <row r="63" spans="1:30" ht="99" customHeight="1">
      <c r="A63" s="46" t="s">
        <v>60</v>
      </c>
      <c r="B63" s="48" t="s">
        <v>13</v>
      </c>
      <c r="C63" s="48" t="s">
        <v>13</v>
      </c>
      <c r="D63" s="48" t="s">
        <v>61</v>
      </c>
      <c r="E63" s="48" t="s">
        <v>15</v>
      </c>
      <c r="F63" s="48" t="s">
        <v>24</v>
      </c>
      <c r="G63" s="49">
        <f>H63+I63</f>
        <v>108835500.19</v>
      </c>
      <c r="H63" s="49">
        <v>72164123.129999995</v>
      </c>
      <c r="I63" s="27">
        <v>36671377.060000002</v>
      </c>
      <c r="J63" s="49">
        <f>K63+L63</f>
        <v>108835500.19</v>
      </c>
      <c r="K63" s="49">
        <v>72164123.129999995</v>
      </c>
      <c r="L63" s="27">
        <v>36671377.060000002</v>
      </c>
      <c r="M63" s="49" t="e">
        <f>№63+O63</f>
        <v>#NAME?</v>
      </c>
      <c r="N63" s="28">
        <v>43379476.950000003</v>
      </c>
      <c r="O63" s="49">
        <v>32464753.039999999</v>
      </c>
      <c r="P63" s="49">
        <f>Q63+R63</f>
        <v>86773233.99000001</v>
      </c>
      <c r="Q63" s="28">
        <v>54308480.950000003</v>
      </c>
      <c r="R63" s="49">
        <v>32464753.039999999</v>
      </c>
      <c r="S63" s="49">
        <f>T63+U63</f>
        <v>106702588.31999999</v>
      </c>
      <c r="T63" s="27">
        <f>61858534.51+8172676.75</f>
        <v>70031211.25999999</v>
      </c>
      <c r="U63" s="27">
        <v>36671377.060000002</v>
      </c>
      <c r="V63" s="49">
        <f>W63+X63</f>
        <v>99418545.760000005</v>
      </c>
      <c r="W63" s="27">
        <v>70031211.260000005</v>
      </c>
      <c r="X63" s="27">
        <v>29387334.5</v>
      </c>
      <c r="Y63" s="19">
        <f t="shared" si="4"/>
        <v>9416954.4299999923</v>
      </c>
      <c r="Z63" s="19">
        <f t="shared" si="5"/>
        <v>2132911.8699999899</v>
      </c>
      <c r="AA63" s="19">
        <f t="shared" si="6"/>
        <v>7284042.5600000024</v>
      </c>
      <c r="AB63" s="7" t="e">
        <f t="shared" si="20"/>
        <v>#NAME?</v>
      </c>
      <c r="AC63" s="50">
        <f t="shared" si="24"/>
        <v>91.347534202020199</v>
      </c>
      <c r="AD63" s="50" t="e">
        <f t="shared" si="8"/>
        <v>#NAME?</v>
      </c>
    </row>
    <row r="64" spans="1:30" ht="79.5" customHeight="1">
      <c r="A64" s="21" t="s">
        <v>62</v>
      </c>
      <c r="B64" s="48" t="s">
        <v>13</v>
      </c>
      <c r="C64" s="48" t="s">
        <v>13</v>
      </c>
      <c r="D64" s="48" t="s">
        <v>63</v>
      </c>
      <c r="E64" s="48" t="s">
        <v>64</v>
      </c>
      <c r="F64" s="48" t="s">
        <v>65</v>
      </c>
      <c r="G64" s="49">
        <f>H64+I64</f>
        <v>114013322.45</v>
      </c>
      <c r="H64" s="49">
        <v>111707200</v>
      </c>
      <c r="I64" s="49">
        <f>I65+I66</f>
        <v>2306122.4500000002</v>
      </c>
      <c r="J64" s="49">
        <f>K64+L64</f>
        <v>114013322.45</v>
      </c>
      <c r="K64" s="49">
        <v>111707200</v>
      </c>
      <c r="L64" s="49">
        <f>L65+L66</f>
        <v>2306122.4500000002</v>
      </c>
      <c r="M64" s="49" t="e">
        <f>№64+O64</f>
        <v>#NAME?</v>
      </c>
      <c r="N64" s="49" t="e">
        <f>№65+№66</f>
        <v>#NAME?</v>
      </c>
      <c r="O64" s="49">
        <f>O65+O66</f>
        <v>729270.07</v>
      </c>
      <c r="P64" s="49">
        <f>Q64+R64</f>
        <v>36463500</v>
      </c>
      <c r="Q64" s="49">
        <f>Q65+Q66</f>
        <v>35734229.93</v>
      </c>
      <c r="R64" s="49">
        <f>R65+R66</f>
        <v>729270.07</v>
      </c>
      <c r="S64" s="49">
        <f>T64+U64</f>
        <v>114013322.45</v>
      </c>
      <c r="T64" s="49">
        <f>T65</f>
        <v>111707200</v>
      </c>
      <c r="U64" s="49">
        <f>U65+U66</f>
        <v>2306122.4500000002</v>
      </c>
      <c r="V64" s="49">
        <f>W64+X64</f>
        <v>114013322.45</v>
      </c>
      <c r="W64" s="49">
        <f>W65</f>
        <v>111707200</v>
      </c>
      <c r="X64" s="49">
        <f>X65+X66</f>
        <v>2306122.4500000002</v>
      </c>
      <c r="Y64" s="19">
        <f t="shared" si="4"/>
        <v>0</v>
      </c>
      <c r="Z64" s="19">
        <f t="shared" si="5"/>
        <v>0</v>
      </c>
      <c r="AA64" s="19">
        <f t="shared" si="6"/>
        <v>0</v>
      </c>
      <c r="AB64" s="7" t="e">
        <f t="shared" si="20"/>
        <v>#NAME?</v>
      </c>
      <c r="AC64" s="50">
        <f t="shared" si="24"/>
        <v>100</v>
      </c>
      <c r="AD64" s="50">
        <v>0</v>
      </c>
    </row>
    <row r="65" spans="1:30" ht="30">
      <c r="A65" s="46" t="s">
        <v>66</v>
      </c>
      <c r="B65" s="48" t="s">
        <v>67</v>
      </c>
      <c r="C65" s="46"/>
      <c r="D65" s="46"/>
      <c r="E65" s="46"/>
      <c r="F65" s="46"/>
      <c r="G65" s="49">
        <f>H65+I65</f>
        <v>113986939</v>
      </c>
      <c r="H65" s="49">
        <v>111707200</v>
      </c>
      <c r="I65" s="49">
        <v>2279739</v>
      </c>
      <c r="J65" s="49">
        <f>K65+L65</f>
        <v>113986939</v>
      </c>
      <c r="K65" s="49">
        <v>111707200</v>
      </c>
      <c r="L65" s="49">
        <v>2279739</v>
      </c>
      <c r="M65" s="49" t="e">
        <f>№65+O65</f>
        <v>#NAME?</v>
      </c>
      <c r="N65" s="49">
        <v>35734229.93</v>
      </c>
      <c r="O65" s="49">
        <v>729270.07</v>
      </c>
      <c r="P65" s="49">
        <f>Q65+R65</f>
        <v>36463500</v>
      </c>
      <c r="Q65" s="49">
        <v>35734229.93</v>
      </c>
      <c r="R65" s="49">
        <v>729270.07</v>
      </c>
      <c r="S65" s="49">
        <f>T65+U65</f>
        <v>113986939</v>
      </c>
      <c r="T65" s="49">
        <v>111707200</v>
      </c>
      <c r="U65" s="49">
        <v>2279739</v>
      </c>
      <c r="V65" s="49">
        <f>W65+X65</f>
        <v>113986939</v>
      </c>
      <c r="W65" s="49">
        <v>111707200</v>
      </c>
      <c r="X65" s="49">
        <v>2279739</v>
      </c>
      <c r="Y65" s="19">
        <f t="shared" si="4"/>
        <v>0</v>
      </c>
      <c r="Z65" s="19">
        <f t="shared" si="5"/>
        <v>0</v>
      </c>
      <c r="AA65" s="19">
        <f t="shared" si="6"/>
        <v>0</v>
      </c>
      <c r="AB65" s="7" t="e">
        <f t="shared" si="20"/>
        <v>#NAME?</v>
      </c>
      <c r="AC65" s="50">
        <f t="shared" si="24"/>
        <v>100</v>
      </c>
      <c r="AD65" s="50">
        <v>0</v>
      </c>
    </row>
    <row r="66" spans="1:30">
      <c r="A66" s="81" t="s">
        <v>21</v>
      </c>
      <c r="B66" s="81" t="s">
        <v>13</v>
      </c>
      <c r="C66" s="81"/>
      <c r="D66" s="81"/>
      <c r="E66" s="81"/>
      <c r="F66" s="81"/>
      <c r="G66" s="49">
        <v>26383.45</v>
      </c>
      <c r="H66" s="49"/>
      <c r="I66" s="49">
        <v>26383.45</v>
      </c>
      <c r="J66" s="49">
        <v>26383.45</v>
      </c>
      <c r="K66" s="49"/>
      <c r="L66" s="49">
        <v>26383.45</v>
      </c>
      <c r="M66" s="49" t="e">
        <f>№66+O66</f>
        <v>#NAME?</v>
      </c>
      <c r="N66" s="49"/>
      <c r="O66" s="49">
        <v>0</v>
      </c>
      <c r="P66" s="49">
        <f>Q66+R66</f>
        <v>0</v>
      </c>
      <c r="Q66" s="49"/>
      <c r="R66" s="49">
        <v>0</v>
      </c>
      <c r="S66" s="49">
        <f>T66+U66</f>
        <v>26383.45</v>
      </c>
      <c r="T66" s="49"/>
      <c r="U66" s="49">
        <v>26383.45</v>
      </c>
      <c r="V66" s="49">
        <f>W66+X66</f>
        <v>26383.45</v>
      </c>
      <c r="W66" s="49"/>
      <c r="X66" s="49">
        <v>26383.45</v>
      </c>
      <c r="Y66" s="19">
        <f t="shared" si="4"/>
        <v>0</v>
      </c>
      <c r="Z66" s="19">
        <f t="shared" si="5"/>
        <v>0</v>
      </c>
      <c r="AA66" s="19">
        <f t="shared" si="6"/>
        <v>0</v>
      </c>
      <c r="AB66" s="7" t="e">
        <f t="shared" si="20"/>
        <v>#NAME?</v>
      </c>
      <c r="AC66" s="50">
        <f t="shared" si="24"/>
        <v>100</v>
      </c>
      <c r="AD66" s="50">
        <v>0</v>
      </c>
    </row>
    <row r="67" spans="1:30" ht="105" customHeight="1">
      <c r="A67" s="21" t="s">
        <v>68</v>
      </c>
      <c r="B67" s="48" t="s">
        <v>13</v>
      </c>
      <c r="C67" s="48" t="s">
        <v>13</v>
      </c>
      <c r="D67" s="48" t="s">
        <v>69</v>
      </c>
      <c r="E67" s="48" t="s">
        <v>70</v>
      </c>
      <c r="F67" s="48" t="s">
        <v>71</v>
      </c>
      <c r="G67" s="49">
        <f>I67</f>
        <v>48940435.350000001</v>
      </c>
      <c r="H67" s="49"/>
      <c r="I67" s="27">
        <f>50868496.34-1928060.99</f>
        <v>48940435.350000001</v>
      </c>
      <c r="J67" s="49">
        <f>L67</f>
        <v>48940435.350000001</v>
      </c>
      <c r="K67" s="49"/>
      <c r="L67" s="27">
        <f>50868496.34-1928060.99</f>
        <v>48940435.350000001</v>
      </c>
      <c r="M67" s="49">
        <f>O67</f>
        <v>48940435.350000001</v>
      </c>
      <c r="N67" s="49"/>
      <c r="O67" s="27">
        <v>48940435.350000001</v>
      </c>
      <c r="P67" s="49">
        <f>R67</f>
        <v>48940435.350000001</v>
      </c>
      <c r="Q67" s="49"/>
      <c r="R67" s="49">
        <v>48940435.350000001</v>
      </c>
      <c r="S67" s="49">
        <f>U67</f>
        <v>48940435.350000001</v>
      </c>
      <c r="T67" s="49"/>
      <c r="U67" s="27">
        <v>48940435.350000001</v>
      </c>
      <c r="V67" s="49">
        <f>X67</f>
        <v>48940435.350000001</v>
      </c>
      <c r="W67" s="49"/>
      <c r="X67" s="27">
        <v>48940435.350000001</v>
      </c>
      <c r="Y67" s="19">
        <f t="shared" si="4"/>
        <v>0</v>
      </c>
      <c r="Z67" s="19">
        <f t="shared" si="5"/>
        <v>0</v>
      </c>
      <c r="AA67" s="19">
        <f t="shared" si="6"/>
        <v>0</v>
      </c>
      <c r="AB67" s="7">
        <f t="shared" si="20"/>
        <v>100</v>
      </c>
      <c r="AC67" s="50">
        <f t="shared" si="24"/>
        <v>100</v>
      </c>
      <c r="AD67" s="50">
        <f t="shared" si="8"/>
        <v>100</v>
      </c>
    </row>
    <row r="68" spans="1:30" ht="62.25" customHeight="1">
      <c r="A68" s="46" t="s">
        <v>72</v>
      </c>
      <c r="B68" s="48" t="s">
        <v>13</v>
      </c>
      <c r="C68" s="48" t="s">
        <v>13</v>
      </c>
      <c r="D68" s="48" t="s">
        <v>73</v>
      </c>
      <c r="E68" s="48" t="s">
        <v>74</v>
      </c>
      <c r="F68" s="48" t="s">
        <v>75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19">
        <f t="shared" si="4"/>
        <v>0</v>
      </c>
      <c r="Z68" s="19">
        <f t="shared" si="5"/>
        <v>0</v>
      </c>
      <c r="AA68" s="19">
        <f t="shared" si="6"/>
        <v>0</v>
      </c>
      <c r="AB68" s="7"/>
      <c r="AC68" s="50"/>
      <c r="AD68" s="50"/>
    </row>
    <row r="69" spans="1:30" ht="30">
      <c r="A69" s="46" t="s">
        <v>66</v>
      </c>
      <c r="B69" s="48" t="s">
        <v>67</v>
      </c>
      <c r="C69" s="46"/>
      <c r="D69" s="46"/>
      <c r="E69" s="46"/>
      <c r="F69" s="46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19">
        <f t="shared" si="4"/>
        <v>0</v>
      </c>
      <c r="Z69" s="19">
        <f t="shared" si="5"/>
        <v>0</v>
      </c>
      <c r="AA69" s="19">
        <f t="shared" si="6"/>
        <v>0</v>
      </c>
      <c r="AB69" s="7"/>
      <c r="AC69" s="50"/>
      <c r="AD69" s="50"/>
    </row>
    <row r="70" spans="1:30" ht="108" customHeight="1">
      <c r="A70" s="46" t="s">
        <v>76</v>
      </c>
      <c r="B70" s="48" t="s">
        <v>13</v>
      </c>
      <c r="C70" s="48" t="s">
        <v>13</v>
      </c>
      <c r="D70" s="48" t="s">
        <v>77</v>
      </c>
      <c r="E70" s="48" t="s">
        <v>15</v>
      </c>
      <c r="F70" s="48" t="s">
        <v>24</v>
      </c>
      <c r="G70" s="49">
        <f>H70+I70</f>
        <v>1421391587.3600001</v>
      </c>
      <c r="H70" s="49">
        <f>H71</f>
        <v>777834207</v>
      </c>
      <c r="I70" s="49">
        <f>I71+I72</f>
        <v>643557380.36000001</v>
      </c>
      <c r="J70" s="49">
        <f>K70+L70</f>
        <v>1421391587.3600001</v>
      </c>
      <c r="K70" s="49">
        <f>K71</f>
        <v>777834207</v>
      </c>
      <c r="L70" s="49">
        <f>L71+L72</f>
        <v>643557380.36000001</v>
      </c>
      <c r="M70" s="49" t="e">
        <f>№70+O70</f>
        <v>#NAME?</v>
      </c>
      <c r="N70" s="49" t="e">
        <f>№71</f>
        <v>#NAME?</v>
      </c>
      <c r="O70" s="49">
        <f>O71+O72</f>
        <v>419713748.36000001</v>
      </c>
      <c r="P70" s="49">
        <f>Q70+R70</f>
        <v>1198849470.05</v>
      </c>
      <c r="Q70" s="49">
        <f>Q71</f>
        <v>777834207</v>
      </c>
      <c r="R70" s="49">
        <f>R71+R72</f>
        <v>421015263.05000001</v>
      </c>
      <c r="S70" s="49">
        <f>T70+U70</f>
        <v>1406879655.8599999</v>
      </c>
      <c r="T70" s="49">
        <f>T71</f>
        <v>777834207</v>
      </c>
      <c r="U70" s="49">
        <f>U71+U72</f>
        <v>629045448.8599999</v>
      </c>
      <c r="V70" s="49">
        <f>W70+X70</f>
        <v>1405763580.3899999</v>
      </c>
      <c r="W70" s="49">
        <f>W71</f>
        <v>777834207</v>
      </c>
      <c r="X70" s="49">
        <f>X71+X72</f>
        <v>627929373.38999999</v>
      </c>
      <c r="Y70" s="19">
        <f t="shared" si="4"/>
        <v>15628006.970000029</v>
      </c>
      <c r="Z70" s="19">
        <f t="shared" si="5"/>
        <v>0</v>
      </c>
      <c r="AA70" s="19">
        <f t="shared" si="6"/>
        <v>15628006.970000029</v>
      </c>
      <c r="AB70" s="7" t="e">
        <f t="shared" si="20"/>
        <v>#NAME?</v>
      </c>
      <c r="AC70" s="50">
        <f t="shared" si="24"/>
        <v>98.90051361574281</v>
      </c>
      <c r="AD70" s="50" t="e">
        <f t="shared" si="8"/>
        <v>#NAME?</v>
      </c>
    </row>
    <row r="71" spans="1:30" ht="30">
      <c r="A71" s="46" t="s">
        <v>66</v>
      </c>
      <c r="B71" s="48" t="s">
        <v>67</v>
      </c>
      <c r="C71" s="46"/>
      <c r="D71" s="46"/>
      <c r="E71" s="46"/>
      <c r="F71" s="46"/>
      <c r="G71" s="49">
        <f>H71+I71</f>
        <v>864260230</v>
      </c>
      <c r="H71" s="49">
        <f>667094607+110739600</f>
        <v>777834207</v>
      </c>
      <c r="I71" s="49">
        <f>12304400+74121623</f>
        <v>86426023</v>
      </c>
      <c r="J71" s="49">
        <f>K71+L71</f>
        <v>864260230</v>
      </c>
      <c r="K71" s="49">
        <f>667094607+110739600</f>
        <v>777834207</v>
      </c>
      <c r="L71" s="49">
        <f>12304400+74121623</f>
        <v>86426023</v>
      </c>
      <c r="M71" s="49" t="e">
        <f>№71+O71</f>
        <v>#NAME?</v>
      </c>
      <c r="N71" s="49">
        <v>777834207</v>
      </c>
      <c r="O71" s="49">
        <v>86426023</v>
      </c>
      <c r="P71" s="49">
        <f>Q71+R71</f>
        <v>864260230</v>
      </c>
      <c r="Q71" s="49">
        <v>777834207</v>
      </c>
      <c r="R71" s="49">
        <v>86426023</v>
      </c>
      <c r="S71" s="49">
        <f>T71+U71</f>
        <v>864260230</v>
      </c>
      <c r="T71" s="49">
        <v>777834207</v>
      </c>
      <c r="U71" s="49">
        <v>86426023</v>
      </c>
      <c r="V71" s="49">
        <f>W71+X71</f>
        <v>864260230</v>
      </c>
      <c r="W71" s="49">
        <v>777834207</v>
      </c>
      <c r="X71" s="49">
        <v>86426023</v>
      </c>
      <c r="Y71" s="19">
        <f t="shared" si="4"/>
        <v>0</v>
      </c>
      <c r="Z71" s="19">
        <f t="shared" si="5"/>
        <v>0</v>
      </c>
      <c r="AA71" s="19">
        <f t="shared" si="6"/>
        <v>0</v>
      </c>
      <c r="AB71" s="7" t="e">
        <f t="shared" si="20"/>
        <v>#NAME?</v>
      </c>
      <c r="AC71" s="50">
        <f t="shared" si="24"/>
        <v>100</v>
      </c>
      <c r="AD71" s="50" t="e">
        <f t="shared" si="8"/>
        <v>#NAME?</v>
      </c>
    </row>
    <row r="72" spans="1:30">
      <c r="A72" s="81" t="s">
        <v>21</v>
      </c>
      <c r="B72" s="81" t="s">
        <v>13</v>
      </c>
      <c r="C72" s="81"/>
      <c r="D72" s="81"/>
      <c r="E72" s="81"/>
      <c r="F72" s="81"/>
      <c r="G72" s="49">
        <f>I72</f>
        <v>557131357.36000001</v>
      </c>
      <c r="H72" s="49"/>
      <c r="I72" s="49">
        <f>521000217.36+36131140</f>
        <v>557131357.36000001</v>
      </c>
      <c r="J72" s="49">
        <f>L72</f>
        <v>557131357.36000001</v>
      </c>
      <c r="K72" s="49"/>
      <c r="L72" s="49">
        <f>521000217.36+36131140</f>
        <v>557131357.36000001</v>
      </c>
      <c r="M72" s="49">
        <f>O72</f>
        <v>333287725.36000001</v>
      </c>
      <c r="N72" s="49"/>
      <c r="O72" s="49">
        <v>333287725.36000001</v>
      </c>
      <c r="P72" s="49">
        <f>R72</f>
        <v>334589240.05000001</v>
      </c>
      <c r="Q72" s="49"/>
      <c r="R72" s="49">
        <v>334589240.05000001</v>
      </c>
      <c r="S72" s="49">
        <f>U72</f>
        <v>542619425.8599999</v>
      </c>
      <c r="T72" s="49"/>
      <c r="U72" s="27">
        <f>493555083.41+16235.71+596000+23521557.03+3311341.2+21256831.09+362377.42</f>
        <v>542619425.8599999</v>
      </c>
      <c r="V72" s="49">
        <f>X72</f>
        <v>541503350.38999999</v>
      </c>
      <c r="W72" s="49"/>
      <c r="X72" s="27">
        <v>541503350.38999999</v>
      </c>
      <c r="Y72" s="19">
        <f t="shared" si="4"/>
        <v>15628006.970000029</v>
      </c>
      <c r="Z72" s="19">
        <f t="shared" si="5"/>
        <v>0</v>
      </c>
      <c r="AA72" s="19">
        <f t="shared" si="6"/>
        <v>15628006.970000029</v>
      </c>
      <c r="AB72" s="7">
        <f t="shared" si="20"/>
        <v>59.822108548925279</v>
      </c>
      <c r="AC72" s="50">
        <f t="shared" si="24"/>
        <v>97.194915209214884</v>
      </c>
      <c r="AD72" s="50">
        <f t="shared" si="8"/>
        <v>162.80810380096977</v>
      </c>
    </row>
    <row r="73" spans="1:30" ht="79.5" customHeight="1">
      <c r="A73" s="21" t="s">
        <v>78</v>
      </c>
      <c r="B73" s="48" t="s">
        <v>13</v>
      </c>
      <c r="C73" s="48" t="s">
        <v>13</v>
      </c>
      <c r="D73" s="48" t="s">
        <v>79</v>
      </c>
      <c r="E73" s="48" t="s">
        <v>74</v>
      </c>
      <c r="F73" s="48" t="s">
        <v>80</v>
      </c>
      <c r="G73" s="49">
        <f t="shared" ref="G73:G83" si="43">H73+I73</f>
        <v>37198060.5</v>
      </c>
      <c r="H73" s="49">
        <f>H74</f>
        <v>33478254.449999999</v>
      </c>
      <c r="I73" s="49">
        <f>I74+I75</f>
        <v>3719806.05</v>
      </c>
      <c r="J73" s="49">
        <f t="shared" ref="J73:J83" si="44">K73+L73</f>
        <v>37198060.5</v>
      </c>
      <c r="K73" s="49">
        <f>K74</f>
        <v>33478254.449999999</v>
      </c>
      <c r="L73" s="49">
        <f>L74+L75</f>
        <v>3719806.05</v>
      </c>
      <c r="M73" s="49" t="e">
        <f>№73+O73</f>
        <v>#NAME?</v>
      </c>
      <c r="N73" s="49" t="e">
        <f>№74</f>
        <v>#NAME?</v>
      </c>
      <c r="O73" s="49">
        <f>O74+O75</f>
        <v>37198063.310000002</v>
      </c>
      <c r="P73" s="49">
        <f>R73</f>
        <v>37198063.310000002</v>
      </c>
      <c r="Q73" s="49"/>
      <c r="R73" s="49">
        <v>37198063.310000002</v>
      </c>
      <c r="S73" s="49">
        <f>T73+U73</f>
        <v>37198060.5</v>
      </c>
      <c r="T73" s="49">
        <f>T74</f>
        <v>33478254.449999999</v>
      </c>
      <c r="U73" s="49">
        <f>U74+U75</f>
        <v>3719806.05</v>
      </c>
      <c r="V73" s="49">
        <f>W73+X73</f>
        <v>37198060.5</v>
      </c>
      <c r="W73" s="49">
        <f>W74</f>
        <v>33478254.449999999</v>
      </c>
      <c r="X73" s="49">
        <f>X74+X75</f>
        <v>3719806.05</v>
      </c>
      <c r="Y73" s="19">
        <f t="shared" ref="Y73:Y141" si="45">Z73+AA73</f>
        <v>0</v>
      </c>
      <c r="Z73" s="19">
        <f t="shared" ref="Z73:Z136" si="46">K73-W73</f>
        <v>0</v>
      </c>
      <c r="AA73" s="19">
        <f t="shared" ref="AA73:AA136" si="47">L73-X73</f>
        <v>0</v>
      </c>
      <c r="AB73" s="7" t="e">
        <f t="shared" si="20"/>
        <v>#NAME?</v>
      </c>
      <c r="AC73" s="50">
        <f t="shared" si="24"/>
        <v>100</v>
      </c>
      <c r="AD73" s="50" t="e">
        <f t="shared" si="8"/>
        <v>#NAME?</v>
      </c>
    </row>
    <row r="74" spans="1:30" ht="30">
      <c r="A74" s="46" t="s">
        <v>66</v>
      </c>
      <c r="B74" s="48" t="s">
        <v>67</v>
      </c>
      <c r="C74" s="48"/>
      <c r="D74" s="48"/>
      <c r="E74" s="48"/>
      <c r="F74" s="48"/>
      <c r="G74" s="49">
        <f t="shared" si="43"/>
        <v>37198060.5</v>
      </c>
      <c r="H74" s="49">
        <v>33478254.449999999</v>
      </c>
      <c r="I74" s="49">
        <v>3719806.05</v>
      </c>
      <c r="J74" s="49">
        <f t="shared" si="44"/>
        <v>37198060.5</v>
      </c>
      <c r="K74" s="49">
        <v>33478254.449999999</v>
      </c>
      <c r="L74" s="49">
        <v>3719806.05</v>
      </c>
      <c r="M74" s="49" t="e">
        <f>№74+O74</f>
        <v>#NAME?</v>
      </c>
      <c r="N74" s="49"/>
      <c r="O74" s="49">
        <v>0</v>
      </c>
      <c r="P74" s="49"/>
      <c r="Q74" s="49"/>
      <c r="R74" s="49"/>
      <c r="S74" s="49">
        <f>T74+U74</f>
        <v>37198060.5</v>
      </c>
      <c r="T74" s="49">
        <v>33478254.449999999</v>
      </c>
      <c r="U74" s="49">
        <v>3719806.05</v>
      </c>
      <c r="V74" s="49">
        <f>W74+X74</f>
        <v>37198060.5</v>
      </c>
      <c r="W74" s="49">
        <v>33478254.449999999</v>
      </c>
      <c r="X74" s="49">
        <v>3719806.05</v>
      </c>
      <c r="Y74" s="19">
        <f t="shared" si="45"/>
        <v>0</v>
      </c>
      <c r="Z74" s="19">
        <f t="shared" si="46"/>
        <v>0</v>
      </c>
      <c r="AA74" s="19">
        <f t="shared" si="47"/>
        <v>0</v>
      </c>
      <c r="AB74" s="7" t="e">
        <f t="shared" si="20"/>
        <v>#NAME?</v>
      </c>
      <c r="AC74" s="50">
        <f t="shared" si="24"/>
        <v>100</v>
      </c>
      <c r="AD74" s="50"/>
    </row>
    <row r="75" spans="1:30" ht="15" customHeight="1">
      <c r="A75" s="81" t="s">
        <v>21</v>
      </c>
      <c r="B75" s="81" t="s">
        <v>13</v>
      </c>
      <c r="C75" s="81"/>
      <c r="D75" s="81"/>
      <c r="E75" s="81"/>
      <c r="F75" s="81"/>
      <c r="G75" s="49">
        <f t="shared" si="43"/>
        <v>0</v>
      </c>
      <c r="H75" s="49"/>
      <c r="I75" s="49">
        <v>0</v>
      </c>
      <c r="J75" s="49">
        <f t="shared" si="44"/>
        <v>0</v>
      </c>
      <c r="K75" s="49"/>
      <c r="L75" s="49">
        <v>0</v>
      </c>
      <c r="M75" s="49">
        <f>O75</f>
        <v>37198063.310000002</v>
      </c>
      <c r="N75" s="49"/>
      <c r="O75" s="27">
        <v>37198063.310000002</v>
      </c>
      <c r="P75" s="49">
        <f>R75</f>
        <v>37198063.310000002</v>
      </c>
      <c r="Q75" s="49"/>
      <c r="R75" s="49">
        <v>37198063.310000002</v>
      </c>
      <c r="S75" s="49">
        <f>U75</f>
        <v>0</v>
      </c>
      <c r="T75" s="49"/>
      <c r="U75" s="27"/>
      <c r="V75" s="49">
        <f>X75</f>
        <v>0</v>
      </c>
      <c r="W75" s="49"/>
      <c r="X75" s="27"/>
      <c r="Y75" s="19">
        <f t="shared" si="45"/>
        <v>0</v>
      </c>
      <c r="Z75" s="19">
        <f t="shared" si="46"/>
        <v>0</v>
      </c>
      <c r="AA75" s="19">
        <f t="shared" si="47"/>
        <v>0</v>
      </c>
      <c r="AB75" s="7" t="e">
        <f t="shared" si="20"/>
        <v>#DIV/0!</v>
      </c>
      <c r="AC75" s="50"/>
      <c r="AD75" s="50"/>
    </row>
    <row r="76" spans="1:30" ht="78.75" customHeight="1">
      <c r="A76" s="21" t="s">
        <v>81</v>
      </c>
      <c r="B76" s="48" t="s">
        <v>13</v>
      </c>
      <c r="C76" s="48" t="s">
        <v>13</v>
      </c>
      <c r="D76" s="48" t="s">
        <v>82</v>
      </c>
      <c r="E76" s="48" t="s">
        <v>83</v>
      </c>
      <c r="F76" s="48" t="s">
        <v>84</v>
      </c>
      <c r="G76" s="49">
        <f t="shared" si="43"/>
        <v>219294516.53</v>
      </c>
      <c r="H76" s="49">
        <f>H77</f>
        <v>43666993</v>
      </c>
      <c r="I76" s="49">
        <f>I77+I78</f>
        <v>175627523.53</v>
      </c>
      <c r="J76" s="49">
        <f t="shared" si="44"/>
        <v>219294516.53</v>
      </c>
      <c r="K76" s="49">
        <f>K77</f>
        <v>43666993</v>
      </c>
      <c r="L76" s="49">
        <f>L77+L78</f>
        <v>175627523.53</v>
      </c>
      <c r="M76" s="49" t="e">
        <f>№76+O76</f>
        <v>#NAME?</v>
      </c>
      <c r="N76" s="49" t="e">
        <f>№77</f>
        <v>#NAME?</v>
      </c>
      <c r="O76" s="49">
        <f>O77+O78</f>
        <v>57208553.479999997</v>
      </c>
      <c r="P76" s="49">
        <f>Q76+R76</f>
        <v>100875546.47999999</v>
      </c>
      <c r="Q76" s="49">
        <f>Q77</f>
        <v>43666993</v>
      </c>
      <c r="R76" s="49">
        <f>R77+R78</f>
        <v>57208553.479999997</v>
      </c>
      <c r="S76" s="49">
        <f>T76+U76</f>
        <v>193441171.24000001</v>
      </c>
      <c r="T76" s="49">
        <f>T77</f>
        <v>43666993</v>
      </c>
      <c r="U76" s="49">
        <f>U77+U78</f>
        <v>149774178.24000001</v>
      </c>
      <c r="V76" s="49">
        <f>W76+X76</f>
        <v>193441171.24000001</v>
      </c>
      <c r="W76" s="49">
        <f>W77</f>
        <v>43666993</v>
      </c>
      <c r="X76" s="49">
        <f>X77+X78</f>
        <v>149774178.24000001</v>
      </c>
      <c r="Y76" s="19">
        <f t="shared" si="45"/>
        <v>25853345.289999992</v>
      </c>
      <c r="Z76" s="19">
        <f t="shared" si="46"/>
        <v>0</v>
      </c>
      <c r="AA76" s="19">
        <f t="shared" si="47"/>
        <v>25853345.289999992</v>
      </c>
      <c r="AB76" s="7" t="e">
        <f t="shared" si="20"/>
        <v>#NAME?</v>
      </c>
      <c r="AC76" s="50">
        <f t="shared" si="24"/>
        <v>88.210674074714873</v>
      </c>
      <c r="AD76" s="50" t="e">
        <f t="shared" si="8"/>
        <v>#NAME?</v>
      </c>
    </row>
    <row r="77" spans="1:30" ht="32.25" customHeight="1">
      <c r="A77" s="46" t="s">
        <v>66</v>
      </c>
      <c r="B77" s="48" t="s">
        <v>67</v>
      </c>
      <c r="C77" s="48"/>
      <c r="D77" s="48"/>
      <c r="E77" s="48"/>
      <c r="F77" s="48"/>
      <c r="G77" s="49">
        <f t="shared" si="43"/>
        <v>48518881.109999999</v>
      </c>
      <c r="H77" s="49">
        <v>43666993</v>
      </c>
      <c r="I77" s="49">
        <v>4851888.1100000003</v>
      </c>
      <c r="J77" s="49">
        <f t="shared" si="44"/>
        <v>48518881.109999999</v>
      </c>
      <c r="K77" s="49">
        <v>43666993</v>
      </c>
      <c r="L77" s="49">
        <v>4851888.1100000003</v>
      </c>
      <c r="M77" s="49" t="e">
        <f>№77+O77</f>
        <v>#NAME?</v>
      </c>
      <c r="N77" s="49">
        <v>43666993</v>
      </c>
      <c r="O77" s="49">
        <v>4851888.1100000003</v>
      </c>
      <c r="P77" s="49">
        <f>Q77+R77</f>
        <v>48518881.109999999</v>
      </c>
      <c r="Q77" s="49">
        <v>43666993</v>
      </c>
      <c r="R77" s="49">
        <v>4851888.1100000003</v>
      </c>
      <c r="S77" s="49">
        <f>T77+U77</f>
        <v>48518881.109999999</v>
      </c>
      <c r="T77" s="49">
        <v>43666993</v>
      </c>
      <c r="U77" s="49">
        <v>4851888.1100000003</v>
      </c>
      <c r="V77" s="49">
        <f>W77+X77</f>
        <v>48518881.109999999</v>
      </c>
      <c r="W77" s="49">
        <v>43666993</v>
      </c>
      <c r="X77" s="49">
        <v>4851888.1100000003</v>
      </c>
      <c r="Y77" s="19">
        <f t="shared" si="45"/>
        <v>0</v>
      </c>
      <c r="Z77" s="19">
        <f t="shared" si="46"/>
        <v>0</v>
      </c>
      <c r="AA77" s="19">
        <f t="shared" si="47"/>
        <v>0</v>
      </c>
      <c r="AB77" s="7" t="e">
        <f t="shared" si="20"/>
        <v>#NAME?</v>
      </c>
      <c r="AC77" s="50">
        <f t="shared" si="24"/>
        <v>100</v>
      </c>
      <c r="AD77" s="50" t="e">
        <f t="shared" ref="AD77:AD78" si="48">S77/M77*100</f>
        <v>#NAME?</v>
      </c>
    </row>
    <row r="78" spans="1:30" ht="18" customHeight="1">
      <c r="A78" s="81" t="s">
        <v>21</v>
      </c>
      <c r="B78" s="81"/>
      <c r="C78" s="81"/>
      <c r="D78" s="81"/>
      <c r="E78" s="81"/>
      <c r="F78" s="81"/>
      <c r="G78" s="49">
        <f t="shared" si="43"/>
        <v>170775635.41999999</v>
      </c>
      <c r="H78" s="49"/>
      <c r="I78" s="49">
        <v>170775635.41999999</v>
      </c>
      <c r="J78" s="49">
        <f t="shared" si="44"/>
        <v>170775635.41999999</v>
      </c>
      <c r="K78" s="49"/>
      <c r="L78" s="49">
        <v>170775635.41999999</v>
      </c>
      <c r="M78" s="49" t="e">
        <f>№78+O78</f>
        <v>#NAME?</v>
      </c>
      <c r="N78" s="49"/>
      <c r="O78" s="49">
        <v>52356665.369999997</v>
      </c>
      <c r="P78" s="49">
        <f>Q78+R78</f>
        <v>52356665.369999997</v>
      </c>
      <c r="Q78" s="49"/>
      <c r="R78" s="49">
        <v>52356665.369999997</v>
      </c>
      <c r="S78" s="49">
        <f>T78+U78</f>
        <v>144922290.13</v>
      </c>
      <c r="T78" s="49"/>
      <c r="U78" s="27">
        <v>144922290.13</v>
      </c>
      <c r="V78" s="49">
        <f>W78+X78</f>
        <v>144922290.13</v>
      </c>
      <c r="W78" s="49"/>
      <c r="X78" s="27">
        <v>144922290.13</v>
      </c>
      <c r="Y78" s="19">
        <f t="shared" si="45"/>
        <v>25853345.289999992</v>
      </c>
      <c r="Z78" s="19">
        <f t="shared" si="46"/>
        <v>0</v>
      </c>
      <c r="AA78" s="19">
        <f t="shared" si="47"/>
        <v>25853345.289999992</v>
      </c>
      <c r="AB78" s="7" t="e">
        <f t="shared" si="20"/>
        <v>#NAME?</v>
      </c>
      <c r="AC78" s="50">
        <f t="shared" si="24"/>
        <v>84.86122143453477</v>
      </c>
      <c r="AD78" s="50" t="e">
        <f t="shared" si="48"/>
        <v>#NAME?</v>
      </c>
    </row>
    <row r="79" spans="1:30" ht="129" customHeight="1">
      <c r="A79" s="59" t="s">
        <v>314</v>
      </c>
      <c r="B79" s="48"/>
      <c r="C79" s="48"/>
      <c r="D79" s="48"/>
      <c r="E79" s="48" t="s">
        <v>15</v>
      </c>
      <c r="F79" s="48"/>
      <c r="G79" s="49">
        <f t="shared" si="43"/>
        <v>599000</v>
      </c>
      <c r="H79" s="49"/>
      <c r="I79" s="27">
        <v>599000</v>
      </c>
      <c r="J79" s="49">
        <f t="shared" si="44"/>
        <v>599000</v>
      </c>
      <c r="K79" s="49"/>
      <c r="L79" s="27">
        <v>599000</v>
      </c>
      <c r="M79" s="49"/>
      <c r="N79" s="49"/>
      <c r="O79" s="49"/>
      <c r="P79" s="49"/>
      <c r="Q79" s="49"/>
      <c r="R79" s="49"/>
      <c r="S79" s="27">
        <v>599000</v>
      </c>
      <c r="T79" s="49"/>
      <c r="U79" s="27">
        <v>599000</v>
      </c>
      <c r="V79" s="27">
        <v>599000</v>
      </c>
      <c r="W79" s="49"/>
      <c r="X79" s="27">
        <v>599000</v>
      </c>
      <c r="Y79" s="19">
        <f t="shared" si="45"/>
        <v>0</v>
      </c>
      <c r="Z79" s="19">
        <f t="shared" si="46"/>
        <v>0</v>
      </c>
      <c r="AA79" s="19">
        <f t="shared" si="47"/>
        <v>0</v>
      </c>
      <c r="AB79" s="7">
        <f t="shared" si="20"/>
        <v>0</v>
      </c>
      <c r="AC79" s="50">
        <f t="shared" si="24"/>
        <v>100</v>
      </c>
      <c r="AD79" s="50"/>
    </row>
    <row r="80" spans="1:30" ht="127.5" customHeight="1">
      <c r="A80" s="59" t="s">
        <v>315</v>
      </c>
      <c r="B80" s="48"/>
      <c r="C80" s="48"/>
      <c r="D80" s="48"/>
      <c r="E80" s="48" t="s">
        <v>15</v>
      </c>
      <c r="F80" s="48"/>
      <c r="G80" s="49">
        <f t="shared" si="43"/>
        <v>590000</v>
      </c>
      <c r="H80" s="49"/>
      <c r="I80" s="27">
        <v>590000</v>
      </c>
      <c r="J80" s="49">
        <f t="shared" si="44"/>
        <v>590000</v>
      </c>
      <c r="K80" s="49"/>
      <c r="L80" s="27">
        <v>590000</v>
      </c>
      <c r="M80" s="49"/>
      <c r="N80" s="49"/>
      <c r="O80" s="49"/>
      <c r="P80" s="49"/>
      <c r="Q80" s="49"/>
      <c r="R80" s="49"/>
      <c r="S80" s="49">
        <f>T80+U80</f>
        <v>590000</v>
      </c>
      <c r="T80" s="49"/>
      <c r="U80" s="27">
        <v>590000</v>
      </c>
      <c r="V80" s="49">
        <f>W80+X80</f>
        <v>590000</v>
      </c>
      <c r="W80" s="49"/>
      <c r="X80" s="27">
        <v>590000</v>
      </c>
      <c r="Y80" s="19">
        <f t="shared" si="45"/>
        <v>0</v>
      </c>
      <c r="Z80" s="19">
        <f t="shared" si="46"/>
        <v>0</v>
      </c>
      <c r="AA80" s="19">
        <f t="shared" si="47"/>
        <v>0</v>
      </c>
      <c r="AB80" s="7">
        <f t="shared" si="20"/>
        <v>0</v>
      </c>
      <c r="AC80" s="50">
        <f t="shared" si="24"/>
        <v>100</v>
      </c>
      <c r="AD80" s="50"/>
    </row>
    <row r="81" spans="1:30" ht="132" customHeight="1">
      <c r="A81" s="59" t="s">
        <v>316</v>
      </c>
      <c r="B81" s="48"/>
      <c r="C81" s="48"/>
      <c r="D81" s="48"/>
      <c r="E81" s="48" t="s">
        <v>15</v>
      </c>
      <c r="F81" s="48"/>
      <c r="G81" s="49">
        <f t="shared" si="43"/>
        <v>590000</v>
      </c>
      <c r="H81" s="49"/>
      <c r="I81" s="27">
        <v>590000</v>
      </c>
      <c r="J81" s="49">
        <f t="shared" si="44"/>
        <v>590000</v>
      </c>
      <c r="K81" s="49"/>
      <c r="L81" s="27">
        <v>590000</v>
      </c>
      <c r="M81" s="49"/>
      <c r="N81" s="49"/>
      <c r="O81" s="49"/>
      <c r="P81" s="49"/>
      <c r="Q81" s="49"/>
      <c r="R81" s="49"/>
      <c r="S81" s="27">
        <v>590000</v>
      </c>
      <c r="T81" s="49"/>
      <c r="U81" s="27">
        <v>590000</v>
      </c>
      <c r="V81" s="27">
        <v>590000</v>
      </c>
      <c r="W81" s="49"/>
      <c r="X81" s="27">
        <v>590000</v>
      </c>
      <c r="Y81" s="19">
        <f t="shared" si="45"/>
        <v>0</v>
      </c>
      <c r="Z81" s="19">
        <f t="shared" si="46"/>
        <v>0</v>
      </c>
      <c r="AA81" s="19">
        <f t="shared" si="47"/>
        <v>0</v>
      </c>
      <c r="AB81" s="7">
        <f t="shared" si="20"/>
        <v>0</v>
      </c>
      <c r="AC81" s="50">
        <f t="shared" si="24"/>
        <v>100</v>
      </c>
      <c r="AD81" s="50"/>
    </row>
    <row r="82" spans="1:30" ht="134.25" customHeight="1">
      <c r="A82" s="59" t="s">
        <v>360</v>
      </c>
      <c r="B82" s="48"/>
      <c r="C82" s="48"/>
      <c r="D82" s="48"/>
      <c r="E82" s="48" t="s">
        <v>15</v>
      </c>
      <c r="F82" s="48"/>
      <c r="G82" s="49">
        <f t="shared" si="43"/>
        <v>599000</v>
      </c>
      <c r="H82" s="49"/>
      <c r="I82" s="27">
        <v>599000</v>
      </c>
      <c r="J82" s="49">
        <f t="shared" si="44"/>
        <v>599000</v>
      </c>
      <c r="K82" s="49"/>
      <c r="L82" s="27">
        <v>599000</v>
      </c>
      <c r="M82" s="49"/>
      <c r="N82" s="49"/>
      <c r="O82" s="49"/>
      <c r="P82" s="49"/>
      <c r="Q82" s="49"/>
      <c r="R82" s="49"/>
      <c r="S82" s="27">
        <v>599000</v>
      </c>
      <c r="T82" s="49"/>
      <c r="U82" s="27">
        <v>599000</v>
      </c>
      <c r="V82" s="27">
        <v>599000</v>
      </c>
      <c r="W82" s="49"/>
      <c r="X82" s="27">
        <v>599000</v>
      </c>
      <c r="Y82" s="19">
        <f t="shared" si="45"/>
        <v>0</v>
      </c>
      <c r="Z82" s="19">
        <f t="shared" si="46"/>
        <v>0</v>
      </c>
      <c r="AA82" s="19">
        <f t="shared" si="47"/>
        <v>0</v>
      </c>
      <c r="AB82" s="7">
        <f t="shared" si="20"/>
        <v>0</v>
      </c>
      <c r="AC82" s="50">
        <f t="shared" si="24"/>
        <v>100</v>
      </c>
      <c r="AD82" s="50"/>
    </row>
    <row r="83" spans="1:30" ht="126" customHeight="1">
      <c r="A83" s="59" t="s">
        <v>317</v>
      </c>
      <c r="B83" s="48"/>
      <c r="C83" s="48"/>
      <c r="D83" s="48"/>
      <c r="E83" s="48" t="s">
        <v>15</v>
      </c>
      <c r="F83" s="48"/>
      <c r="G83" s="49">
        <f t="shared" si="43"/>
        <v>580000</v>
      </c>
      <c r="H83" s="49"/>
      <c r="I83" s="27">
        <v>580000</v>
      </c>
      <c r="J83" s="49">
        <f t="shared" si="44"/>
        <v>580000</v>
      </c>
      <c r="K83" s="49"/>
      <c r="L83" s="27">
        <v>580000</v>
      </c>
      <c r="M83" s="49"/>
      <c r="N83" s="49"/>
      <c r="O83" s="49"/>
      <c r="P83" s="49"/>
      <c r="Q83" s="49"/>
      <c r="R83" s="49"/>
      <c r="S83" s="27">
        <v>580000</v>
      </c>
      <c r="T83" s="49"/>
      <c r="U83" s="27">
        <v>580000</v>
      </c>
      <c r="V83" s="27">
        <v>580000</v>
      </c>
      <c r="W83" s="49"/>
      <c r="X83" s="27">
        <v>580000</v>
      </c>
      <c r="Y83" s="19">
        <f t="shared" si="45"/>
        <v>0</v>
      </c>
      <c r="Z83" s="19">
        <f t="shared" si="46"/>
        <v>0</v>
      </c>
      <c r="AA83" s="19">
        <f t="shared" si="47"/>
        <v>0</v>
      </c>
      <c r="AB83" s="7">
        <f t="shared" si="20"/>
        <v>0</v>
      </c>
      <c r="AC83" s="50">
        <f t="shared" si="24"/>
        <v>100</v>
      </c>
      <c r="AD83" s="50"/>
    </row>
    <row r="84" spans="1:30" s="5" customFormat="1">
      <c r="A84" s="80" t="s">
        <v>85</v>
      </c>
      <c r="B84" s="80"/>
      <c r="C84" s="80"/>
      <c r="D84" s="80"/>
      <c r="E84" s="80"/>
      <c r="F84" s="80"/>
      <c r="G84" s="39">
        <f>G85</f>
        <v>900000</v>
      </c>
      <c r="H84" s="39"/>
      <c r="I84" s="39">
        <f>I85</f>
        <v>900000</v>
      </c>
      <c r="J84" s="39">
        <f>J85</f>
        <v>900000</v>
      </c>
      <c r="K84" s="39"/>
      <c r="L84" s="39">
        <f>L85</f>
        <v>900000</v>
      </c>
      <c r="M84" s="39"/>
      <c r="N84" s="39"/>
      <c r="O84" s="39"/>
      <c r="P84" s="39"/>
      <c r="Q84" s="39"/>
      <c r="R84" s="39"/>
      <c r="S84" s="39">
        <f>S85</f>
        <v>900000</v>
      </c>
      <c r="T84" s="39"/>
      <c r="U84" s="39">
        <f>U85</f>
        <v>900000</v>
      </c>
      <c r="V84" s="39">
        <f>V85</f>
        <v>900000</v>
      </c>
      <c r="W84" s="39"/>
      <c r="X84" s="39">
        <f>X85</f>
        <v>900000</v>
      </c>
      <c r="Y84" s="39">
        <f t="shared" si="45"/>
        <v>0</v>
      </c>
      <c r="Z84" s="19">
        <f t="shared" si="46"/>
        <v>0</v>
      </c>
      <c r="AA84" s="19">
        <f t="shared" si="47"/>
        <v>0</v>
      </c>
      <c r="AB84" s="7">
        <f t="shared" si="20"/>
        <v>0</v>
      </c>
      <c r="AC84" s="50">
        <f t="shared" si="24"/>
        <v>100</v>
      </c>
      <c r="AD84" s="7"/>
    </row>
    <row r="85" spans="1:30" ht="182.25" customHeight="1">
      <c r="A85" s="46" t="s">
        <v>339</v>
      </c>
      <c r="B85" s="48" t="s">
        <v>13</v>
      </c>
      <c r="C85" s="48" t="s">
        <v>13</v>
      </c>
      <c r="D85" s="48" t="s">
        <v>61</v>
      </c>
      <c r="E85" s="48" t="s">
        <v>343</v>
      </c>
      <c r="F85" s="48">
        <v>2022</v>
      </c>
      <c r="G85" s="40">
        <f>H85+I85</f>
        <v>900000</v>
      </c>
      <c r="H85" s="40"/>
      <c r="I85" s="40">
        <v>900000</v>
      </c>
      <c r="J85" s="40">
        <f>K85+L85</f>
        <v>900000</v>
      </c>
      <c r="K85" s="40"/>
      <c r="L85" s="40">
        <v>900000</v>
      </c>
      <c r="M85" s="40"/>
      <c r="N85" s="40"/>
      <c r="O85" s="40"/>
      <c r="P85" s="40"/>
      <c r="Q85" s="40"/>
      <c r="R85" s="40"/>
      <c r="S85" s="40">
        <f>T85+U85</f>
        <v>900000</v>
      </c>
      <c r="T85" s="40"/>
      <c r="U85" s="40">
        <v>900000</v>
      </c>
      <c r="V85" s="40">
        <f>W85+X85</f>
        <v>900000</v>
      </c>
      <c r="W85" s="40"/>
      <c r="X85" s="40">
        <v>900000</v>
      </c>
      <c r="Y85" s="39">
        <f t="shared" si="45"/>
        <v>0</v>
      </c>
      <c r="Z85" s="19">
        <f t="shared" si="46"/>
        <v>0</v>
      </c>
      <c r="AA85" s="19">
        <f t="shared" si="47"/>
        <v>0</v>
      </c>
      <c r="AB85" s="7"/>
      <c r="AC85" s="50">
        <f t="shared" si="24"/>
        <v>100</v>
      </c>
      <c r="AD85" s="50"/>
    </row>
    <row r="86" spans="1:30" ht="30">
      <c r="A86" s="46" t="s">
        <v>66</v>
      </c>
      <c r="B86" s="48" t="s">
        <v>67</v>
      </c>
      <c r="C86" s="46"/>
      <c r="D86" s="46"/>
      <c r="E86" s="46"/>
      <c r="F86" s="46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19"/>
      <c r="Z86" s="19">
        <f t="shared" si="46"/>
        <v>0</v>
      </c>
      <c r="AA86" s="19">
        <f t="shared" si="47"/>
        <v>0</v>
      </c>
      <c r="AB86" s="7"/>
      <c r="AC86" s="50"/>
      <c r="AD86" s="50"/>
    </row>
    <row r="87" spans="1:30">
      <c r="A87" s="80" t="s">
        <v>340</v>
      </c>
      <c r="B87" s="80"/>
      <c r="C87" s="80"/>
      <c r="D87" s="80"/>
      <c r="E87" s="80"/>
      <c r="F87" s="80"/>
      <c r="G87" s="60">
        <f t="shared" ref="G87:G90" si="49">I87</f>
        <v>15950000</v>
      </c>
      <c r="H87" s="22"/>
      <c r="I87" s="60">
        <f>I88</f>
        <v>15950000</v>
      </c>
      <c r="J87" s="60">
        <f t="shared" ref="J87:J90" si="50">L87</f>
        <v>15950000</v>
      </c>
      <c r="K87" s="22"/>
      <c r="L87" s="60">
        <f>L88</f>
        <v>15950000</v>
      </c>
      <c r="M87" s="22"/>
      <c r="N87" s="22"/>
      <c r="O87" s="22"/>
      <c r="P87" s="22"/>
      <c r="Q87" s="22"/>
      <c r="R87" s="22"/>
      <c r="S87" s="60">
        <f t="shared" ref="S87:S90" si="51">U87</f>
        <v>0</v>
      </c>
      <c r="T87" s="22"/>
      <c r="U87" s="60">
        <f>U88</f>
        <v>0</v>
      </c>
      <c r="V87" s="60">
        <f t="shared" ref="V87:V90" si="52">X87</f>
        <v>0</v>
      </c>
      <c r="W87" s="22"/>
      <c r="X87" s="60">
        <f>X88</f>
        <v>0</v>
      </c>
      <c r="Y87" s="19">
        <f t="shared" ref="Y87:Y91" si="53">Z87+AA87</f>
        <v>15950000</v>
      </c>
      <c r="Z87" s="19">
        <f t="shared" si="46"/>
        <v>0</v>
      </c>
      <c r="AA87" s="19">
        <f t="shared" si="47"/>
        <v>15950000</v>
      </c>
      <c r="AB87" s="7"/>
      <c r="AC87" s="50">
        <f t="shared" si="24"/>
        <v>0</v>
      </c>
      <c r="AD87" s="50"/>
    </row>
    <row r="88" spans="1:30">
      <c r="A88" s="81" t="s">
        <v>8</v>
      </c>
      <c r="B88" s="81"/>
      <c r="C88" s="81"/>
      <c r="D88" s="81"/>
      <c r="E88" s="81"/>
      <c r="F88" s="81"/>
      <c r="G88" s="61">
        <f t="shared" si="49"/>
        <v>15950000</v>
      </c>
      <c r="H88" s="20"/>
      <c r="I88" s="61">
        <f>I89</f>
        <v>15950000</v>
      </c>
      <c r="J88" s="61">
        <f t="shared" si="50"/>
        <v>15950000</v>
      </c>
      <c r="K88" s="20"/>
      <c r="L88" s="61">
        <f>L89</f>
        <v>15950000</v>
      </c>
      <c r="M88" s="20"/>
      <c r="N88" s="20"/>
      <c r="O88" s="20"/>
      <c r="P88" s="20"/>
      <c r="Q88" s="20"/>
      <c r="R88" s="20"/>
      <c r="S88" s="61">
        <f t="shared" si="51"/>
        <v>0</v>
      </c>
      <c r="T88" s="20"/>
      <c r="U88" s="61">
        <f>U89</f>
        <v>0</v>
      </c>
      <c r="V88" s="61">
        <f t="shared" si="52"/>
        <v>0</v>
      </c>
      <c r="W88" s="20"/>
      <c r="X88" s="61">
        <f>X89</f>
        <v>0</v>
      </c>
      <c r="Y88" s="19">
        <f t="shared" si="53"/>
        <v>15950000</v>
      </c>
      <c r="Z88" s="19">
        <f t="shared" si="46"/>
        <v>0</v>
      </c>
      <c r="AA88" s="19">
        <f t="shared" si="47"/>
        <v>15950000</v>
      </c>
      <c r="AB88" s="7"/>
      <c r="AC88" s="50">
        <f t="shared" si="24"/>
        <v>0</v>
      </c>
      <c r="AD88" s="50"/>
    </row>
    <row r="89" spans="1:30">
      <c r="A89" s="82" t="s">
        <v>341</v>
      </c>
      <c r="B89" s="82"/>
      <c r="C89" s="82"/>
      <c r="D89" s="82"/>
      <c r="E89" s="82"/>
      <c r="F89" s="82"/>
      <c r="G89" s="61">
        <f t="shared" si="49"/>
        <v>15950000</v>
      </c>
      <c r="H89" s="20"/>
      <c r="I89" s="61">
        <f>I90</f>
        <v>15950000</v>
      </c>
      <c r="J89" s="61">
        <f t="shared" si="50"/>
        <v>15950000</v>
      </c>
      <c r="K89" s="20"/>
      <c r="L89" s="61">
        <f>L90</f>
        <v>15950000</v>
      </c>
      <c r="M89" s="20"/>
      <c r="N89" s="20"/>
      <c r="O89" s="20"/>
      <c r="P89" s="20"/>
      <c r="Q89" s="20"/>
      <c r="R89" s="20"/>
      <c r="S89" s="61">
        <f t="shared" si="51"/>
        <v>0</v>
      </c>
      <c r="T89" s="20"/>
      <c r="U89" s="61">
        <f>U90</f>
        <v>0</v>
      </c>
      <c r="V89" s="61">
        <f t="shared" si="52"/>
        <v>0</v>
      </c>
      <c r="W89" s="20"/>
      <c r="X89" s="61">
        <f>X90</f>
        <v>0</v>
      </c>
      <c r="Y89" s="19">
        <f t="shared" si="53"/>
        <v>15950000</v>
      </c>
      <c r="Z89" s="19">
        <f t="shared" si="46"/>
        <v>0</v>
      </c>
      <c r="AA89" s="19">
        <f t="shared" si="47"/>
        <v>15950000</v>
      </c>
      <c r="AB89" s="7"/>
      <c r="AC89" s="50">
        <f t="shared" si="24"/>
        <v>0</v>
      </c>
      <c r="AD89" s="50"/>
    </row>
    <row r="90" spans="1:30">
      <c r="A90" s="83" t="s">
        <v>342</v>
      </c>
      <c r="B90" s="83"/>
      <c r="C90" s="83"/>
      <c r="D90" s="83"/>
      <c r="E90" s="83"/>
      <c r="F90" s="83"/>
      <c r="G90" s="60">
        <f t="shared" si="49"/>
        <v>15950000</v>
      </c>
      <c r="H90" s="22"/>
      <c r="I90" s="60">
        <f>I91</f>
        <v>15950000</v>
      </c>
      <c r="J90" s="60">
        <f t="shared" si="50"/>
        <v>15950000</v>
      </c>
      <c r="K90" s="22"/>
      <c r="L90" s="60">
        <f>L91</f>
        <v>15950000</v>
      </c>
      <c r="M90" s="22"/>
      <c r="N90" s="22"/>
      <c r="O90" s="22"/>
      <c r="P90" s="22"/>
      <c r="Q90" s="22"/>
      <c r="R90" s="22"/>
      <c r="S90" s="60">
        <f t="shared" si="51"/>
        <v>0</v>
      </c>
      <c r="T90" s="22"/>
      <c r="U90" s="60">
        <f>U91</f>
        <v>0</v>
      </c>
      <c r="V90" s="60">
        <f t="shared" si="52"/>
        <v>0</v>
      </c>
      <c r="W90" s="22"/>
      <c r="X90" s="60">
        <f>X91</f>
        <v>0</v>
      </c>
      <c r="Y90" s="19">
        <f t="shared" si="53"/>
        <v>15950000</v>
      </c>
      <c r="Z90" s="19">
        <f t="shared" si="46"/>
        <v>0</v>
      </c>
      <c r="AA90" s="19">
        <f t="shared" si="47"/>
        <v>15950000</v>
      </c>
      <c r="AB90" s="7"/>
      <c r="AC90" s="50">
        <f t="shared" si="24"/>
        <v>0</v>
      </c>
      <c r="AD90" s="50"/>
    </row>
    <row r="91" spans="1:30" ht="214.5" customHeight="1">
      <c r="A91" s="46" t="s">
        <v>344</v>
      </c>
      <c r="B91" s="48" t="s">
        <v>13</v>
      </c>
      <c r="C91" s="48" t="s">
        <v>13</v>
      </c>
      <c r="D91" s="46" t="s">
        <v>345</v>
      </c>
      <c r="E91" s="48" t="s">
        <v>348</v>
      </c>
      <c r="F91" s="46" t="s">
        <v>346</v>
      </c>
      <c r="G91" s="61">
        <f>I91</f>
        <v>15950000</v>
      </c>
      <c r="H91" s="20"/>
      <c r="I91" s="40">
        <v>15950000</v>
      </c>
      <c r="J91" s="61">
        <f>L91</f>
        <v>15950000</v>
      </c>
      <c r="K91" s="20"/>
      <c r="L91" s="40">
        <v>15950000</v>
      </c>
      <c r="M91" s="20"/>
      <c r="N91" s="20"/>
      <c r="O91" s="20"/>
      <c r="P91" s="20"/>
      <c r="Q91" s="20"/>
      <c r="R91" s="20"/>
      <c r="S91" s="61">
        <f>U91</f>
        <v>0</v>
      </c>
      <c r="T91" s="20"/>
      <c r="U91" s="40">
        <v>0</v>
      </c>
      <c r="V91" s="61">
        <f>X91</f>
        <v>0</v>
      </c>
      <c r="W91" s="20"/>
      <c r="X91" s="40">
        <v>0</v>
      </c>
      <c r="Y91" s="19">
        <f t="shared" si="53"/>
        <v>15950000</v>
      </c>
      <c r="Z91" s="19">
        <f t="shared" si="46"/>
        <v>0</v>
      </c>
      <c r="AA91" s="19">
        <f t="shared" si="47"/>
        <v>15950000</v>
      </c>
      <c r="AB91" s="7"/>
      <c r="AC91" s="50">
        <f t="shared" si="24"/>
        <v>0</v>
      </c>
      <c r="AD91" s="50"/>
    </row>
    <row r="92" spans="1:30" s="5" customFormat="1">
      <c r="A92" s="80" t="s">
        <v>86</v>
      </c>
      <c r="B92" s="80"/>
      <c r="C92" s="80"/>
      <c r="D92" s="80"/>
      <c r="E92" s="80"/>
      <c r="F92" s="80"/>
      <c r="G92" s="19">
        <f>H92+I92</f>
        <v>151757223.75</v>
      </c>
      <c r="H92" s="19">
        <f>H95+H102</f>
        <v>105061200</v>
      </c>
      <c r="I92" s="19">
        <f>I95+I102</f>
        <v>46696023.75</v>
      </c>
      <c r="J92" s="19">
        <f>K92+L92</f>
        <v>151757223.75</v>
      </c>
      <c r="K92" s="19">
        <f>K95+K102</f>
        <v>105061200</v>
      </c>
      <c r="L92" s="19">
        <f>L95+L102</f>
        <v>46696023.75</v>
      </c>
      <c r="M92" s="19" t="e">
        <f>№92+O92</f>
        <v>#NAME?</v>
      </c>
      <c r="N92" s="19" t="e">
        <f>№95+№102</f>
        <v>#NAME?</v>
      </c>
      <c r="O92" s="19">
        <f>O95+O102</f>
        <v>2196656.4300000002</v>
      </c>
      <c r="P92" s="19">
        <f>Q92+R92</f>
        <v>21988558.200000003</v>
      </c>
      <c r="Q92" s="19">
        <f>Q95+Q102</f>
        <v>19789702.920000002</v>
      </c>
      <c r="R92" s="19">
        <f>R95+R102</f>
        <v>2198855.2799999998</v>
      </c>
      <c r="S92" s="19">
        <f>T92+U92</f>
        <v>151757223.75</v>
      </c>
      <c r="T92" s="19">
        <f>T95+T102</f>
        <v>105061200</v>
      </c>
      <c r="U92" s="19">
        <f>U95+U102</f>
        <v>46696023.75</v>
      </c>
      <c r="V92" s="19">
        <f>W92+X92</f>
        <v>151757223.75</v>
      </c>
      <c r="W92" s="19">
        <f>W95+W102</f>
        <v>105061200</v>
      </c>
      <c r="X92" s="19">
        <f>X95+X102</f>
        <v>46696023.75</v>
      </c>
      <c r="Y92" s="19">
        <f t="shared" si="45"/>
        <v>0</v>
      </c>
      <c r="Z92" s="19">
        <f t="shared" si="46"/>
        <v>0</v>
      </c>
      <c r="AA92" s="19">
        <f t="shared" si="47"/>
        <v>0</v>
      </c>
      <c r="AB92" s="7" t="e">
        <f t="shared" si="20"/>
        <v>#NAME?</v>
      </c>
      <c r="AC92" s="50">
        <f t="shared" si="24"/>
        <v>100</v>
      </c>
      <c r="AD92" s="7" t="e">
        <f t="shared" ref="AD92:AD101" si="54">S92/M92*100</f>
        <v>#NAME?</v>
      </c>
    </row>
    <row r="93" spans="1:30">
      <c r="A93" s="81" t="s">
        <v>7</v>
      </c>
      <c r="B93" s="81"/>
      <c r="C93" s="81"/>
      <c r="D93" s="81"/>
      <c r="E93" s="81"/>
      <c r="F93" s="81"/>
      <c r="G93" s="49">
        <f>H93+I93</f>
        <v>32512443.560000002</v>
      </c>
      <c r="H93" s="49">
        <f>H92-H94</f>
        <v>29261200</v>
      </c>
      <c r="I93" s="49">
        <f>I92-I94</f>
        <v>3251243.5600000024</v>
      </c>
      <c r="J93" s="49">
        <f>K93+L93</f>
        <v>32512443.560000002</v>
      </c>
      <c r="K93" s="49">
        <f>K92-K94</f>
        <v>29261200</v>
      </c>
      <c r="L93" s="49">
        <f>L92-L94</f>
        <v>3251243.5600000024</v>
      </c>
      <c r="M93" s="49" t="e">
        <f>№93+O93</f>
        <v>#NAME?</v>
      </c>
      <c r="N93" s="49" t="e">
        <f>№92-№94</f>
        <v>#NAME?</v>
      </c>
      <c r="O93" s="49">
        <f>O92-O94</f>
        <v>2196656.4300000002</v>
      </c>
      <c r="P93" s="49">
        <f>Q93+R93</f>
        <v>21988558.200000003</v>
      </c>
      <c r="Q93" s="49">
        <f>Q92-Q94</f>
        <v>19789702.920000002</v>
      </c>
      <c r="R93" s="49">
        <f>R92-R94</f>
        <v>2198855.2799999998</v>
      </c>
      <c r="S93" s="49">
        <f>T93+U93</f>
        <v>32512443.560000002</v>
      </c>
      <c r="T93" s="49">
        <f>T92-T94</f>
        <v>29261200</v>
      </c>
      <c r="U93" s="49">
        <f>U92-U94</f>
        <v>3251243.5600000024</v>
      </c>
      <c r="V93" s="49">
        <f>W93+X93</f>
        <v>32512443.560000002</v>
      </c>
      <c r="W93" s="49">
        <f>W92-W94</f>
        <v>29261200</v>
      </c>
      <c r="X93" s="49">
        <f>X92-X94</f>
        <v>3251243.5600000024</v>
      </c>
      <c r="Y93" s="19">
        <f t="shared" si="45"/>
        <v>0</v>
      </c>
      <c r="Z93" s="19">
        <f t="shared" si="46"/>
        <v>0</v>
      </c>
      <c r="AA93" s="19">
        <f t="shared" si="47"/>
        <v>0</v>
      </c>
      <c r="AB93" s="7" t="e">
        <f t="shared" si="20"/>
        <v>#NAME?</v>
      </c>
      <c r="AC93" s="50">
        <f t="shared" si="24"/>
        <v>100</v>
      </c>
      <c r="AD93" s="50" t="e">
        <f t="shared" si="54"/>
        <v>#NAME?</v>
      </c>
    </row>
    <row r="94" spans="1:30">
      <c r="A94" s="81" t="s">
        <v>8</v>
      </c>
      <c r="B94" s="81"/>
      <c r="C94" s="81"/>
      <c r="D94" s="81"/>
      <c r="E94" s="81"/>
      <c r="F94" s="81"/>
      <c r="G94" s="49">
        <f>H94+I94</f>
        <v>119244780.19</v>
      </c>
      <c r="H94" s="49">
        <f>H96</f>
        <v>75800000</v>
      </c>
      <c r="I94" s="49">
        <f>I96</f>
        <v>43444780.189999998</v>
      </c>
      <c r="J94" s="49">
        <f>K94+L94</f>
        <v>119244780.19</v>
      </c>
      <c r="K94" s="49">
        <f>K96</f>
        <v>75800000</v>
      </c>
      <c r="L94" s="49">
        <f>L96</f>
        <v>43444780.189999998</v>
      </c>
      <c r="M94" s="49" t="e">
        <f>№94+O94</f>
        <v>#NAME?</v>
      </c>
      <c r="N94" s="49" t="e">
        <f>№96</f>
        <v>#NAME?</v>
      </c>
      <c r="O94" s="49">
        <f>O96</f>
        <v>0</v>
      </c>
      <c r="P94" s="49">
        <f>Q94+R94</f>
        <v>0</v>
      </c>
      <c r="Q94" s="49">
        <f>Q96</f>
        <v>0</v>
      </c>
      <c r="R94" s="49">
        <f>R96</f>
        <v>0</v>
      </c>
      <c r="S94" s="49">
        <f>T94+U94</f>
        <v>119244780.19</v>
      </c>
      <c r="T94" s="49">
        <f>T96</f>
        <v>75800000</v>
      </c>
      <c r="U94" s="49">
        <f>U96</f>
        <v>43444780.189999998</v>
      </c>
      <c r="V94" s="49">
        <f>W94+X94</f>
        <v>119244780.19</v>
      </c>
      <c r="W94" s="49">
        <f>W96</f>
        <v>75800000</v>
      </c>
      <c r="X94" s="49">
        <f>X96</f>
        <v>43444780.189999998</v>
      </c>
      <c r="Y94" s="19">
        <f t="shared" si="45"/>
        <v>0</v>
      </c>
      <c r="Z94" s="19">
        <f t="shared" si="46"/>
        <v>0</v>
      </c>
      <c r="AA94" s="19">
        <f t="shared" si="47"/>
        <v>0</v>
      </c>
      <c r="AB94" s="7" t="e">
        <f t="shared" si="20"/>
        <v>#NAME?</v>
      </c>
      <c r="AC94" s="50">
        <f t="shared" si="24"/>
        <v>100</v>
      </c>
      <c r="AD94" s="50">
        <v>0</v>
      </c>
    </row>
    <row r="95" spans="1:30" s="5" customFormat="1">
      <c r="A95" s="80" t="s">
        <v>11</v>
      </c>
      <c r="B95" s="80"/>
      <c r="C95" s="80"/>
      <c r="D95" s="80"/>
      <c r="E95" s="80"/>
      <c r="F95" s="80"/>
      <c r="G95" s="19">
        <f t="shared" ref="G95:I95" si="55">G96+G98</f>
        <v>151757223.75</v>
      </c>
      <c r="H95" s="19">
        <f t="shared" si="55"/>
        <v>105061200</v>
      </c>
      <c r="I95" s="19">
        <f t="shared" si="55"/>
        <v>46696023.75</v>
      </c>
      <c r="J95" s="19">
        <f t="shared" ref="J95:L95" si="56">J96+J98</f>
        <v>151757223.75</v>
      </c>
      <c r="K95" s="19">
        <f t="shared" si="56"/>
        <v>105061200</v>
      </c>
      <c r="L95" s="19">
        <f t="shared" si="56"/>
        <v>46696023.75</v>
      </c>
      <c r="M95" s="19" t="e">
        <f t="shared" ref="M95:U95" si="57">M96+M98</f>
        <v>#NAME?</v>
      </c>
      <c r="N95" s="19" t="e">
        <f>№96+№98</f>
        <v>#NAME?</v>
      </c>
      <c r="O95" s="19">
        <f t="shared" si="57"/>
        <v>2196656.4300000002</v>
      </c>
      <c r="P95" s="19">
        <f t="shared" si="57"/>
        <v>21988558.200000003</v>
      </c>
      <c r="Q95" s="19">
        <f t="shared" si="57"/>
        <v>19789702.920000002</v>
      </c>
      <c r="R95" s="19">
        <f t="shared" si="57"/>
        <v>2198855.2799999998</v>
      </c>
      <c r="S95" s="19">
        <f t="shared" si="57"/>
        <v>151757223.75</v>
      </c>
      <c r="T95" s="19">
        <f t="shared" si="57"/>
        <v>105061200</v>
      </c>
      <c r="U95" s="19">
        <f t="shared" si="57"/>
        <v>46696023.75</v>
      </c>
      <c r="V95" s="19">
        <f t="shared" ref="V95:X95" si="58">V96+V98</f>
        <v>151757223.75</v>
      </c>
      <c r="W95" s="19">
        <f t="shared" si="58"/>
        <v>105061200</v>
      </c>
      <c r="X95" s="19">
        <f t="shared" si="58"/>
        <v>46696023.75</v>
      </c>
      <c r="Y95" s="19">
        <f t="shared" si="45"/>
        <v>0</v>
      </c>
      <c r="Z95" s="19">
        <f t="shared" si="46"/>
        <v>0</v>
      </c>
      <c r="AA95" s="19">
        <f t="shared" si="47"/>
        <v>0</v>
      </c>
      <c r="AB95" s="7" t="e">
        <f t="shared" si="20"/>
        <v>#NAME?</v>
      </c>
      <c r="AC95" s="50">
        <f t="shared" si="24"/>
        <v>100</v>
      </c>
      <c r="AD95" s="7" t="e">
        <f t="shared" si="54"/>
        <v>#NAME?</v>
      </c>
    </row>
    <row r="96" spans="1:30" ht="105" customHeight="1">
      <c r="A96" s="81" t="s">
        <v>87</v>
      </c>
      <c r="B96" s="87" t="s">
        <v>13</v>
      </c>
      <c r="C96" s="87" t="s">
        <v>13</v>
      </c>
      <c r="D96" s="87" t="s">
        <v>283</v>
      </c>
      <c r="E96" s="87" t="s">
        <v>15</v>
      </c>
      <c r="F96" s="87" t="s">
        <v>30</v>
      </c>
      <c r="G96" s="45">
        <f>H96+I96</f>
        <v>119244780.19</v>
      </c>
      <c r="H96" s="45">
        <v>75800000</v>
      </c>
      <c r="I96" s="45">
        <f>34944780.19+8500000</f>
        <v>43444780.189999998</v>
      </c>
      <c r="J96" s="45">
        <f>K96+L96</f>
        <v>119244780.19</v>
      </c>
      <c r="K96" s="45">
        <v>75800000</v>
      </c>
      <c r="L96" s="45">
        <f>34944780.19+8500000</f>
        <v>43444780.189999998</v>
      </c>
      <c r="M96" s="77" t="e">
        <f>№96+O96</f>
        <v>#NAME?</v>
      </c>
      <c r="N96" s="77">
        <v>0</v>
      </c>
      <c r="O96" s="77">
        <v>0</v>
      </c>
      <c r="P96" s="77">
        <f>Q96+R96</f>
        <v>0</v>
      </c>
      <c r="Q96" s="77"/>
      <c r="R96" s="77"/>
      <c r="S96" s="77">
        <f>T96+U96</f>
        <v>119244780.19</v>
      </c>
      <c r="T96" s="77">
        <v>75800000</v>
      </c>
      <c r="U96" s="77">
        <f>8500000+34944780.19</f>
        <v>43444780.189999998</v>
      </c>
      <c r="V96" s="77">
        <f>W96+X96</f>
        <v>119244780.19</v>
      </c>
      <c r="W96" s="77">
        <v>75800000</v>
      </c>
      <c r="X96" s="77">
        <f>8500000+34944780.19</f>
        <v>43444780.189999998</v>
      </c>
      <c r="Y96" s="100">
        <f t="shared" si="45"/>
        <v>0</v>
      </c>
      <c r="Z96" s="19">
        <f t="shared" si="46"/>
        <v>0</v>
      </c>
      <c r="AA96" s="19">
        <f t="shared" si="47"/>
        <v>0</v>
      </c>
      <c r="AB96" s="7" t="e">
        <f t="shared" si="20"/>
        <v>#NAME?</v>
      </c>
      <c r="AC96" s="99">
        <f>V96/J96*100</f>
        <v>100</v>
      </c>
      <c r="AD96" s="99">
        <v>0</v>
      </c>
    </row>
    <row r="97" spans="1:30">
      <c r="A97" s="81"/>
      <c r="B97" s="87"/>
      <c r="C97" s="87"/>
      <c r="D97" s="87"/>
      <c r="E97" s="87"/>
      <c r="F97" s="87"/>
      <c r="G97" s="45"/>
      <c r="H97" s="45"/>
      <c r="I97" s="45"/>
      <c r="J97" s="45"/>
      <c r="K97" s="45"/>
      <c r="L97" s="45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100"/>
      <c r="Z97" s="19">
        <f t="shared" si="46"/>
        <v>0</v>
      </c>
      <c r="AA97" s="19">
        <f t="shared" si="47"/>
        <v>0</v>
      </c>
      <c r="AB97" s="7"/>
      <c r="AC97" s="99"/>
      <c r="AD97" s="99"/>
    </row>
    <row r="98" spans="1:30" ht="59.25" customHeight="1">
      <c r="A98" s="81" t="s">
        <v>88</v>
      </c>
      <c r="B98" s="87" t="s">
        <v>13</v>
      </c>
      <c r="C98" s="87" t="s">
        <v>13</v>
      </c>
      <c r="D98" s="87" t="s">
        <v>284</v>
      </c>
      <c r="E98" s="87" t="s">
        <v>89</v>
      </c>
      <c r="F98" s="87" t="s">
        <v>65</v>
      </c>
      <c r="G98" s="45">
        <f>H98+I98</f>
        <v>32512443.559999999</v>
      </c>
      <c r="H98" s="45">
        <v>29261200</v>
      </c>
      <c r="I98" s="45">
        <v>3251243.56</v>
      </c>
      <c r="J98" s="45">
        <f>K98+L98</f>
        <v>32512443.559999999</v>
      </c>
      <c r="K98" s="45">
        <v>29261200</v>
      </c>
      <c r="L98" s="45">
        <v>3251243.56</v>
      </c>
      <c r="M98" s="77" t="e">
        <f>№98+O98</f>
        <v>#NAME?</v>
      </c>
      <c r="N98" s="77">
        <v>19769913.219999999</v>
      </c>
      <c r="O98" s="77">
        <v>2196656.4300000002</v>
      </c>
      <c r="P98" s="77">
        <f>Q98+R98</f>
        <v>21988558.200000003</v>
      </c>
      <c r="Q98" s="77">
        <f>Q101</f>
        <v>19789702.920000002</v>
      </c>
      <c r="R98" s="77">
        <f>R101</f>
        <v>2198855.2799999998</v>
      </c>
      <c r="S98" s="77">
        <f>T98+U98</f>
        <v>32512443.559999999</v>
      </c>
      <c r="T98" s="77">
        <f>T101</f>
        <v>29261200</v>
      </c>
      <c r="U98" s="77">
        <f>U101</f>
        <v>3251243.56</v>
      </c>
      <c r="V98" s="77">
        <f>W98+X98</f>
        <v>32512443.559999999</v>
      </c>
      <c r="W98" s="77">
        <f>W101</f>
        <v>29261200</v>
      </c>
      <c r="X98" s="77">
        <f>X101</f>
        <v>3251243.56</v>
      </c>
      <c r="Y98" s="100">
        <f t="shared" si="45"/>
        <v>0</v>
      </c>
      <c r="Z98" s="19">
        <f t="shared" si="46"/>
        <v>0</v>
      </c>
      <c r="AA98" s="19">
        <f t="shared" si="47"/>
        <v>0</v>
      </c>
      <c r="AB98" s="7" t="e">
        <f t="shared" si="20"/>
        <v>#NAME?</v>
      </c>
      <c r="AC98" s="99">
        <f>V98/J98*100</f>
        <v>100</v>
      </c>
      <c r="AD98" s="99" t="e">
        <f t="shared" si="54"/>
        <v>#NAME?</v>
      </c>
    </row>
    <row r="99" spans="1:30">
      <c r="A99" s="81"/>
      <c r="B99" s="87"/>
      <c r="C99" s="87"/>
      <c r="D99" s="87"/>
      <c r="E99" s="87"/>
      <c r="F99" s="87"/>
      <c r="G99" s="45"/>
      <c r="H99" s="45"/>
      <c r="I99" s="45"/>
      <c r="J99" s="45"/>
      <c r="K99" s="45"/>
      <c r="L99" s="45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100"/>
      <c r="Z99" s="19">
        <f t="shared" si="46"/>
        <v>0</v>
      </c>
      <c r="AA99" s="19">
        <f t="shared" si="47"/>
        <v>0</v>
      </c>
      <c r="AB99" s="7"/>
      <c r="AC99" s="99"/>
      <c r="AD99" s="99"/>
    </row>
    <row r="100" spans="1:30" ht="14.25" customHeight="1">
      <c r="A100" s="81"/>
      <c r="B100" s="87"/>
      <c r="C100" s="87"/>
      <c r="D100" s="87"/>
      <c r="E100" s="87"/>
      <c r="F100" s="87"/>
      <c r="G100" s="45"/>
      <c r="H100" s="45"/>
      <c r="I100" s="45"/>
      <c r="J100" s="45"/>
      <c r="K100" s="45"/>
      <c r="L100" s="45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100"/>
      <c r="Z100" s="19">
        <f t="shared" si="46"/>
        <v>0</v>
      </c>
      <c r="AA100" s="19">
        <f t="shared" si="47"/>
        <v>0</v>
      </c>
      <c r="AB100" s="7"/>
      <c r="AC100" s="99"/>
      <c r="AD100" s="99"/>
    </row>
    <row r="101" spans="1:30" ht="30">
      <c r="A101" s="46" t="s">
        <v>90</v>
      </c>
      <c r="B101" s="48" t="s">
        <v>91</v>
      </c>
      <c r="C101" s="46"/>
      <c r="D101" s="46"/>
      <c r="E101" s="46"/>
      <c r="F101" s="46"/>
      <c r="G101" s="49">
        <f>H101+I101</f>
        <v>32512443.559999999</v>
      </c>
      <c r="H101" s="24">
        <v>29261200</v>
      </c>
      <c r="I101" s="24">
        <v>3251243.56</v>
      </c>
      <c r="J101" s="49">
        <f>K101+L101</f>
        <v>32512443.559999999</v>
      </c>
      <c r="K101" s="24">
        <v>29261200</v>
      </c>
      <c r="L101" s="24">
        <v>3251243.56</v>
      </c>
      <c r="M101" s="49" t="e">
        <f>№101+O101</f>
        <v>#NAME?</v>
      </c>
      <c r="N101" s="49">
        <v>19769913.219999999</v>
      </c>
      <c r="O101" s="49">
        <v>2196656.4300000002</v>
      </c>
      <c r="P101" s="49">
        <f>Q101+R101</f>
        <v>21988558.200000003</v>
      </c>
      <c r="Q101" s="49">
        <v>19789702.920000002</v>
      </c>
      <c r="R101" s="49">
        <v>2198855.2799999998</v>
      </c>
      <c r="S101" s="49">
        <f>T101+U101</f>
        <v>32512443.559999999</v>
      </c>
      <c r="T101" s="24">
        <v>29261200</v>
      </c>
      <c r="U101" s="24">
        <v>3251243.56</v>
      </c>
      <c r="V101" s="49">
        <f>W101+X101</f>
        <v>32512443.559999999</v>
      </c>
      <c r="W101" s="24">
        <v>29261200</v>
      </c>
      <c r="X101" s="24">
        <v>3251243.56</v>
      </c>
      <c r="Y101" s="19">
        <f t="shared" si="45"/>
        <v>0</v>
      </c>
      <c r="Z101" s="19">
        <f t="shared" si="46"/>
        <v>0</v>
      </c>
      <c r="AA101" s="19">
        <f t="shared" si="47"/>
        <v>0</v>
      </c>
      <c r="AB101" s="7" t="e">
        <f t="shared" si="20"/>
        <v>#NAME?</v>
      </c>
      <c r="AC101" s="50">
        <f>V101/J101*100</f>
        <v>100</v>
      </c>
      <c r="AD101" s="50" t="e">
        <f t="shared" si="54"/>
        <v>#NAME?</v>
      </c>
    </row>
    <row r="102" spans="1:30" s="5" customFormat="1">
      <c r="A102" s="80" t="s">
        <v>92</v>
      </c>
      <c r="B102" s="80"/>
      <c r="C102" s="80"/>
      <c r="D102" s="80"/>
      <c r="E102" s="80"/>
      <c r="F102" s="80"/>
      <c r="G102" s="19"/>
      <c r="H102" s="24"/>
      <c r="I102" s="24"/>
      <c r="J102" s="19"/>
      <c r="K102" s="24"/>
      <c r="L102" s="24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>
        <f t="shared" si="45"/>
        <v>0</v>
      </c>
      <c r="Z102" s="19">
        <f t="shared" si="46"/>
        <v>0</v>
      </c>
      <c r="AA102" s="19">
        <f t="shared" si="47"/>
        <v>0</v>
      </c>
      <c r="AB102" s="7"/>
      <c r="AC102" s="50"/>
      <c r="AD102" s="7"/>
    </row>
    <row r="103" spans="1:30" ht="78.75" customHeight="1">
      <c r="A103" s="46" t="s">
        <v>93</v>
      </c>
      <c r="B103" s="48" t="s">
        <v>13</v>
      </c>
      <c r="C103" s="48" t="s">
        <v>94</v>
      </c>
      <c r="D103" s="48" t="s">
        <v>95</v>
      </c>
      <c r="E103" s="48" t="s">
        <v>96</v>
      </c>
      <c r="F103" s="48" t="s">
        <v>65</v>
      </c>
      <c r="G103" s="49"/>
      <c r="H103" s="24"/>
      <c r="I103" s="24"/>
      <c r="J103" s="49"/>
      <c r="K103" s="24"/>
      <c r="L103" s="24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19">
        <f t="shared" si="45"/>
        <v>0</v>
      </c>
      <c r="Z103" s="19">
        <f t="shared" si="46"/>
        <v>0</v>
      </c>
      <c r="AA103" s="19">
        <f t="shared" si="47"/>
        <v>0</v>
      </c>
      <c r="AB103" s="7"/>
      <c r="AC103" s="50"/>
      <c r="AD103" s="50"/>
    </row>
    <row r="104" spans="1:30" ht="45">
      <c r="A104" s="46" t="s">
        <v>97</v>
      </c>
      <c r="B104" s="48" t="s">
        <v>98</v>
      </c>
      <c r="C104" s="46"/>
      <c r="D104" s="46"/>
      <c r="E104" s="46"/>
      <c r="F104" s="46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19">
        <f t="shared" si="45"/>
        <v>0</v>
      </c>
      <c r="Z104" s="19">
        <f t="shared" si="46"/>
        <v>0</v>
      </c>
      <c r="AA104" s="19">
        <f t="shared" si="47"/>
        <v>0</v>
      </c>
      <c r="AB104" s="7"/>
      <c r="AC104" s="50"/>
      <c r="AD104" s="50">
        <v>0</v>
      </c>
    </row>
    <row r="105" spans="1:30" s="5" customFormat="1" ht="29.25" customHeight="1">
      <c r="A105" s="80" t="s">
        <v>99</v>
      </c>
      <c r="B105" s="80"/>
      <c r="C105" s="80"/>
      <c r="D105" s="80"/>
      <c r="E105" s="80"/>
      <c r="F105" s="80"/>
      <c r="G105" s="19">
        <f>G106+G107</f>
        <v>1082092668.5300002</v>
      </c>
      <c r="H105" s="19">
        <f t="shared" ref="H105:I105" si="59">H106+H107</f>
        <v>953643818.57000005</v>
      </c>
      <c r="I105" s="19">
        <f t="shared" si="59"/>
        <v>128448849.96000001</v>
      </c>
      <c r="J105" s="19">
        <f>J106+J107</f>
        <v>1082092668.5300002</v>
      </c>
      <c r="K105" s="19">
        <f t="shared" ref="K105:L105" si="60">K106+K107</f>
        <v>953643818.57000005</v>
      </c>
      <c r="L105" s="19">
        <f t="shared" si="60"/>
        <v>128448849.96000001</v>
      </c>
      <c r="M105" s="19" t="e">
        <f>M106+M107</f>
        <v>#NAME?</v>
      </c>
      <c r="N105" s="19" t="e">
        <f>№106+№107</f>
        <v>#NAME?</v>
      </c>
      <c r="O105" s="19">
        <f t="shared" ref="O105" si="61">O106+O107</f>
        <v>73295968.769999996</v>
      </c>
      <c r="P105" s="19">
        <f>P106+P107</f>
        <v>389345421.86000001</v>
      </c>
      <c r="Q105" s="19">
        <f t="shared" ref="Q105:R105" si="62">Q106+Q107</f>
        <v>316049453.07999998</v>
      </c>
      <c r="R105" s="19">
        <f t="shared" si="62"/>
        <v>73295968.780000001</v>
      </c>
      <c r="S105" s="19">
        <f>S106+S107</f>
        <v>495715483.71000004</v>
      </c>
      <c r="T105" s="19">
        <f t="shared" ref="T105:U105" si="63">T106+T107</f>
        <v>372006300</v>
      </c>
      <c r="U105" s="19">
        <f t="shared" si="63"/>
        <v>123709183.71000001</v>
      </c>
      <c r="V105" s="19">
        <f>V106+V107</f>
        <v>495715483.71000004</v>
      </c>
      <c r="W105" s="19">
        <f t="shared" ref="W105:X105" si="64">W106+W107</f>
        <v>372006300</v>
      </c>
      <c r="X105" s="19">
        <f t="shared" si="64"/>
        <v>123709183.71000001</v>
      </c>
      <c r="Y105" s="19">
        <f t="shared" si="45"/>
        <v>586377184.82000005</v>
      </c>
      <c r="Z105" s="19">
        <f t="shared" si="46"/>
        <v>581637518.57000005</v>
      </c>
      <c r="AA105" s="19">
        <f t="shared" si="47"/>
        <v>4739666.25</v>
      </c>
      <c r="AB105" s="7" t="e">
        <f t="shared" ref="AB105:AB168" si="65">M105/J105*100</f>
        <v>#NAME?</v>
      </c>
      <c r="AC105" s="50">
        <f t="shared" ref="AC105:AC112" si="66">V105/J105*100</f>
        <v>45.810816219965609</v>
      </c>
      <c r="AD105" s="7" t="e">
        <f>S105/M105*100</f>
        <v>#NAME?</v>
      </c>
    </row>
    <row r="106" spans="1:30">
      <c r="A106" s="81" t="s">
        <v>7</v>
      </c>
      <c r="B106" s="81"/>
      <c r="C106" s="81"/>
      <c r="D106" s="81"/>
      <c r="E106" s="81"/>
      <c r="F106" s="81"/>
      <c r="G106" s="49">
        <f>H106+I106</f>
        <v>412727440</v>
      </c>
      <c r="H106" s="49">
        <f>H119</f>
        <v>371413300</v>
      </c>
      <c r="I106" s="49">
        <f>I119</f>
        <v>41314140</v>
      </c>
      <c r="J106" s="49">
        <f>K106+L106</f>
        <v>412727440</v>
      </c>
      <c r="K106" s="49">
        <f>K119</f>
        <v>371413300</v>
      </c>
      <c r="L106" s="49">
        <f>L119</f>
        <v>41314140</v>
      </c>
      <c r="M106" s="49" t="e">
        <f>№106+O106</f>
        <v>#NAME?</v>
      </c>
      <c r="N106" s="49" t="e">
        <f>№119</f>
        <v>#NAME?</v>
      </c>
      <c r="O106" s="49">
        <f>O119</f>
        <v>35155723.969999999</v>
      </c>
      <c r="P106" s="49">
        <f>Q106+R106</f>
        <v>351205177.06</v>
      </c>
      <c r="Q106" s="49">
        <f>Q119</f>
        <v>316049453.07999998</v>
      </c>
      <c r="R106" s="49">
        <f>R119</f>
        <v>35155723.979999997</v>
      </c>
      <c r="S106" s="49">
        <f>T106+U106</f>
        <v>412727440</v>
      </c>
      <c r="T106" s="49">
        <f>T119</f>
        <v>371413300</v>
      </c>
      <c r="U106" s="49">
        <f>U119</f>
        <v>41314139.999999993</v>
      </c>
      <c r="V106" s="49">
        <f>W106+X106</f>
        <v>412727440</v>
      </c>
      <c r="W106" s="49">
        <f>W119</f>
        <v>371413300</v>
      </c>
      <c r="X106" s="49">
        <f>X119</f>
        <v>41314139.999999993</v>
      </c>
      <c r="Y106" s="19">
        <f t="shared" si="45"/>
        <v>0</v>
      </c>
      <c r="Z106" s="19">
        <f t="shared" si="46"/>
        <v>0</v>
      </c>
      <c r="AA106" s="19">
        <f t="shared" si="47"/>
        <v>0</v>
      </c>
      <c r="AB106" s="7" t="e">
        <f t="shared" si="65"/>
        <v>#NAME?</v>
      </c>
      <c r="AC106" s="50">
        <f t="shared" si="66"/>
        <v>100</v>
      </c>
      <c r="AD106" s="50" t="e">
        <f>S106/M106*100</f>
        <v>#NAME?</v>
      </c>
    </row>
    <row r="107" spans="1:30">
      <c r="A107" s="81" t="s">
        <v>8</v>
      </c>
      <c r="B107" s="81"/>
      <c r="C107" s="81"/>
      <c r="D107" s="81"/>
      <c r="E107" s="81"/>
      <c r="F107" s="81"/>
      <c r="G107" s="49">
        <f>H107+I107</f>
        <v>669365228.53000009</v>
      </c>
      <c r="H107" s="49">
        <f>H108-H106</f>
        <v>582230518.57000005</v>
      </c>
      <c r="I107" s="49">
        <f>I108-I106</f>
        <v>87134709.960000008</v>
      </c>
      <c r="J107" s="49">
        <f>K107+L107</f>
        <v>669365228.53000009</v>
      </c>
      <c r="K107" s="49">
        <f>K108-K106</f>
        <v>582230518.57000005</v>
      </c>
      <c r="L107" s="49">
        <f>L108-L106</f>
        <v>87134709.960000008</v>
      </c>
      <c r="M107" s="49" t="e">
        <f>№107+O107</f>
        <v>#NAME?</v>
      </c>
      <c r="N107" s="49" t="e">
        <f>№108-№106</f>
        <v>#NAME?</v>
      </c>
      <c r="O107" s="49">
        <f>O108-O106</f>
        <v>38140244.799999997</v>
      </c>
      <c r="P107" s="49">
        <f>Q107+R107</f>
        <v>38140244.800000004</v>
      </c>
      <c r="Q107" s="49">
        <f>Q108-Q106</f>
        <v>0</v>
      </c>
      <c r="R107" s="49">
        <f>R108-R106</f>
        <v>38140244.800000004</v>
      </c>
      <c r="S107" s="49">
        <f>T107+U107</f>
        <v>82988043.710000008</v>
      </c>
      <c r="T107" s="49">
        <f>T108-T106</f>
        <v>593000</v>
      </c>
      <c r="U107" s="49">
        <f>U108-U106</f>
        <v>82395043.710000008</v>
      </c>
      <c r="V107" s="49">
        <f>W107+X107</f>
        <v>82988043.710000008</v>
      </c>
      <c r="W107" s="49">
        <f>W108-W106</f>
        <v>593000</v>
      </c>
      <c r="X107" s="49">
        <f>X108-X106</f>
        <v>82395043.710000008</v>
      </c>
      <c r="Y107" s="19">
        <f t="shared" si="45"/>
        <v>586377184.82000005</v>
      </c>
      <c r="Z107" s="19">
        <f t="shared" si="46"/>
        <v>581637518.57000005</v>
      </c>
      <c r="AA107" s="19">
        <f t="shared" si="47"/>
        <v>4739666.25</v>
      </c>
      <c r="AB107" s="7" t="e">
        <f t="shared" si="65"/>
        <v>#NAME?</v>
      </c>
      <c r="AC107" s="50">
        <f t="shared" si="66"/>
        <v>12.398021315246821</v>
      </c>
      <c r="AD107" s="50">
        <v>0</v>
      </c>
    </row>
    <row r="108" spans="1:30" ht="30.75" customHeight="1">
      <c r="A108" s="81" t="s">
        <v>100</v>
      </c>
      <c r="B108" s="81"/>
      <c r="C108" s="81"/>
      <c r="D108" s="81"/>
      <c r="E108" s="81"/>
      <c r="F108" s="81"/>
      <c r="G108" s="49">
        <f>H108+I108</f>
        <v>1082092668.53</v>
      </c>
      <c r="H108" s="49">
        <f>H109+H121+H124</f>
        <v>953643818.57000005</v>
      </c>
      <c r="I108" s="49">
        <f>I109+I121+I124</f>
        <v>128448849.96000001</v>
      </c>
      <c r="J108" s="49">
        <f>K108+L108</f>
        <v>1082092668.53</v>
      </c>
      <c r="K108" s="49">
        <f>K109+K121+K124</f>
        <v>953643818.57000005</v>
      </c>
      <c r="L108" s="49">
        <f>L109+L121+L124</f>
        <v>128448849.96000001</v>
      </c>
      <c r="M108" s="49" t="e">
        <f>№108+O108</f>
        <v>#NAME?</v>
      </c>
      <c r="N108" s="49" t="e">
        <f>№109+№121+№124</f>
        <v>#NAME?</v>
      </c>
      <c r="O108" s="49">
        <f>O109+O121+O124</f>
        <v>73295968.769999996</v>
      </c>
      <c r="P108" s="49">
        <f>Q108+R108</f>
        <v>389345421.86000001</v>
      </c>
      <c r="Q108" s="49">
        <f>Q109+Q121+Q124</f>
        <v>316049453.07999998</v>
      </c>
      <c r="R108" s="49">
        <f>R109+R121+R124</f>
        <v>73295968.780000001</v>
      </c>
      <c r="S108" s="49">
        <f>T108+U108</f>
        <v>495715483.70999998</v>
      </c>
      <c r="T108" s="49">
        <f>T109+T121+T124</f>
        <v>372006300</v>
      </c>
      <c r="U108" s="49">
        <f>U109+U121+U124</f>
        <v>123709183.70999999</v>
      </c>
      <c r="V108" s="49">
        <f>W108+X108</f>
        <v>495715483.70999998</v>
      </c>
      <c r="W108" s="49">
        <f>W109+W121+W124</f>
        <v>372006300</v>
      </c>
      <c r="X108" s="49">
        <f>X109+X121+X124</f>
        <v>123709183.70999999</v>
      </c>
      <c r="Y108" s="19">
        <f t="shared" si="45"/>
        <v>586377184.82000005</v>
      </c>
      <c r="Z108" s="19">
        <f t="shared" si="46"/>
        <v>581637518.57000005</v>
      </c>
      <c r="AA108" s="19">
        <f t="shared" si="47"/>
        <v>4739666.2500000149</v>
      </c>
      <c r="AB108" s="7" t="e">
        <f t="shared" si="65"/>
        <v>#NAME?</v>
      </c>
      <c r="AC108" s="50">
        <f t="shared" si="66"/>
        <v>45.810816219965616</v>
      </c>
      <c r="AD108" s="50" t="e">
        <f>S108/M108*100</f>
        <v>#NAME?</v>
      </c>
    </row>
    <row r="109" spans="1:30" s="5" customFormat="1">
      <c r="A109" s="80" t="s">
        <v>11</v>
      </c>
      <c r="B109" s="80"/>
      <c r="C109" s="80"/>
      <c r="D109" s="80"/>
      <c r="E109" s="80"/>
      <c r="F109" s="80"/>
      <c r="G109" s="19">
        <f>H109+I109</f>
        <v>1033020476.25</v>
      </c>
      <c r="H109" s="19">
        <f>H110+H111+H112+H113+H114+H115+H118</f>
        <v>953643818.57000005</v>
      </c>
      <c r="I109" s="19">
        <f>I110+I111+I112+I113+I114+I115+I118</f>
        <v>79376657.680000007</v>
      </c>
      <c r="J109" s="19">
        <f>K109+L109</f>
        <v>1033020476.25</v>
      </c>
      <c r="K109" s="19">
        <f>K110+K111+K112+K113+K114+K115+K118</f>
        <v>953643818.57000005</v>
      </c>
      <c r="L109" s="19">
        <f>L110+L111+L112+L113+L114+L115+L118</f>
        <v>79376657.680000007</v>
      </c>
      <c r="M109" s="19" t="e">
        <f>№109+O109</f>
        <v>#NAME?</v>
      </c>
      <c r="N109" s="19" t="e">
        <f>№110+№111+№112+№113+№114+№115+№118</f>
        <v>#NAME?</v>
      </c>
      <c r="O109" s="19">
        <f>O110+O111+O112+O113+O114+O115+O118</f>
        <v>54639865.599999994</v>
      </c>
      <c r="P109" s="19">
        <f>Q109+R109</f>
        <v>370689318.69</v>
      </c>
      <c r="Q109" s="19">
        <f>Q110+Q111+Q112+Q113+Q114+Q115+Q118</f>
        <v>316049453.07999998</v>
      </c>
      <c r="R109" s="19">
        <f>R110+R111+R112+R113+R114+R115+R118</f>
        <v>54639865.609999999</v>
      </c>
      <c r="S109" s="19">
        <f>T109+U109</f>
        <v>451382957.68000001</v>
      </c>
      <c r="T109" s="19">
        <f>T110+T111+T112+T113+T114+T115+T118</f>
        <v>372006300</v>
      </c>
      <c r="U109" s="19">
        <f>U110+U111+U112+U113+U114+U115+U118</f>
        <v>79376657.679999992</v>
      </c>
      <c r="V109" s="19">
        <f>W109+X109</f>
        <v>451382957.68000001</v>
      </c>
      <c r="W109" s="19">
        <f>W110+W111+W112+W113+W114+W115+W118</f>
        <v>372006300</v>
      </c>
      <c r="X109" s="19">
        <f>X110+X111+X112+X113+X114+X115+X118</f>
        <v>79376657.679999992</v>
      </c>
      <c r="Y109" s="19">
        <f t="shared" si="45"/>
        <v>581637518.57000005</v>
      </c>
      <c r="Z109" s="19">
        <f t="shared" si="46"/>
        <v>581637518.57000005</v>
      </c>
      <c r="AA109" s="19">
        <f t="shared" si="47"/>
        <v>0</v>
      </c>
      <c r="AB109" s="7" t="e">
        <f t="shared" si="65"/>
        <v>#NAME?</v>
      </c>
      <c r="AC109" s="50">
        <f t="shared" si="66"/>
        <v>43.69545116071459</v>
      </c>
      <c r="AD109" s="7" t="e">
        <f>S109/M109*100</f>
        <v>#NAME?</v>
      </c>
    </row>
    <row r="110" spans="1:30" ht="183" customHeight="1">
      <c r="A110" s="46" t="s">
        <v>101</v>
      </c>
      <c r="B110" s="48" t="s">
        <v>13</v>
      </c>
      <c r="C110" s="48" t="s">
        <v>13</v>
      </c>
      <c r="D110" s="48" t="s">
        <v>102</v>
      </c>
      <c r="E110" s="48" t="s">
        <v>15</v>
      </c>
      <c r="F110" s="48">
        <v>2022</v>
      </c>
      <c r="G110" s="49">
        <f>I110</f>
        <v>34084.269999999997</v>
      </c>
      <c r="H110" s="49"/>
      <c r="I110" s="49">
        <v>34084.269999999997</v>
      </c>
      <c r="J110" s="49">
        <f>L110</f>
        <v>34084.269999999997</v>
      </c>
      <c r="K110" s="49"/>
      <c r="L110" s="49">
        <v>34084.269999999997</v>
      </c>
      <c r="M110" s="49">
        <f>O110</f>
        <v>34084.269999999997</v>
      </c>
      <c r="N110" s="49"/>
      <c r="O110" s="49">
        <v>34084.269999999997</v>
      </c>
      <c r="P110" s="49">
        <f>R110</f>
        <v>34084.269999999997</v>
      </c>
      <c r="Q110" s="49"/>
      <c r="R110" s="49">
        <v>34084.269999999997</v>
      </c>
      <c r="S110" s="49">
        <f>U110</f>
        <v>34084.269999999997</v>
      </c>
      <c r="T110" s="49"/>
      <c r="U110" s="49">
        <v>34084.269999999997</v>
      </c>
      <c r="V110" s="49">
        <f>X110</f>
        <v>34084.269999999997</v>
      </c>
      <c r="W110" s="49"/>
      <c r="X110" s="49">
        <v>34084.269999999997</v>
      </c>
      <c r="Y110" s="19">
        <f t="shared" si="45"/>
        <v>0</v>
      </c>
      <c r="Z110" s="19">
        <f t="shared" si="46"/>
        <v>0</v>
      </c>
      <c r="AA110" s="19">
        <f t="shared" si="47"/>
        <v>0</v>
      </c>
      <c r="AB110" s="7">
        <f t="shared" si="65"/>
        <v>100</v>
      </c>
      <c r="AC110" s="50">
        <f t="shared" si="66"/>
        <v>100</v>
      </c>
      <c r="AD110" s="50">
        <f>S110/M110*100</f>
        <v>100</v>
      </c>
    </row>
    <row r="111" spans="1:30" ht="169.5" customHeight="1">
      <c r="A111" s="46" t="s">
        <v>103</v>
      </c>
      <c r="B111" s="48" t="s">
        <v>13</v>
      </c>
      <c r="C111" s="48" t="s">
        <v>13</v>
      </c>
      <c r="D111" s="48" t="s">
        <v>104</v>
      </c>
      <c r="E111" s="48" t="s">
        <v>59</v>
      </c>
      <c r="F111" s="48" t="s">
        <v>65</v>
      </c>
      <c r="G111" s="49">
        <f>I111</f>
        <v>20000000</v>
      </c>
      <c r="H111" s="49"/>
      <c r="I111" s="49">
        <v>20000000</v>
      </c>
      <c r="J111" s="49">
        <f>L111</f>
        <v>20000000</v>
      </c>
      <c r="K111" s="49"/>
      <c r="L111" s="49">
        <v>20000000</v>
      </c>
      <c r="M111" s="49">
        <f>O111</f>
        <v>4426362.8499999996</v>
      </c>
      <c r="N111" s="49"/>
      <c r="O111" s="49">
        <v>4426362.8499999996</v>
      </c>
      <c r="P111" s="49">
        <f>R111</f>
        <v>4426362.8499999996</v>
      </c>
      <c r="Q111" s="49"/>
      <c r="R111" s="49">
        <v>4426362.8499999996</v>
      </c>
      <c r="S111" s="49">
        <f>U111</f>
        <v>20000000</v>
      </c>
      <c r="T111" s="49"/>
      <c r="U111" s="49">
        <v>20000000</v>
      </c>
      <c r="V111" s="49">
        <f>X111</f>
        <v>20000000</v>
      </c>
      <c r="W111" s="49"/>
      <c r="X111" s="49">
        <v>20000000</v>
      </c>
      <c r="Y111" s="19">
        <f t="shared" si="45"/>
        <v>0</v>
      </c>
      <c r="Z111" s="19">
        <f t="shared" si="46"/>
        <v>0</v>
      </c>
      <c r="AA111" s="19">
        <f t="shared" si="47"/>
        <v>0</v>
      </c>
      <c r="AB111" s="7">
        <f t="shared" si="65"/>
        <v>22.131814249999998</v>
      </c>
      <c r="AC111" s="50">
        <f t="shared" si="66"/>
        <v>100</v>
      </c>
      <c r="AD111" s="50">
        <v>0</v>
      </c>
    </row>
    <row r="112" spans="1:30" ht="139.5" customHeight="1">
      <c r="A112" s="46" t="s">
        <v>105</v>
      </c>
      <c r="B112" s="48" t="s">
        <v>13</v>
      </c>
      <c r="C112" s="48" t="s">
        <v>13</v>
      </c>
      <c r="D112" s="48" t="s">
        <v>106</v>
      </c>
      <c r="E112" s="48" t="s">
        <v>15</v>
      </c>
      <c r="F112" s="48" t="s">
        <v>30</v>
      </c>
      <c r="G112" s="49">
        <f>H112</f>
        <v>582230518.57000005</v>
      </c>
      <c r="H112" s="49">
        <v>582230518.57000005</v>
      </c>
      <c r="I112" s="49"/>
      <c r="J112" s="49">
        <f>K112</f>
        <v>582230518.57000005</v>
      </c>
      <c r="K112" s="49">
        <v>582230518.57000005</v>
      </c>
      <c r="L112" s="49"/>
      <c r="M112" s="49" t="e">
        <f>№112+O112</f>
        <v>#NAME?</v>
      </c>
      <c r="N112" s="49">
        <v>0</v>
      </c>
      <c r="O112" s="49"/>
      <c r="P112" s="49">
        <f>Q112+R112</f>
        <v>0</v>
      </c>
      <c r="Q112" s="49">
        <v>0</v>
      </c>
      <c r="R112" s="49"/>
      <c r="S112" s="49">
        <f>T112+U112</f>
        <v>593000</v>
      </c>
      <c r="T112" s="49">
        <v>593000</v>
      </c>
      <c r="U112" s="49"/>
      <c r="V112" s="49">
        <f>W112+X112</f>
        <v>593000</v>
      </c>
      <c r="W112" s="49">
        <v>593000</v>
      </c>
      <c r="X112" s="49"/>
      <c r="Y112" s="19">
        <f t="shared" si="45"/>
        <v>581637518.57000005</v>
      </c>
      <c r="Z112" s="19">
        <f t="shared" si="46"/>
        <v>581637518.57000005</v>
      </c>
      <c r="AA112" s="19">
        <f t="shared" si="47"/>
        <v>0</v>
      </c>
      <c r="AB112" s="7" t="e">
        <f t="shared" si="65"/>
        <v>#NAME?</v>
      </c>
      <c r="AC112" s="50">
        <f t="shared" si="66"/>
        <v>0.10184969373581629</v>
      </c>
      <c r="AD112" s="50" t="e">
        <f>S112/M112*100</f>
        <v>#NAME?</v>
      </c>
    </row>
    <row r="113" spans="1:30" ht="105.75" customHeight="1">
      <c r="A113" s="46" t="s">
        <v>107</v>
      </c>
      <c r="B113" s="48" t="s">
        <v>13</v>
      </c>
      <c r="C113" s="48" t="s">
        <v>13</v>
      </c>
      <c r="D113" s="48" t="s">
        <v>108</v>
      </c>
      <c r="E113" s="48" t="s">
        <v>109</v>
      </c>
      <c r="F113" s="48" t="s">
        <v>110</v>
      </c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19">
        <f t="shared" si="45"/>
        <v>0</v>
      </c>
      <c r="Z113" s="19">
        <f t="shared" si="46"/>
        <v>0</v>
      </c>
      <c r="AA113" s="19">
        <f t="shared" si="47"/>
        <v>0</v>
      </c>
      <c r="AB113" s="7"/>
      <c r="AC113" s="50"/>
      <c r="AD113" s="50"/>
    </row>
    <row r="114" spans="1:30" ht="107.25" customHeight="1">
      <c r="A114" s="46" t="s">
        <v>111</v>
      </c>
      <c r="B114" s="48" t="s">
        <v>13</v>
      </c>
      <c r="C114" s="48" t="s">
        <v>13</v>
      </c>
      <c r="D114" s="48" t="s">
        <v>112</v>
      </c>
      <c r="E114" s="48" t="s">
        <v>113</v>
      </c>
      <c r="F114" s="48" t="s">
        <v>30</v>
      </c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19">
        <f t="shared" si="45"/>
        <v>0</v>
      </c>
      <c r="Z114" s="19">
        <f t="shared" si="46"/>
        <v>0</v>
      </c>
      <c r="AA114" s="19">
        <f t="shared" si="47"/>
        <v>0</v>
      </c>
      <c r="AB114" s="7"/>
      <c r="AC114" s="50"/>
      <c r="AD114" s="50"/>
    </row>
    <row r="115" spans="1:30" ht="60">
      <c r="A115" s="46" t="s">
        <v>293</v>
      </c>
      <c r="B115" s="87" t="s">
        <v>13</v>
      </c>
      <c r="C115" s="87" t="s">
        <v>13</v>
      </c>
      <c r="D115" s="87" t="s">
        <v>115</v>
      </c>
      <c r="E115" s="87" t="s">
        <v>116</v>
      </c>
      <c r="F115" s="87" t="s">
        <v>65</v>
      </c>
      <c r="G115" s="49">
        <f>I115</f>
        <v>18028433.41</v>
      </c>
      <c r="H115" s="49"/>
      <c r="I115" s="49">
        <f>18050895-22461.59</f>
        <v>18028433.41</v>
      </c>
      <c r="J115" s="49">
        <f>L115</f>
        <v>18028433.41</v>
      </c>
      <c r="K115" s="49"/>
      <c r="L115" s="49">
        <f>18050895-22461.59</f>
        <v>18028433.41</v>
      </c>
      <c r="M115" s="90">
        <f>O115</f>
        <v>15023694.51</v>
      </c>
      <c r="N115" s="90"/>
      <c r="O115" s="90">
        <v>15023694.51</v>
      </c>
      <c r="P115" s="90">
        <f>R115</f>
        <v>15023694.51</v>
      </c>
      <c r="Q115" s="90"/>
      <c r="R115" s="90">
        <v>15023694.51</v>
      </c>
      <c r="S115" s="90">
        <f>U115</f>
        <v>18028433.41</v>
      </c>
      <c r="T115" s="90"/>
      <c r="U115" s="90">
        <v>18028433.41</v>
      </c>
      <c r="V115" s="90">
        <f>X115</f>
        <v>18028433.41</v>
      </c>
      <c r="W115" s="90"/>
      <c r="X115" s="90">
        <v>18028433.41</v>
      </c>
      <c r="Y115" s="92">
        <f t="shared" si="45"/>
        <v>0</v>
      </c>
      <c r="Z115" s="19">
        <f t="shared" si="46"/>
        <v>0</v>
      </c>
      <c r="AA115" s="19">
        <f t="shared" si="47"/>
        <v>0</v>
      </c>
      <c r="AB115" s="7">
        <f t="shared" si="65"/>
        <v>83.333333342577987</v>
      </c>
      <c r="AC115" s="99">
        <f>V115/J115*100</f>
        <v>100</v>
      </c>
      <c r="AD115" s="99">
        <v>0</v>
      </c>
    </row>
    <row r="116" spans="1:30">
      <c r="A116" s="21" t="s">
        <v>114</v>
      </c>
      <c r="B116" s="87"/>
      <c r="C116" s="87"/>
      <c r="D116" s="87"/>
      <c r="E116" s="87"/>
      <c r="F116" s="87"/>
      <c r="G116" s="49"/>
      <c r="H116" s="49"/>
      <c r="I116" s="49"/>
      <c r="J116" s="49"/>
      <c r="K116" s="49"/>
      <c r="L116" s="49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2"/>
      <c r="Z116" s="19">
        <f t="shared" si="46"/>
        <v>0</v>
      </c>
      <c r="AA116" s="19">
        <f t="shared" si="47"/>
        <v>0</v>
      </c>
      <c r="AB116" s="7"/>
      <c r="AC116" s="99"/>
      <c r="AD116" s="99"/>
    </row>
    <row r="117" spans="1:30" ht="105.75" customHeight="1">
      <c r="A117" s="46" t="s">
        <v>117</v>
      </c>
      <c r="B117" s="48" t="s">
        <v>13</v>
      </c>
      <c r="C117" s="48" t="s">
        <v>13</v>
      </c>
      <c r="D117" s="48" t="s">
        <v>118</v>
      </c>
      <c r="E117" s="48" t="s">
        <v>15</v>
      </c>
      <c r="F117" s="48">
        <v>2023</v>
      </c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19">
        <f t="shared" si="45"/>
        <v>0</v>
      </c>
      <c r="Z117" s="19">
        <f t="shared" si="46"/>
        <v>0</v>
      </c>
      <c r="AA117" s="19">
        <f t="shared" si="47"/>
        <v>0</v>
      </c>
      <c r="AB117" s="7"/>
      <c r="AC117" s="50"/>
      <c r="AD117" s="50"/>
    </row>
    <row r="118" spans="1:30" ht="63" customHeight="1">
      <c r="A118" s="21" t="s">
        <v>119</v>
      </c>
      <c r="B118" s="48" t="s">
        <v>13</v>
      </c>
      <c r="C118" s="48" t="s">
        <v>13</v>
      </c>
      <c r="D118" s="48" t="s">
        <v>79</v>
      </c>
      <c r="E118" s="48" t="s">
        <v>116</v>
      </c>
      <c r="F118" s="48" t="s">
        <v>80</v>
      </c>
      <c r="G118" s="49">
        <f>H118+I118</f>
        <v>412727440</v>
      </c>
      <c r="H118" s="49">
        <f>H119</f>
        <v>371413300</v>
      </c>
      <c r="I118" s="49">
        <f>I119+I120</f>
        <v>41314140</v>
      </c>
      <c r="J118" s="49">
        <f>K118+L118</f>
        <v>412727440</v>
      </c>
      <c r="K118" s="49">
        <f>K119</f>
        <v>371413300</v>
      </c>
      <c r="L118" s="49">
        <f>L119+L120</f>
        <v>41314140</v>
      </c>
      <c r="M118" s="49" t="e">
        <f>№118+O118</f>
        <v>#NAME?</v>
      </c>
      <c r="N118" s="49" t="e">
        <f>№119</f>
        <v>#NAME?</v>
      </c>
      <c r="O118" s="49">
        <f>O119+O120</f>
        <v>35155723.969999999</v>
      </c>
      <c r="P118" s="49">
        <f>Q118+R118</f>
        <v>351205177.06</v>
      </c>
      <c r="Q118" s="49">
        <f>Q119</f>
        <v>316049453.07999998</v>
      </c>
      <c r="R118" s="49">
        <f>R119+R120</f>
        <v>35155723.979999997</v>
      </c>
      <c r="S118" s="49">
        <f>T118+U118</f>
        <v>412727440</v>
      </c>
      <c r="T118" s="49">
        <f>T119</f>
        <v>371413300</v>
      </c>
      <c r="U118" s="49">
        <f>U119+U120</f>
        <v>41314139.999999993</v>
      </c>
      <c r="V118" s="49">
        <f>W118+X118</f>
        <v>412727440</v>
      </c>
      <c r="W118" s="49">
        <f>W119</f>
        <v>371413300</v>
      </c>
      <c r="X118" s="49">
        <f>X119+X120</f>
        <v>41314139.999999993</v>
      </c>
      <c r="Y118" s="19">
        <f t="shared" si="45"/>
        <v>0</v>
      </c>
      <c r="Z118" s="19">
        <f t="shared" si="46"/>
        <v>0</v>
      </c>
      <c r="AA118" s="19">
        <f t="shared" si="47"/>
        <v>0</v>
      </c>
      <c r="AB118" s="7" t="e">
        <f t="shared" si="65"/>
        <v>#NAME?</v>
      </c>
      <c r="AC118" s="50">
        <f>V118/J118*100</f>
        <v>100</v>
      </c>
      <c r="AD118" s="50" t="e">
        <f>S118/M118*100</f>
        <v>#NAME?</v>
      </c>
    </row>
    <row r="119" spans="1:30" ht="30">
      <c r="A119" s="46" t="s">
        <v>120</v>
      </c>
      <c r="B119" s="48" t="s">
        <v>121</v>
      </c>
      <c r="C119" s="46"/>
      <c r="D119" s="46"/>
      <c r="E119" s="46"/>
      <c r="F119" s="46"/>
      <c r="G119" s="49">
        <f>H119+I119</f>
        <v>412727440</v>
      </c>
      <c r="H119" s="49">
        <v>371413300</v>
      </c>
      <c r="I119" s="49">
        <v>41314140</v>
      </c>
      <c r="J119" s="49">
        <f>K119+L119</f>
        <v>412727440</v>
      </c>
      <c r="K119" s="49">
        <v>371413300</v>
      </c>
      <c r="L119" s="49">
        <v>41314140</v>
      </c>
      <c r="M119" s="49" t="e">
        <f>№119+O119</f>
        <v>#NAME?</v>
      </c>
      <c r="N119" s="49">
        <v>316049453.06999999</v>
      </c>
      <c r="O119" s="49">
        <v>35155723.969999999</v>
      </c>
      <c r="P119" s="49">
        <f>Q119+R119</f>
        <v>351205177.06</v>
      </c>
      <c r="Q119" s="28">
        <v>316049453.07999998</v>
      </c>
      <c r="R119" s="49">
        <v>35155723.979999997</v>
      </c>
      <c r="S119" s="49">
        <f>T119+U119</f>
        <v>412727440</v>
      </c>
      <c r="T119" s="29">
        <f>370780894.86+632398.61+6.53</f>
        <v>371413300</v>
      </c>
      <c r="U119" s="29">
        <f>41243769.55+70344.79+25.66</f>
        <v>41314139.999999993</v>
      </c>
      <c r="V119" s="49">
        <f>W119+X119</f>
        <v>412727440</v>
      </c>
      <c r="W119" s="29">
        <f>370780894.86+632398.61+6.53</f>
        <v>371413300</v>
      </c>
      <c r="X119" s="29">
        <f>41243769.55+70344.79+25.66</f>
        <v>41314139.999999993</v>
      </c>
      <c r="Y119" s="19">
        <f t="shared" si="45"/>
        <v>0</v>
      </c>
      <c r="Z119" s="19">
        <f t="shared" si="46"/>
        <v>0</v>
      </c>
      <c r="AA119" s="19">
        <f t="shared" si="47"/>
        <v>0</v>
      </c>
      <c r="AB119" s="7" t="e">
        <f t="shared" si="65"/>
        <v>#NAME?</v>
      </c>
      <c r="AC119" s="50">
        <f t="shared" ref="AC119:AC182" si="67">V119/J119*100</f>
        <v>100</v>
      </c>
      <c r="AD119" s="50" t="e">
        <f>S119/M119*100</f>
        <v>#NAME?</v>
      </c>
    </row>
    <row r="120" spans="1:30" ht="30">
      <c r="A120" s="46" t="s">
        <v>21</v>
      </c>
      <c r="B120" s="48" t="s">
        <v>13</v>
      </c>
      <c r="C120" s="46"/>
      <c r="D120" s="46"/>
      <c r="E120" s="46"/>
      <c r="F120" s="46"/>
      <c r="G120" s="49"/>
      <c r="H120" s="49"/>
      <c r="I120" s="49"/>
      <c r="J120" s="49"/>
      <c r="K120" s="49"/>
      <c r="L120" s="49"/>
      <c r="M120" s="49"/>
      <c r="N120" s="49"/>
      <c r="O120" s="49"/>
      <c r="P120" s="49">
        <f>R120</f>
        <v>0</v>
      </c>
      <c r="Q120" s="49"/>
      <c r="R120" s="49">
        <v>0</v>
      </c>
      <c r="S120" s="49"/>
      <c r="T120" s="49"/>
      <c r="U120" s="49"/>
      <c r="V120" s="49"/>
      <c r="W120" s="49"/>
      <c r="X120" s="49"/>
      <c r="Y120" s="19">
        <f t="shared" si="45"/>
        <v>0</v>
      </c>
      <c r="Z120" s="19">
        <f t="shared" si="46"/>
        <v>0</v>
      </c>
      <c r="AA120" s="19">
        <f t="shared" si="47"/>
        <v>0</v>
      </c>
      <c r="AB120" s="7"/>
      <c r="AC120" s="50"/>
      <c r="AD120" s="50"/>
    </row>
    <row r="121" spans="1:30" s="5" customFormat="1" ht="28.5" customHeight="1">
      <c r="A121" s="80" t="s">
        <v>122</v>
      </c>
      <c r="B121" s="80"/>
      <c r="C121" s="80"/>
      <c r="D121" s="80"/>
      <c r="E121" s="80"/>
      <c r="F121" s="80"/>
      <c r="G121" s="19">
        <f>G122+G123</f>
        <v>18807692.280000001</v>
      </c>
      <c r="H121" s="19">
        <f t="shared" ref="H121:I121" si="68">H122+H123</f>
        <v>0</v>
      </c>
      <c r="I121" s="19">
        <f t="shared" si="68"/>
        <v>18807692.280000001</v>
      </c>
      <c r="J121" s="19">
        <f>J122+J123</f>
        <v>18807692.280000001</v>
      </c>
      <c r="K121" s="19">
        <f t="shared" ref="K121:L121" si="69">K122+K123</f>
        <v>0</v>
      </c>
      <c r="L121" s="19">
        <f t="shared" si="69"/>
        <v>18807692.280000001</v>
      </c>
      <c r="M121" s="19">
        <f>O121</f>
        <v>8058603.1699999999</v>
      </c>
      <c r="N121" s="19" t="e">
        <f>№122+№123</f>
        <v>#NAME?</v>
      </c>
      <c r="O121" s="19">
        <f t="shared" ref="O121" si="70">O122+O123</f>
        <v>8058603.1699999999</v>
      </c>
      <c r="P121" s="19">
        <f>R121</f>
        <v>8058603.1699999999</v>
      </c>
      <c r="Q121" s="19">
        <f t="shared" ref="Q121:R121" si="71">Q122+Q123</f>
        <v>0</v>
      </c>
      <c r="R121" s="19">
        <f t="shared" si="71"/>
        <v>8058603.1699999999</v>
      </c>
      <c r="S121" s="19">
        <f>U121</f>
        <v>18807692.280000001</v>
      </c>
      <c r="T121" s="19">
        <f t="shared" ref="T121:U121" si="72">T122+T123</f>
        <v>0</v>
      </c>
      <c r="U121" s="19">
        <f t="shared" si="72"/>
        <v>18807692.280000001</v>
      </c>
      <c r="V121" s="19">
        <f>X121</f>
        <v>18807692.280000001</v>
      </c>
      <c r="W121" s="19">
        <f t="shared" ref="W121:X121" si="73">W122+W123</f>
        <v>0</v>
      </c>
      <c r="X121" s="19">
        <f t="shared" si="73"/>
        <v>18807692.280000001</v>
      </c>
      <c r="Y121" s="19">
        <f t="shared" si="45"/>
        <v>0</v>
      </c>
      <c r="Z121" s="19">
        <f t="shared" si="46"/>
        <v>0</v>
      </c>
      <c r="AA121" s="19">
        <f t="shared" si="47"/>
        <v>0</v>
      </c>
      <c r="AB121" s="7">
        <f t="shared" si="65"/>
        <v>42.847378881084069</v>
      </c>
      <c r="AC121" s="50">
        <f t="shared" si="67"/>
        <v>100</v>
      </c>
      <c r="AD121" s="7">
        <f>S121/M121*100</f>
        <v>233.38650487240707</v>
      </c>
    </row>
    <row r="122" spans="1:30" ht="126" customHeight="1">
      <c r="A122" s="46" t="s">
        <v>123</v>
      </c>
      <c r="B122" s="48" t="s">
        <v>13</v>
      </c>
      <c r="C122" s="48" t="s">
        <v>13</v>
      </c>
      <c r="D122" s="48" t="s">
        <v>124</v>
      </c>
      <c r="E122" s="48" t="s">
        <v>125</v>
      </c>
      <c r="F122" s="48">
        <v>2022</v>
      </c>
      <c r="G122" s="49">
        <f>H122+I122</f>
        <v>10347883.199999999</v>
      </c>
      <c r="H122" s="49">
        <v>0</v>
      </c>
      <c r="I122" s="49">
        <v>10347883.199999999</v>
      </c>
      <c r="J122" s="49">
        <f>K122+L122</f>
        <v>10347883.199999999</v>
      </c>
      <c r="K122" s="49">
        <v>0</v>
      </c>
      <c r="L122" s="49">
        <v>10347883.199999999</v>
      </c>
      <c r="M122" s="49">
        <f>O122</f>
        <v>1671208.2</v>
      </c>
      <c r="N122" s="49">
        <v>0</v>
      </c>
      <c r="O122" s="49">
        <v>1671208.2</v>
      </c>
      <c r="P122" s="49">
        <f>R122</f>
        <v>1671208.2</v>
      </c>
      <c r="Q122" s="49">
        <v>0</v>
      </c>
      <c r="R122" s="49">
        <v>1671208.2</v>
      </c>
      <c r="S122" s="49">
        <f>U122</f>
        <v>10347883.199999999</v>
      </c>
      <c r="T122" s="49">
        <v>0</v>
      </c>
      <c r="U122" s="49">
        <v>10347883.199999999</v>
      </c>
      <c r="V122" s="49">
        <f>X122</f>
        <v>10347883.199999999</v>
      </c>
      <c r="W122" s="49">
        <v>0</v>
      </c>
      <c r="X122" s="49">
        <v>10347883.199999999</v>
      </c>
      <c r="Y122" s="19">
        <f t="shared" si="45"/>
        <v>0</v>
      </c>
      <c r="Z122" s="19">
        <f t="shared" si="46"/>
        <v>0</v>
      </c>
      <c r="AA122" s="19">
        <f t="shared" si="47"/>
        <v>0</v>
      </c>
      <c r="AB122" s="7">
        <f t="shared" si="65"/>
        <v>16.150242206058145</v>
      </c>
      <c r="AC122" s="50">
        <f t="shared" si="67"/>
        <v>100</v>
      </c>
      <c r="AD122" s="50">
        <v>0</v>
      </c>
    </row>
    <row r="123" spans="1:30" ht="126.75" customHeight="1">
      <c r="A123" s="46" t="s">
        <v>126</v>
      </c>
      <c r="B123" s="48" t="s">
        <v>13</v>
      </c>
      <c r="C123" s="48" t="s">
        <v>13</v>
      </c>
      <c r="D123" s="48" t="s">
        <v>127</v>
      </c>
      <c r="E123" s="48" t="s">
        <v>53</v>
      </c>
      <c r="F123" s="48">
        <v>2022</v>
      </c>
      <c r="G123" s="49">
        <f>H123+I123</f>
        <v>8459809.0800000001</v>
      </c>
      <c r="H123" s="49">
        <v>0</v>
      </c>
      <c r="I123" s="49">
        <v>8459809.0800000001</v>
      </c>
      <c r="J123" s="49">
        <f>K123+L123</f>
        <v>8459809.0800000001</v>
      </c>
      <c r="K123" s="49">
        <v>0</v>
      </c>
      <c r="L123" s="49">
        <v>8459809.0800000001</v>
      </c>
      <c r="M123" s="49">
        <f>O123</f>
        <v>6387394.9699999997</v>
      </c>
      <c r="N123" s="49">
        <v>0</v>
      </c>
      <c r="O123" s="49">
        <v>6387394.9699999997</v>
      </c>
      <c r="P123" s="49">
        <f>R123</f>
        <v>6387394.9699999997</v>
      </c>
      <c r="Q123" s="49">
        <v>0</v>
      </c>
      <c r="R123" s="49">
        <v>6387394.9699999997</v>
      </c>
      <c r="S123" s="49">
        <f>U123</f>
        <v>8459809.0800000001</v>
      </c>
      <c r="T123" s="49">
        <v>0</v>
      </c>
      <c r="U123" s="49">
        <v>8459809.0800000001</v>
      </c>
      <c r="V123" s="49">
        <f>X123</f>
        <v>8459809.0800000001</v>
      </c>
      <c r="W123" s="49">
        <v>0</v>
      </c>
      <c r="X123" s="49">
        <v>8459809.0800000001</v>
      </c>
      <c r="Y123" s="19">
        <f t="shared" si="45"/>
        <v>0</v>
      </c>
      <c r="Z123" s="19">
        <f t="shared" si="46"/>
        <v>0</v>
      </c>
      <c r="AA123" s="19">
        <f t="shared" si="47"/>
        <v>0</v>
      </c>
      <c r="AB123" s="7">
        <f t="shared" si="65"/>
        <v>75.502826477497763</v>
      </c>
      <c r="AC123" s="50">
        <f t="shared" si="67"/>
        <v>100</v>
      </c>
      <c r="AD123" s="50">
        <f>S123/M123*100</f>
        <v>132.44537279647827</v>
      </c>
    </row>
    <row r="124" spans="1:30" s="5" customFormat="1">
      <c r="A124" s="91" t="s">
        <v>128</v>
      </c>
      <c r="B124" s="91"/>
      <c r="C124" s="91"/>
      <c r="D124" s="91"/>
      <c r="E124" s="91"/>
      <c r="F124" s="91"/>
      <c r="G124" s="19">
        <f>SUM(G125:G145)</f>
        <v>30264500</v>
      </c>
      <c r="H124" s="19"/>
      <c r="I124" s="19">
        <f>SUM(I125:I145)</f>
        <v>30264500</v>
      </c>
      <c r="J124" s="19">
        <f>SUM(J125:J145)</f>
        <v>30264500</v>
      </c>
      <c r="K124" s="19"/>
      <c r="L124" s="19">
        <f>SUM(L125:L145)</f>
        <v>30264500</v>
      </c>
      <c r="M124" s="19">
        <f>SUM(M125:M145)</f>
        <v>10597500</v>
      </c>
      <c r="N124" s="19"/>
      <c r="O124" s="19">
        <f>SUM(O125:O145)</f>
        <v>10597500</v>
      </c>
      <c r="P124" s="19">
        <f>SUM(P125:P145)</f>
        <v>10597500</v>
      </c>
      <c r="Q124" s="19"/>
      <c r="R124" s="19">
        <f>SUM(R125:R145)</f>
        <v>10597500</v>
      </c>
      <c r="S124" s="19">
        <f>T124+U124</f>
        <v>25524833.75</v>
      </c>
      <c r="T124" s="19"/>
      <c r="U124" s="19">
        <f>SUM(U125:U145)</f>
        <v>25524833.75</v>
      </c>
      <c r="V124" s="19">
        <f>W124+X124</f>
        <v>25524833.75</v>
      </c>
      <c r="W124" s="19"/>
      <c r="X124" s="19">
        <f>SUM(X125:X145)</f>
        <v>25524833.75</v>
      </c>
      <c r="Y124" s="19">
        <f t="shared" si="45"/>
        <v>4739666.25</v>
      </c>
      <c r="Z124" s="19">
        <f t="shared" si="46"/>
        <v>0</v>
      </c>
      <c r="AA124" s="19">
        <f t="shared" si="47"/>
        <v>4739666.25</v>
      </c>
      <c r="AB124" s="7">
        <f t="shared" si="65"/>
        <v>35.016273191362821</v>
      </c>
      <c r="AC124" s="50">
        <f t="shared" si="67"/>
        <v>84.339188653372759</v>
      </c>
      <c r="AD124" s="7">
        <v>0</v>
      </c>
    </row>
    <row r="125" spans="1:30" ht="120" customHeight="1">
      <c r="A125" s="46" t="s">
        <v>129</v>
      </c>
      <c r="B125" s="48" t="s">
        <v>13</v>
      </c>
      <c r="C125" s="48" t="s">
        <v>13</v>
      </c>
      <c r="D125" s="48" t="s">
        <v>130</v>
      </c>
      <c r="E125" s="48" t="s">
        <v>131</v>
      </c>
      <c r="F125" s="48" t="s">
        <v>30</v>
      </c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19">
        <f t="shared" si="45"/>
        <v>0</v>
      </c>
      <c r="Z125" s="19">
        <f t="shared" si="46"/>
        <v>0</v>
      </c>
      <c r="AA125" s="19">
        <f t="shared" si="47"/>
        <v>0</v>
      </c>
      <c r="AB125" s="7"/>
      <c r="AC125" s="50"/>
      <c r="AD125" s="50">
        <v>0</v>
      </c>
    </row>
    <row r="126" spans="1:30" ht="138.75" customHeight="1">
      <c r="A126" s="46" t="s">
        <v>129</v>
      </c>
      <c r="B126" s="48" t="s">
        <v>13</v>
      </c>
      <c r="C126" s="48" t="s">
        <v>13</v>
      </c>
      <c r="D126" s="48" t="s">
        <v>130</v>
      </c>
      <c r="E126" s="48" t="s">
        <v>132</v>
      </c>
      <c r="F126" s="48" t="s">
        <v>30</v>
      </c>
      <c r="G126" s="49">
        <f>I126</f>
        <v>1517250</v>
      </c>
      <c r="H126" s="49"/>
      <c r="I126" s="49">
        <v>1517250</v>
      </c>
      <c r="J126" s="49">
        <f>L126</f>
        <v>1517250</v>
      </c>
      <c r="K126" s="49"/>
      <c r="L126" s="49">
        <v>1517250</v>
      </c>
      <c r="M126" s="49">
        <v>0</v>
      </c>
      <c r="N126" s="49"/>
      <c r="O126" s="49">
        <v>0</v>
      </c>
      <c r="P126" s="49">
        <f>R126</f>
        <v>0</v>
      </c>
      <c r="Q126" s="49"/>
      <c r="R126" s="49">
        <v>0</v>
      </c>
      <c r="S126" s="49">
        <f>U126</f>
        <v>1509663.75</v>
      </c>
      <c r="T126" s="49"/>
      <c r="U126" s="49">
        <v>1509663.75</v>
      </c>
      <c r="V126" s="49">
        <f>X126</f>
        <v>1509663.75</v>
      </c>
      <c r="W126" s="49"/>
      <c r="X126" s="49">
        <v>1509663.75</v>
      </c>
      <c r="Y126" s="19">
        <f t="shared" si="45"/>
        <v>7586.25</v>
      </c>
      <c r="Z126" s="19">
        <f t="shared" si="46"/>
        <v>0</v>
      </c>
      <c r="AA126" s="19">
        <f t="shared" si="47"/>
        <v>7586.25</v>
      </c>
      <c r="AB126" s="7">
        <f t="shared" si="65"/>
        <v>0</v>
      </c>
      <c r="AC126" s="50">
        <f t="shared" si="67"/>
        <v>99.5</v>
      </c>
      <c r="AD126" s="50">
        <v>0</v>
      </c>
    </row>
    <row r="127" spans="1:30" ht="178.5" customHeight="1">
      <c r="A127" s="46" t="s">
        <v>129</v>
      </c>
      <c r="B127" s="48" t="s">
        <v>13</v>
      </c>
      <c r="C127" s="48" t="s">
        <v>13</v>
      </c>
      <c r="D127" s="48" t="s">
        <v>130</v>
      </c>
      <c r="E127" s="48" t="s">
        <v>133</v>
      </c>
      <c r="F127" s="48" t="s">
        <v>30</v>
      </c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19">
        <f t="shared" si="45"/>
        <v>0</v>
      </c>
      <c r="Z127" s="19">
        <f t="shared" si="46"/>
        <v>0</v>
      </c>
      <c r="AA127" s="19">
        <f t="shared" si="47"/>
        <v>0</v>
      </c>
      <c r="AB127" s="7"/>
      <c r="AC127" s="50"/>
      <c r="AD127" s="50">
        <v>0</v>
      </c>
    </row>
    <row r="128" spans="1:30" ht="168" customHeight="1">
      <c r="A128" s="46" t="s">
        <v>129</v>
      </c>
      <c r="B128" s="48" t="s">
        <v>13</v>
      </c>
      <c r="C128" s="48" t="s">
        <v>13</v>
      </c>
      <c r="D128" s="48" t="s">
        <v>130</v>
      </c>
      <c r="E128" s="48" t="s">
        <v>134</v>
      </c>
      <c r="F128" s="48" t="s">
        <v>30</v>
      </c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19">
        <f t="shared" si="45"/>
        <v>0</v>
      </c>
      <c r="Z128" s="19">
        <f t="shared" si="46"/>
        <v>0</v>
      </c>
      <c r="AA128" s="19">
        <f t="shared" si="47"/>
        <v>0</v>
      </c>
      <c r="AB128" s="7"/>
      <c r="AC128" s="50"/>
      <c r="AD128" s="50">
        <v>0</v>
      </c>
    </row>
    <row r="129" spans="1:30" ht="136.5" customHeight="1">
      <c r="A129" s="46" t="s">
        <v>129</v>
      </c>
      <c r="B129" s="48" t="s">
        <v>13</v>
      </c>
      <c r="C129" s="48" t="s">
        <v>13</v>
      </c>
      <c r="D129" s="48" t="s">
        <v>130</v>
      </c>
      <c r="E129" s="48" t="s">
        <v>135</v>
      </c>
      <c r="F129" s="48" t="s">
        <v>30</v>
      </c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19">
        <f t="shared" si="45"/>
        <v>0</v>
      </c>
      <c r="Z129" s="19">
        <f t="shared" si="46"/>
        <v>0</v>
      </c>
      <c r="AA129" s="19">
        <f t="shared" si="47"/>
        <v>0</v>
      </c>
      <c r="AB129" s="7"/>
      <c r="AC129" s="50" t="e">
        <f t="shared" si="67"/>
        <v>#DIV/0!</v>
      </c>
      <c r="AD129" s="50">
        <v>0</v>
      </c>
    </row>
    <row r="130" spans="1:30" ht="148.5" customHeight="1">
      <c r="A130" s="46" t="s">
        <v>129</v>
      </c>
      <c r="B130" s="48" t="s">
        <v>13</v>
      </c>
      <c r="C130" s="48" t="s">
        <v>13</v>
      </c>
      <c r="D130" s="48" t="s">
        <v>130</v>
      </c>
      <c r="E130" s="48" t="s">
        <v>136</v>
      </c>
      <c r="F130" s="48" t="s">
        <v>30</v>
      </c>
      <c r="G130" s="49">
        <f>I130</f>
        <v>1812000</v>
      </c>
      <c r="H130" s="49"/>
      <c r="I130" s="49">
        <v>1812000</v>
      </c>
      <c r="J130" s="49">
        <f>L130</f>
        <v>1812000</v>
      </c>
      <c r="K130" s="49"/>
      <c r="L130" s="49">
        <v>1812000</v>
      </c>
      <c r="M130" s="49">
        <f>O130</f>
        <v>0</v>
      </c>
      <c r="N130" s="49"/>
      <c r="O130" s="49">
        <v>0</v>
      </c>
      <c r="P130" s="49">
        <f>R130</f>
        <v>0</v>
      </c>
      <c r="Q130" s="49"/>
      <c r="R130" s="49">
        <v>0</v>
      </c>
      <c r="S130" s="49">
        <f>U130</f>
        <v>1802940</v>
      </c>
      <c r="T130" s="49"/>
      <c r="U130" s="49">
        <v>1802940</v>
      </c>
      <c r="V130" s="49">
        <f>X130</f>
        <v>1802940</v>
      </c>
      <c r="W130" s="49"/>
      <c r="X130" s="49">
        <v>1802940</v>
      </c>
      <c r="Y130" s="19">
        <f t="shared" si="45"/>
        <v>9060</v>
      </c>
      <c r="Z130" s="19">
        <f t="shared" si="46"/>
        <v>0</v>
      </c>
      <c r="AA130" s="19">
        <f t="shared" si="47"/>
        <v>9060</v>
      </c>
      <c r="AB130" s="7">
        <f t="shared" si="65"/>
        <v>0</v>
      </c>
      <c r="AC130" s="50">
        <f t="shared" si="67"/>
        <v>99.5</v>
      </c>
      <c r="AD130" s="50">
        <v>0</v>
      </c>
    </row>
    <row r="131" spans="1:30" ht="138" customHeight="1">
      <c r="A131" s="46" t="s">
        <v>129</v>
      </c>
      <c r="B131" s="48" t="s">
        <v>13</v>
      </c>
      <c r="C131" s="48" t="s">
        <v>13</v>
      </c>
      <c r="D131" s="48" t="s">
        <v>130</v>
      </c>
      <c r="E131" s="48" t="s">
        <v>137</v>
      </c>
      <c r="F131" s="48" t="s">
        <v>30</v>
      </c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19">
        <f t="shared" si="45"/>
        <v>0</v>
      </c>
      <c r="Z131" s="19">
        <f t="shared" si="46"/>
        <v>0</v>
      </c>
      <c r="AA131" s="19">
        <f t="shared" si="47"/>
        <v>0</v>
      </c>
      <c r="AB131" s="7"/>
      <c r="AC131" s="50"/>
      <c r="AD131" s="50">
        <v>0</v>
      </c>
    </row>
    <row r="132" spans="1:30" ht="136.5" customHeight="1">
      <c r="A132" s="46" t="s">
        <v>129</v>
      </c>
      <c r="B132" s="48" t="s">
        <v>13</v>
      </c>
      <c r="C132" s="48" t="s">
        <v>13</v>
      </c>
      <c r="D132" s="48" t="s">
        <v>138</v>
      </c>
      <c r="E132" s="48" t="s">
        <v>354</v>
      </c>
      <c r="F132" s="48" t="s">
        <v>30</v>
      </c>
      <c r="G132" s="49">
        <f t="shared" ref="G132:G133" si="74">I132</f>
        <v>3500000</v>
      </c>
      <c r="H132" s="49"/>
      <c r="I132" s="49">
        <v>3500000</v>
      </c>
      <c r="J132" s="49">
        <f t="shared" ref="J132:J133" si="75">L132</f>
        <v>3500000</v>
      </c>
      <c r="K132" s="49"/>
      <c r="L132" s="49">
        <v>3500000</v>
      </c>
      <c r="M132" s="49">
        <f t="shared" ref="M132:M133" si="76">O132</f>
        <v>0</v>
      </c>
      <c r="N132" s="49"/>
      <c r="O132" s="49">
        <v>0</v>
      </c>
      <c r="P132" s="49">
        <f t="shared" ref="P132:P134" si="77">R132</f>
        <v>0</v>
      </c>
      <c r="Q132" s="49"/>
      <c r="R132" s="49">
        <v>0</v>
      </c>
      <c r="S132" s="49">
        <f t="shared" ref="S132:S134" si="78">U132</f>
        <v>3150000</v>
      </c>
      <c r="T132" s="49"/>
      <c r="U132" s="49">
        <v>3150000</v>
      </c>
      <c r="V132" s="49">
        <f t="shared" ref="V132:V134" si="79">X132</f>
        <v>3150000</v>
      </c>
      <c r="W132" s="49"/>
      <c r="X132" s="49">
        <v>3150000</v>
      </c>
      <c r="Y132" s="19">
        <f t="shared" si="45"/>
        <v>350000</v>
      </c>
      <c r="Z132" s="19">
        <f t="shared" si="46"/>
        <v>0</v>
      </c>
      <c r="AA132" s="19">
        <f t="shared" si="47"/>
        <v>350000</v>
      </c>
      <c r="AB132" s="7">
        <f t="shared" si="65"/>
        <v>0</v>
      </c>
      <c r="AC132" s="50">
        <f t="shared" si="67"/>
        <v>90</v>
      </c>
      <c r="AD132" s="50">
        <v>0</v>
      </c>
    </row>
    <row r="133" spans="1:30" ht="152.25" customHeight="1">
      <c r="A133" s="46" t="s">
        <v>129</v>
      </c>
      <c r="B133" s="48" t="s">
        <v>13</v>
      </c>
      <c r="C133" s="48" t="s">
        <v>13</v>
      </c>
      <c r="D133" s="48" t="s">
        <v>138</v>
      </c>
      <c r="E133" s="48" t="s">
        <v>355</v>
      </c>
      <c r="F133" s="48" t="s">
        <v>30</v>
      </c>
      <c r="G133" s="49">
        <f t="shared" si="74"/>
        <v>0</v>
      </c>
      <c r="H133" s="49"/>
      <c r="I133" s="49">
        <v>0</v>
      </c>
      <c r="J133" s="49">
        <f t="shared" si="75"/>
        <v>0</v>
      </c>
      <c r="K133" s="49"/>
      <c r="L133" s="49">
        <v>0</v>
      </c>
      <c r="M133" s="49">
        <f t="shared" si="76"/>
        <v>0</v>
      </c>
      <c r="N133" s="49"/>
      <c r="O133" s="49">
        <v>0</v>
      </c>
      <c r="P133" s="49">
        <f t="shared" si="77"/>
        <v>0</v>
      </c>
      <c r="Q133" s="49"/>
      <c r="R133" s="49">
        <v>0</v>
      </c>
      <c r="S133" s="49">
        <f t="shared" si="78"/>
        <v>0</v>
      </c>
      <c r="T133" s="49"/>
      <c r="U133" s="49">
        <v>0</v>
      </c>
      <c r="V133" s="49">
        <f t="shared" si="79"/>
        <v>0</v>
      </c>
      <c r="W133" s="49"/>
      <c r="X133" s="49">
        <v>0</v>
      </c>
      <c r="Y133" s="19">
        <f t="shared" si="45"/>
        <v>0</v>
      </c>
      <c r="Z133" s="19">
        <f t="shared" si="46"/>
        <v>0</v>
      </c>
      <c r="AA133" s="19">
        <f t="shared" si="47"/>
        <v>0</v>
      </c>
      <c r="AB133" s="7" t="e">
        <f t="shared" si="65"/>
        <v>#DIV/0!</v>
      </c>
      <c r="AC133" s="50"/>
      <c r="AD133" s="50">
        <v>0</v>
      </c>
    </row>
    <row r="134" spans="1:30" ht="153.75" customHeight="1">
      <c r="A134" s="46" t="s">
        <v>129</v>
      </c>
      <c r="B134" s="48" t="s">
        <v>13</v>
      </c>
      <c r="C134" s="48" t="s">
        <v>13</v>
      </c>
      <c r="D134" s="48" t="s">
        <v>138</v>
      </c>
      <c r="E134" s="48" t="s">
        <v>285</v>
      </c>
      <c r="F134" s="48" t="s">
        <v>30</v>
      </c>
      <c r="G134" s="49">
        <f>I134</f>
        <v>1627500</v>
      </c>
      <c r="H134" s="49"/>
      <c r="I134" s="49">
        <v>1627500</v>
      </c>
      <c r="J134" s="49">
        <f>L134</f>
        <v>1627500</v>
      </c>
      <c r="K134" s="49"/>
      <c r="L134" s="49">
        <v>1627500</v>
      </c>
      <c r="M134" s="49">
        <f>O134</f>
        <v>1627500</v>
      </c>
      <c r="N134" s="49"/>
      <c r="O134" s="49">
        <v>1627500</v>
      </c>
      <c r="P134" s="49">
        <f t="shared" si="77"/>
        <v>1627500</v>
      </c>
      <c r="Q134" s="49"/>
      <c r="R134" s="49">
        <v>1627500</v>
      </c>
      <c r="S134" s="49">
        <f t="shared" si="78"/>
        <v>1627500</v>
      </c>
      <c r="T134" s="49"/>
      <c r="U134" s="49">
        <v>1627500</v>
      </c>
      <c r="V134" s="49">
        <f t="shared" si="79"/>
        <v>1627500</v>
      </c>
      <c r="W134" s="49"/>
      <c r="X134" s="49">
        <v>1627500</v>
      </c>
      <c r="Y134" s="19">
        <f t="shared" si="45"/>
        <v>0</v>
      </c>
      <c r="Z134" s="19">
        <f t="shared" si="46"/>
        <v>0</v>
      </c>
      <c r="AA134" s="19">
        <f t="shared" si="47"/>
        <v>0</v>
      </c>
      <c r="AB134" s="7">
        <f t="shared" si="65"/>
        <v>100</v>
      </c>
      <c r="AC134" s="50">
        <f t="shared" si="67"/>
        <v>100</v>
      </c>
      <c r="AD134" s="50">
        <v>0</v>
      </c>
    </row>
    <row r="135" spans="1:30" ht="123" customHeight="1">
      <c r="A135" s="46" t="s">
        <v>129</v>
      </c>
      <c r="B135" s="48" t="s">
        <v>13</v>
      </c>
      <c r="C135" s="48" t="s">
        <v>13</v>
      </c>
      <c r="D135" s="48" t="s">
        <v>138</v>
      </c>
      <c r="E135" s="48" t="s">
        <v>139</v>
      </c>
      <c r="F135" s="48" t="s">
        <v>30</v>
      </c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19">
        <f t="shared" si="45"/>
        <v>0</v>
      </c>
      <c r="Z135" s="19">
        <f t="shared" si="46"/>
        <v>0</v>
      </c>
      <c r="AA135" s="19">
        <f t="shared" si="47"/>
        <v>0</v>
      </c>
      <c r="AB135" s="7" t="e">
        <f t="shared" si="65"/>
        <v>#DIV/0!</v>
      </c>
      <c r="AC135" s="50"/>
      <c r="AD135" s="50">
        <v>0</v>
      </c>
    </row>
    <row r="136" spans="1:30" ht="150.75" customHeight="1">
      <c r="A136" s="46" t="s">
        <v>129</v>
      </c>
      <c r="B136" s="48" t="s">
        <v>13</v>
      </c>
      <c r="C136" s="48" t="s">
        <v>13</v>
      </c>
      <c r="D136" s="48" t="s">
        <v>138</v>
      </c>
      <c r="E136" s="48" t="s">
        <v>356</v>
      </c>
      <c r="F136" s="48" t="s">
        <v>30</v>
      </c>
      <c r="G136" s="49">
        <f>I136</f>
        <v>3500000</v>
      </c>
      <c r="H136" s="49"/>
      <c r="I136" s="49">
        <v>3500000</v>
      </c>
      <c r="J136" s="49">
        <f>L136</f>
        <v>3500000</v>
      </c>
      <c r="K136" s="49"/>
      <c r="L136" s="49">
        <v>3500000</v>
      </c>
      <c r="M136" s="49">
        <f>O136</f>
        <v>0</v>
      </c>
      <c r="N136" s="49"/>
      <c r="O136" s="49">
        <v>0</v>
      </c>
      <c r="P136" s="49">
        <f t="shared" ref="P136:P137" si="80">R136</f>
        <v>0</v>
      </c>
      <c r="Q136" s="49"/>
      <c r="R136" s="49">
        <v>0</v>
      </c>
      <c r="S136" s="49">
        <f t="shared" ref="S136:S137" si="81">U136</f>
        <v>3010000</v>
      </c>
      <c r="T136" s="49"/>
      <c r="U136" s="49">
        <v>3010000</v>
      </c>
      <c r="V136" s="49">
        <f t="shared" ref="V136:V137" si="82">X136</f>
        <v>3010000</v>
      </c>
      <c r="W136" s="49"/>
      <c r="X136" s="49">
        <v>3010000</v>
      </c>
      <c r="Y136" s="19">
        <f t="shared" si="45"/>
        <v>490000</v>
      </c>
      <c r="Z136" s="19">
        <f t="shared" si="46"/>
        <v>0</v>
      </c>
      <c r="AA136" s="19">
        <f t="shared" si="47"/>
        <v>490000</v>
      </c>
      <c r="AB136" s="7">
        <f t="shared" si="65"/>
        <v>0</v>
      </c>
      <c r="AC136" s="50">
        <f t="shared" si="67"/>
        <v>86</v>
      </c>
      <c r="AD136" s="50">
        <v>0</v>
      </c>
    </row>
    <row r="137" spans="1:30" ht="137.25" customHeight="1">
      <c r="A137" s="46" t="s">
        <v>129</v>
      </c>
      <c r="B137" s="48" t="s">
        <v>13</v>
      </c>
      <c r="C137" s="48" t="s">
        <v>13</v>
      </c>
      <c r="D137" s="48" t="s">
        <v>138</v>
      </c>
      <c r="E137" s="48" t="s">
        <v>140</v>
      </c>
      <c r="F137" s="48" t="s">
        <v>30</v>
      </c>
      <c r="G137" s="49">
        <f>I137</f>
        <v>3866500</v>
      </c>
      <c r="H137" s="49"/>
      <c r="I137" s="49">
        <v>3866500</v>
      </c>
      <c r="J137" s="49">
        <f>L137</f>
        <v>3866500</v>
      </c>
      <c r="K137" s="49"/>
      <c r="L137" s="49">
        <v>3866500</v>
      </c>
      <c r="M137" s="49">
        <f>O137</f>
        <v>0</v>
      </c>
      <c r="N137" s="49"/>
      <c r="O137" s="49">
        <v>0</v>
      </c>
      <c r="P137" s="49">
        <f t="shared" si="80"/>
        <v>0</v>
      </c>
      <c r="Q137" s="49"/>
      <c r="R137" s="49">
        <v>0</v>
      </c>
      <c r="S137" s="49">
        <f t="shared" si="81"/>
        <v>0</v>
      </c>
      <c r="T137" s="49"/>
      <c r="U137" s="49">
        <v>0</v>
      </c>
      <c r="V137" s="49">
        <f t="shared" si="82"/>
        <v>0</v>
      </c>
      <c r="W137" s="49"/>
      <c r="X137" s="49">
        <v>0</v>
      </c>
      <c r="Y137" s="19">
        <f t="shared" si="45"/>
        <v>3866500</v>
      </c>
      <c r="Z137" s="19">
        <f t="shared" ref="Z137:Z200" si="83">K137-W137</f>
        <v>0</v>
      </c>
      <c r="AA137" s="19">
        <f t="shared" ref="AA137:AA200" si="84">L137-X137</f>
        <v>3866500</v>
      </c>
      <c r="AB137" s="7">
        <f t="shared" si="65"/>
        <v>0</v>
      </c>
      <c r="AC137" s="50">
        <f t="shared" si="67"/>
        <v>0</v>
      </c>
      <c r="AD137" s="50">
        <v>0</v>
      </c>
    </row>
    <row r="138" spans="1:30" ht="120.75" customHeight="1">
      <c r="A138" s="46" t="s">
        <v>129</v>
      </c>
      <c r="B138" s="48" t="s">
        <v>13</v>
      </c>
      <c r="C138" s="48" t="s">
        <v>13</v>
      </c>
      <c r="D138" s="48" t="s">
        <v>141</v>
      </c>
      <c r="E138" s="48" t="s">
        <v>142</v>
      </c>
      <c r="F138" s="48" t="s">
        <v>30</v>
      </c>
      <c r="G138" s="49">
        <v>1700000</v>
      </c>
      <c r="H138" s="49"/>
      <c r="I138" s="49">
        <v>1700000</v>
      </c>
      <c r="J138" s="49">
        <v>1700000</v>
      </c>
      <c r="K138" s="49"/>
      <c r="L138" s="49">
        <v>1700000</v>
      </c>
      <c r="M138" s="49">
        <f t="shared" ref="M138" si="85">O138</f>
        <v>1700000</v>
      </c>
      <c r="N138" s="49"/>
      <c r="O138" s="49">
        <v>1700000</v>
      </c>
      <c r="P138" s="49">
        <f>R138</f>
        <v>1700000</v>
      </c>
      <c r="Q138" s="49"/>
      <c r="R138" s="49">
        <v>1700000</v>
      </c>
      <c r="S138" s="49">
        <f>U138</f>
        <v>1700000</v>
      </c>
      <c r="T138" s="49"/>
      <c r="U138" s="49">
        <v>1700000</v>
      </c>
      <c r="V138" s="49">
        <f>X138</f>
        <v>1700000</v>
      </c>
      <c r="W138" s="49"/>
      <c r="X138" s="49">
        <v>1700000</v>
      </c>
      <c r="Y138" s="19">
        <f t="shared" si="45"/>
        <v>0</v>
      </c>
      <c r="Z138" s="19">
        <f t="shared" si="83"/>
        <v>0</v>
      </c>
      <c r="AA138" s="19">
        <f t="shared" si="84"/>
        <v>0</v>
      </c>
      <c r="AB138" s="7">
        <f t="shared" si="65"/>
        <v>100</v>
      </c>
      <c r="AC138" s="50">
        <f t="shared" si="67"/>
        <v>100</v>
      </c>
      <c r="AD138" s="50">
        <v>0</v>
      </c>
    </row>
    <row r="139" spans="1:30" ht="120.75" customHeight="1">
      <c r="A139" s="46" t="s">
        <v>129</v>
      </c>
      <c r="B139" s="48" t="s">
        <v>13</v>
      </c>
      <c r="C139" s="48" t="s">
        <v>13</v>
      </c>
      <c r="D139" s="48" t="s">
        <v>141</v>
      </c>
      <c r="E139" s="48" t="s">
        <v>143</v>
      </c>
      <c r="F139" s="48" t="s">
        <v>30</v>
      </c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19">
        <f t="shared" si="45"/>
        <v>0</v>
      </c>
      <c r="Z139" s="19">
        <f t="shared" si="83"/>
        <v>0</v>
      </c>
      <c r="AA139" s="19">
        <f t="shared" si="84"/>
        <v>0</v>
      </c>
      <c r="AB139" s="7"/>
      <c r="AC139" s="50"/>
      <c r="AD139" s="50">
        <v>0</v>
      </c>
    </row>
    <row r="140" spans="1:30" ht="120" customHeight="1">
      <c r="A140" s="46" t="s">
        <v>129</v>
      </c>
      <c r="B140" s="48" t="s">
        <v>13</v>
      </c>
      <c r="C140" s="48" t="s">
        <v>13</v>
      </c>
      <c r="D140" s="48" t="s">
        <v>141</v>
      </c>
      <c r="E140" s="48" t="s">
        <v>144</v>
      </c>
      <c r="F140" s="48" t="s">
        <v>30</v>
      </c>
      <c r="G140" s="49"/>
      <c r="H140" s="49"/>
      <c r="I140" s="49"/>
      <c r="J140" s="49"/>
      <c r="K140" s="49"/>
      <c r="L140" s="49"/>
      <c r="M140" s="49"/>
      <c r="N140" s="49"/>
      <c r="O140" s="49"/>
      <c r="P140" s="49">
        <f t="shared" ref="P140:P144" si="86">R140</f>
        <v>0</v>
      </c>
      <c r="Q140" s="49"/>
      <c r="R140" s="49">
        <v>0</v>
      </c>
      <c r="S140" s="49">
        <f t="shared" ref="S140:S144" si="87">U140</f>
        <v>0</v>
      </c>
      <c r="T140" s="49"/>
      <c r="U140" s="49">
        <v>0</v>
      </c>
      <c r="V140" s="49">
        <f t="shared" ref="V140" si="88">X140</f>
        <v>0</v>
      </c>
      <c r="W140" s="49"/>
      <c r="X140" s="49">
        <v>0</v>
      </c>
      <c r="Y140" s="19">
        <f t="shared" si="45"/>
        <v>0</v>
      </c>
      <c r="Z140" s="19">
        <f t="shared" si="83"/>
        <v>0</v>
      </c>
      <c r="AA140" s="19">
        <f t="shared" si="84"/>
        <v>0</v>
      </c>
      <c r="AB140" s="7"/>
      <c r="AC140" s="50"/>
      <c r="AD140" s="50">
        <v>0</v>
      </c>
    </row>
    <row r="141" spans="1:30" ht="139.5" customHeight="1">
      <c r="A141" s="46" t="s">
        <v>129</v>
      </c>
      <c r="B141" s="48" t="s">
        <v>13</v>
      </c>
      <c r="C141" s="48" t="s">
        <v>13</v>
      </c>
      <c r="D141" s="48" t="s">
        <v>145</v>
      </c>
      <c r="E141" s="48" t="s">
        <v>146</v>
      </c>
      <c r="F141" s="48" t="s">
        <v>30</v>
      </c>
      <c r="G141" s="49">
        <f>I141</f>
        <v>2167250</v>
      </c>
      <c r="H141" s="49"/>
      <c r="I141" s="49">
        <v>2167250</v>
      </c>
      <c r="J141" s="49">
        <f>L141</f>
        <v>2167250</v>
      </c>
      <c r="K141" s="49"/>
      <c r="L141" s="49">
        <v>2167250</v>
      </c>
      <c r="M141" s="49">
        <f>O141</f>
        <v>0</v>
      </c>
      <c r="N141" s="49"/>
      <c r="O141" s="49">
        <v>0</v>
      </c>
      <c r="P141" s="49">
        <f t="shared" si="86"/>
        <v>0</v>
      </c>
      <c r="Q141" s="49"/>
      <c r="R141" s="49">
        <v>0</v>
      </c>
      <c r="S141" s="49">
        <f>U141</f>
        <v>2167250</v>
      </c>
      <c r="T141" s="49"/>
      <c r="U141" s="49">
        <v>2167250</v>
      </c>
      <c r="V141" s="49">
        <f>X141</f>
        <v>2167250</v>
      </c>
      <c r="W141" s="49"/>
      <c r="X141" s="49">
        <v>2167250</v>
      </c>
      <c r="Y141" s="19">
        <f t="shared" si="45"/>
        <v>0</v>
      </c>
      <c r="Z141" s="19">
        <f t="shared" si="83"/>
        <v>0</v>
      </c>
      <c r="AA141" s="19">
        <f t="shared" si="84"/>
        <v>0</v>
      </c>
      <c r="AB141" s="7">
        <f t="shared" si="65"/>
        <v>0</v>
      </c>
      <c r="AC141" s="50">
        <f t="shared" si="67"/>
        <v>100</v>
      </c>
      <c r="AD141" s="50">
        <v>0</v>
      </c>
    </row>
    <row r="142" spans="1:30" ht="123" customHeight="1">
      <c r="A142" s="46" t="s">
        <v>129</v>
      </c>
      <c r="B142" s="48" t="s">
        <v>13</v>
      </c>
      <c r="C142" s="48" t="s">
        <v>13</v>
      </c>
      <c r="D142" s="48" t="s">
        <v>145</v>
      </c>
      <c r="E142" s="48" t="s">
        <v>147</v>
      </c>
      <c r="F142" s="48" t="s">
        <v>30</v>
      </c>
      <c r="G142" s="49">
        <f>I142</f>
        <v>1500000</v>
      </c>
      <c r="H142" s="49"/>
      <c r="I142" s="49">
        <v>1500000</v>
      </c>
      <c r="J142" s="49">
        <f>L142</f>
        <v>1500000</v>
      </c>
      <c r="K142" s="49"/>
      <c r="L142" s="49">
        <v>1500000</v>
      </c>
      <c r="M142" s="49">
        <f>O142</f>
        <v>0</v>
      </c>
      <c r="N142" s="49"/>
      <c r="O142" s="49">
        <v>0</v>
      </c>
      <c r="P142" s="49">
        <f t="shared" si="86"/>
        <v>0</v>
      </c>
      <c r="Q142" s="49"/>
      <c r="R142" s="49">
        <v>0</v>
      </c>
      <c r="S142" s="49">
        <f t="shared" si="87"/>
        <v>1492500</v>
      </c>
      <c r="T142" s="49"/>
      <c r="U142" s="49">
        <v>1492500</v>
      </c>
      <c r="V142" s="49">
        <f t="shared" ref="V142:V144" si="89">X142</f>
        <v>1492500</v>
      </c>
      <c r="W142" s="49"/>
      <c r="X142" s="49">
        <v>1492500</v>
      </c>
      <c r="Y142" s="19">
        <f t="shared" ref="Y142:Y208" si="90">Z142+AA142</f>
        <v>7500</v>
      </c>
      <c r="Z142" s="19">
        <f t="shared" si="83"/>
        <v>0</v>
      </c>
      <c r="AA142" s="19">
        <f t="shared" si="84"/>
        <v>7500</v>
      </c>
      <c r="AB142" s="7">
        <f t="shared" si="65"/>
        <v>0</v>
      </c>
      <c r="AC142" s="50">
        <f t="shared" si="67"/>
        <v>99.5</v>
      </c>
      <c r="AD142" s="50">
        <v>0</v>
      </c>
    </row>
    <row r="143" spans="1:30" ht="137.25" customHeight="1">
      <c r="A143" s="46" t="s">
        <v>129</v>
      </c>
      <c r="B143" s="48" t="s">
        <v>13</v>
      </c>
      <c r="C143" s="48" t="s">
        <v>13</v>
      </c>
      <c r="D143" s="48" t="s">
        <v>145</v>
      </c>
      <c r="E143" s="48" t="s">
        <v>148</v>
      </c>
      <c r="F143" s="48" t="s">
        <v>30</v>
      </c>
      <c r="G143" s="49"/>
      <c r="H143" s="49"/>
      <c r="I143" s="49"/>
      <c r="J143" s="49"/>
      <c r="K143" s="49"/>
      <c r="L143" s="49"/>
      <c r="M143" s="49"/>
      <c r="N143" s="49"/>
      <c r="O143" s="49"/>
      <c r="P143" s="49">
        <f t="shared" si="86"/>
        <v>0</v>
      </c>
      <c r="Q143" s="49"/>
      <c r="R143" s="49">
        <v>0</v>
      </c>
      <c r="S143" s="49">
        <f t="shared" si="87"/>
        <v>0</v>
      </c>
      <c r="T143" s="49"/>
      <c r="U143" s="49">
        <v>0</v>
      </c>
      <c r="V143" s="49">
        <f t="shared" si="89"/>
        <v>0</v>
      </c>
      <c r="W143" s="49"/>
      <c r="X143" s="49">
        <v>0</v>
      </c>
      <c r="Y143" s="19">
        <f t="shared" si="90"/>
        <v>0</v>
      </c>
      <c r="Z143" s="19">
        <f t="shared" si="83"/>
        <v>0</v>
      </c>
      <c r="AA143" s="19">
        <f t="shared" si="84"/>
        <v>0</v>
      </c>
      <c r="AB143" s="7"/>
      <c r="AC143" s="50"/>
      <c r="AD143" s="50">
        <v>0</v>
      </c>
    </row>
    <row r="144" spans="1:30" ht="121.5" customHeight="1">
      <c r="A144" s="46" t="s">
        <v>129</v>
      </c>
      <c r="B144" s="48" t="s">
        <v>13</v>
      </c>
      <c r="C144" s="48" t="s">
        <v>13</v>
      </c>
      <c r="D144" s="48" t="s">
        <v>145</v>
      </c>
      <c r="E144" s="48" t="s">
        <v>149</v>
      </c>
      <c r="F144" s="48" t="s">
        <v>30</v>
      </c>
      <c r="G144" s="49">
        <f>I144</f>
        <v>4304000</v>
      </c>
      <c r="H144" s="49"/>
      <c r="I144" s="49">
        <v>4304000</v>
      </c>
      <c r="J144" s="49">
        <f>L144</f>
        <v>4304000</v>
      </c>
      <c r="K144" s="49"/>
      <c r="L144" s="49">
        <v>4304000</v>
      </c>
      <c r="M144" s="49">
        <f>O144</f>
        <v>2500000</v>
      </c>
      <c r="N144" s="49"/>
      <c r="O144" s="49">
        <v>2500000</v>
      </c>
      <c r="P144" s="49">
        <f t="shared" si="86"/>
        <v>2500000</v>
      </c>
      <c r="Q144" s="49"/>
      <c r="R144" s="49">
        <v>2500000</v>
      </c>
      <c r="S144" s="49">
        <f t="shared" si="87"/>
        <v>4294980</v>
      </c>
      <c r="T144" s="49"/>
      <c r="U144" s="49">
        <v>4294980</v>
      </c>
      <c r="V144" s="49">
        <f t="shared" si="89"/>
        <v>4294980</v>
      </c>
      <c r="W144" s="49"/>
      <c r="X144" s="49">
        <v>4294980</v>
      </c>
      <c r="Y144" s="19">
        <f t="shared" si="90"/>
        <v>9020</v>
      </c>
      <c r="Z144" s="19">
        <f t="shared" si="83"/>
        <v>0</v>
      </c>
      <c r="AA144" s="19">
        <f t="shared" si="84"/>
        <v>9020</v>
      </c>
      <c r="AB144" s="7">
        <f t="shared" si="65"/>
        <v>58.085501858736052</v>
      </c>
      <c r="AC144" s="50">
        <f t="shared" si="67"/>
        <v>99.790427509293679</v>
      </c>
      <c r="AD144" s="50">
        <v>0</v>
      </c>
    </row>
    <row r="145" spans="1:30" ht="122.25" customHeight="1">
      <c r="A145" s="46" t="s">
        <v>129</v>
      </c>
      <c r="B145" s="48" t="s">
        <v>13</v>
      </c>
      <c r="C145" s="48" t="s">
        <v>13</v>
      </c>
      <c r="D145" s="48" t="s">
        <v>150</v>
      </c>
      <c r="E145" s="48" t="s">
        <v>151</v>
      </c>
      <c r="F145" s="48" t="s">
        <v>30</v>
      </c>
      <c r="G145" s="49">
        <v>4770000</v>
      </c>
      <c r="H145" s="49"/>
      <c r="I145" s="49">
        <v>4770000</v>
      </c>
      <c r="J145" s="49">
        <v>4770000</v>
      </c>
      <c r="K145" s="49"/>
      <c r="L145" s="49">
        <v>4770000</v>
      </c>
      <c r="M145" s="49">
        <v>4770000</v>
      </c>
      <c r="N145" s="49"/>
      <c r="O145" s="49">
        <v>4770000</v>
      </c>
      <c r="P145" s="49">
        <v>4770000</v>
      </c>
      <c r="Q145" s="49"/>
      <c r="R145" s="49">
        <v>4770000</v>
      </c>
      <c r="S145" s="49">
        <v>4770000</v>
      </c>
      <c r="T145" s="49"/>
      <c r="U145" s="49">
        <v>4770000</v>
      </c>
      <c r="V145" s="49">
        <v>4770000</v>
      </c>
      <c r="W145" s="49"/>
      <c r="X145" s="49">
        <v>4770000</v>
      </c>
      <c r="Y145" s="19">
        <f t="shared" si="90"/>
        <v>0</v>
      </c>
      <c r="Z145" s="19">
        <f t="shared" si="83"/>
        <v>0</v>
      </c>
      <c r="AA145" s="19">
        <f t="shared" si="84"/>
        <v>0</v>
      </c>
      <c r="AB145" s="7">
        <f t="shared" si="65"/>
        <v>100</v>
      </c>
      <c r="AC145" s="50">
        <f t="shared" si="67"/>
        <v>100</v>
      </c>
      <c r="AD145" s="50">
        <f>S145/M145*100</f>
        <v>100</v>
      </c>
    </row>
    <row r="146" spans="1:30" s="1" customFormat="1" ht="47.25" customHeight="1">
      <c r="A146" s="80" t="s">
        <v>152</v>
      </c>
      <c r="B146" s="80"/>
      <c r="C146" s="80"/>
      <c r="D146" s="80"/>
      <c r="E146" s="80"/>
      <c r="F146" s="80"/>
      <c r="G146" s="19">
        <f>I146</f>
        <v>166028744.69</v>
      </c>
      <c r="H146" s="19"/>
      <c r="I146" s="19">
        <f>I148</f>
        <v>166028744.69</v>
      </c>
      <c r="J146" s="19">
        <f>L146</f>
        <v>166028744.69</v>
      </c>
      <c r="K146" s="19"/>
      <c r="L146" s="19">
        <f>L148</f>
        <v>166028744.69</v>
      </c>
      <c r="M146" s="19">
        <f>O146</f>
        <v>77084590.230000004</v>
      </c>
      <c r="N146" s="19"/>
      <c r="O146" s="19">
        <f>O148</f>
        <v>77084590.230000004</v>
      </c>
      <c r="P146" s="19">
        <f>R146</f>
        <v>77084590.230000004</v>
      </c>
      <c r="Q146" s="19"/>
      <c r="R146" s="19">
        <f>R148</f>
        <v>77084590.230000004</v>
      </c>
      <c r="S146" s="19">
        <f t="shared" ref="S146:S150" si="91">U146</f>
        <v>149028744.69</v>
      </c>
      <c r="T146" s="19"/>
      <c r="U146" s="19">
        <f>U148</f>
        <v>149028744.69</v>
      </c>
      <c r="V146" s="19">
        <f t="shared" ref="V146" si="92">X146</f>
        <v>149028744.69</v>
      </c>
      <c r="W146" s="19"/>
      <c r="X146" s="19">
        <f>X148</f>
        <v>149028744.69</v>
      </c>
      <c r="Y146" s="19">
        <f t="shared" si="90"/>
        <v>17000000</v>
      </c>
      <c r="Z146" s="19">
        <f t="shared" si="83"/>
        <v>0</v>
      </c>
      <c r="AA146" s="19">
        <f t="shared" si="84"/>
        <v>17000000</v>
      </c>
      <c r="AB146" s="7">
        <f t="shared" si="65"/>
        <v>46.428460549965749</v>
      </c>
      <c r="AC146" s="50">
        <f t="shared" si="67"/>
        <v>89.760809170880933</v>
      </c>
      <c r="AD146" s="7">
        <f>S146/M146*100</f>
        <v>193.33143530417388</v>
      </c>
    </row>
    <row r="147" spans="1:30">
      <c r="A147" s="81" t="s">
        <v>7</v>
      </c>
      <c r="B147" s="81"/>
      <c r="C147" s="81"/>
      <c r="D147" s="81"/>
      <c r="E147" s="81"/>
      <c r="F147" s="81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19">
        <f t="shared" si="90"/>
        <v>0</v>
      </c>
      <c r="Z147" s="19">
        <f t="shared" si="83"/>
        <v>0</v>
      </c>
      <c r="AA147" s="19">
        <f t="shared" si="84"/>
        <v>0</v>
      </c>
      <c r="AB147" s="7"/>
      <c r="AC147" s="50"/>
      <c r="AD147" s="50"/>
    </row>
    <row r="148" spans="1:30">
      <c r="A148" s="81" t="s">
        <v>8</v>
      </c>
      <c r="B148" s="81"/>
      <c r="C148" s="81"/>
      <c r="D148" s="81"/>
      <c r="E148" s="81"/>
      <c r="F148" s="81"/>
      <c r="G148" s="49">
        <f t="shared" ref="G148:G149" si="93">I148</f>
        <v>166028744.69</v>
      </c>
      <c r="H148" s="49"/>
      <c r="I148" s="49">
        <f>I149</f>
        <v>166028744.69</v>
      </c>
      <c r="J148" s="49">
        <f t="shared" ref="J148:J149" si="94">L148</f>
        <v>166028744.69</v>
      </c>
      <c r="K148" s="49"/>
      <c r="L148" s="49">
        <f>L149</f>
        <v>166028744.69</v>
      </c>
      <c r="M148" s="49">
        <f t="shared" ref="M148:M149" si="95">O148</f>
        <v>77084590.230000004</v>
      </c>
      <c r="N148" s="49"/>
      <c r="O148" s="49">
        <f>O149</f>
        <v>77084590.230000004</v>
      </c>
      <c r="P148" s="49">
        <f t="shared" ref="P148:P149" si="96">R148</f>
        <v>77084590.230000004</v>
      </c>
      <c r="Q148" s="49"/>
      <c r="R148" s="49">
        <f>R149</f>
        <v>77084590.230000004</v>
      </c>
      <c r="S148" s="49">
        <f t="shared" si="91"/>
        <v>149028744.69</v>
      </c>
      <c r="T148" s="49"/>
      <c r="U148" s="49">
        <f>U149</f>
        <v>149028744.69</v>
      </c>
      <c r="V148" s="49">
        <f t="shared" ref="V148:V150" si="97">X148</f>
        <v>149028744.69</v>
      </c>
      <c r="W148" s="49"/>
      <c r="X148" s="49">
        <f>X149</f>
        <v>149028744.69</v>
      </c>
      <c r="Y148" s="19">
        <f t="shared" si="90"/>
        <v>17000000</v>
      </c>
      <c r="Z148" s="19">
        <f t="shared" si="83"/>
        <v>0</v>
      </c>
      <c r="AA148" s="19">
        <f t="shared" si="84"/>
        <v>17000000</v>
      </c>
      <c r="AB148" s="7">
        <f t="shared" si="65"/>
        <v>46.428460549965749</v>
      </c>
      <c r="AC148" s="50">
        <f t="shared" si="67"/>
        <v>89.760809170880933</v>
      </c>
      <c r="AD148" s="50">
        <f>S148/M148*100</f>
        <v>193.33143530417388</v>
      </c>
    </row>
    <row r="149" spans="1:30">
      <c r="A149" s="81" t="s">
        <v>153</v>
      </c>
      <c r="B149" s="81"/>
      <c r="C149" s="81"/>
      <c r="D149" s="81"/>
      <c r="E149" s="81"/>
      <c r="F149" s="81"/>
      <c r="G149" s="49">
        <f t="shared" si="93"/>
        <v>166028744.69</v>
      </c>
      <c r="H149" s="49"/>
      <c r="I149" s="49">
        <f>I150</f>
        <v>166028744.69</v>
      </c>
      <c r="J149" s="49">
        <f t="shared" si="94"/>
        <v>166028744.69</v>
      </c>
      <c r="K149" s="49"/>
      <c r="L149" s="49">
        <f>L150</f>
        <v>166028744.69</v>
      </c>
      <c r="M149" s="49">
        <f t="shared" si="95"/>
        <v>77084590.230000004</v>
      </c>
      <c r="N149" s="49"/>
      <c r="O149" s="49">
        <f>O150</f>
        <v>77084590.230000004</v>
      </c>
      <c r="P149" s="49">
        <f t="shared" si="96"/>
        <v>77084590.230000004</v>
      </c>
      <c r="Q149" s="49"/>
      <c r="R149" s="49">
        <f>R150</f>
        <v>77084590.230000004</v>
      </c>
      <c r="S149" s="49">
        <f t="shared" si="91"/>
        <v>149028744.69</v>
      </c>
      <c r="T149" s="49"/>
      <c r="U149" s="49">
        <f>U150</f>
        <v>149028744.69</v>
      </c>
      <c r="V149" s="49">
        <f t="shared" si="97"/>
        <v>149028744.69</v>
      </c>
      <c r="W149" s="49"/>
      <c r="X149" s="49">
        <f>X150</f>
        <v>149028744.69</v>
      </c>
      <c r="Y149" s="19">
        <f t="shared" si="90"/>
        <v>17000000</v>
      </c>
      <c r="Z149" s="19">
        <f t="shared" si="83"/>
        <v>0</v>
      </c>
      <c r="AA149" s="19">
        <f t="shared" si="84"/>
        <v>17000000</v>
      </c>
      <c r="AB149" s="7">
        <f t="shared" si="65"/>
        <v>46.428460549965749</v>
      </c>
      <c r="AC149" s="50">
        <f t="shared" si="67"/>
        <v>89.760809170880933</v>
      </c>
      <c r="AD149" s="50">
        <f>S149/M149*100</f>
        <v>193.33143530417388</v>
      </c>
    </row>
    <row r="150" spans="1:30" s="5" customFormat="1">
      <c r="A150" s="80" t="s">
        <v>11</v>
      </c>
      <c r="B150" s="80"/>
      <c r="C150" s="80"/>
      <c r="D150" s="80"/>
      <c r="E150" s="80"/>
      <c r="F150" s="80"/>
      <c r="G150" s="19">
        <f>I150</f>
        <v>166028744.69</v>
      </c>
      <c r="H150" s="19"/>
      <c r="I150" s="19">
        <f>I151</f>
        <v>166028744.69</v>
      </c>
      <c r="J150" s="19">
        <f>L150</f>
        <v>166028744.69</v>
      </c>
      <c r="K150" s="19"/>
      <c r="L150" s="19">
        <f>L151</f>
        <v>166028744.69</v>
      </c>
      <c r="M150" s="19">
        <f>O150</f>
        <v>77084590.230000004</v>
      </c>
      <c r="N150" s="19"/>
      <c r="O150" s="19">
        <f>O151</f>
        <v>77084590.230000004</v>
      </c>
      <c r="P150" s="19">
        <f>R150</f>
        <v>77084590.230000004</v>
      </c>
      <c r="Q150" s="19"/>
      <c r="R150" s="19">
        <f>R151</f>
        <v>77084590.230000004</v>
      </c>
      <c r="S150" s="19">
        <f t="shared" si="91"/>
        <v>149028744.69</v>
      </c>
      <c r="T150" s="19"/>
      <c r="U150" s="19">
        <f>U151</f>
        <v>149028744.69</v>
      </c>
      <c r="V150" s="19">
        <f t="shared" si="97"/>
        <v>149028744.69</v>
      </c>
      <c r="W150" s="19"/>
      <c r="X150" s="19">
        <f>X151</f>
        <v>149028744.69</v>
      </c>
      <c r="Y150" s="19">
        <f t="shared" si="90"/>
        <v>17000000</v>
      </c>
      <c r="Z150" s="19">
        <f t="shared" si="83"/>
        <v>0</v>
      </c>
      <c r="AA150" s="19">
        <f t="shared" si="84"/>
        <v>17000000</v>
      </c>
      <c r="AB150" s="7">
        <f t="shared" si="65"/>
        <v>46.428460549965749</v>
      </c>
      <c r="AC150" s="50">
        <f t="shared" si="67"/>
        <v>89.760809170880933</v>
      </c>
      <c r="AD150" s="7">
        <f>S150/M150*100</f>
        <v>193.33143530417388</v>
      </c>
    </row>
    <row r="151" spans="1:30" ht="111.75" customHeight="1">
      <c r="A151" s="46" t="s">
        <v>154</v>
      </c>
      <c r="B151" s="48" t="s">
        <v>13</v>
      </c>
      <c r="C151" s="48" t="s">
        <v>13</v>
      </c>
      <c r="D151" s="48" t="s">
        <v>155</v>
      </c>
      <c r="E151" s="48" t="s">
        <v>15</v>
      </c>
      <c r="F151" s="48" t="s">
        <v>156</v>
      </c>
      <c r="G151" s="49">
        <f>I151</f>
        <v>166028744.69</v>
      </c>
      <c r="H151" s="49"/>
      <c r="I151" s="62">
        <f>142035043.11+81797472.57-57803770.99</f>
        <v>166028744.69</v>
      </c>
      <c r="J151" s="49">
        <f>L151</f>
        <v>166028744.69</v>
      </c>
      <c r="K151" s="49"/>
      <c r="L151" s="62">
        <f>142035043.11+81797472.57-57803770.99</f>
        <v>166028744.69</v>
      </c>
      <c r="M151" s="49">
        <f>O151</f>
        <v>77084590.230000004</v>
      </c>
      <c r="N151" s="49"/>
      <c r="O151" s="62">
        <v>77084590.230000004</v>
      </c>
      <c r="P151" s="49">
        <f>R151</f>
        <v>77084590.230000004</v>
      </c>
      <c r="Q151" s="49"/>
      <c r="R151" s="49">
        <v>77084590.230000004</v>
      </c>
      <c r="S151" s="49">
        <f>U151</f>
        <v>149028744.69</v>
      </c>
      <c r="T151" s="49"/>
      <c r="U151" s="62">
        <v>149028744.69</v>
      </c>
      <c r="V151" s="49">
        <f>X151</f>
        <v>149028744.69</v>
      </c>
      <c r="W151" s="49"/>
      <c r="X151" s="62">
        <v>149028744.69</v>
      </c>
      <c r="Y151" s="19">
        <f t="shared" si="90"/>
        <v>17000000</v>
      </c>
      <c r="Z151" s="19">
        <f t="shared" si="83"/>
        <v>0</v>
      </c>
      <c r="AA151" s="19">
        <f t="shared" si="84"/>
        <v>17000000</v>
      </c>
      <c r="AB151" s="7">
        <f t="shared" si="65"/>
        <v>46.428460549965749</v>
      </c>
      <c r="AC151" s="50">
        <f t="shared" si="67"/>
        <v>89.760809170880933</v>
      </c>
      <c r="AD151" s="50">
        <f>S151/M151*100</f>
        <v>193.33143530417388</v>
      </c>
    </row>
    <row r="152" spans="1:30" s="5" customFormat="1" ht="45" customHeight="1">
      <c r="A152" s="80" t="s">
        <v>157</v>
      </c>
      <c r="B152" s="80"/>
      <c r="C152" s="80"/>
      <c r="D152" s="80"/>
      <c r="E152" s="80"/>
      <c r="F152" s="80"/>
      <c r="G152" s="19">
        <f>I152</f>
        <v>10129000</v>
      </c>
      <c r="H152" s="19"/>
      <c r="I152" s="19">
        <f>I154</f>
        <v>10129000</v>
      </c>
      <c r="J152" s="19">
        <f>L152</f>
        <v>10129000</v>
      </c>
      <c r="K152" s="19"/>
      <c r="L152" s="19">
        <f>L154</f>
        <v>10129000</v>
      </c>
      <c r="M152" s="19">
        <f>O152</f>
        <v>3100000</v>
      </c>
      <c r="N152" s="19"/>
      <c r="O152" s="19">
        <f>O154</f>
        <v>3100000</v>
      </c>
      <c r="P152" s="19">
        <f>P154</f>
        <v>8586000</v>
      </c>
      <c r="Q152" s="19"/>
      <c r="R152" s="19">
        <f>R154</f>
        <v>8586000</v>
      </c>
      <c r="S152" s="19">
        <f>U152</f>
        <v>9534000</v>
      </c>
      <c r="T152" s="19"/>
      <c r="U152" s="19">
        <f>U154</f>
        <v>9534000</v>
      </c>
      <c r="V152" s="19">
        <f>X152</f>
        <v>9534000</v>
      </c>
      <c r="W152" s="19"/>
      <c r="X152" s="19">
        <f>X154</f>
        <v>9534000</v>
      </c>
      <c r="Y152" s="19">
        <f t="shared" si="90"/>
        <v>595000</v>
      </c>
      <c r="Z152" s="19">
        <f t="shared" si="83"/>
        <v>0</v>
      </c>
      <c r="AA152" s="19">
        <f t="shared" si="84"/>
        <v>595000</v>
      </c>
      <c r="AB152" s="7">
        <f t="shared" si="65"/>
        <v>30.605193010168826</v>
      </c>
      <c r="AC152" s="50">
        <f t="shared" si="67"/>
        <v>94.12577747062889</v>
      </c>
      <c r="AD152" s="7">
        <f>S152/M152*100</f>
        <v>307.54838709677421</v>
      </c>
    </row>
    <row r="153" spans="1:30">
      <c r="A153" s="81" t="s">
        <v>7</v>
      </c>
      <c r="B153" s="81"/>
      <c r="C153" s="81"/>
      <c r="D153" s="81"/>
      <c r="E153" s="81"/>
      <c r="F153" s="81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19">
        <f t="shared" si="90"/>
        <v>0</v>
      </c>
      <c r="Z153" s="19">
        <f t="shared" si="83"/>
        <v>0</v>
      </c>
      <c r="AA153" s="19">
        <f t="shared" si="84"/>
        <v>0</v>
      </c>
      <c r="AB153" s="7"/>
      <c r="AC153" s="50"/>
      <c r="AD153" s="50"/>
    </row>
    <row r="154" spans="1:30">
      <c r="A154" s="81" t="s">
        <v>8</v>
      </c>
      <c r="B154" s="81"/>
      <c r="C154" s="81"/>
      <c r="D154" s="81"/>
      <c r="E154" s="81"/>
      <c r="F154" s="81"/>
      <c r="G154" s="49">
        <f>I154</f>
        <v>10129000</v>
      </c>
      <c r="H154" s="49"/>
      <c r="I154" s="49">
        <f>I155+I160</f>
        <v>10129000</v>
      </c>
      <c r="J154" s="49">
        <f>L154</f>
        <v>10129000</v>
      </c>
      <c r="K154" s="49"/>
      <c r="L154" s="49">
        <f>L155+L160</f>
        <v>10129000</v>
      </c>
      <c r="M154" s="49">
        <f>O154</f>
        <v>3100000</v>
      </c>
      <c r="N154" s="49"/>
      <c r="O154" s="49">
        <f>O155+O160</f>
        <v>3100000</v>
      </c>
      <c r="P154" s="49">
        <f>3100000+P162</f>
        <v>8586000</v>
      </c>
      <c r="Q154" s="49"/>
      <c r="R154" s="49">
        <f>3100000+R162</f>
        <v>8586000</v>
      </c>
      <c r="S154" s="49">
        <f>U154</f>
        <v>9534000</v>
      </c>
      <c r="T154" s="49"/>
      <c r="U154" s="49">
        <f>U155+U160</f>
        <v>9534000</v>
      </c>
      <c r="V154" s="49">
        <f>X154</f>
        <v>9534000</v>
      </c>
      <c r="W154" s="49"/>
      <c r="X154" s="49">
        <f>X155+X160</f>
        <v>9534000</v>
      </c>
      <c r="Y154" s="19">
        <f t="shared" si="90"/>
        <v>595000</v>
      </c>
      <c r="Z154" s="19">
        <f t="shared" si="83"/>
        <v>0</v>
      </c>
      <c r="AA154" s="19">
        <f t="shared" si="84"/>
        <v>595000</v>
      </c>
      <c r="AB154" s="7">
        <f t="shared" si="65"/>
        <v>30.605193010168826</v>
      </c>
      <c r="AC154" s="50">
        <f t="shared" si="67"/>
        <v>94.12577747062889</v>
      </c>
      <c r="AD154" s="50">
        <f t="shared" ref="AD154:AD224" si="98">S154/M154*100</f>
        <v>307.54838709677421</v>
      </c>
    </row>
    <row r="155" spans="1:30">
      <c r="A155" s="81" t="s">
        <v>158</v>
      </c>
      <c r="B155" s="81"/>
      <c r="C155" s="81"/>
      <c r="D155" s="81"/>
      <c r="E155" s="81"/>
      <c r="F155" s="81"/>
      <c r="G155" s="49">
        <f>I155</f>
        <v>4643000</v>
      </c>
      <c r="H155" s="49"/>
      <c r="I155" s="49">
        <f>I156</f>
        <v>4643000</v>
      </c>
      <c r="J155" s="49">
        <f>L155</f>
        <v>4643000</v>
      </c>
      <c r="K155" s="49"/>
      <c r="L155" s="49">
        <f>L156</f>
        <v>4643000</v>
      </c>
      <c r="M155" s="49">
        <f>O155</f>
        <v>3100000</v>
      </c>
      <c r="N155" s="49"/>
      <c r="O155" s="49">
        <f>O156</f>
        <v>3100000</v>
      </c>
      <c r="P155" s="49">
        <v>3100000</v>
      </c>
      <c r="Q155" s="49"/>
      <c r="R155" s="49">
        <v>3100000</v>
      </c>
      <c r="S155" s="49">
        <f>U155</f>
        <v>4048000</v>
      </c>
      <c r="T155" s="49"/>
      <c r="U155" s="49">
        <f>U156</f>
        <v>4048000</v>
      </c>
      <c r="V155" s="49">
        <f>X155</f>
        <v>4048000</v>
      </c>
      <c r="W155" s="49"/>
      <c r="X155" s="49">
        <f>X156</f>
        <v>4048000</v>
      </c>
      <c r="Y155" s="19">
        <f t="shared" si="90"/>
        <v>595000</v>
      </c>
      <c r="Z155" s="19">
        <f t="shared" si="83"/>
        <v>0</v>
      </c>
      <c r="AA155" s="19">
        <f t="shared" si="84"/>
        <v>595000</v>
      </c>
      <c r="AB155" s="7">
        <f t="shared" si="65"/>
        <v>66.767176394572473</v>
      </c>
      <c r="AC155" s="50">
        <f t="shared" si="67"/>
        <v>87.185009692009473</v>
      </c>
      <c r="AD155" s="50">
        <f t="shared" si="98"/>
        <v>130.58064516129033</v>
      </c>
    </row>
    <row r="156" spans="1:30" s="5" customFormat="1">
      <c r="A156" s="80" t="s">
        <v>11</v>
      </c>
      <c r="B156" s="80"/>
      <c r="C156" s="80"/>
      <c r="D156" s="80"/>
      <c r="E156" s="80"/>
      <c r="F156" s="80"/>
      <c r="G156" s="19">
        <f>I156</f>
        <v>4643000</v>
      </c>
      <c r="H156" s="19"/>
      <c r="I156" s="19">
        <f>I157+I158+I159</f>
        <v>4643000</v>
      </c>
      <c r="J156" s="19">
        <f>L156</f>
        <v>4643000</v>
      </c>
      <c r="K156" s="19"/>
      <c r="L156" s="19">
        <f>L157+L158+L159</f>
        <v>4643000</v>
      </c>
      <c r="M156" s="19">
        <f>O156</f>
        <v>3100000</v>
      </c>
      <c r="N156" s="19"/>
      <c r="O156" s="19">
        <f>O157+O158+O159</f>
        <v>3100000</v>
      </c>
      <c r="P156" s="19">
        <v>3100000</v>
      </c>
      <c r="Q156" s="19"/>
      <c r="R156" s="19">
        <v>3100000</v>
      </c>
      <c r="S156" s="19">
        <f>U156</f>
        <v>4048000</v>
      </c>
      <c r="T156" s="19"/>
      <c r="U156" s="19">
        <f>U157+U158+U159</f>
        <v>4048000</v>
      </c>
      <c r="V156" s="19">
        <f>X156</f>
        <v>4048000</v>
      </c>
      <c r="W156" s="19"/>
      <c r="X156" s="19">
        <f>X157+X158+X159</f>
        <v>4048000</v>
      </c>
      <c r="Y156" s="19">
        <f t="shared" si="90"/>
        <v>595000</v>
      </c>
      <c r="Z156" s="19">
        <f t="shared" si="83"/>
        <v>0</v>
      </c>
      <c r="AA156" s="19">
        <f t="shared" si="84"/>
        <v>595000</v>
      </c>
      <c r="AB156" s="7">
        <f t="shared" si="65"/>
        <v>66.767176394572473</v>
      </c>
      <c r="AC156" s="50">
        <f t="shared" si="67"/>
        <v>87.185009692009473</v>
      </c>
      <c r="AD156" s="7">
        <f t="shared" si="98"/>
        <v>130.58064516129033</v>
      </c>
    </row>
    <row r="157" spans="1:30" ht="129" customHeight="1">
      <c r="A157" s="46" t="s">
        <v>159</v>
      </c>
      <c r="B157" s="48" t="s">
        <v>13</v>
      </c>
      <c r="C157" s="48" t="s">
        <v>13</v>
      </c>
      <c r="D157" s="48" t="s">
        <v>160</v>
      </c>
      <c r="E157" s="48" t="s">
        <v>15</v>
      </c>
      <c r="F157" s="48" t="s">
        <v>161</v>
      </c>
      <c r="G157" s="49">
        <v>3100000</v>
      </c>
      <c r="H157" s="49"/>
      <c r="I157" s="49">
        <v>3100000</v>
      </c>
      <c r="J157" s="49">
        <v>3100000</v>
      </c>
      <c r="K157" s="49"/>
      <c r="L157" s="49">
        <v>3100000</v>
      </c>
      <c r="M157" s="49">
        <v>3100000</v>
      </c>
      <c r="N157" s="49"/>
      <c r="O157" s="49">
        <v>3100000</v>
      </c>
      <c r="P157" s="49">
        <v>3100000</v>
      </c>
      <c r="Q157" s="49"/>
      <c r="R157" s="49">
        <v>3100000</v>
      </c>
      <c r="S157" s="49">
        <v>3100000</v>
      </c>
      <c r="T157" s="49"/>
      <c r="U157" s="49">
        <v>3100000</v>
      </c>
      <c r="V157" s="49">
        <v>3100000</v>
      </c>
      <c r="W157" s="49"/>
      <c r="X157" s="49">
        <v>3100000</v>
      </c>
      <c r="Y157" s="19">
        <f t="shared" si="90"/>
        <v>0</v>
      </c>
      <c r="Z157" s="19">
        <f t="shared" si="83"/>
        <v>0</v>
      </c>
      <c r="AA157" s="19">
        <f t="shared" si="84"/>
        <v>0</v>
      </c>
      <c r="AB157" s="7">
        <f t="shared" si="65"/>
        <v>100</v>
      </c>
      <c r="AC157" s="50">
        <f t="shared" si="67"/>
        <v>100</v>
      </c>
      <c r="AD157" s="50">
        <f t="shared" si="98"/>
        <v>100</v>
      </c>
    </row>
    <row r="158" spans="1:30" ht="142.5" customHeight="1">
      <c r="A158" s="46" t="s">
        <v>319</v>
      </c>
      <c r="B158" s="48" t="s">
        <v>13</v>
      </c>
      <c r="C158" s="48" t="s">
        <v>13</v>
      </c>
      <c r="D158" s="48" t="s">
        <v>320</v>
      </c>
      <c r="E158" s="48" t="s">
        <v>15</v>
      </c>
      <c r="F158" s="48" t="s">
        <v>75</v>
      </c>
      <c r="G158" s="49">
        <f>I158</f>
        <v>595000</v>
      </c>
      <c r="H158" s="49"/>
      <c r="I158" s="49">
        <v>595000</v>
      </c>
      <c r="J158" s="49">
        <f>L158</f>
        <v>595000</v>
      </c>
      <c r="K158" s="49"/>
      <c r="L158" s="49">
        <v>595000</v>
      </c>
      <c r="M158" s="49">
        <f>O158</f>
        <v>0</v>
      </c>
      <c r="N158" s="49"/>
      <c r="O158" s="49">
        <v>0</v>
      </c>
      <c r="P158" s="49"/>
      <c r="Q158" s="49"/>
      <c r="R158" s="49"/>
      <c r="S158" s="49">
        <f>U158</f>
        <v>0</v>
      </c>
      <c r="T158" s="49"/>
      <c r="U158" s="49">
        <v>0</v>
      </c>
      <c r="V158" s="49">
        <f>X158</f>
        <v>0</v>
      </c>
      <c r="W158" s="49"/>
      <c r="X158" s="49">
        <v>0</v>
      </c>
      <c r="Y158" s="19">
        <f t="shared" si="90"/>
        <v>595000</v>
      </c>
      <c r="Z158" s="19">
        <f t="shared" si="83"/>
        <v>0</v>
      </c>
      <c r="AA158" s="19">
        <f t="shared" si="84"/>
        <v>595000</v>
      </c>
      <c r="AB158" s="7">
        <f t="shared" si="65"/>
        <v>0</v>
      </c>
      <c r="AC158" s="50">
        <f t="shared" si="67"/>
        <v>0</v>
      </c>
      <c r="AD158" s="50" t="e">
        <f t="shared" ref="AD158:AD160" si="99">S158/M158*100</f>
        <v>#DIV/0!</v>
      </c>
    </row>
    <row r="159" spans="1:30" ht="130.5" customHeight="1">
      <c r="A159" s="46" t="s">
        <v>321</v>
      </c>
      <c r="B159" s="48" t="s">
        <v>13</v>
      </c>
      <c r="C159" s="48" t="s">
        <v>13</v>
      </c>
      <c r="D159" s="48" t="s">
        <v>320</v>
      </c>
      <c r="E159" s="48" t="s">
        <v>15</v>
      </c>
      <c r="F159" s="48" t="s">
        <v>75</v>
      </c>
      <c r="G159" s="49">
        <f>I159</f>
        <v>948000</v>
      </c>
      <c r="H159" s="49"/>
      <c r="I159" s="49">
        <v>948000</v>
      </c>
      <c r="J159" s="49">
        <f>L159</f>
        <v>948000</v>
      </c>
      <c r="K159" s="49"/>
      <c r="L159" s="49">
        <v>948000</v>
      </c>
      <c r="M159" s="49">
        <f>O159</f>
        <v>0</v>
      </c>
      <c r="N159" s="49"/>
      <c r="O159" s="49">
        <v>0</v>
      </c>
      <c r="P159" s="49"/>
      <c r="Q159" s="49"/>
      <c r="R159" s="49"/>
      <c r="S159" s="49">
        <f>U159</f>
        <v>948000</v>
      </c>
      <c r="T159" s="49"/>
      <c r="U159" s="49">
        <v>948000</v>
      </c>
      <c r="V159" s="49">
        <f>X159</f>
        <v>948000</v>
      </c>
      <c r="W159" s="49"/>
      <c r="X159" s="49">
        <v>948000</v>
      </c>
      <c r="Y159" s="19">
        <f t="shared" si="90"/>
        <v>0</v>
      </c>
      <c r="Z159" s="19">
        <f t="shared" si="83"/>
        <v>0</v>
      </c>
      <c r="AA159" s="19">
        <f t="shared" si="84"/>
        <v>0</v>
      </c>
      <c r="AB159" s="7">
        <f t="shared" si="65"/>
        <v>0</v>
      </c>
      <c r="AC159" s="50">
        <f t="shared" si="67"/>
        <v>100</v>
      </c>
      <c r="AD159" s="50" t="e">
        <f t="shared" si="99"/>
        <v>#DIV/0!</v>
      </c>
    </row>
    <row r="160" spans="1:30" ht="45" customHeight="1">
      <c r="A160" s="82" t="s">
        <v>296</v>
      </c>
      <c r="B160" s="82"/>
      <c r="C160" s="82"/>
      <c r="D160" s="82"/>
      <c r="E160" s="82"/>
      <c r="F160" s="82"/>
      <c r="G160" s="49">
        <f>G161</f>
        <v>5486000</v>
      </c>
      <c r="H160" s="49"/>
      <c r="I160" s="49">
        <f>I161</f>
        <v>5486000</v>
      </c>
      <c r="J160" s="49">
        <f>J161</f>
        <v>5486000</v>
      </c>
      <c r="K160" s="49"/>
      <c r="L160" s="49">
        <f>L161</f>
        <v>5486000</v>
      </c>
      <c r="M160" s="49">
        <f>M161</f>
        <v>0</v>
      </c>
      <c r="N160" s="49"/>
      <c r="O160" s="49">
        <f>O161</f>
        <v>0</v>
      </c>
      <c r="P160" s="49">
        <f>P161</f>
        <v>5486000</v>
      </c>
      <c r="Q160" s="49"/>
      <c r="R160" s="49">
        <f>R161</f>
        <v>5486000</v>
      </c>
      <c r="S160" s="49">
        <f>S161</f>
        <v>5486000</v>
      </c>
      <c r="T160" s="49"/>
      <c r="U160" s="49">
        <f>U161</f>
        <v>5486000</v>
      </c>
      <c r="V160" s="49">
        <f>V161</f>
        <v>5486000</v>
      </c>
      <c r="W160" s="49"/>
      <c r="X160" s="49">
        <f>X161</f>
        <v>5486000</v>
      </c>
      <c r="Y160" s="19">
        <f t="shared" si="90"/>
        <v>0</v>
      </c>
      <c r="Z160" s="19">
        <f t="shared" si="83"/>
        <v>0</v>
      </c>
      <c r="AA160" s="19">
        <f t="shared" si="84"/>
        <v>0</v>
      </c>
      <c r="AB160" s="7">
        <f t="shared" si="65"/>
        <v>0</v>
      </c>
      <c r="AC160" s="50">
        <f t="shared" si="67"/>
        <v>100</v>
      </c>
      <c r="AD160" s="50" t="e">
        <f t="shared" si="99"/>
        <v>#DIV/0!</v>
      </c>
    </row>
    <row r="161" spans="1:30" ht="33.75" customHeight="1">
      <c r="A161" s="83" t="s">
        <v>294</v>
      </c>
      <c r="B161" s="83"/>
      <c r="C161" s="83"/>
      <c r="D161" s="83"/>
      <c r="E161" s="83"/>
      <c r="F161" s="83"/>
      <c r="G161" s="19">
        <f>G162</f>
        <v>5486000</v>
      </c>
      <c r="H161" s="19"/>
      <c r="I161" s="19">
        <f>I162</f>
        <v>5486000</v>
      </c>
      <c r="J161" s="19">
        <f>J162</f>
        <v>5486000</v>
      </c>
      <c r="K161" s="19"/>
      <c r="L161" s="19">
        <f>L162</f>
        <v>5486000</v>
      </c>
      <c r="M161" s="19">
        <f>M162</f>
        <v>0</v>
      </c>
      <c r="N161" s="19"/>
      <c r="O161" s="19">
        <f>O162</f>
        <v>0</v>
      </c>
      <c r="P161" s="19">
        <f>P162</f>
        <v>5486000</v>
      </c>
      <c r="Q161" s="19"/>
      <c r="R161" s="19">
        <f>R162</f>
        <v>5486000</v>
      </c>
      <c r="S161" s="19">
        <f>S162</f>
        <v>5486000</v>
      </c>
      <c r="T161" s="19"/>
      <c r="U161" s="19">
        <f>U162</f>
        <v>5486000</v>
      </c>
      <c r="V161" s="19">
        <f>V162</f>
        <v>5486000</v>
      </c>
      <c r="W161" s="19"/>
      <c r="X161" s="19">
        <f>X162</f>
        <v>5486000</v>
      </c>
      <c r="Y161" s="19">
        <f t="shared" si="90"/>
        <v>0</v>
      </c>
      <c r="Z161" s="19">
        <f t="shared" si="83"/>
        <v>0</v>
      </c>
      <c r="AA161" s="19">
        <f t="shared" si="84"/>
        <v>0</v>
      </c>
      <c r="AB161" s="7">
        <f t="shared" si="65"/>
        <v>0</v>
      </c>
      <c r="AC161" s="50">
        <f t="shared" si="67"/>
        <v>100</v>
      </c>
      <c r="AD161" s="7" t="e">
        <f t="shared" ref="AD161:AD162" si="100">S161/M161*100</f>
        <v>#DIV/0!</v>
      </c>
    </row>
    <row r="162" spans="1:30" ht="60.75" customHeight="1">
      <c r="A162" s="46" t="s">
        <v>295</v>
      </c>
      <c r="B162" s="48" t="s">
        <v>13</v>
      </c>
      <c r="C162" s="48" t="s">
        <v>13</v>
      </c>
      <c r="D162" s="48" t="s">
        <v>214</v>
      </c>
      <c r="E162" s="48"/>
      <c r="F162" s="48">
        <v>2022</v>
      </c>
      <c r="G162" s="49">
        <f>I162</f>
        <v>5486000</v>
      </c>
      <c r="H162" s="49"/>
      <c r="I162" s="49">
        <v>5486000</v>
      </c>
      <c r="J162" s="49">
        <f>L162</f>
        <v>5486000</v>
      </c>
      <c r="K162" s="49"/>
      <c r="L162" s="49">
        <v>5486000</v>
      </c>
      <c r="M162" s="49">
        <f>O162</f>
        <v>0</v>
      </c>
      <c r="N162" s="49"/>
      <c r="O162" s="49">
        <v>0</v>
      </c>
      <c r="P162" s="49">
        <f>R162</f>
        <v>5486000</v>
      </c>
      <c r="Q162" s="49"/>
      <c r="R162" s="49">
        <v>5486000</v>
      </c>
      <c r="S162" s="49">
        <f>U162</f>
        <v>5486000</v>
      </c>
      <c r="T162" s="49"/>
      <c r="U162" s="49">
        <v>5486000</v>
      </c>
      <c r="V162" s="49">
        <f>X162</f>
        <v>5486000</v>
      </c>
      <c r="W162" s="49"/>
      <c r="X162" s="49">
        <v>5486000</v>
      </c>
      <c r="Y162" s="19">
        <f t="shared" si="90"/>
        <v>0</v>
      </c>
      <c r="Z162" s="19">
        <f t="shared" si="83"/>
        <v>0</v>
      </c>
      <c r="AA162" s="19">
        <f t="shared" si="84"/>
        <v>0</v>
      </c>
      <c r="AB162" s="7">
        <f t="shared" si="65"/>
        <v>0</v>
      </c>
      <c r="AC162" s="50">
        <f t="shared" si="67"/>
        <v>100</v>
      </c>
      <c r="AD162" s="50" t="e">
        <f t="shared" si="100"/>
        <v>#DIV/0!</v>
      </c>
    </row>
    <row r="163" spans="1:30" s="5" customFormat="1" ht="29.25" customHeight="1">
      <c r="A163" s="80" t="s">
        <v>162</v>
      </c>
      <c r="B163" s="80"/>
      <c r="C163" s="80"/>
      <c r="D163" s="80"/>
      <c r="E163" s="80"/>
      <c r="F163" s="80"/>
      <c r="G163" s="19">
        <f t="shared" ref="G163:L163" si="101">G165+G164</f>
        <v>574840336</v>
      </c>
      <c r="H163" s="19">
        <f t="shared" si="101"/>
        <v>490764600</v>
      </c>
      <c r="I163" s="19">
        <f t="shared" si="101"/>
        <v>84075736</v>
      </c>
      <c r="J163" s="19">
        <f t="shared" si="101"/>
        <v>574840336</v>
      </c>
      <c r="K163" s="19">
        <f t="shared" si="101"/>
        <v>490764600</v>
      </c>
      <c r="L163" s="19">
        <f t="shared" si="101"/>
        <v>84075736</v>
      </c>
      <c r="M163" s="19" t="e">
        <f>M165</f>
        <v>#NAME?</v>
      </c>
      <c r="N163" s="19">
        <v>0</v>
      </c>
      <c r="O163" s="19">
        <f>O165</f>
        <v>989291.5</v>
      </c>
      <c r="P163" s="19">
        <f>P165</f>
        <v>989291.5</v>
      </c>
      <c r="Q163" s="19">
        <v>0</v>
      </c>
      <c r="R163" s="19">
        <f>R165</f>
        <v>989291.5</v>
      </c>
      <c r="S163" s="19">
        <f>S165+S164</f>
        <v>572361831.63</v>
      </c>
      <c r="T163" s="19">
        <f>T164+T165</f>
        <v>490764600</v>
      </c>
      <c r="U163" s="19">
        <f>U164+U165</f>
        <v>81597231.629999995</v>
      </c>
      <c r="V163" s="19">
        <f>V165+V164</f>
        <v>572361831.63</v>
      </c>
      <c r="W163" s="19">
        <f>W164+W165</f>
        <v>490764600</v>
      </c>
      <c r="X163" s="19">
        <f>X164+X165</f>
        <v>81597231.629999995</v>
      </c>
      <c r="Y163" s="19">
        <f t="shared" si="90"/>
        <v>2478504.3700000048</v>
      </c>
      <c r="Z163" s="19">
        <f t="shared" si="83"/>
        <v>0</v>
      </c>
      <c r="AA163" s="19">
        <f t="shared" si="84"/>
        <v>2478504.3700000048</v>
      </c>
      <c r="AB163" s="7" t="e">
        <f t="shared" si="65"/>
        <v>#NAME?</v>
      </c>
      <c r="AC163" s="50">
        <f t="shared" si="67"/>
        <v>99.568836037629765</v>
      </c>
      <c r="AD163" s="7">
        <v>0</v>
      </c>
    </row>
    <row r="164" spans="1:30">
      <c r="A164" s="81" t="s">
        <v>7</v>
      </c>
      <c r="B164" s="81"/>
      <c r="C164" s="81"/>
      <c r="D164" s="81"/>
      <c r="E164" s="81"/>
      <c r="F164" s="81"/>
      <c r="G164" s="49">
        <f t="shared" ref="G164:G166" si="102">H164+I164</f>
        <v>500781836</v>
      </c>
      <c r="H164" s="49">
        <f>H171</f>
        <v>490764600</v>
      </c>
      <c r="I164" s="49">
        <f>I171</f>
        <v>10017236</v>
      </c>
      <c r="J164" s="49">
        <f t="shared" ref="J164:J166" si="103">K164+L164</f>
        <v>500781836</v>
      </c>
      <c r="K164" s="49">
        <f>K171</f>
        <v>490764600</v>
      </c>
      <c r="L164" s="49">
        <f>L171</f>
        <v>10017236</v>
      </c>
      <c r="M164" s="20"/>
      <c r="N164" s="20"/>
      <c r="O164" s="20"/>
      <c r="P164" s="20"/>
      <c r="Q164" s="20"/>
      <c r="R164" s="20"/>
      <c r="S164" s="49">
        <f t="shared" ref="S164" si="104">T164+U164</f>
        <v>500781020</v>
      </c>
      <c r="T164" s="49">
        <f>T171</f>
        <v>490764600</v>
      </c>
      <c r="U164" s="49">
        <f>U171</f>
        <v>10016420</v>
      </c>
      <c r="V164" s="49">
        <f t="shared" ref="V164:V166" si="105">W164+X164</f>
        <v>500781020</v>
      </c>
      <c r="W164" s="49">
        <f>W171</f>
        <v>490764600</v>
      </c>
      <c r="X164" s="49">
        <f>X171</f>
        <v>10016420</v>
      </c>
      <c r="Y164" s="19">
        <f t="shared" si="90"/>
        <v>816</v>
      </c>
      <c r="Z164" s="19">
        <f t="shared" si="83"/>
        <v>0</v>
      </c>
      <c r="AA164" s="19">
        <f t="shared" si="84"/>
        <v>816</v>
      </c>
      <c r="AB164" s="7"/>
      <c r="AC164" s="50">
        <f t="shared" si="67"/>
        <v>99.999837054792863</v>
      </c>
      <c r="AD164" s="50">
        <v>0</v>
      </c>
    </row>
    <row r="165" spans="1:30">
      <c r="A165" s="81" t="s">
        <v>8</v>
      </c>
      <c r="B165" s="81"/>
      <c r="C165" s="81"/>
      <c r="D165" s="81"/>
      <c r="E165" s="81"/>
      <c r="F165" s="81"/>
      <c r="G165" s="49">
        <f t="shared" si="102"/>
        <v>74058500</v>
      </c>
      <c r="H165" s="49">
        <v>0</v>
      </c>
      <c r="I165" s="49">
        <f>I168+I174</f>
        <v>74058500</v>
      </c>
      <c r="J165" s="49">
        <f t="shared" si="103"/>
        <v>74058500</v>
      </c>
      <c r="K165" s="49">
        <v>0</v>
      </c>
      <c r="L165" s="49">
        <f>L168+L174</f>
        <v>74058500</v>
      </c>
      <c r="M165" s="49" t="e">
        <f>№165+O165</f>
        <v>#NAME?</v>
      </c>
      <c r="N165" s="49">
        <v>0</v>
      </c>
      <c r="O165" s="49">
        <f>O168+O174</f>
        <v>989291.5</v>
      </c>
      <c r="P165" s="49">
        <f t="shared" ref="P165" si="106">Q165+R165</f>
        <v>989291.5</v>
      </c>
      <c r="Q165" s="49">
        <v>0</v>
      </c>
      <c r="R165" s="49">
        <f>R168+R174</f>
        <v>989291.5</v>
      </c>
      <c r="S165" s="49">
        <f t="shared" ref="S165:S166" si="107">T165+U165</f>
        <v>71580811.629999995</v>
      </c>
      <c r="T165" s="49">
        <v>0</v>
      </c>
      <c r="U165" s="49">
        <f>U168+U174</f>
        <v>71580811.629999995</v>
      </c>
      <c r="V165" s="49">
        <f t="shared" si="105"/>
        <v>71580811.629999995</v>
      </c>
      <c r="W165" s="49">
        <v>0</v>
      </c>
      <c r="X165" s="49">
        <f>X168+X174</f>
        <v>71580811.629999995</v>
      </c>
      <c r="Y165" s="19">
        <f t="shared" si="90"/>
        <v>2477688.3700000048</v>
      </c>
      <c r="Z165" s="19">
        <f t="shared" si="83"/>
        <v>0</v>
      </c>
      <c r="AA165" s="19">
        <f t="shared" si="84"/>
        <v>2477688.3700000048</v>
      </c>
      <c r="AB165" s="7" t="e">
        <f t="shared" si="65"/>
        <v>#NAME?</v>
      </c>
      <c r="AC165" s="50">
        <f t="shared" si="67"/>
        <v>96.654417291735584</v>
      </c>
      <c r="AD165" s="50">
        <v>0</v>
      </c>
    </row>
    <row r="166" spans="1:30" ht="30" customHeight="1">
      <c r="A166" s="81" t="s">
        <v>163</v>
      </c>
      <c r="B166" s="81"/>
      <c r="C166" s="81"/>
      <c r="D166" s="81"/>
      <c r="E166" s="81"/>
      <c r="F166" s="81"/>
      <c r="G166" s="49">
        <f t="shared" si="102"/>
        <v>574531336</v>
      </c>
      <c r="H166" s="49">
        <f>H167+H169</f>
        <v>490764600</v>
      </c>
      <c r="I166" s="49">
        <f>I167+I169</f>
        <v>83766736</v>
      </c>
      <c r="J166" s="49">
        <f t="shared" si="103"/>
        <v>574531336</v>
      </c>
      <c r="K166" s="49">
        <f>K167+K169</f>
        <v>490764600</v>
      </c>
      <c r="L166" s="49">
        <f>L167+L169</f>
        <v>83766736</v>
      </c>
      <c r="M166" s="49">
        <f>O166</f>
        <v>680291.5</v>
      </c>
      <c r="N166" s="49">
        <v>0</v>
      </c>
      <c r="O166" s="49">
        <f>O167</f>
        <v>680291.5</v>
      </c>
      <c r="P166" s="49">
        <f>R166</f>
        <v>680291.5</v>
      </c>
      <c r="Q166" s="49">
        <v>0</v>
      </c>
      <c r="R166" s="49">
        <f>R167</f>
        <v>680291.5</v>
      </c>
      <c r="S166" s="49">
        <f t="shared" si="107"/>
        <v>572052831.63</v>
      </c>
      <c r="T166" s="49">
        <f>T167+T169</f>
        <v>490764600</v>
      </c>
      <c r="U166" s="49">
        <f>U167+U169</f>
        <v>81288231.629999995</v>
      </c>
      <c r="V166" s="49">
        <f t="shared" si="105"/>
        <v>572052831.63</v>
      </c>
      <c r="W166" s="49">
        <f>W167+W169</f>
        <v>490764600</v>
      </c>
      <c r="X166" s="49">
        <f>X167+X169</f>
        <v>81288231.629999995</v>
      </c>
      <c r="Y166" s="19">
        <f t="shared" si="90"/>
        <v>2478504.3700000048</v>
      </c>
      <c r="Z166" s="19">
        <f t="shared" si="83"/>
        <v>0</v>
      </c>
      <c r="AA166" s="19">
        <f t="shared" si="84"/>
        <v>2478504.3700000048</v>
      </c>
      <c r="AB166" s="7">
        <f t="shared" si="65"/>
        <v>0.11840807583034947</v>
      </c>
      <c r="AC166" s="50">
        <f t="shared" si="67"/>
        <v>99.568604144857304</v>
      </c>
      <c r="AD166" s="50">
        <v>0</v>
      </c>
    </row>
    <row r="167" spans="1:30" s="5" customFormat="1" ht="33" customHeight="1">
      <c r="A167" s="80" t="s">
        <v>122</v>
      </c>
      <c r="B167" s="80"/>
      <c r="C167" s="80"/>
      <c r="D167" s="80"/>
      <c r="E167" s="80"/>
      <c r="F167" s="80"/>
      <c r="G167" s="19">
        <v>73749500</v>
      </c>
      <c r="H167" s="19">
        <v>0</v>
      </c>
      <c r="I167" s="19">
        <v>73749500</v>
      </c>
      <c r="J167" s="19">
        <v>73749500</v>
      </c>
      <c r="K167" s="19">
        <v>0</v>
      </c>
      <c r="L167" s="19">
        <v>73749500</v>
      </c>
      <c r="M167" s="19">
        <f>O167</f>
        <v>680291.5</v>
      </c>
      <c r="N167" s="19">
        <v>0</v>
      </c>
      <c r="O167" s="19">
        <f>O168</f>
        <v>680291.5</v>
      </c>
      <c r="P167" s="19">
        <f>R167</f>
        <v>680291.5</v>
      </c>
      <c r="Q167" s="19">
        <v>0</v>
      </c>
      <c r="R167" s="19">
        <f>R168</f>
        <v>680291.5</v>
      </c>
      <c r="S167" s="19">
        <f>U167</f>
        <v>71271811.629999995</v>
      </c>
      <c r="T167" s="19">
        <v>0</v>
      </c>
      <c r="U167" s="19">
        <f>U168</f>
        <v>71271811.629999995</v>
      </c>
      <c r="V167" s="19">
        <f>X167</f>
        <v>71271811.629999995</v>
      </c>
      <c r="W167" s="19">
        <v>0</v>
      </c>
      <c r="X167" s="19">
        <f>X168</f>
        <v>71271811.629999995</v>
      </c>
      <c r="Y167" s="19">
        <f t="shared" si="90"/>
        <v>2477688.3700000048</v>
      </c>
      <c r="Z167" s="19">
        <f t="shared" si="83"/>
        <v>0</v>
      </c>
      <c r="AA167" s="19">
        <f t="shared" si="84"/>
        <v>2477688.3700000048</v>
      </c>
      <c r="AB167" s="7">
        <f t="shared" si="65"/>
        <v>0.92243540634173793</v>
      </c>
      <c r="AC167" s="50">
        <f t="shared" si="67"/>
        <v>96.640399772201832</v>
      </c>
      <c r="AD167" s="7">
        <v>0</v>
      </c>
    </row>
    <row r="168" spans="1:30" ht="54.75" customHeight="1">
      <c r="A168" s="46" t="s">
        <v>164</v>
      </c>
      <c r="B168" s="48" t="s">
        <v>13</v>
      </c>
      <c r="C168" s="48" t="s">
        <v>13</v>
      </c>
      <c r="D168" s="48" t="s">
        <v>165</v>
      </c>
      <c r="E168" s="48" t="s">
        <v>74</v>
      </c>
      <c r="F168" s="48" t="s">
        <v>166</v>
      </c>
      <c r="G168" s="49">
        <v>73749500</v>
      </c>
      <c r="H168" s="49">
        <v>0</v>
      </c>
      <c r="I168" s="49">
        <v>73749500</v>
      </c>
      <c r="J168" s="49">
        <v>73749500</v>
      </c>
      <c r="K168" s="49">
        <v>0</v>
      </c>
      <c r="L168" s="49">
        <v>73749500</v>
      </c>
      <c r="M168" s="49">
        <f>O168</f>
        <v>680291.5</v>
      </c>
      <c r="N168" s="49">
        <v>0</v>
      </c>
      <c r="O168" s="49">
        <v>680291.5</v>
      </c>
      <c r="P168" s="49">
        <f>R168</f>
        <v>680291.5</v>
      </c>
      <c r="Q168" s="49">
        <v>0</v>
      </c>
      <c r="R168" s="49">
        <v>680291.5</v>
      </c>
      <c r="S168" s="49">
        <f>U168</f>
        <v>71271811.629999995</v>
      </c>
      <c r="T168" s="49">
        <v>0</v>
      </c>
      <c r="U168" s="49">
        <v>71271811.629999995</v>
      </c>
      <c r="V168" s="49">
        <f>X168</f>
        <v>71271811.629999995</v>
      </c>
      <c r="W168" s="49">
        <v>0</v>
      </c>
      <c r="X168" s="49">
        <v>71271811.629999995</v>
      </c>
      <c r="Y168" s="19">
        <f t="shared" si="90"/>
        <v>2477688.3700000048</v>
      </c>
      <c r="Z168" s="19">
        <f t="shared" si="83"/>
        <v>0</v>
      </c>
      <c r="AA168" s="19">
        <f t="shared" si="84"/>
        <v>2477688.3700000048</v>
      </c>
      <c r="AB168" s="7">
        <f t="shared" si="65"/>
        <v>0.92243540634173793</v>
      </c>
      <c r="AC168" s="50">
        <f t="shared" si="67"/>
        <v>96.640399772201832</v>
      </c>
      <c r="AD168" s="50">
        <v>0</v>
      </c>
    </row>
    <row r="169" spans="1:30" ht="39.75" customHeight="1">
      <c r="A169" s="80" t="s">
        <v>326</v>
      </c>
      <c r="B169" s="80"/>
      <c r="C169" s="80"/>
      <c r="D169" s="80"/>
      <c r="E169" s="80"/>
      <c r="F169" s="80"/>
      <c r="G169" s="19">
        <f>H169+I169</f>
        <v>500781836</v>
      </c>
      <c r="H169" s="19">
        <f>H170</f>
        <v>490764600</v>
      </c>
      <c r="I169" s="19">
        <f>I170</f>
        <v>10017236</v>
      </c>
      <c r="J169" s="19">
        <f>K169+L169</f>
        <v>500781836</v>
      </c>
      <c r="K169" s="19">
        <f>K170</f>
        <v>490764600</v>
      </c>
      <c r="L169" s="19">
        <f>L170</f>
        <v>10017236</v>
      </c>
      <c r="M169" s="19"/>
      <c r="N169" s="19"/>
      <c r="O169" s="19"/>
      <c r="P169" s="19"/>
      <c r="Q169" s="19"/>
      <c r="R169" s="19"/>
      <c r="S169" s="19">
        <f>T169+U169</f>
        <v>500781020</v>
      </c>
      <c r="T169" s="19">
        <f>T170</f>
        <v>490764600</v>
      </c>
      <c r="U169" s="19">
        <f>U170</f>
        <v>10016420</v>
      </c>
      <c r="V169" s="19">
        <f>W169+X169</f>
        <v>500781020</v>
      </c>
      <c r="W169" s="19">
        <f>W170</f>
        <v>490764600</v>
      </c>
      <c r="X169" s="19">
        <f>X170</f>
        <v>10016420</v>
      </c>
      <c r="Y169" s="19">
        <f t="shared" ref="Y169:Y170" si="108">Z169+AA169</f>
        <v>816</v>
      </c>
      <c r="Z169" s="19">
        <f t="shared" si="83"/>
        <v>0</v>
      </c>
      <c r="AA169" s="19">
        <f t="shared" si="84"/>
        <v>816</v>
      </c>
      <c r="AB169" s="7"/>
      <c r="AC169" s="50">
        <f t="shared" si="67"/>
        <v>99.999837054792863</v>
      </c>
      <c r="AD169" s="50"/>
    </row>
    <row r="170" spans="1:30" ht="171.75" customHeight="1">
      <c r="A170" s="46" t="s">
        <v>327</v>
      </c>
      <c r="B170" s="48" t="s">
        <v>13</v>
      </c>
      <c r="C170" s="48" t="s">
        <v>13</v>
      </c>
      <c r="D170" s="48" t="s">
        <v>328</v>
      </c>
      <c r="E170" s="48" t="s">
        <v>326</v>
      </c>
      <c r="F170" s="48" t="s">
        <v>30</v>
      </c>
      <c r="G170" s="49">
        <f t="shared" ref="G170:G171" si="109">H170+I170</f>
        <v>500781836</v>
      </c>
      <c r="H170" s="49">
        <f>H171</f>
        <v>490764600</v>
      </c>
      <c r="I170" s="49">
        <f>I171</f>
        <v>10017236</v>
      </c>
      <c r="J170" s="49">
        <f t="shared" ref="J170:J171" si="110">K170+L170</f>
        <v>500781836</v>
      </c>
      <c r="K170" s="49">
        <f>K171</f>
        <v>490764600</v>
      </c>
      <c r="L170" s="49">
        <f>L171</f>
        <v>10017236</v>
      </c>
      <c r="M170" s="49"/>
      <c r="N170" s="49"/>
      <c r="O170" s="49"/>
      <c r="P170" s="49"/>
      <c r="Q170" s="49"/>
      <c r="R170" s="49"/>
      <c r="S170" s="49">
        <f t="shared" ref="S170" si="111">T170+U170</f>
        <v>500781020</v>
      </c>
      <c r="T170" s="49">
        <f>T171</f>
        <v>490764600</v>
      </c>
      <c r="U170" s="49">
        <f>U171</f>
        <v>10016420</v>
      </c>
      <c r="V170" s="49">
        <f t="shared" ref="V170:V171" si="112">W170+X170</f>
        <v>500781020</v>
      </c>
      <c r="W170" s="49">
        <f>W171</f>
        <v>490764600</v>
      </c>
      <c r="X170" s="49">
        <f>X171</f>
        <v>10016420</v>
      </c>
      <c r="Y170" s="19">
        <f t="shared" si="108"/>
        <v>816</v>
      </c>
      <c r="Z170" s="19">
        <f t="shared" si="83"/>
        <v>0</v>
      </c>
      <c r="AA170" s="19">
        <f t="shared" si="84"/>
        <v>816</v>
      </c>
      <c r="AB170" s="7"/>
      <c r="AC170" s="50">
        <f t="shared" si="67"/>
        <v>99.999837054792863</v>
      </c>
      <c r="AD170" s="50"/>
    </row>
    <row r="171" spans="1:30" ht="65.25" customHeight="1">
      <c r="A171" s="46" t="s">
        <v>329</v>
      </c>
      <c r="B171" s="48" t="s">
        <v>330</v>
      </c>
      <c r="C171" s="48"/>
      <c r="D171" s="48"/>
      <c r="E171" s="48"/>
      <c r="F171" s="48"/>
      <c r="G171" s="49">
        <f t="shared" si="109"/>
        <v>500781836</v>
      </c>
      <c r="H171" s="49">
        <v>490764600</v>
      </c>
      <c r="I171" s="49">
        <v>10017236</v>
      </c>
      <c r="J171" s="49">
        <f t="shared" si="110"/>
        <v>500781836</v>
      </c>
      <c r="K171" s="49">
        <v>490764600</v>
      </c>
      <c r="L171" s="49">
        <v>10017236</v>
      </c>
      <c r="M171" s="49"/>
      <c r="N171" s="49"/>
      <c r="O171" s="49"/>
      <c r="P171" s="49"/>
      <c r="Q171" s="49"/>
      <c r="R171" s="49"/>
      <c r="S171" s="49">
        <f t="shared" ref="S171" si="113">T171+U171</f>
        <v>500781020</v>
      </c>
      <c r="T171" s="49">
        <v>490764600</v>
      </c>
      <c r="U171" s="49">
        <v>10016420</v>
      </c>
      <c r="V171" s="49">
        <f t="shared" si="112"/>
        <v>500781020</v>
      </c>
      <c r="W171" s="49">
        <v>490764600</v>
      </c>
      <c r="X171" s="49">
        <v>10016420</v>
      </c>
      <c r="Y171" s="19">
        <f t="shared" ref="Y171" si="114">Z171+AA171</f>
        <v>816</v>
      </c>
      <c r="Z171" s="19">
        <f t="shared" si="83"/>
        <v>0</v>
      </c>
      <c r="AA171" s="19">
        <f t="shared" si="84"/>
        <v>816</v>
      </c>
      <c r="AB171" s="7"/>
      <c r="AC171" s="50">
        <f t="shared" si="67"/>
        <v>99.999837054792863</v>
      </c>
      <c r="AD171" s="50"/>
    </row>
    <row r="172" spans="1:30">
      <c r="A172" s="82" t="s">
        <v>298</v>
      </c>
      <c r="B172" s="82"/>
      <c r="C172" s="82"/>
      <c r="D172" s="82"/>
      <c r="E172" s="82"/>
      <c r="F172" s="82"/>
      <c r="G172" s="49">
        <f>H172+I172</f>
        <v>309000</v>
      </c>
      <c r="H172" s="49"/>
      <c r="I172" s="49">
        <f>I173</f>
        <v>309000</v>
      </c>
      <c r="J172" s="49">
        <f>K172+L172</f>
        <v>309000</v>
      </c>
      <c r="K172" s="49"/>
      <c r="L172" s="49">
        <f>L173</f>
        <v>309000</v>
      </c>
      <c r="M172" s="49" t="e">
        <f>№172+O172</f>
        <v>#NAME?</v>
      </c>
      <c r="N172" s="49"/>
      <c r="O172" s="49">
        <f>O173</f>
        <v>309000</v>
      </c>
      <c r="P172" s="49">
        <f>Q172+R172</f>
        <v>309000</v>
      </c>
      <c r="Q172" s="49"/>
      <c r="R172" s="49">
        <f>R173</f>
        <v>309000</v>
      </c>
      <c r="S172" s="49">
        <f>T172+U172</f>
        <v>309000</v>
      </c>
      <c r="T172" s="49"/>
      <c r="U172" s="49">
        <f>U173</f>
        <v>309000</v>
      </c>
      <c r="V172" s="49">
        <f>W172+X172</f>
        <v>309000</v>
      </c>
      <c r="W172" s="49"/>
      <c r="X172" s="49">
        <f>X173</f>
        <v>309000</v>
      </c>
      <c r="Y172" s="19">
        <f t="shared" si="90"/>
        <v>0</v>
      </c>
      <c r="Z172" s="19">
        <f t="shared" si="83"/>
        <v>0</v>
      </c>
      <c r="AA172" s="19">
        <f t="shared" si="84"/>
        <v>0</v>
      </c>
      <c r="AB172" s="7" t="e">
        <f t="shared" ref="AB172:AB237" si="115">M172/J172*100</f>
        <v>#NAME?</v>
      </c>
      <c r="AC172" s="50">
        <f t="shared" si="67"/>
        <v>100</v>
      </c>
      <c r="AD172" s="50">
        <v>0</v>
      </c>
    </row>
    <row r="173" spans="1:30">
      <c r="A173" s="83" t="s">
        <v>11</v>
      </c>
      <c r="B173" s="82"/>
      <c r="C173" s="82"/>
      <c r="D173" s="82"/>
      <c r="E173" s="82"/>
      <c r="F173" s="82"/>
      <c r="G173" s="19">
        <f t="shared" ref="G173:G174" si="116">H173+I173</f>
        <v>309000</v>
      </c>
      <c r="H173" s="19"/>
      <c r="I173" s="19">
        <f>I174</f>
        <v>309000</v>
      </c>
      <c r="J173" s="19">
        <f t="shared" ref="J173:J174" si="117">K173+L173</f>
        <v>309000</v>
      </c>
      <c r="K173" s="19"/>
      <c r="L173" s="19">
        <f>L174</f>
        <v>309000</v>
      </c>
      <c r="M173" s="19" t="e">
        <f>№173+O173</f>
        <v>#NAME?</v>
      </c>
      <c r="N173" s="19"/>
      <c r="O173" s="19">
        <f>O174</f>
        <v>309000</v>
      </c>
      <c r="P173" s="19">
        <f t="shared" ref="P173:P174" si="118">Q173+R173</f>
        <v>309000</v>
      </c>
      <c r="Q173" s="19"/>
      <c r="R173" s="19">
        <f>R174</f>
        <v>309000</v>
      </c>
      <c r="S173" s="19">
        <f t="shared" ref="S173:S174" si="119">T173+U173</f>
        <v>309000</v>
      </c>
      <c r="T173" s="19"/>
      <c r="U173" s="19">
        <f>U174</f>
        <v>309000</v>
      </c>
      <c r="V173" s="19">
        <f t="shared" ref="V173:V174" si="120">W173+X173</f>
        <v>309000</v>
      </c>
      <c r="W173" s="19"/>
      <c r="X173" s="19">
        <f>X174</f>
        <v>309000</v>
      </c>
      <c r="Y173" s="19">
        <f t="shared" si="90"/>
        <v>0</v>
      </c>
      <c r="Z173" s="19">
        <f t="shared" si="83"/>
        <v>0</v>
      </c>
      <c r="AA173" s="19">
        <f t="shared" si="84"/>
        <v>0</v>
      </c>
      <c r="AB173" s="7" t="e">
        <f t="shared" si="115"/>
        <v>#NAME?</v>
      </c>
      <c r="AC173" s="50">
        <f t="shared" si="67"/>
        <v>100</v>
      </c>
      <c r="AD173" s="7">
        <v>0</v>
      </c>
    </row>
    <row r="174" spans="1:30" ht="141" customHeight="1">
      <c r="A174" s="46" t="s">
        <v>297</v>
      </c>
      <c r="B174" s="48" t="s">
        <v>13</v>
      </c>
      <c r="C174" s="48" t="s">
        <v>13</v>
      </c>
      <c r="D174" s="48">
        <v>0.85</v>
      </c>
      <c r="E174" s="48" t="s">
        <v>15</v>
      </c>
      <c r="F174" s="48">
        <v>2022</v>
      </c>
      <c r="G174" s="49">
        <f t="shared" si="116"/>
        <v>309000</v>
      </c>
      <c r="H174" s="49"/>
      <c r="I174" s="49">
        <v>309000</v>
      </c>
      <c r="J174" s="49">
        <f t="shared" si="117"/>
        <v>309000</v>
      </c>
      <c r="K174" s="49"/>
      <c r="L174" s="49">
        <v>309000</v>
      </c>
      <c r="M174" s="49" t="e">
        <f>№174+O174</f>
        <v>#NAME?</v>
      </c>
      <c r="N174" s="49"/>
      <c r="O174" s="49">
        <v>309000</v>
      </c>
      <c r="P174" s="49">
        <f t="shared" si="118"/>
        <v>309000</v>
      </c>
      <c r="Q174" s="49"/>
      <c r="R174" s="49">
        <v>309000</v>
      </c>
      <c r="S174" s="49">
        <f t="shared" si="119"/>
        <v>309000</v>
      </c>
      <c r="T174" s="49"/>
      <c r="U174" s="49">
        <v>309000</v>
      </c>
      <c r="V174" s="49">
        <f t="shared" si="120"/>
        <v>309000</v>
      </c>
      <c r="W174" s="49"/>
      <c r="X174" s="49">
        <v>309000</v>
      </c>
      <c r="Y174" s="19">
        <f t="shared" si="90"/>
        <v>0</v>
      </c>
      <c r="Z174" s="19">
        <f t="shared" si="83"/>
        <v>0</v>
      </c>
      <c r="AA174" s="19">
        <f t="shared" si="84"/>
        <v>0</v>
      </c>
      <c r="AB174" s="7" t="e">
        <f t="shared" si="115"/>
        <v>#NAME?</v>
      </c>
      <c r="AC174" s="50">
        <f t="shared" si="67"/>
        <v>100</v>
      </c>
      <c r="AD174" s="50">
        <v>0</v>
      </c>
    </row>
    <row r="175" spans="1:30" s="5" customFormat="1" ht="43.5" hidden="1" customHeight="1">
      <c r="A175" s="80" t="s">
        <v>167</v>
      </c>
      <c r="B175" s="80"/>
      <c r="C175" s="80"/>
      <c r="D175" s="80"/>
      <c r="E175" s="80"/>
      <c r="F175" s="80"/>
      <c r="G175" s="63">
        <f t="shared" ref="G175:G179" si="121">I175</f>
        <v>0</v>
      </c>
      <c r="H175" s="19"/>
      <c r="I175" s="63">
        <f>I177</f>
        <v>0</v>
      </c>
      <c r="J175" s="63">
        <f t="shared" ref="J175:J179" si="122">L175</f>
        <v>0</v>
      </c>
      <c r="K175" s="19"/>
      <c r="L175" s="63">
        <f>L177</f>
        <v>0</v>
      </c>
      <c r="M175" s="63">
        <f t="shared" ref="M175:M179" si="123">O175</f>
        <v>0</v>
      </c>
      <c r="N175" s="19"/>
      <c r="O175" s="63">
        <f>O177</f>
        <v>0</v>
      </c>
      <c r="P175" s="19">
        <f>R175</f>
        <v>0</v>
      </c>
      <c r="Q175" s="19"/>
      <c r="R175" s="19">
        <f>R177</f>
        <v>0</v>
      </c>
      <c r="S175" s="19">
        <f>U175</f>
        <v>0</v>
      </c>
      <c r="T175" s="19"/>
      <c r="U175" s="19">
        <f>U177</f>
        <v>0</v>
      </c>
      <c r="V175" s="19">
        <f>X175</f>
        <v>0</v>
      </c>
      <c r="W175" s="19"/>
      <c r="X175" s="19">
        <f>X177</f>
        <v>0</v>
      </c>
      <c r="Y175" s="19">
        <f t="shared" si="90"/>
        <v>0</v>
      </c>
      <c r="Z175" s="19">
        <f t="shared" si="83"/>
        <v>0</v>
      </c>
      <c r="AA175" s="19">
        <f t="shared" si="84"/>
        <v>0</v>
      </c>
      <c r="AB175" s="7" t="e">
        <f t="shared" si="115"/>
        <v>#DIV/0!</v>
      </c>
      <c r="AC175" s="50" t="e">
        <f t="shared" si="67"/>
        <v>#DIV/0!</v>
      </c>
      <c r="AD175" s="7">
        <v>0</v>
      </c>
    </row>
    <row r="176" spans="1:30" ht="15" hidden="1" customHeight="1">
      <c r="A176" s="81" t="s">
        <v>7</v>
      </c>
      <c r="B176" s="81"/>
      <c r="C176" s="81"/>
      <c r="D176" s="81"/>
      <c r="E176" s="81"/>
      <c r="F176" s="81"/>
      <c r="G176" s="27">
        <f t="shared" si="121"/>
        <v>0</v>
      </c>
      <c r="H176" s="49"/>
      <c r="I176" s="49"/>
      <c r="J176" s="27">
        <f t="shared" si="122"/>
        <v>0</v>
      </c>
      <c r="K176" s="49"/>
      <c r="L176" s="49"/>
      <c r="M176" s="27">
        <f t="shared" si="123"/>
        <v>0</v>
      </c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19">
        <f t="shared" si="90"/>
        <v>0</v>
      </c>
      <c r="Z176" s="19">
        <f t="shared" si="83"/>
        <v>0</v>
      </c>
      <c r="AA176" s="19">
        <f t="shared" si="84"/>
        <v>0</v>
      </c>
      <c r="AB176" s="7"/>
      <c r="AC176" s="50" t="e">
        <f t="shared" si="67"/>
        <v>#DIV/0!</v>
      </c>
      <c r="AD176" s="50">
        <v>0</v>
      </c>
    </row>
    <row r="177" spans="1:30" ht="15" hidden="1" customHeight="1">
      <c r="A177" s="81" t="s">
        <v>8</v>
      </c>
      <c r="B177" s="81"/>
      <c r="C177" s="81"/>
      <c r="D177" s="81"/>
      <c r="E177" s="81"/>
      <c r="F177" s="81"/>
      <c r="G177" s="27">
        <f t="shared" si="121"/>
        <v>0</v>
      </c>
      <c r="H177" s="49"/>
      <c r="I177" s="27">
        <f>I178</f>
        <v>0</v>
      </c>
      <c r="J177" s="27">
        <f t="shared" si="122"/>
        <v>0</v>
      </c>
      <c r="K177" s="49"/>
      <c r="L177" s="27">
        <f>L178</f>
        <v>0</v>
      </c>
      <c r="M177" s="27">
        <f t="shared" si="123"/>
        <v>0</v>
      </c>
      <c r="N177" s="49"/>
      <c r="O177" s="27">
        <f>O178</f>
        <v>0</v>
      </c>
      <c r="P177" s="49">
        <f>R177</f>
        <v>0</v>
      </c>
      <c r="Q177" s="49"/>
      <c r="R177" s="49">
        <f>R178</f>
        <v>0</v>
      </c>
      <c r="S177" s="49">
        <f>U177</f>
        <v>0</v>
      </c>
      <c r="T177" s="49"/>
      <c r="U177" s="49">
        <f>U178</f>
        <v>0</v>
      </c>
      <c r="V177" s="49">
        <f>X177</f>
        <v>0</v>
      </c>
      <c r="W177" s="49"/>
      <c r="X177" s="49">
        <f>X178</f>
        <v>0</v>
      </c>
      <c r="Y177" s="19">
        <f t="shared" si="90"/>
        <v>0</v>
      </c>
      <c r="Z177" s="19">
        <f t="shared" si="83"/>
        <v>0</v>
      </c>
      <c r="AA177" s="19">
        <f t="shared" si="84"/>
        <v>0</v>
      </c>
      <c r="AB177" s="7" t="e">
        <f t="shared" si="115"/>
        <v>#DIV/0!</v>
      </c>
      <c r="AC177" s="50" t="e">
        <f t="shared" si="67"/>
        <v>#DIV/0!</v>
      </c>
      <c r="AD177" s="50">
        <v>0</v>
      </c>
    </row>
    <row r="178" spans="1:30" ht="33" hidden="1" customHeight="1">
      <c r="A178" s="81" t="s">
        <v>168</v>
      </c>
      <c r="B178" s="81"/>
      <c r="C178" s="81"/>
      <c r="D178" s="81"/>
      <c r="E178" s="81"/>
      <c r="F178" s="81"/>
      <c r="G178" s="27">
        <f t="shared" si="121"/>
        <v>0</v>
      </c>
      <c r="H178" s="49"/>
      <c r="I178" s="27">
        <f>I179</f>
        <v>0</v>
      </c>
      <c r="J178" s="27">
        <f t="shared" si="122"/>
        <v>0</v>
      </c>
      <c r="K178" s="49"/>
      <c r="L178" s="27">
        <f>L179</f>
        <v>0</v>
      </c>
      <c r="M178" s="27">
        <f t="shared" si="123"/>
        <v>0</v>
      </c>
      <c r="N178" s="49"/>
      <c r="O178" s="27">
        <f>O179</f>
        <v>0</v>
      </c>
      <c r="P178" s="49">
        <f>R178</f>
        <v>0</v>
      </c>
      <c r="Q178" s="49"/>
      <c r="R178" s="49">
        <f>R179</f>
        <v>0</v>
      </c>
      <c r="S178" s="49">
        <f>U178</f>
        <v>0</v>
      </c>
      <c r="T178" s="49"/>
      <c r="U178" s="49">
        <f>U179</f>
        <v>0</v>
      </c>
      <c r="V178" s="49">
        <f>X178</f>
        <v>0</v>
      </c>
      <c r="W178" s="49"/>
      <c r="X178" s="49">
        <f>X179</f>
        <v>0</v>
      </c>
      <c r="Y178" s="19">
        <f t="shared" si="90"/>
        <v>0</v>
      </c>
      <c r="Z178" s="19">
        <f t="shared" si="83"/>
        <v>0</v>
      </c>
      <c r="AA178" s="19">
        <f t="shared" si="84"/>
        <v>0</v>
      </c>
      <c r="AB178" s="7" t="e">
        <f t="shared" si="115"/>
        <v>#DIV/0!</v>
      </c>
      <c r="AC178" s="50" t="e">
        <f t="shared" si="67"/>
        <v>#DIV/0!</v>
      </c>
      <c r="AD178" s="50">
        <v>0</v>
      </c>
    </row>
    <row r="179" spans="1:30" s="5" customFormat="1" ht="15" hidden="1" customHeight="1">
      <c r="A179" s="80" t="s">
        <v>169</v>
      </c>
      <c r="B179" s="80"/>
      <c r="C179" s="80"/>
      <c r="D179" s="80"/>
      <c r="E179" s="80"/>
      <c r="F179" s="80"/>
      <c r="G179" s="63">
        <f t="shared" si="121"/>
        <v>0</v>
      </c>
      <c r="H179" s="19"/>
      <c r="I179" s="63">
        <f>I180</f>
        <v>0</v>
      </c>
      <c r="J179" s="63">
        <f t="shared" si="122"/>
        <v>0</v>
      </c>
      <c r="K179" s="19"/>
      <c r="L179" s="63">
        <f>L180</f>
        <v>0</v>
      </c>
      <c r="M179" s="63">
        <f t="shared" si="123"/>
        <v>0</v>
      </c>
      <c r="N179" s="19"/>
      <c r="O179" s="63">
        <f>O180</f>
        <v>0</v>
      </c>
      <c r="P179" s="19">
        <f>R179</f>
        <v>0</v>
      </c>
      <c r="Q179" s="19"/>
      <c r="R179" s="19">
        <f>R180</f>
        <v>0</v>
      </c>
      <c r="S179" s="19">
        <f>U179</f>
        <v>0</v>
      </c>
      <c r="T179" s="19"/>
      <c r="U179" s="19">
        <f>U180</f>
        <v>0</v>
      </c>
      <c r="V179" s="19">
        <f>X179</f>
        <v>0</v>
      </c>
      <c r="W179" s="19"/>
      <c r="X179" s="19">
        <f>X180</f>
        <v>0</v>
      </c>
      <c r="Y179" s="19">
        <f t="shared" si="90"/>
        <v>0</v>
      </c>
      <c r="Z179" s="19">
        <f t="shared" si="83"/>
        <v>0</v>
      </c>
      <c r="AA179" s="19">
        <f t="shared" si="84"/>
        <v>0</v>
      </c>
      <c r="AB179" s="7" t="e">
        <f t="shared" si="115"/>
        <v>#DIV/0!</v>
      </c>
      <c r="AC179" s="50" t="e">
        <f t="shared" si="67"/>
        <v>#DIV/0!</v>
      </c>
      <c r="AD179" s="7">
        <v>0</v>
      </c>
    </row>
    <row r="180" spans="1:30" ht="77.25" hidden="1" customHeight="1">
      <c r="A180" s="46" t="s">
        <v>357</v>
      </c>
      <c r="B180" s="48" t="s">
        <v>13</v>
      </c>
      <c r="C180" s="48" t="s">
        <v>13</v>
      </c>
      <c r="D180" s="48" t="s">
        <v>170</v>
      </c>
      <c r="E180" s="48" t="s">
        <v>171</v>
      </c>
      <c r="F180" s="48">
        <v>2022</v>
      </c>
      <c r="G180" s="27">
        <f>I180</f>
        <v>0</v>
      </c>
      <c r="H180" s="49"/>
      <c r="I180" s="27">
        <v>0</v>
      </c>
      <c r="J180" s="27">
        <f>L180</f>
        <v>0</v>
      </c>
      <c r="K180" s="49"/>
      <c r="L180" s="27">
        <v>0</v>
      </c>
      <c r="M180" s="27">
        <f>O180</f>
        <v>0</v>
      </c>
      <c r="N180" s="49"/>
      <c r="O180" s="27">
        <v>0</v>
      </c>
      <c r="P180" s="49">
        <f>R180</f>
        <v>0</v>
      </c>
      <c r="Q180" s="49"/>
      <c r="R180" s="49">
        <v>0</v>
      </c>
      <c r="S180" s="49">
        <f>U180</f>
        <v>0</v>
      </c>
      <c r="T180" s="49"/>
      <c r="U180" s="49">
        <v>0</v>
      </c>
      <c r="V180" s="49">
        <f>X180</f>
        <v>0</v>
      </c>
      <c r="W180" s="49"/>
      <c r="X180" s="49">
        <v>0</v>
      </c>
      <c r="Y180" s="19">
        <f t="shared" si="90"/>
        <v>0</v>
      </c>
      <c r="Z180" s="19">
        <f t="shared" si="83"/>
        <v>0</v>
      </c>
      <c r="AA180" s="19">
        <f t="shared" si="84"/>
        <v>0</v>
      </c>
      <c r="AB180" s="7" t="e">
        <f t="shared" si="115"/>
        <v>#DIV/0!</v>
      </c>
      <c r="AC180" s="50" t="e">
        <f t="shared" si="67"/>
        <v>#DIV/0!</v>
      </c>
      <c r="AD180" s="50">
        <v>0</v>
      </c>
    </row>
    <row r="181" spans="1:30" s="5" customFormat="1" ht="29.25" customHeight="1">
      <c r="A181" s="80" t="s">
        <v>172</v>
      </c>
      <c r="B181" s="80"/>
      <c r="C181" s="80"/>
      <c r="D181" s="80"/>
      <c r="E181" s="80"/>
      <c r="F181" s="80"/>
      <c r="G181" s="19">
        <f>H181+I181</f>
        <v>781338410.04999995</v>
      </c>
      <c r="H181" s="19">
        <f t="shared" ref="H181:I181" si="124">H182+H183</f>
        <v>704777500</v>
      </c>
      <c r="I181" s="19">
        <f t="shared" si="124"/>
        <v>76560910.049999997</v>
      </c>
      <c r="J181" s="19">
        <f>K181+L181</f>
        <v>781338410.04999995</v>
      </c>
      <c r="K181" s="19">
        <f t="shared" ref="K181:L181" si="125">K182+K183</f>
        <v>704777500</v>
      </c>
      <c r="L181" s="19">
        <f t="shared" si="125"/>
        <v>76560910.049999997</v>
      </c>
      <c r="M181" s="19" t="e">
        <f>№181+O181</f>
        <v>#NAME?</v>
      </c>
      <c r="N181" s="19" t="e">
        <f>№182+№183</f>
        <v>#NAME?</v>
      </c>
      <c r="O181" s="19">
        <f t="shared" ref="O181" si="126">O182+O183</f>
        <v>50849652.390000001</v>
      </c>
      <c r="P181" s="19">
        <f>Q181+R181</f>
        <v>447413771.70999998</v>
      </c>
      <c r="Q181" s="19">
        <f t="shared" ref="Q181:R181" si="127">Q182+Q183</f>
        <v>396564119.33999997</v>
      </c>
      <c r="R181" s="19">
        <f t="shared" si="127"/>
        <v>50849652.369999997</v>
      </c>
      <c r="S181" s="19">
        <f>T181+U181</f>
        <v>779342139.96000004</v>
      </c>
      <c r="T181" s="19">
        <f t="shared" ref="T181:U181" si="128">T182+T183</f>
        <v>704777500</v>
      </c>
      <c r="U181" s="19">
        <f t="shared" si="128"/>
        <v>74564639.960000008</v>
      </c>
      <c r="V181" s="19">
        <f>W181+X181</f>
        <v>779342139.96000004</v>
      </c>
      <c r="W181" s="19">
        <f t="shared" ref="W181:X181" si="129">W182+W183</f>
        <v>704777500</v>
      </c>
      <c r="X181" s="19">
        <f t="shared" si="129"/>
        <v>74564639.960000008</v>
      </c>
      <c r="Y181" s="19">
        <f t="shared" si="90"/>
        <v>1996270.0899999887</v>
      </c>
      <c r="Z181" s="19">
        <f t="shared" si="83"/>
        <v>0</v>
      </c>
      <c r="AA181" s="19">
        <f t="shared" si="84"/>
        <v>1996270.0899999887</v>
      </c>
      <c r="AB181" s="7" t="e">
        <f t="shared" si="115"/>
        <v>#NAME?</v>
      </c>
      <c r="AC181" s="50">
        <f t="shared" si="67"/>
        <v>99.744506341385147</v>
      </c>
      <c r="AD181" s="7" t="e">
        <f t="shared" si="98"/>
        <v>#NAME?</v>
      </c>
    </row>
    <row r="182" spans="1:30">
      <c r="A182" s="81" t="s">
        <v>7</v>
      </c>
      <c r="B182" s="81"/>
      <c r="C182" s="81"/>
      <c r="D182" s="81"/>
      <c r="E182" s="81"/>
      <c r="F182" s="81"/>
      <c r="G182" s="49">
        <f>H182+I182</f>
        <v>719160714.30999994</v>
      </c>
      <c r="H182" s="49">
        <f>H187+H189+H191+H193+H196+H200+H198+H202+H204+H206+H208+H210+H213</f>
        <v>704777500</v>
      </c>
      <c r="I182" s="49">
        <f>I187+I189+I191+I193+I196+I200+I198+I202+I204+I206+I208+I210+I213</f>
        <v>14383214.309999997</v>
      </c>
      <c r="J182" s="49">
        <f>K182+L182</f>
        <v>719160714.30999994</v>
      </c>
      <c r="K182" s="49">
        <f>K187+K189+K191+K193+K196+K200+K198+K202+K204+K206+K208+K210+K213</f>
        <v>704777500</v>
      </c>
      <c r="L182" s="49">
        <f>L187+L189+L191+L193+L196+L200+L198+L202+L204+L206+L208+L210+L213</f>
        <v>14383214.309999997</v>
      </c>
      <c r="M182" s="49" t="e">
        <f>№182+O182</f>
        <v>#NAME?</v>
      </c>
      <c r="N182" s="49" t="e">
        <f>№187+№189+№191+№193+№196+№200+№198+№202+№204+№206+№208+№210+№213</f>
        <v>#NAME?</v>
      </c>
      <c r="O182" s="49">
        <f>O187+O189+O191+O193+O196+O200+O198+O202+O204+O206+O208+O210+O213</f>
        <v>8093145.3199999994</v>
      </c>
      <c r="P182" s="49">
        <f>Q182+R182</f>
        <v>404657264.63999999</v>
      </c>
      <c r="Q182" s="49">
        <f>Q187+Q189+Q191+Q193+Q196+Q200+Q198+Q202+Q204+Q206+Q208+Q210+Q213</f>
        <v>396564119.33999997</v>
      </c>
      <c r="R182" s="49">
        <f>R187+R189+R191+R193+R196+R200+R198+R202+R204+R206+R208+R210+R213</f>
        <v>8093145.2999999989</v>
      </c>
      <c r="S182" s="49">
        <f>T182+U182</f>
        <v>719160714.30999994</v>
      </c>
      <c r="T182" s="49">
        <f>T187+T189+T191+T193+T196+T200+T198+T202+T204+T206+T208+T210+T213</f>
        <v>704777500</v>
      </c>
      <c r="U182" s="49">
        <f>U187+U189+U191+U193+U196+U200+U198+U202+U204+U206+U208+U210+U213</f>
        <v>14383214.309999997</v>
      </c>
      <c r="V182" s="49">
        <f>W182+X182</f>
        <v>719160714.30999994</v>
      </c>
      <c r="W182" s="49">
        <f>W187+W189+W191+W193+W196+W200+W198+W202+W204+W206+W208+W210+W213</f>
        <v>704777500</v>
      </c>
      <c r="X182" s="49">
        <f>X187+X189+X191+X193+X196+X200+X198+X202+X204+X206+X208+X210+X213</f>
        <v>14383214.309999997</v>
      </c>
      <c r="Y182" s="19">
        <f t="shared" si="90"/>
        <v>0</v>
      </c>
      <c r="Z182" s="19">
        <f t="shared" si="83"/>
        <v>0</v>
      </c>
      <c r="AA182" s="19">
        <f t="shared" si="84"/>
        <v>0</v>
      </c>
      <c r="AB182" s="7" t="e">
        <f t="shared" si="115"/>
        <v>#NAME?</v>
      </c>
      <c r="AC182" s="50">
        <f t="shared" si="67"/>
        <v>100</v>
      </c>
      <c r="AD182" s="50" t="e">
        <f t="shared" si="98"/>
        <v>#NAME?</v>
      </c>
    </row>
    <row r="183" spans="1:30">
      <c r="A183" s="81" t="s">
        <v>8</v>
      </c>
      <c r="B183" s="81"/>
      <c r="C183" s="81"/>
      <c r="D183" s="81"/>
      <c r="E183" s="81"/>
      <c r="F183" s="81"/>
      <c r="G183" s="49">
        <f t="shared" ref="G183:G184" si="130">H183+I183</f>
        <v>62177695.739999995</v>
      </c>
      <c r="H183" s="49">
        <f t="shared" ref="H183:I183" si="131">H194+H211</f>
        <v>0</v>
      </c>
      <c r="I183" s="49">
        <f t="shared" si="131"/>
        <v>62177695.739999995</v>
      </c>
      <c r="J183" s="49">
        <f t="shared" ref="J183:J184" si="132">K183+L183</f>
        <v>62177695.739999995</v>
      </c>
      <c r="K183" s="49">
        <f t="shared" ref="K183:L183" si="133">K194+K211</f>
        <v>0</v>
      </c>
      <c r="L183" s="49">
        <f t="shared" si="133"/>
        <v>62177695.739999995</v>
      </c>
      <c r="M183" s="49" t="e">
        <f>№183+O183</f>
        <v>#NAME?</v>
      </c>
      <c r="N183" s="49" t="e">
        <f>№194+№211</f>
        <v>#NAME?</v>
      </c>
      <c r="O183" s="49">
        <f t="shared" ref="O183" si="134">O194+O211</f>
        <v>42756507.07</v>
      </c>
      <c r="P183" s="49">
        <f t="shared" ref="P183:P184" si="135">Q183+R183</f>
        <v>42756507.07</v>
      </c>
      <c r="Q183" s="49">
        <f t="shared" ref="Q183:R183" si="136">Q194+Q211</f>
        <v>0</v>
      </c>
      <c r="R183" s="49">
        <f t="shared" si="136"/>
        <v>42756507.07</v>
      </c>
      <c r="S183" s="49">
        <f t="shared" ref="S183:S184" si="137">T183+U183</f>
        <v>60181425.650000006</v>
      </c>
      <c r="T183" s="49">
        <f t="shared" ref="T183:U183" si="138">T194+T211</f>
        <v>0</v>
      </c>
      <c r="U183" s="49">
        <f t="shared" si="138"/>
        <v>60181425.650000006</v>
      </c>
      <c r="V183" s="49">
        <f t="shared" ref="V183:V184" si="139">W183+X183</f>
        <v>60181425.650000006</v>
      </c>
      <c r="W183" s="49">
        <f t="shared" ref="W183:X183" si="140">W194+W211</f>
        <v>0</v>
      </c>
      <c r="X183" s="49">
        <f t="shared" si="140"/>
        <v>60181425.650000006</v>
      </c>
      <c r="Y183" s="19">
        <f t="shared" si="90"/>
        <v>1996270.0899999887</v>
      </c>
      <c r="Z183" s="19">
        <f t="shared" si="83"/>
        <v>0</v>
      </c>
      <c r="AA183" s="19">
        <f t="shared" si="84"/>
        <v>1996270.0899999887</v>
      </c>
      <c r="AB183" s="7" t="e">
        <f t="shared" si="115"/>
        <v>#NAME?</v>
      </c>
      <c r="AC183" s="50">
        <f t="shared" ref="AC183:AC246" si="141">V183/J183*100</f>
        <v>96.789411273220026</v>
      </c>
      <c r="AD183" s="50" t="e">
        <f t="shared" si="98"/>
        <v>#NAME?</v>
      </c>
    </row>
    <row r="184" spans="1:30">
      <c r="A184" s="81" t="s">
        <v>173</v>
      </c>
      <c r="B184" s="81"/>
      <c r="C184" s="81"/>
      <c r="D184" s="81"/>
      <c r="E184" s="81"/>
      <c r="F184" s="81"/>
      <c r="G184" s="49">
        <f t="shared" si="130"/>
        <v>781338410.04999995</v>
      </c>
      <c r="H184" s="49">
        <f t="shared" ref="H184:I184" si="142">H181</f>
        <v>704777500</v>
      </c>
      <c r="I184" s="49">
        <f t="shared" si="142"/>
        <v>76560910.049999997</v>
      </c>
      <c r="J184" s="49">
        <f t="shared" si="132"/>
        <v>781338410.04999995</v>
      </c>
      <c r="K184" s="49">
        <f t="shared" ref="K184:L184" si="143">K181</f>
        <v>704777500</v>
      </c>
      <c r="L184" s="49">
        <f t="shared" si="143"/>
        <v>76560910.049999997</v>
      </c>
      <c r="M184" s="49" t="e">
        <f>№184+O184</f>
        <v>#NAME?</v>
      </c>
      <c r="N184" s="49" t="e">
        <f>№181</f>
        <v>#NAME?</v>
      </c>
      <c r="O184" s="49">
        <f t="shared" ref="O184" si="144">O181</f>
        <v>50849652.390000001</v>
      </c>
      <c r="P184" s="49">
        <f t="shared" si="135"/>
        <v>447413771.70999998</v>
      </c>
      <c r="Q184" s="49">
        <f t="shared" ref="Q184:R184" si="145">Q181</f>
        <v>396564119.33999997</v>
      </c>
      <c r="R184" s="49">
        <f t="shared" si="145"/>
        <v>50849652.369999997</v>
      </c>
      <c r="S184" s="49">
        <f t="shared" si="137"/>
        <v>779342139.96000004</v>
      </c>
      <c r="T184" s="49">
        <f t="shared" ref="T184:U184" si="146">T181</f>
        <v>704777500</v>
      </c>
      <c r="U184" s="49">
        <f t="shared" si="146"/>
        <v>74564639.960000008</v>
      </c>
      <c r="V184" s="49">
        <f t="shared" si="139"/>
        <v>779342139.96000004</v>
      </c>
      <c r="W184" s="49">
        <f t="shared" ref="W184:X184" si="147">W181</f>
        <v>704777500</v>
      </c>
      <c r="X184" s="49">
        <f t="shared" si="147"/>
        <v>74564639.960000008</v>
      </c>
      <c r="Y184" s="19">
        <f t="shared" si="90"/>
        <v>1996270.0899999887</v>
      </c>
      <c r="Z184" s="19">
        <f t="shared" si="83"/>
        <v>0</v>
      </c>
      <c r="AA184" s="19">
        <f t="shared" si="84"/>
        <v>1996270.0899999887</v>
      </c>
      <c r="AB184" s="7" t="e">
        <f t="shared" si="115"/>
        <v>#NAME?</v>
      </c>
      <c r="AC184" s="50">
        <f t="shared" si="141"/>
        <v>99.744506341385147</v>
      </c>
      <c r="AD184" s="50" t="e">
        <f t="shared" si="98"/>
        <v>#NAME?</v>
      </c>
    </row>
    <row r="185" spans="1:30" s="5" customFormat="1" ht="33" customHeight="1">
      <c r="A185" s="80" t="s">
        <v>122</v>
      </c>
      <c r="B185" s="80"/>
      <c r="C185" s="80"/>
      <c r="D185" s="80"/>
      <c r="E185" s="80"/>
      <c r="F185" s="80"/>
      <c r="G185" s="19">
        <f>H185+I185</f>
        <v>781338410.04999995</v>
      </c>
      <c r="H185" s="19">
        <f>H186+H188+H190+H192+H195+H199+H201+H203+H205+H207+H209+H212</f>
        <v>704777500</v>
      </c>
      <c r="I185" s="19">
        <f>I186+I188+I190+I192+I194+I195+I199+I201+I203+I205+I207+I209+I212+I211</f>
        <v>76560910.050000012</v>
      </c>
      <c r="J185" s="19">
        <f>K185+L185</f>
        <v>781338410.04999995</v>
      </c>
      <c r="K185" s="19">
        <f>K186+K188+K190+K192+K195+K199+K201+K203+K205+K207+K209+K212</f>
        <v>704777500</v>
      </c>
      <c r="L185" s="19">
        <f>L186+L188+L190+L192+L194+L195+L199+L201+L203+L205+L207+L209+L212+L211</f>
        <v>76560910.050000012</v>
      </c>
      <c r="M185" s="19" t="e">
        <f>№185+O185</f>
        <v>#NAME?</v>
      </c>
      <c r="N185" s="19" t="e">
        <f>№186+№188+№190+№192+№195+№199+№201+№203+№205+№207+№209+№212</f>
        <v>#NAME?</v>
      </c>
      <c r="O185" s="19">
        <f>O186+O188+O190+O192+O194+O195+O199+O201+O203+O205+O207+O209+O212+O211</f>
        <v>50849652.390000001</v>
      </c>
      <c r="P185" s="19">
        <f>Q185+R185</f>
        <v>447413771.70999998</v>
      </c>
      <c r="Q185" s="19">
        <f>Q186+Q188+Q190+Q192+Q195+Q199+Q201+Q203+Q205+Q207+Q209+Q212</f>
        <v>396564119.33999997</v>
      </c>
      <c r="R185" s="19">
        <f>R186+R188+R190+R192+R194+R195+R199+R201+R203+R205+R207+R209+R212+R211</f>
        <v>50849652.36999999</v>
      </c>
      <c r="S185" s="19">
        <f>T185+U185</f>
        <v>779342139.96000004</v>
      </c>
      <c r="T185" s="19">
        <f>T186+T188+T190+T192+T195+T199+T201+T203+T205+T207+T209+T212</f>
        <v>704777500</v>
      </c>
      <c r="U185" s="19">
        <f>U186+U188+U190+U192+U194+U195+U199+U201+U203+U205+U207+U209+U212+U211</f>
        <v>74564639.960000008</v>
      </c>
      <c r="V185" s="19">
        <f>W185+X185</f>
        <v>779342139.96000004</v>
      </c>
      <c r="W185" s="19">
        <f>W186+W188+W190+W192+W195+W199+W201+W203+W205+W207+W209+W212</f>
        <v>704777500</v>
      </c>
      <c r="X185" s="19">
        <f>X186+X188+X190+X192+X194+X195+X199+X201+X203+X205+X207+X209+X212+X211</f>
        <v>74564639.960000008</v>
      </c>
      <c r="Y185" s="19">
        <f t="shared" si="90"/>
        <v>1996270.0900000036</v>
      </c>
      <c r="Z185" s="19">
        <f t="shared" si="83"/>
        <v>0</v>
      </c>
      <c r="AA185" s="19">
        <f t="shared" si="84"/>
        <v>1996270.0900000036</v>
      </c>
      <c r="AB185" s="7" t="e">
        <f t="shared" si="115"/>
        <v>#NAME?</v>
      </c>
      <c r="AC185" s="50">
        <f t="shared" si="141"/>
        <v>99.744506341385147</v>
      </c>
      <c r="AD185" s="7" t="e">
        <f t="shared" si="98"/>
        <v>#NAME?</v>
      </c>
    </row>
    <row r="186" spans="1:30" ht="108.75" customHeight="1">
      <c r="A186" s="46" t="s">
        <v>174</v>
      </c>
      <c r="B186" s="48" t="s">
        <v>13</v>
      </c>
      <c r="C186" s="48" t="s">
        <v>13</v>
      </c>
      <c r="D186" s="48" t="s">
        <v>175</v>
      </c>
      <c r="E186" s="48" t="s">
        <v>89</v>
      </c>
      <c r="F186" s="48" t="s">
        <v>20</v>
      </c>
      <c r="G186" s="49">
        <f>H186+I186</f>
        <v>27452150.280000005</v>
      </c>
      <c r="H186" s="49">
        <f>H187</f>
        <v>26903100.000000004</v>
      </c>
      <c r="I186" s="49">
        <f>I187</f>
        <v>549050.28</v>
      </c>
      <c r="J186" s="49">
        <f>K186+L186</f>
        <v>27452150.280000005</v>
      </c>
      <c r="K186" s="49">
        <f>K187</f>
        <v>26903100.000000004</v>
      </c>
      <c r="L186" s="49">
        <f>L187</f>
        <v>549050.28</v>
      </c>
      <c r="M186" s="49" t="e">
        <f>№186+O186</f>
        <v>#NAME?</v>
      </c>
      <c r="N186" s="49" t="e">
        <f>№187</f>
        <v>#NAME?</v>
      </c>
      <c r="O186" s="49">
        <f>O187</f>
        <v>324549.55</v>
      </c>
      <c r="P186" s="49">
        <f>Q186+R186</f>
        <v>16227477.42</v>
      </c>
      <c r="Q186" s="49">
        <f>Q187</f>
        <v>15902927.880000001</v>
      </c>
      <c r="R186" s="49">
        <f>R187</f>
        <v>324549.53999999998</v>
      </c>
      <c r="S186" s="49">
        <f>T186+U186</f>
        <v>27452150.280000005</v>
      </c>
      <c r="T186" s="49">
        <f>T187</f>
        <v>26903100.000000004</v>
      </c>
      <c r="U186" s="49">
        <f>U187</f>
        <v>549050.28</v>
      </c>
      <c r="V186" s="49">
        <f>W186+X186</f>
        <v>27452150.280000005</v>
      </c>
      <c r="W186" s="49">
        <f>W187</f>
        <v>26903100.000000004</v>
      </c>
      <c r="X186" s="49">
        <f>X187</f>
        <v>549050.28</v>
      </c>
      <c r="Y186" s="19">
        <f t="shared" si="90"/>
        <v>0</v>
      </c>
      <c r="Z186" s="19">
        <f t="shared" si="83"/>
        <v>0</v>
      </c>
      <c r="AA186" s="19">
        <f t="shared" si="84"/>
        <v>0</v>
      </c>
      <c r="AB186" s="7" t="e">
        <f t="shared" si="115"/>
        <v>#NAME?</v>
      </c>
      <c r="AC186" s="50">
        <f t="shared" si="141"/>
        <v>100</v>
      </c>
      <c r="AD186" s="50" t="e">
        <f t="shared" si="98"/>
        <v>#NAME?</v>
      </c>
    </row>
    <row r="187" spans="1:30" ht="30">
      <c r="A187" s="46" t="s">
        <v>176</v>
      </c>
      <c r="B187" s="48" t="s">
        <v>177</v>
      </c>
      <c r="C187" s="46"/>
      <c r="D187" s="46"/>
      <c r="E187" s="46"/>
      <c r="F187" s="46"/>
      <c r="G187" s="49">
        <f t="shared" ref="G187:G213" si="148">H187+I187</f>
        <v>27452150.280000005</v>
      </c>
      <c r="H187" s="49">
        <f>19070939.42+6590109.62+1242050.96</f>
        <v>26903100.000000004</v>
      </c>
      <c r="I187" s="49">
        <f>389202.85+134482.9+25364.53</f>
        <v>549050.28</v>
      </c>
      <c r="J187" s="49">
        <f t="shared" ref="J187:J213" si="149">K187+L187</f>
        <v>27452150.280000005</v>
      </c>
      <c r="K187" s="49">
        <f>19070939.42+6590109.62+1242050.96</f>
        <v>26903100.000000004</v>
      </c>
      <c r="L187" s="49">
        <f>389202.85+134482.9+25364.53</f>
        <v>549050.28</v>
      </c>
      <c r="M187" s="49" t="e">
        <f>№187+O187</f>
        <v>#NAME?</v>
      </c>
      <c r="N187" s="49">
        <v>15902927.869999999</v>
      </c>
      <c r="O187" s="49">
        <v>324549.55</v>
      </c>
      <c r="P187" s="49">
        <f t="shared" ref="P187:P213" si="150">Q187+R187</f>
        <v>16227477.42</v>
      </c>
      <c r="Q187" s="49">
        <v>15902927.880000001</v>
      </c>
      <c r="R187" s="49">
        <v>324549.53999999998</v>
      </c>
      <c r="S187" s="49">
        <f t="shared" ref="S187:S213" si="151">T187+U187</f>
        <v>27452150.280000005</v>
      </c>
      <c r="T187" s="49">
        <f>19070939.42+6590109.62+1242050.96</f>
        <v>26903100.000000004</v>
      </c>
      <c r="U187" s="49">
        <f>389202.85+134482.9+25364.53</f>
        <v>549050.28</v>
      </c>
      <c r="V187" s="49">
        <f t="shared" ref="V187:V213" si="152">W187+X187</f>
        <v>27452150.280000005</v>
      </c>
      <c r="W187" s="49">
        <f>19070939.42+6590109.62+1242050.96</f>
        <v>26903100.000000004</v>
      </c>
      <c r="X187" s="49">
        <f>389202.85+134482.9+25364.53</f>
        <v>549050.28</v>
      </c>
      <c r="Y187" s="19">
        <f t="shared" si="90"/>
        <v>0</v>
      </c>
      <c r="Z187" s="19">
        <f t="shared" si="83"/>
        <v>0</v>
      </c>
      <c r="AA187" s="19">
        <f t="shared" si="84"/>
        <v>0</v>
      </c>
      <c r="AB187" s="7" t="e">
        <f t="shared" si="115"/>
        <v>#NAME?</v>
      </c>
      <c r="AC187" s="50">
        <f t="shared" si="141"/>
        <v>100</v>
      </c>
      <c r="AD187" s="50" t="e">
        <f t="shared" si="98"/>
        <v>#NAME?</v>
      </c>
    </row>
    <row r="188" spans="1:30" ht="166.5" customHeight="1">
      <c r="A188" s="46" t="s">
        <v>331</v>
      </c>
      <c r="B188" s="48" t="s">
        <v>13</v>
      </c>
      <c r="C188" s="48" t="s">
        <v>13</v>
      </c>
      <c r="D188" s="48" t="s">
        <v>102</v>
      </c>
      <c r="E188" s="48" t="s">
        <v>178</v>
      </c>
      <c r="F188" s="48">
        <v>2022</v>
      </c>
      <c r="G188" s="49">
        <f t="shared" si="148"/>
        <v>30354897.960000001</v>
      </c>
      <c r="H188" s="49">
        <f>H189</f>
        <v>29747800</v>
      </c>
      <c r="I188" s="49">
        <f>I189</f>
        <v>607097.96</v>
      </c>
      <c r="J188" s="49">
        <f t="shared" si="149"/>
        <v>30354897.960000001</v>
      </c>
      <c r="K188" s="49">
        <f>K189</f>
        <v>29747800</v>
      </c>
      <c r="L188" s="49">
        <f>L189</f>
        <v>607097.96</v>
      </c>
      <c r="M188" s="49" t="e">
        <f>№188+O188</f>
        <v>#NAME?</v>
      </c>
      <c r="N188" s="49" t="e">
        <f>№189</f>
        <v>#NAME?</v>
      </c>
      <c r="O188" s="49">
        <f>O189</f>
        <v>174292.92</v>
      </c>
      <c r="P188" s="49">
        <f t="shared" si="150"/>
        <v>8714645.6799999997</v>
      </c>
      <c r="Q188" s="49">
        <f>Q189</f>
        <v>8540352.75</v>
      </c>
      <c r="R188" s="49">
        <f>R189</f>
        <v>174292.93</v>
      </c>
      <c r="S188" s="49">
        <f t="shared" si="151"/>
        <v>30354897.960000001</v>
      </c>
      <c r="T188" s="49">
        <f>T189</f>
        <v>29747800</v>
      </c>
      <c r="U188" s="49">
        <f>U189</f>
        <v>607097.96</v>
      </c>
      <c r="V188" s="49">
        <f t="shared" si="152"/>
        <v>30354897.960000001</v>
      </c>
      <c r="W188" s="49">
        <f>W189</f>
        <v>29747800</v>
      </c>
      <c r="X188" s="49">
        <f>X189</f>
        <v>607097.96</v>
      </c>
      <c r="Y188" s="19">
        <f t="shared" si="90"/>
        <v>0</v>
      </c>
      <c r="Z188" s="19">
        <f t="shared" si="83"/>
        <v>0</v>
      </c>
      <c r="AA188" s="19">
        <f t="shared" si="84"/>
        <v>0</v>
      </c>
      <c r="AB188" s="7" t="e">
        <f t="shared" si="115"/>
        <v>#NAME?</v>
      </c>
      <c r="AC188" s="50">
        <f t="shared" si="141"/>
        <v>100</v>
      </c>
      <c r="AD188" s="50" t="e">
        <f t="shared" si="98"/>
        <v>#NAME?</v>
      </c>
    </row>
    <row r="189" spans="1:30" ht="30">
      <c r="A189" s="46" t="s">
        <v>176</v>
      </c>
      <c r="B189" s="48" t="s">
        <v>177</v>
      </c>
      <c r="C189" s="46"/>
      <c r="D189" s="46"/>
      <c r="E189" s="46"/>
      <c r="F189" s="46"/>
      <c r="G189" s="49">
        <f t="shared" si="148"/>
        <v>30354897.960000001</v>
      </c>
      <c r="H189" s="49">
        <v>29747800</v>
      </c>
      <c r="I189" s="49">
        <v>607097.96</v>
      </c>
      <c r="J189" s="49">
        <f t="shared" si="149"/>
        <v>30354897.960000001</v>
      </c>
      <c r="K189" s="49">
        <v>29747800</v>
      </c>
      <c r="L189" s="49">
        <v>607097.96</v>
      </c>
      <c r="M189" s="49" t="e">
        <f>№189+O189</f>
        <v>#NAME?</v>
      </c>
      <c r="N189" s="49">
        <v>8540352.7599999998</v>
      </c>
      <c r="O189" s="49">
        <v>174292.92</v>
      </c>
      <c r="P189" s="49">
        <f t="shared" si="150"/>
        <v>8714645.6799999997</v>
      </c>
      <c r="Q189" s="49">
        <v>8540352.75</v>
      </c>
      <c r="R189" s="49">
        <v>174292.93</v>
      </c>
      <c r="S189" s="49">
        <f t="shared" si="151"/>
        <v>30354897.960000001</v>
      </c>
      <c r="T189" s="49">
        <v>29747800</v>
      </c>
      <c r="U189" s="49">
        <v>607097.96</v>
      </c>
      <c r="V189" s="49">
        <f t="shared" si="152"/>
        <v>30354897.960000001</v>
      </c>
      <c r="W189" s="49">
        <v>29747800</v>
      </c>
      <c r="X189" s="49">
        <v>607097.96</v>
      </c>
      <c r="Y189" s="19">
        <f t="shared" si="90"/>
        <v>0</v>
      </c>
      <c r="Z189" s="19">
        <f t="shared" si="83"/>
        <v>0</v>
      </c>
      <c r="AA189" s="19">
        <f t="shared" si="84"/>
        <v>0</v>
      </c>
      <c r="AB189" s="7" t="e">
        <f t="shared" si="115"/>
        <v>#NAME?</v>
      </c>
      <c r="AC189" s="50">
        <f t="shared" si="141"/>
        <v>100</v>
      </c>
      <c r="AD189" s="50" t="e">
        <f t="shared" si="98"/>
        <v>#NAME?</v>
      </c>
    </row>
    <row r="190" spans="1:30" ht="114.75" customHeight="1">
      <c r="A190" s="46" t="s">
        <v>179</v>
      </c>
      <c r="B190" s="48" t="s">
        <v>13</v>
      </c>
      <c r="C190" s="48" t="s">
        <v>13</v>
      </c>
      <c r="D190" s="48" t="s">
        <v>180</v>
      </c>
      <c r="E190" s="48" t="s">
        <v>178</v>
      </c>
      <c r="F190" s="48" t="s">
        <v>20</v>
      </c>
      <c r="G190" s="49">
        <f t="shared" si="148"/>
        <v>43683979.590000004</v>
      </c>
      <c r="H190" s="49">
        <f>H191</f>
        <v>42810300</v>
      </c>
      <c r="I190" s="49">
        <f>I191</f>
        <v>873679.59</v>
      </c>
      <c r="J190" s="49">
        <f t="shared" si="149"/>
        <v>43683979.590000004</v>
      </c>
      <c r="K190" s="49">
        <f>K191</f>
        <v>42810300</v>
      </c>
      <c r="L190" s="49">
        <f>L191</f>
        <v>873679.59</v>
      </c>
      <c r="M190" s="49" t="e">
        <f>№190+O190</f>
        <v>#NAME?</v>
      </c>
      <c r="N190" s="49" t="e">
        <f>№191</f>
        <v>#NAME?</v>
      </c>
      <c r="O190" s="49">
        <f>O191</f>
        <v>424044.43</v>
      </c>
      <c r="P190" s="49">
        <f t="shared" si="150"/>
        <v>21202220.710000001</v>
      </c>
      <c r="Q190" s="49">
        <f>Q191</f>
        <v>20778176.32</v>
      </c>
      <c r="R190" s="49">
        <f>R191</f>
        <v>424044.39</v>
      </c>
      <c r="S190" s="49">
        <f t="shared" si="151"/>
        <v>43683979.590000004</v>
      </c>
      <c r="T190" s="49">
        <f>T191</f>
        <v>42810300</v>
      </c>
      <c r="U190" s="49">
        <f>U191</f>
        <v>873679.59</v>
      </c>
      <c r="V190" s="49">
        <f t="shared" si="152"/>
        <v>43683979.590000004</v>
      </c>
      <c r="W190" s="49">
        <f>W191</f>
        <v>42810300</v>
      </c>
      <c r="X190" s="49">
        <f>X191</f>
        <v>873679.59</v>
      </c>
      <c r="Y190" s="19">
        <f t="shared" si="90"/>
        <v>0</v>
      </c>
      <c r="Z190" s="19">
        <f t="shared" si="83"/>
        <v>0</v>
      </c>
      <c r="AA190" s="19">
        <f t="shared" si="84"/>
        <v>0</v>
      </c>
      <c r="AB190" s="7" t="e">
        <f t="shared" si="115"/>
        <v>#NAME?</v>
      </c>
      <c r="AC190" s="50">
        <f t="shared" si="141"/>
        <v>100</v>
      </c>
      <c r="AD190" s="50" t="e">
        <f t="shared" si="98"/>
        <v>#NAME?</v>
      </c>
    </row>
    <row r="191" spans="1:30" ht="30">
      <c r="A191" s="46" t="s">
        <v>176</v>
      </c>
      <c r="B191" s="48" t="s">
        <v>177</v>
      </c>
      <c r="C191" s="46"/>
      <c r="D191" s="46"/>
      <c r="E191" s="46"/>
      <c r="F191" s="46"/>
      <c r="G191" s="49">
        <f t="shared" si="148"/>
        <v>43683979.590000004</v>
      </c>
      <c r="H191" s="49">
        <v>42810300</v>
      </c>
      <c r="I191" s="49">
        <v>873679.59</v>
      </c>
      <c r="J191" s="49">
        <f t="shared" si="149"/>
        <v>43683979.590000004</v>
      </c>
      <c r="K191" s="49">
        <v>42810300</v>
      </c>
      <c r="L191" s="49">
        <v>873679.59</v>
      </c>
      <c r="M191" s="49" t="e">
        <f>№191+O191</f>
        <v>#NAME?</v>
      </c>
      <c r="N191" s="49">
        <v>20778176.280000001</v>
      </c>
      <c r="O191" s="49">
        <v>424044.43</v>
      </c>
      <c r="P191" s="49">
        <f t="shared" si="150"/>
        <v>21202220.710000001</v>
      </c>
      <c r="Q191" s="49">
        <v>20778176.32</v>
      </c>
      <c r="R191" s="49">
        <v>424044.39</v>
      </c>
      <c r="S191" s="49">
        <f t="shared" si="151"/>
        <v>43683979.590000004</v>
      </c>
      <c r="T191" s="49">
        <f>38823754.95+189837.4+3664138.17+132569.48</f>
        <v>42810300</v>
      </c>
      <c r="U191" s="49">
        <f>792321.54+3874.23+74778.33+2705.49</f>
        <v>873679.59</v>
      </c>
      <c r="V191" s="49">
        <f t="shared" si="152"/>
        <v>43683979.590000004</v>
      </c>
      <c r="W191" s="49">
        <f>38823754.95+189837.4+3664138.17+132569.48</f>
        <v>42810300</v>
      </c>
      <c r="X191" s="49">
        <f>792321.54+3874.23+74778.33+2705.49</f>
        <v>873679.59</v>
      </c>
      <c r="Y191" s="19">
        <f t="shared" si="90"/>
        <v>0</v>
      </c>
      <c r="Z191" s="19">
        <f t="shared" si="83"/>
        <v>0</v>
      </c>
      <c r="AA191" s="19">
        <f t="shared" si="84"/>
        <v>0</v>
      </c>
      <c r="AB191" s="7" t="e">
        <f t="shared" si="115"/>
        <v>#NAME?</v>
      </c>
      <c r="AC191" s="50">
        <f t="shared" si="141"/>
        <v>100</v>
      </c>
      <c r="AD191" s="50" t="e">
        <f t="shared" si="98"/>
        <v>#NAME?</v>
      </c>
    </row>
    <row r="192" spans="1:30" ht="180.75" customHeight="1">
      <c r="A192" s="46" t="s">
        <v>332</v>
      </c>
      <c r="B192" s="48" t="s">
        <v>13</v>
      </c>
      <c r="C192" s="48" t="s">
        <v>13</v>
      </c>
      <c r="D192" s="48" t="s">
        <v>181</v>
      </c>
      <c r="E192" s="48" t="s">
        <v>178</v>
      </c>
      <c r="F192" s="48" t="s">
        <v>20</v>
      </c>
      <c r="G192" s="49">
        <f t="shared" si="148"/>
        <v>16244387.76</v>
      </c>
      <c r="H192" s="49">
        <f>H193</f>
        <v>15919500</v>
      </c>
      <c r="I192" s="49">
        <f>I193</f>
        <v>324887.76</v>
      </c>
      <c r="J192" s="49">
        <f t="shared" si="149"/>
        <v>16244387.76</v>
      </c>
      <c r="K192" s="49">
        <f>K193</f>
        <v>15919500</v>
      </c>
      <c r="L192" s="49">
        <f>L193</f>
        <v>324887.76</v>
      </c>
      <c r="M192" s="49" t="e">
        <f>№192+O192</f>
        <v>#NAME?</v>
      </c>
      <c r="N192" s="49" t="e">
        <f>№193</f>
        <v>#NAME?</v>
      </c>
      <c r="O192" s="49">
        <f>O193</f>
        <v>268862.03999999998</v>
      </c>
      <c r="P192" s="49">
        <f t="shared" si="150"/>
        <v>13443102.069999998</v>
      </c>
      <c r="Q192" s="49">
        <f>Q193</f>
        <v>13174240.029999999</v>
      </c>
      <c r="R192" s="49">
        <f>R193</f>
        <v>268862.03999999998</v>
      </c>
      <c r="S192" s="49">
        <f t="shared" si="151"/>
        <v>16244387.76</v>
      </c>
      <c r="T192" s="49">
        <f>T193</f>
        <v>15919500</v>
      </c>
      <c r="U192" s="49">
        <f>U193</f>
        <v>324887.76</v>
      </c>
      <c r="V192" s="49">
        <f t="shared" si="152"/>
        <v>16244387.76</v>
      </c>
      <c r="W192" s="49">
        <f>W193</f>
        <v>15919500</v>
      </c>
      <c r="X192" s="49">
        <f>X193</f>
        <v>324887.76</v>
      </c>
      <c r="Y192" s="19">
        <f t="shared" si="90"/>
        <v>0</v>
      </c>
      <c r="Z192" s="19">
        <f t="shared" si="83"/>
        <v>0</v>
      </c>
      <c r="AA192" s="19">
        <f t="shared" si="84"/>
        <v>0</v>
      </c>
      <c r="AB192" s="7" t="e">
        <f t="shared" si="115"/>
        <v>#NAME?</v>
      </c>
      <c r="AC192" s="50">
        <f t="shared" si="141"/>
        <v>100</v>
      </c>
      <c r="AD192" s="50" t="e">
        <f t="shared" si="98"/>
        <v>#NAME?</v>
      </c>
    </row>
    <row r="193" spans="1:30" ht="30">
      <c r="A193" s="46" t="s">
        <v>176</v>
      </c>
      <c r="B193" s="48" t="s">
        <v>177</v>
      </c>
      <c r="C193" s="46"/>
      <c r="D193" s="46"/>
      <c r="E193" s="46"/>
      <c r="F193" s="46"/>
      <c r="G193" s="49">
        <f t="shared" si="148"/>
        <v>16244387.76</v>
      </c>
      <c r="H193" s="49">
        <v>15919500</v>
      </c>
      <c r="I193" s="49">
        <v>324887.76</v>
      </c>
      <c r="J193" s="49">
        <f t="shared" si="149"/>
        <v>16244387.76</v>
      </c>
      <c r="K193" s="49">
        <v>15919500</v>
      </c>
      <c r="L193" s="49">
        <v>324887.76</v>
      </c>
      <c r="M193" s="49" t="e">
        <f>№193+O193</f>
        <v>#NAME?</v>
      </c>
      <c r="N193" s="49">
        <v>13174240.029999999</v>
      </c>
      <c r="O193" s="49">
        <v>268862.03999999998</v>
      </c>
      <c r="P193" s="49">
        <f t="shared" si="150"/>
        <v>13443102.069999998</v>
      </c>
      <c r="Q193" s="49">
        <v>13174240.029999999</v>
      </c>
      <c r="R193" s="49">
        <v>268862.03999999998</v>
      </c>
      <c r="S193" s="49">
        <f t="shared" si="151"/>
        <v>16244387.76</v>
      </c>
      <c r="T193" s="49">
        <v>15919500</v>
      </c>
      <c r="U193" s="49">
        <v>324887.76</v>
      </c>
      <c r="V193" s="49">
        <f t="shared" si="152"/>
        <v>16244387.76</v>
      </c>
      <c r="W193" s="49">
        <v>15919500</v>
      </c>
      <c r="X193" s="49">
        <v>324887.76</v>
      </c>
      <c r="Y193" s="19">
        <f t="shared" si="90"/>
        <v>0</v>
      </c>
      <c r="Z193" s="19">
        <f t="shared" si="83"/>
        <v>0</v>
      </c>
      <c r="AA193" s="19">
        <f t="shared" si="84"/>
        <v>0</v>
      </c>
      <c r="AB193" s="7" t="e">
        <f t="shared" si="115"/>
        <v>#NAME?</v>
      </c>
      <c r="AC193" s="50">
        <f t="shared" si="141"/>
        <v>100</v>
      </c>
      <c r="AD193" s="50" t="e">
        <f t="shared" si="98"/>
        <v>#NAME?</v>
      </c>
    </row>
    <row r="194" spans="1:30" s="3" customFormat="1" ht="96" customHeight="1">
      <c r="A194" s="46" t="s">
        <v>182</v>
      </c>
      <c r="B194" s="48" t="s">
        <v>13</v>
      </c>
      <c r="C194" s="48" t="s">
        <v>13</v>
      </c>
      <c r="D194" s="48" t="s">
        <v>183</v>
      </c>
      <c r="E194" s="48" t="s">
        <v>184</v>
      </c>
      <c r="F194" s="48">
        <v>2022</v>
      </c>
      <c r="G194" s="49">
        <f t="shared" si="148"/>
        <v>26613426.84</v>
      </c>
      <c r="H194" s="49"/>
      <c r="I194" s="49">
        <v>26613426.84</v>
      </c>
      <c r="J194" s="49">
        <f t="shared" si="149"/>
        <v>26613426.84</v>
      </c>
      <c r="K194" s="49"/>
      <c r="L194" s="49">
        <v>26613426.84</v>
      </c>
      <c r="M194" s="49" t="e">
        <f>№194+O194</f>
        <v>#NAME?</v>
      </c>
      <c r="N194" s="49"/>
      <c r="O194" s="49">
        <v>26613426.84</v>
      </c>
      <c r="P194" s="49">
        <f t="shared" si="150"/>
        <v>26613426.84</v>
      </c>
      <c r="Q194" s="49"/>
      <c r="R194" s="49">
        <v>26613426.84</v>
      </c>
      <c r="S194" s="49">
        <f t="shared" si="151"/>
        <v>26613426.84</v>
      </c>
      <c r="T194" s="49"/>
      <c r="U194" s="49">
        <v>26613426.84</v>
      </c>
      <c r="V194" s="49">
        <f t="shared" si="152"/>
        <v>26613426.84</v>
      </c>
      <c r="W194" s="49"/>
      <c r="X194" s="49">
        <v>26613426.84</v>
      </c>
      <c r="Y194" s="19">
        <f t="shared" si="90"/>
        <v>0</v>
      </c>
      <c r="Z194" s="19">
        <f t="shared" si="83"/>
        <v>0</v>
      </c>
      <c r="AA194" s="19">
        <f t="shared" si="84"/>
        <v>0</v>
      </c>
      <c r="AB194" s="7" t="e">
        <f t="shared" si="115"/>
        <v>#NAME?</v>
      </c>
      <c r="AC194" s="50">
        <f t="shared" si="141"/>
        <v>100</v>
      </c>
      <c r="AD194" s="50" t="e">
        <f t="shared" si="98"/>
        <v>#NAME?</v>
      </c>
    </row>
    <row r="195" spans="1:30" ht="90">
      <c r="A195" s="46" t="s">
        <v>185</v>
      </c>
      <c r="B195" s="48" t="s">
        <v>13</v>
      </c>
      <c r="C195" s="48" t="s">
        <v>13</v>
      </c>
      <c r="D195" s="48" t="s">
        <v>186</v>
      </c>
      <c r="E195" s="48" t="s">
        <v>187</v>
      </c>
      <c r="F195" s="48" t="s">
        <v>65</v>
      </c>
      <c r="G195" s="49">
        <f t="shared" si="148"/>
        <v>146097551.00999999</v>
      </c>
      <c r="H195" s="49">
        <f>H196</f>
        <v>143175600</v>
      </c>
      <c r="I195" s="49">
        <f>I196</f>
        <v>2921951.01</v>
      </c>
      <c r="J195" s="49">
        <f t="shared" si="149"/>
        <v>146097551.00999999</v>
      </c>
      <c r="K195" s="49">
        <f>K196</f>
        <v>143175600</v>
      </c>
      <c r="L195" s="49">
        <f>L196</f>
        <v>2921951.01</v>
      </c>
      <c r="M195" s="49" t="e">
        <f>№195+O195</f>
        <v>#NAME?</v>
      </c>
      <c r="N195" s="49" t="e">
        <f>№196</f>
        <v>#NAME?</v>
      </c>
      <c r="O195" s="49">
        <f>O196</f>
        <v>2082650.72</v>
      </c>
      <c r="P195" s="49">
        <f t="shared" si="150"/>
        <v>104132535.92999999</v>
      </c>
      <c r="Q195" s="49">
        <f>Q196</f>
        <v>102049885.22</v>
      </c>
      <c r="R195" s="49">
        <f>R196</f>
        <v>2082650.71</v>
      </c>
      <c r="S195" s="49">
        <f t="shared" si="151"/>
        <v>146097551.00999999</v>
      </c>
      <c r="T195" s="49">
        <f>T196</f>
        <v>143175600</v>
      </c>
      <c r="U195" s="49">
        <f>U196</f>
        <v>2921951.01</v>
      </c>
      <c r="V195" s="49">
        <f t="shared" si="152"/>
        <v>146097551.00999999</v>
      </c>
      <c r="W195" s="49">
        <f>W196</f>
        <v>143175600</v>
      </c>
      <c r="X195" s="49">
        <f>X196</f>
        <v>2921951.01</v>
      </c>
      <c r="Y195" s="19">
        <f t="shared" si="90"/>
        <v>0</v>
      </c>
      <c r="Z195" s="19">
        <f t="shared" si="83"/>
        <v>0</v>
      </c>
      <c r="AA195" s="19">
        <f t="shared" si="84"/>
        <v>0</v>
      </c>
      <c r="AB195" s="7" t="e">
        <f t="shared" si="115"/>
        <v>#NAME?</v>
      </c>
      <c r="AC195" s="50">
        <f t="shared" si="141"/>
        <v>100</v>
      </c>
      <c r="AD195" s="50" t="e">
        <f t="shared" si="98"/>
        <v>#NAME?</v>
      </c>
    </row>
    <row r="196" spans="1:30" ht="30">
      <c r="A196" s="46" t="s">
        <v>176</v>
      </c>
      <c r="B196" s="48" t="s">
        <v>177</v>
      </c>
      <c r="C196" s="46"/>
      <c r="D196" s="46"/>
      <c r="E196" s="46"/>
      <c r="F196" s="46"/>
      <c r="G196" s="49">
        <f t="shared" si="148"/>
        <v>146097551.00999999</v>
      </c>
      <c r="H196" s="49">
        <v>143175600</v>
      </c>
      <c r="I196" s="49">
        <v>2921951.01</v>
      </c>
      <c r="J196" s="49">
        <f t="shared" si="149"/>
        <v>146097551.00999999</v>
      </c>
      <c r="K196" s="49">
        <v>143175600</v>
      </c>
      <c r="L196" s="49">
        <v>2921951.01</v>
      </c>
      <c r="M196" s="49" t="e">
        <f>№196+O196</f>
        <v>#NAME?</v>
      </c>
      <c r="N196" s="49">
        <v>102049885.20999999</v>
      </c>
      <c r="O196" s="49">
        <v>2082650.72</v>
      </c>
      <c r="P196" s="49">
        <f t="shared" si="150"/>
        <v>104132535.92999999</v>
      </c>
      <c r="Q196" s="49">
        <v>102049885.22</v>
      </c>
      <c r="R196" s="49">
        <v>2082650.71</v>
      </c>
      <c r="S196" s="49">
        <f t="shared" si="151"/>
        <v>146097551.00999999</v>
      </c>
      <c r="T196" s="49">
        <v>143175600</v>
      </c>
      <c r="U196" s="49">
        <v>2921951.01</v>
      </c>
      <c r="V196" s="49">
        <f t="shared" si="152"/>
        <v>146097551.00999999</v>
      </c>
      <c r="W196" s="49">
        <v>143175600</v>
      </c>
      <c r="X196" s="49">
        <v>2921951.01</v>
      </c>
      <c r="Y196" s="19">
        <f t="shared" si="90"/>
        <v>0</v>
      </c>
      <c r="Z196" s="19">
        <f t="shared" si="83"/>
        <v>0</v>
      </c>
      <c r="AA196" s="19">
        <f t="shared" si="84"/>
        <v>0</v>
      </c>
      <c r="AB196" s="7" t="e">
        <f t="shared" si="115"/>
        <v>#NAME?</v>
      </c>
      <c r="AC196" s="50">
        <f t="shared" si="141"/>
        <v>100</v>
      </c>
      <c r="AD196" s="50" t="e">
        <f t="shared" si="98"/>
        <v>#NAME?</v>
      </c>
    </row>
    <row r="197" spans="1:30" ht="61.5" hidden="1" customHeight="1">
      <c r="A197" s="46" t="s">
        <v>188</v>
      </c>
      <c r="B197" s="48" t="s">
        <v>13</v>
      </c>
      <c r="C197" s="48" t="s">
        <v>13</v>
      </c>
      <c r="D197" s="48" t="s">
        <v>189</v>
      </c>
      <c r="E197" s="48" t="s">
        <v>116</v>
      </c>
      <c r="F197" s="48" t="s">
        <v>20</v>
      </c>
      <c r="G197" s="49">
        <f t="shared" si="148"/>
        <v>0</v>
      </c>
      <c r="H197" s="49"/>
      <c r="I197" s="49"/>
      <c r="J197" s="49">
        <f t="shared" si="149"/>
        <v>0</v>
      </c>
      <c r="K197" s="49"/>
      <c r="L197" s="49"/>
      <c r="M197" s="49" t="e">
        <f>№197+O197</f>
        <v>#NAME?</v>
      </c>
      <c r="N197" s="49"/>
      <c r="O197" s="49"/>
      <c r="P197" s="49">
        <f t="shared" si="150"/>
        <v>0</v>
      </c>
      <c r="Q197" s="49"/>
      <c r="R197" s="49"/>
      <c r="S197" s="49">
        <f t="shared" si="151"/>
        <v>0</v>
      </c>
      <c r="T197" s="49"/>
      <c r="U197" s="49"/>
      <c r="V197" s="49">
        <f t="shared" si="152"/>
        <v>0</v>
      </c>
      <c r="W197" s="49"/>
      <c r="X197" s="49"/>
      <c r="Y197" s="19">
        <f t="shared" si="90"/>
        <v>0</v>
      </c>
      <c r="Z197" s="19">
        <f t="shared" si="83"/>
        <v>0</v>
      </c>
      <c r="AA197" s="19">
        <f t="shared" si="84"/>
        <v>0</v>
      </c>
      <c r="AB197" s="7"/>
      <c r="AC197" s="50" t="e">
        <f t="shared" si="141"/>
        <v>#DIV/0!</v>
      </c>
      <c r="AD197" s="50">
        <v>0</v>
      </c>
    </row>
    <row r="198" spans="1:30" ht="15" hidden="1" customHeight="1">
      <c r="A198" s="46" t="s">
        <v>176</v>
      </c>
      <c r="B198" s="48" t="s">
        <v>177</v>
      </c>
      <c r="C198" s="46"/>
      <c r="D198" s="46"/>
      <c r="E198" s="46"/>
      <c r="F198" s="46"/>
      <c r="G198" s="49">
        <f t="shared" si="148"/>
        <v>0</v>
      </c>
      <c r="H198" s="49"/>
      <c r="I198" s="49"/>
      <c r="J198" s="49">
        <f t="shared" si="149"/>
        <v>0</v>
      </c>
      <c r="K198" s="49"/>
      <c r="L198" s="49"/>
      <c r="M198" s="49" t="e">
        <f>№198+O198</f>
        <v>#NAME?</v>
      </c>
      <c r="N198" s="49"/>
      <c r="O198" s="49"/>
      <c r="P198" s="49">
        <f t="shared" si="150"/>
        <v>0</v>
      </c>
      <c r="Q198" s="49"/>
      <c r="R198" s="49"/>
      <c r="S198" s="49">
        <f t="shared" si="151"/>
        <v>0</v>
      </c>
      <c r="T198" s="49"/>
      <c r="U198" s="49"/>
      <c r="V198" s="49">
        <f t="shared" si="152"/>
        <v>0</v>
      </c>
      <c r="W198" s="49"/>
      <c r="X198" s="49"/>
      <c r="Y198" s="19">
        <f t="shared" si="90"/>
        <v>0</v>
      </c>
      <c r="Z198" s="19">
        <f t="shared" si="83"/>
        <v>0</v>
      </c>
      <c r="AA198" s="19">
        <f t="shared" si="84"/>
        <v>0</v>
      </c>
      <c r="AB198" s="7"/>
      <c r="AC198" s="50" t="e">
        <f t="shared" si="141"/>
        <v>#DIV/0!</v>
      </c>
      <c r="AD198" s="50">
        <v>0</v>
      </c>
    </row>
    <row r="199" spans="1:30" ht="90" customHeight="1">
      <c r="A199" s="46" t="s">
        <v>190</v>
      </c>
      <c r="B199" s="48" t="s">
        <v>13</v>
      </c>
      <c r="C199" s="48" t="s">
        <v>13</v>
      </c>
      <c r="D199" s="48" t="s">
        <v>191</v>
      </c>
      <c r="E199" s="48" t="s">
        <v>89</v>
      </c>
      <c r="F199" s="48" t="s">
        <v>65</v>
      </c>
      <c r="G199" s="49">
        <f t="shared" si="148"/>
        <v>107549738.34</v>
      </c>
      <c r="H199" s="49">
        <f>H200</f>
        <v>105398700</v>
      </c>
      <c r="I199" s="49">
        <f>I200</f>
        <v>2151038.34</v>
      </c>
      <c r="J199" s="49">
        <f t="shared" si="149"/>
        <v>107549738.34</v>
      </c>
      <c r="K199" s="49">
        <f>K200</f>
        <v>105398700</v>
      </c>
      <c r="L199" s="49">
        <f>L200</f>
        <v>2151038.34</v>
      </c>
      <c r="M199" s="49" t="e">
        <f>№199+O199</f>
        <v>#NAME?</v>
      </c>
      <c r="N199" s="49" t="e">
        <f>№200</f>
        <v>#NAME?</v>
      </c>
      <c r="O199" s="49">
        <f>O200</f>
        <v>954845.77</v>
      </c>
      <c r="P199" s="49">
        <f t="shared" si="150"/>
        <v>47742288.520000003</v>
      </c>
      <c r="Q199" s="49">
        <f>Q200</f>
        <v>46787442.75</v>
      </c>
      <c r="R199" s="49">
        <f>R200</f>
        <v>954845.77</v>
      </c>
      <c r="S199" s="49">
        <f t="shared" si="151"/>
        <v>107549738.34</v>
      </c>
      <c r="T199" s="27">
        <f>T200</f>
        <v>105398700</v>
      </c>
      <c r="U199" s="49">
        <f>U200</f>
        <v>2151038.34</v>
      </c>
      <c r="V199" s="49">
        <f t="shared" si="152"/>
        <v>107549738.34</v>
      </c>
      <c r="W199" s="27">
        <f>W200</f>
        <v>105398700</v>
      </c>
      <c r="X199" s="49">
        <f>X200</f>
        <v>2151038.34</v>
      </c>
      <c r="Y199" s="19">
        <f t="shared" si="90"/>
        <v>0</v>
      </c>
      <c r="Z199" s="19">
        <f t="shared" si="83"/>
        <v>0</v>
      </c>
      <c r="AA199" s="19">
        <f t="shared" si="84"/>
        <v>0</v>
      </c>
      <c r="AB199" s="7" t="e">
        <f t="shared" si="115"/>
        <v>#NAME?</v>
      </c>
      <c r="AC199" s="50">
        <f t="shared" si="141"/>
        <v>100</v>
      </c>
      <c r="AD199" s="50" t="e">
        <f t="shared" si="98"/>
        <v>#NAME?</v>
      </c>
    </row>
    <row r="200" spans="1:30" ht="30">
      <c r="A200" s="46" t="s">
        <v>176</v>
      </c>
      <c r="B200" s="48" t="s">
        <v>177</v>
      </c>
      <c r="C200" s="46"/>
      <c r="D200" s="46"/>
      <c r="E200" s="46"/>
      <c r="F200" s="46"/>
      <c r="G200" s="49">
        <f t="shared" si="148"/>
        <v>107549738.34</v>
      </c>
      <c r="H200" s="49">
        <v>105398700</v>
      </c>
      <c r="I200" s="49">
        <v>2151038.34</v>
      </c>
      <c r="J200" s="49">
        <f t="shared" si="149"/>
        <v>107549738.34</v>
      </c>
      <c r="K200" s="49">
        <v>105398700</v>
      </c>
      <c r="L200" s="49">
        <v>2151038.34</v>
      </c>
      <c r="M200" s="49" t="e">
        <f>№200+O200</f>
        <v>#NAME?</v>
      </c>
      <c r="N200" s="49">
        <v>46787442.75</v>
      </c>
      <c r="O200" s="49">
        <v>954845.77</v>
      </c>
      <c r="P200" s="49">
        <f t="shared" si="150"/>
        <v>47742288.520000003</v>
      </c>
      <c r="Q200" s="49">
        <v>46787442.75</v>
      </c>
      <c r="R200" s="49">
        <v>954845.77</v>
      </c>
      <c r="S200" s="49">
        <f t="shared" si="151"/>
        <v>107549738.34</v>
      </c>
      <c r="T200" s="49">
        <v>105398700</v>
      </c>
      <c r="U200" s="49">
        <v>2151038.34</v>
      </c>
      <c r="V200" s="49">
        <f t="shared" si="152"/>
        <v>107549738.34</v>
      </c>
      <c r="W200" s="49">
        <v>105398700</v>
      </c>
      <c r="X200" s="49">
        <v>2151038.34</v>
      </c>
      <c r="Y200" s="19">
        <f t="shared" si="90"/>
        <v>0</v>
      </c>
      <c r="Z200" s="19">
        <f t="shared" si="83"/>
        <v>0</v>
      </c>
      <c r="AA200" s="19">
        <f t="shared" si="84"/>
        <v>0</v>
      </c>
      <c r="AB200" s="7" t="e">
        <f t="shared" si="115"/>
        <v>#NAME?</v>
      </c>
      <c r="AC200" s="50">
        <f t="shared" si="141"/>
        <v>100</v>
      </c>
      <c r="AD200" s="50" t="e">
        <f t="shared" si="98"/>
        <v>#NAME?</v>
      </c>
    </row>
    <row r="201" spans="1:30" ht="90">
      <c r="A201" s="46" t="s">
        <v>192</v>
      </c>
      <c r="B201" s="48" t="s">
        <v>13</v>
      </c>
      <c r="C201" s="48" t="s">
        <v>13</v>
      </c>
      <c r="D201" s="48" t="s">
        <v>193</v>
      </c>
      <c r="E201" s="48" t="s">
        <v>194</v>
      </c>
      <c r="F201" s="48" t="s">
        <v>65</v>
      </c>
      <c r="G201" s="49">
        <f t="shared" si="148"/>
        <v>95591938.780000001</v>
      </c>
      <c r="H201" s="49">
        <f>H202</f>
        <v>93680100</v>
      </c>
      <c r="I201" s="49">
        <f>I202</f>
        <v>1911838.78</v>
      </c>
      <c r="J201" s="49">
        <f t="shared" si="149"/>
        <v>95591938.780000001</v>
      </c>
      <c r="K201" s="49">
        <f>K202</f>
        <v>93680100</v>
      </c>
      <c r="L201" s="49">
        <f>L202</f>
        <v>1911838.78</v>
      </c>
      <c r="M201" s="49" t="e">
        <f>№201+O201</f>
        <v>#NAME?</v>
      </c>
      <c r="N201" s="49" t="e">
        <f>№202</f>
        <v>#NAME?</v>
      </c>
      <c r="O201" s="49">
        <f>O202</f>
        <v>856775.99</v>
      </c>
      <c r="P201" s="49">
        <f t="shared" si="150"/>
        <v>42838799.240000002</v>
      </c>
      <c r="Q201" s="49">
        <f>Q202</f>
        <v>41982023.25</v>
      </c>
      <c r="R201" s="49">
        <f>R202</f>
        <v>856775.99</v>
      </c>
      <c r="S201" s="49">
        <f t="shared" si="151"/>
        <v>95591938.780000001</v>
      </c>
      <c r="T201" s="49">
        <f>T202</f>
        <v>93680100</v>
      </c>
      <c r="U201" s="49">
        <f>U202</f>
        <v>1911838.7799999998</v>
      </c>
      <c r="V201" s="49">
        <f t="shared" si="152"/>
        <v>95591938.780000001</v>
      </c>
      <c r="W201" s="49">
        <f>W202</f>
        <v>93680100</v>
      </c>
      <c r="X201" s="49">
        <f>X202</f>
        <v>1911838.7799999998</v>
      </c>
      <c r="Y201" s="19">
        <f t="shared" si="90"/>
        <v>0</v>
      </c>
      <c r="Z201" s="19">
        <f t="shared" ref="Z201:Z264" si="153">K201-W201</f>
        <v>0</v>
      </c>
      <c r="AA201" s="19">
        <f t="shared" ref="AA201:AA264" si="154">L201-X201</f>
        <v>0</v>
      </c>
      <c r="AB201" s="7" t="e">
        <f t="shared" si="115"/>
        <v>#NAME?</v>
      </c>
      <c r="AC201" s="50">
        <f t="shared" si="141"/>
        <v>100</v>
      </c>
      <c r="AD201" s="50" t="e">
        <f t="shared" si="98"/>
        <v>#NAME?</v>
      </c>
    </row>
    <row r="202" spans="1:30" ht="30">
      <c r="A202" s="46" t="s">
        <v>176</v>
      </c>
      <c r="B202" s="48" t="s">
        <v>177</v>
      </c>
      <c r="C202" s="46"/>
      <c r="D202" s="46"/>
      <c r="E202" s="46"/>
      <c r="F202" s="46"/>
      <c r="G202" s="49">
        <f t="shared" si="148"/>
        <v>95591938.780000001</v>
      </c>
      <c r="H202" s="49">
        <v>93680100</v>
      </c>
      <c r="I202" s="49">
        <v>1911838.78</v>
      </c>
      <c r="J202" s="49">
        <f t="shared" si="149"/>
        <v>95591938.780000001</v>
      </c>
      <c r="K202" s="49">
        <v>93680100</v>
      </c>
      <c r="L202" s="49">
        <v>1911838.78</v>
      </c>
      <c r="M202" s="49" t="e">
        <f>№202+O202</f>
        <v>#NAME?</v>
      </c>
      <c r="N202" s="49">
        <v>41982023.25</v>
      </c>
      <c r="O202" s="49">
        <v>856775.99</v>
      </c>
      <c r="P202" s="49">
        <f t="shared" si="150"/>
        <v>42838799.240000002</v>
      </c>
      <c r="Q202" s="49">
        <v>41982023.25</v>
      </c>
      <c r="R202" s="49">
        <v>856775.99</v>
      </c>
      <c r="S202" s="49">
        <f t="shared" si="151"/>
        <v>95591938.780000001</v>
      </c>
      <c r="T202" s="49">
        <f>92049279.94+1172528.43+458291.63</f>
        <v>93680100</v>
      </c>
      <c r="U202" s="49">
        <f>1878556.74+23929.15+9352.89</f>
        <v>1911838.7799999998</v>
      </c>
      <c r="V202" s="49">
        <f t="shared" si="152"/>
        <v>95591938.780000001</v>
      </c>
      <c r="W202" s="49">
        <f>92049279.94+1172528.43+458291.63</f>
        <v>93680100</v>
      </c>
      <c r="X202" s="49">
        <f>1878556.74+23929.15+9352.89</f>
        <v>1911838.7799999998</v>
      </c>
      <c r="Y202" s="19">
        <f t="shared" si="90"/>
        <v>0</v>
      </c>
      <c r="Z202" s="19">
        <f t="shared" si="153"/>
        <v>0</v>
      </c>
      <c r="AA202" s="19">
        <f t="shared" si="154"/>
        <v>0</v>
      </c>
      <c r="AB202" s="7" t="e">
        <f t="shared" si="115"/>
        <v>#NAME?</v>
      </c>
      <c r="AC202" s="50">
        <f t="shared" si="141"/>
        <v>100</v>
      </c>
      <c r="AD202" s="50" t="e">
        <f t="shared" si="98"/>
        <v>#NAME?</v>
      </c>
    </row>
    <row r="203" spans="1:30" ht="77.25" customHeight="1">
      <c r="A203" s="46" t="s">
        <v>195</v>
      </c>
      <c r="B203" s="48" t="s">
        <v>13</v>
      </c>
      <c r="C203" s="48" t="s">
        <v>13</v>
      </c>
      <c r="D203" s="48" t="s">
        <v>196</v>
      </c>
      <c r="E203" s="48" t="s">
        <v>197</v>
      </c>
      <c r="F203" s="48" t="s">
        <v>65</v>
      </c>
      <c r="G203" s="49">
        <f t="shared" si="148"/>
        <v>67235173.629999995</v>
      </c>
      <c r="H203" s="49">
        <f>H204</f>
        <v>65890500</v>
      </c>
      <c r="I203" s="49">
        <f>I204</f>
        <v>1344673.63</v>
      </c>
      <c r="J203" s="49">
        <f t="shared" si="149"/>
        <v>67235173.629999995</v>
      </c>
      <c r="K203" s="49">
        <f>K204</f>
        <v>65890500</v>
      </c>
      <c r="L203" s="49">
        <f>L204</f>
        <v>1344673.63</v>
      </c>
      <c r="M203" s="49" t="e">
        <f>№203+O203</f>
        <v>#NAME?</v>
      </c>
      <c r="N203" s="49" t="e">
        <f>№204</f>
        <v>#NAME?</v>
      </c>
      <c r="O203" s="49">
        <f>O204</f>
        <v>682154.05</v>
      </c>
      <c r="P203" s="49">
        <f t="shared" si="150"/>
        <v>34107702.469999999</v>
      </c>
      <c r="Q203" s="49">
        <f>Q204</f>
        <v>33425548.420000002</v>
      </c>
      <c r="R203" s="49">
        <f>R204</f>
        <v>682154.05</v>
      </c>
      <c r="S203" s="49">
        <f t="shared" si="151"/>
        <v>67235173.629999995</v>
      </c>
      <c r="T203" s="49">
        <f>T204</f>
        <v>65890500</v>
      </c>
      <c r="U203" s="49">
        <f>U204</f>
        <v>1344673.63</v>
      </c>
      <c r="V203" s="49">
        <f t="shared" si="152"/>
        <v>67235173.629999995</v>
      </c>
      <c r="W203" s="49">
        <f>W204</f>
        <v>65890500</v>
      </c>
      <c r="X203" s="49">
        <f>X204</f>
        <v>1344673.63</v>
      </c>
      <c r="Y203" s="19">
        <f t="shared" si="90"/>
        <v>0</v>
      </c>
      <c r="Z203" s="19">
        <f t="shared" si="153"/>
        <v>0</v>
      </c>
      <c r="AA203" s="19">
        <f t="shared" si="154"/>
        <v>0</v>
      </c>
      <c r="AB203" s="7" t="e">
        <f t="shared" si="115"/>
        <v>#NAME?</v>
      </c>
      <c r="AC203" s="50">
        <f t="shared" si="141"/>
        <v>100</v>
      </c>
      <c r="AD203" s="50" t="e">
        <f t="shared" si="98"/>
        <v>#NAME?</v>
      </c>
    </row>
    <row r="204" spans="1:30" ht="30">
      <c r="A204" s="46" t="s">
        <v>176</v>
      </c>
      <c r="B204" s="48" t="s">
        <v>177</v>
      </c>
      <c r="C204" s="46"/>
      <c r="D204" s="46"/>
      <c r="E204" s="46"/>
      <c r="F204" s="46"/>
      <c r="G204" s="49">
        <f t="shared" si="148"/>
        <v>67235173.629999995</v>
      </c>
      <c r="H204" s="49">
        <v>65890500</v>
      </c>
      <c r="I204" s="49">
        <v>1344673.63</v>
      </c>
      <c r="J204" s="49">
        <f t="shared" si="149"/>
        <v>67235173.629999995</v>
      </c>
      <c r="K204" s="49">
        <v>65890500</v>
      </c>
      <c r="L204" s="49">
        <v>1344673.63</v>
      </c>
      <c r="M204" s="49" t="e">
        <f>№204+O204</f>
        <v>#NAME?</v>
      </c>
      <c r="N204" s="49">
        <v>33425548.420000002</v>
      </c>
      <c r="O204" s="49">
        <v>682154.05</v>
      </c>
      <c r="P204" s="49">
        <f t="shared" si="150"/>
        <v>34107702.469999999</v>
      </c>
      <c r="Q204" s="49">
        <v>33425548.420000002</v>
      </c>
      <c r="R204" s="49">
        <v>682154.05</v>
      </c>
      <c r="S204" s="49">
        <f t="shared" si="151"/>
        <v>67235173.629999995</v>
      </c>
      <c r="T204" s="49">
        <f>54309124.27+96275.73+11485100</f>
        <v>65890500</v>
      </c>
      <c r="U204" s="49">
        <f>1108349.47+1964.77+234359.39</f>
        <v>1344673.63</v>
      </c>
      <c r="V204" s="49">
        <f t="shared" si="152"/>
        <v>67235173.629999995</v>
      </c>
      <c r="W204" s="49">
        <f>54309124.27+96275.73+11485100</f>
        <v>65890500</v>
      </c>
      <c r="X204" s="49">
        <f>1108349.47+1964.77+234359.39</f>
        <v>1344673.63</v>
      </c>
      <c r="Y204" s="19">
        <f t="shared" si="90"/>
        <v>0</v>
      </c>
      <c r="Z204" s="19">
        <f t="shared" si="153"/>
        <v>0</v>
      </c>
      <c r="AA204" s="19">
        <f t="shared" si="154"/>
        <v>0</v>
      </c>
      <c r="AB204" s="7" t="e">
        <f t="shared" si="115"/>
        <v>#NAME?</v>
      </c>
      <c r="AC204" s="50">
        <f t="shared" si="141"/>
        <v>100</v>
      </c>
      <c r="AD204" s="50" t="e">
        <f t="shared" si="98"/>
        <v>#NAME?</v>
      </c>
    </row>
    <row r="205" spans="1:30" ht="105">
      <c r="A205" s="46" t="s">
        <v>198</v>
      </c>
      <c r="B205" s="48" t="s">
        <v>13</v>
      </c>
      <c r="C205" s="48" t="s">
        <v>13</v>
      </c>
      <c r="D205" s="48" t="s">
        <v>199</v>
      </c>
      <c r="E205" s="48" t="s">
        <v>200</v>
      </c>
      <c r="F205" s="48" t="s">
        <v>65</v>
      </c>
      <c r="G205" s="49">
        <f t="shared" si="148"/>
        <v>37428571.43</v>
      </c>
      <c r="H205" s="49">
        <f>H206</f>
        <v>36680000</v>
      </c>
      <c r="I205" s="49">
        <f>I206</f>
        <v>748571.43</v>
      </c>
      <c r="J205" s="49">
        <f t="shared" si="149"/>
        <v>37428571.43</v>
      </c>
      <c r="K205" s="49">
        <f>K206</f>
        <v>36680000</v>
      </c>
      <c r="L205" s="49">
        <f>L206</f>
        <v>748571.43</v>
      </c>
      <c r="M205" s="49" t="e">
        <f>№205+O205</f>
        <v>#NAME?</v>
      </c>
      <c r="N205" s="49" t="e">
        <f>№206</f>
        <v>#NAME?</v>
      </c>
      <c r="O205" s="49">
        <f>O206</f>
        <v>563650.79</v>
      </c>
      <c r="P205" s="49">
        <f t="shared" si="150"/>
        <v>28182539.640000001</v>
      </c>
      <c r="Q205" s="49">
        <f>Q206</f>
        <v>27618888.84</v>
      </c>
      <c r="R205" s="49">
        <f>R206</f>
        <v>563650.80000000005</v>
      </c>
      <c r="S205" s="49">
        <f t="shared" si="151"/>
        <v>37428571.43</v>
      </c>
      <c r="T205" s="49">
        <f>T206</f>
        <v>36680000</v>
      </c>
      <c r="U205" s="49">
        <f>U206</f>
        <v>748571.43</v>
      </c>
      <c r="V205" s="49">
        <f t="shared" si="152"/>
        <v>37428571.43</v>
      </c>
      <c r="W205" s="49">
        <f>W206</f>
        <v>36680000</v>
      </c>
      <c r="X205" s="49">
        <f>X206</f>
        <v>748571.43</v>
      </c>
      <c r="Y205" s="19">
        <f t="shared" si="90"/>
        <v>0</v>
      </c>
      <c r="Z205" s="19">
        <f t="shared" si="153"/>
        <v>0</v>
      </c>
      <c r="AA205" s="19">
        <f t="shared" si="154"/>
        <v>0</v>
      </c>
      <c r="AB205" s="7" t="e">
        <f t="shared" si="115"/>
        <v>#NAME?</v>
      </c>
      <c r="AC205" s="50">
        <f t="shared" si="141"/>
        <v>100</v>
      </c>
      <c r="AD205" s="50" t="e">
        <f t="shared" si="98"/>
        <v>#NAME?</v>
      </c>
    </row>
    <row r="206" spans="1:30" ht="30">
      <c r="A206" s="46" t="s">
        <v>176</v>
      </c>
      <c r="B206" s="48" t="s">
        <v>177</v>
      </c>
      <c r="C206" s="46"/>
      <c r="D206" s="46"/>
      <c r="E206" s="46"/>
      <c r="F206" s="46"/>
      <c r="G206" s="49">
        <f t="shared" si="148"/>
        <v>37428571.43</v>
      </c>
      <c r="H206" s="49">
        <v>36680000</v>
      </c>
      <c r="I206" s="49">
        <v>748571.43</v>
      </c>
      <c r="J206" s="49">
        <f t="shared" si="149"/>
        <v>37428571.43</v>
      </c>
      <c r="K206" s="49">
        <v>36680000</v>
      </c>
      <c r="L206" s="49">
        <v>748571.43</v>
      </c>
      <c r="M206" s="49" t="e">
        <f>№206+O206</f>
        <v>#NAME?</v>
      </c>
      <c r="N206" s="49">
        <v>27618888.850000001</v>
      </c>
      <c r="O206" s="49">
        <v>563650.79</v>
      </c>
      <c r="P206" s="49">
        <f t="shared" si="150"/>
        <v>28182539.640000001</v>
      </c>
      <c r="Q206" s="49">
        <v>27618888.84</v>
      </c>
      <c r="R206" s="49">
        <v>563650.80000000005</v>
      </c>
      <c r="S206" s="49">
        <f t="shared" si="151"/>
        <v>37428571.43</v>
      </c>
      <c r="T206" s="49">
        <v>36680000</v>
      </c>
      <c r="U206" s="49">
        <v>748571.43</v>
      </c>
      <c r="V206" s="49">
        <f t="shared" si="152"/>
        <v>37428571.43</v>
      </c>
      <c r="W206" s="49">
        <v>36680000</v>
      </c>
      <c r="X206" s="49">
        <v>748571.43</v>
      </c>
      <c r="Y206" s="19">
        <f t="shared" si="90"/>
        <v>0</v>
      </c>
      <c r="Z206" s="19">
        <f t="shared" si="153"/>
        <v>0</v>
      </c>
      <c r="AA206" s="19">
        <f t="shared" si="154"/>
        <v>0</v>
      </c>
      <c r="AB206" s="7" t="e">
        <f t="shared" si="115"/>
        <v>#NAME?</v>
      </c>
      <c r="AC206" s="50">
        <f t="shared" si="141"/>
        <v>100</v>
      </c>
      <c r="AD206" s="50" t="e">
        <f t="shared" si="98"/>
        <v>#NAME?</v>
      </c>
    </row>
    <row r="207" spans="1:30" ht="156.75" customHeight="1">
      <c r="A207" s="46" t="s">
        <v>201</v>
      </c>
      <c r="B207" s="48" t="s">
        <v>13</v>
      </c>
      <c r="C207" s="48" t="s">
        <v>13</v>
      </c>
      <c r="D207" s="48" t="s">
        <v>202</v>
      </c>
      <c r="E207" s="48" t="s">
        <v>203</v>
      </c>
      <c r="F207" s="48" t="s">
        <v>20</v>
      </c>
      <c r="G207" s="49">
        <f t="shared" si="148"/>
        <v>88006326.530000001</v>
      </c>
      <c r="H207" s="49">
        <f>H208</f>
        <v>86246200</v>
      </c>
      <c r="I207" s="49">
        <f>I208</f>
        <v>1760126.53</v>
      </c>
      <c r="J207" s="49">
        <f t="shared" si="149"/>
        <v>88006326.530000001</v>
      </c>
      <c r="K207" s="49">
        <f>K208</f>
        <v>86246200</v>
      </c>
      <c r="L207" s="49">
        <f>L208</f>
        <v>1760126.53</v>
      </c>
      <c r="M207" s="49" t="e">
        <f>№207+O207</f>
        <v>#NAME?</v>
      </c>
      <c r="N207" s="49" t="e">
        <f>№208</f>
        <v>#NAME?</v>
      </c>
      <c r="O207" s="49">
        <f>O208</f>
        <v>1018675.85</v>
      </c>
      <c r="P207" s="49">
        <f t="shared" si="150"/>
        <v>50933792.240000002</v>
      </c>
      <c r="Q207" s="49">
        <f>Q208</f>
        <v>49915116.390000001</v>
      </c>
      <c r="R207" s="49">
        <f>R208</f>
        <v>1018675.85</v>
      </c>
      <c r="S207" s="49">
        <f t="shared" si="151"/>
        <v>88006326.530000001</v>
      </c>
      <c r="T207" s="49">
        <f>T208</f>
        <v>86246200</v>
      </c>
      <c r="U207" s="49">
        <f>U208</f>
        <v>1760126.53</v>
      </c>
      <c r="V207" s="49">
        <f t="shared" si="152"/>
        <v>88006326.530000001</v>
      </c>
      <c r="W207" s="49">
        <f>W208</f>
        <v>86246200</v>
      </c>
      <c r="X207" s="49">
        <f>X208</f>
        <v>1760126.53</v>
      </c>
      <c r="Y207" s="19">
        <f t="shared" si="90"/>
        <v>0</v>
      </c>
      <c r="Z207" s="19">
        <f t="shared" si="153"/>
        <v>0</v>
      </c>
      <c r="AA207" s="19">
        <f t="shared" si="154"/>
        <v>0</v>
      </c>
      <c r="AB207" s="7" t="e">
        <f t="shared" si="115"/>
        <v>#NAME?</v>
      </c>
      <c r="AC207" s="50">
        <f t="shared" si="141"/>
        <v>100</v>
      </c>
      <c r="AD207" s="50" t="e">
        <f t="shared" si="98"/>
        <v>#NAME?</v>
      </c>
    </row>
    <row r="208" spans="1:30" ht="30">
      <c r="A208" s="46" t="s">
        <v>176</v>
      </c>
      <c r="B208" s="48" t="s">
        <v>177</v>
      </c>
      <c r="C208" s="46"/>
      <c r="D208" s="46"/>
      <c r="E208" s="46"/>
      <c r="F208" s="46"/>
      <c r="G208" s="49">
        <f t="shared" si="148"/>
        <v>88006326.530000001</v>
      </c>
      <c r="H208" s="49">
        <v>86246200</v>
      </c>
      <c r="I208" s="49">
        <v>1760126.53</v>
      </c>
      <c r="J208" s="49">
        <f t="shared" si="149"/>
        <v>88006326.530000001</v>
      </c>
      <c r="K208" s="49">
        <v>86246200</v>
      </c>
      <c r="L208" s="49">
        <v>1760126.53</v>
      </c>
      <c r="M208" s="49" t="e">
        <f>№208+O208</f>
        <v>#NAME?</v>
      </c>
      <c r="N208" s="49">
        <v>49915116.390000001</v>
      </c>
      <c r="O208" s="49">
        <v>1018675.85</v>
      </c>
      <c r="P208" s="49">
        <f t="shared" si="150"/>
        <v>50933792.240000002</v>
      </c>
      <c r="Q208" s="49">
        <v>49915116.390000001</v>
      </c>
      <c r="R208" s="49">
        <v>1018675.85</v>
      </c>
      <c r="S208" s="49">
        <f t="shared" si="151"/>
        <v>88006326.530000001</v>
      </c>
      <c r="T208" s="49">
        <v>86246200</v>
      </c>
      <c r="U208" s="49">
        <v>1760126.53</v>
      </c>
      <c r="V208" s="49">
        <f t="shared" si="152"/>
        <v>88006326.530000001</v>
      </c>
      <c r="W208" s="49">
        <v>86246200</v>
      </c>
      <c r="X208" s="49">
        <v>1760126.53</v>
      </c>
      <c r="Y208" s="19">
        <f t="shared" si="90"/>
        <v>0</v>
      </c>
      <c r="Z208" s="19">
        <f t="shared" si="153"/>
        <v>0</v>
      </c>
      <c r="AA208" s="19">
        <f t="shared" si="154"/>
        <v>0</v>
      </c>
      <c r="AB208" s="7" t="e">
        <f t="shared" si="115"/>
        <v>#NAME?</v>
      </c>
      <c r="AC208" s="50">
        <f t="shared" si="141"/>
        <v>100</v>
      </c>
      <c r="AD208" s="50" t="e">
        <f t="shared" si="98"/>
        <v>#NAME?</v>
      </c>
    </row>
    <row r="209" spans="1:30" ht="96.75" customHeight="1">
      <c r="A209" s="46" t="s">
        <v>204</v>
      </c>
      <c r="B209" s="48" t="s">
        <v>13</v>
      </c>
      <c r="C209" s="48" t="s">
        <v>13</v>
      </c>
      <c r="D209" s="48" t="s">
        <v>205</v>
      </c>
      <c r="E209" s="48" t="s">
        <v>206</v>
      </c>
      <c r="F209" s="48" t="s">
        <v>65</v>
      </c>
      <c r="G209" s="49">
        <f t="shared" si="148"/>
        <v>28173877.550000001</v>
      </c>
      <c r="H209" s="49">
        <f>H210</f>
        <v>27610400</v>
      </c>
      <c r="I209" s="49">
        <f>I210</f>
        <v>563477.55000000005</v>
      </c>
      <c r="J209" s="49">
        <f t="shared" si="149"/>
        <v>28173877.550000001</v>
      </c>
      <c r="K209" s="49">
        <f>K210</f>
        <v>27610400</v>
      </c>
      <c r="L209" s="49">
        <f>L210</f>
        <v>563477.55000000005</v>
      </c>
      <c r="M209" s="49" t="e">
        <f>№209+O209</f>
        <v>#NAME?</v>
      </c>
      <c r="N209" s="49" t="e">
        <f>№210</f>
        <v>#NAME?</v>
      </c>
      <c r="O209" s="49">
        <f>O210</f>
        <v>549304.46</v>
      </c>
      <c r="P209" s="49">
        <f t="shared" si="150"/>
        <v>27465223.120000001</v>
      </c>
      <c r="Q209" s="49">
        <f>Q210</f>
        <v>26915918.640000001</v>
      </c>
      <c r="R209" s="49">
        <f>R210</f>
        <v>549304.48</v>
      </c>
      <c r="S209" s="49">
        <f t="shared" si="151"/>
        <v>28173877.550000001</v>
      </c>
      <c r="T209" s="49">
        <f>T210</f>
        <v>27610400</v>
      </c>
      <c r="U209" s="49">
        <f>U210</f>
        <v>563477.55000000005</v>
      </c>
      <c r="V209" s="49">
        <f t="shared" si="152"/>
        <v>28173877.550000001</v>
      </c>
      <c r="W209" s="49">
        <f>W210</f>
        <v>27610400</v>
      </c>
      <c r="X209" s="49">
        <f>X210</f>
        <v>563477.55000000005</v>
      </c>
      <c r="Y209" s="19">
        <f t="shared" ref="Y209:Y274" si="155">Z209+AA209</f>
        <v>0</v>
      </c>
      <c r="Z209" s="19">
        <f t="shared" si="153"/>
        <v>0</v>
      </c>
      <c r="AA209" s="19">
        <f t="shared" si="154"/>
        <v>0</v>
      </c>
      <c r="AB209" s="7" t="e">
        <f t="shared" si="115"/>
        <v>#NAME?</v>
      </c>
      <c r="AC209" s="50">
        <f t="shared" si="141"/>
        <v>100</v>
      </c>
      <c r="AD209" s="50">
        <v>0</v>
      </c>
    </row>
    <row r="210" spans="1:30">
      <c r="A210" s="23"/>
      <c r="B210" s="18"/>
      <c r="C210" s="46"/>
      <c r="D210" s="46"/>
      <c r="E210" s="46"/>
      <c r="F210" s="46"/>
      <c r="G210" s="49">
        <f t="shared" si="148"/>
        <v>28173877.550000001</v>
      </c>
      <c r="H210" s="49">
        <v>27610400</v>
      </c>
      <c r="I210" s="49">
        <v>563477.55000000005</v>
      </c>
      <c r="J210" s="49">
        <f t="shared" si="149"/>
        <v>28173877.550000001</v>
      </c>
      <c r="K210" s="49">
        <v>27610400</v>
      </c>
      <c r="L210" s="49">
        <v>563477.55000000005</v>
      </c>
      <c r="M210" s="49" t="e">
        <f>№210+O210</f>
        <v>#NAME?</v>
      </c>
      <c r="N210" s="49">
        <v>26915918.66</v>
      </c>
      <c r="O210" s="49">
        <v>549304.46</v>
      </c>
      <c r="P210" s="49">
        <f t="shared" si="150"/>
        <v>27465223.120000001</v>
      </c>
      <c r="Q210" s="49">
        <v>26915918.640000001</v>
      </c>
      <c r="R210" s="49">
        <v>549304.48</v>
      </c>
      <c r="S210" s="49">
        <f t="shared" si="151"/>
        <v>28173877.550000001</v>
      </c>
      <c r="T210" s="49">
        <v>27610400</v>
      </c>
      <c r="U210" s="49">
        <v>563477.55000000005</v>
      </c>
      <c r="V210" s="49">
        <f t="shared" si="152"/>
        <v>28173877.550000001</v>
      </c>
      <c r="W210" s="49">
        <v>27610400</v>
      </c>
      <c r="X210" s="49">
        <v>563477.55000000005</v>
      </c>
      <c r="Y210" s="19">
        <f t="shared" si="155"/>
        <v>0</v>
      </c>
      <c r="Z210" s="19">
        <f t="shared" si="153"/>
        <v>0</v>
      </c>
      <c r="AA210" s="19">
        <f t="shared" si="154"/>
        <v>0</v>
      </c>
      <c r="AB210" s="7" t="e">
        <f t="shared" si="115"/>
        <v>#NAME?</v>
      </c>
      <c r="AC210" s="50">
        <f t="shared" si="141"/>
        <v>100</v>
      </c>
      <c r="AD210" s="50">
        <v>0</v>
      </c>
    </row>
    <row r="211" spans="1:30" s="3" customFormat="1" ht="78" customHeight="1">
      <c r="A211" s="46" t="s">
        <v>207</v>
      </c>
      <c r="B211" s="48" t="s">
        <v>13</v>
      </c>
      <c r="C211" s="48" t="s">
        <v>13</v>
      </c>
      <c r="D211" s="48" t="s">
        <v>208</v>
      </c>
      <c r="E211" s="48" t="s">
        <v>125</v>
      </c>
      <c r="F211" s="48">
        <v>2022</v>
      </c>
      <c r="G211" s="49">
        <f t="shared" si="148"/>
        <v>35564268.899999999</v>
      </c>
      <c r="H211" s="24"/>
      <c r="I211" s="49">
        <v>35564268.899999999</v>
      </c>
      <c r="J211" s="49">
        <f t="shared" si="149"/>
        <v>35564268.899999999</v>
      </c>
      <c r="K211" s="24"/>
      <c r="L211" s="49">
        <v>35564268.899999999</v>
      </c>
      <c r="M211" s="49" t="e">
        <f>№211+O211</f>
        <v>#NAME?</v>
      </c>
      <c r="N211" s="24"/>
      <c r="O211" s="49">
        <v>16143080.23</v>
      </c>
      <c r="P211" s="49">
        <f t="shared" si="150"/>
        <v>16143080.23</v>
      </c>
      <c r="Q211" s="24"/>
      <c r="R211" s="49">
        <v>16143080.23</v>
      </c>
      <c r="S211" s="49">
        <f t="shared" si="151"/>
        <v>33567998.810000002</v>
      </c>
      <c r="T211" s="24"/>
      <c r="U211" s="27">
        <f>16143080.23+12649415.19+3085690.37+1689813.02</f>
        <v>33567998.810000002</v>
      </c>
      <c r="V211" s="49">
        <f t="shared" si="152"/>
        <v>33567998.810000002</v>
      </c>
      <c r="W211" s="24"/>
      <c r="X211" s="27">
        <f>16143080.23+12649415.19+3085690.37+1689813.02</f>
        <v>33567998.810000002</v>
      </c>
      <c r="Y211" s="19">
        <f t="shared" si="155"/>
        <v>1996270.0899999961</v>
      </c>
      <c r="Z211" s="19">
        <f t="shared" si="153"/>
        <v>0</v>
      </c>
      <c r="AA211" s="19">
        <f t="shared" si="154"/>
        <v>1996270.0899999961</v>
      </c>
      <c r="AB211" s="7" t="e">
        <f t="shared" si="115"/>
        <v>#NAME?</v>
      </c>
      <c r="AC211" s="50">
        <f t="shared" si="141"/>
        <v>94.386865942294122</v>
      </c>
      <c r="AD211" s="50">
        <v>0</v>
      </c>
    </row>
    <row r="212" spans="1:30" s="3" customFormat="1" ht="101.25" customHeight="1">
      <c r="A212" s="46" t="s">
        <v>299</v>
      </c>
      <c r="B212" s="48" t="s">
        <v>13</v>
      </c>
      <c r="C212" s="48" t="s">
        <v>13</v>
      </c>
      <c r="D212" s="48" t="s">
        <v>300</v>
      </c>
      <c r="E212" s="48" t="s">
        <v>125</v>
      </c>
      <c r="F212" s="48" t="s">
        <v>42</v>
      </c>
      <c r="G212" s="49">
        <f t="shared" si="148"/>
        <v>31342121.449999999</v>
      </c>
      <c r="H212" s="49">
        <f>H213</f>
        <v>30715300</v>
      </c>
      <c r="I212" s="49">
        <f>I213</f>
        <v>626821.44999999995</v>
      </c>
      <c r="J212" s="49">
        <f t="shared" si="149"/>
        <v>31342121.449999999</v>
      </c>
      <c r="K212" s="49">
        <f>K213</f>
        <v>30715300</v>
      </c>
      <c r="L212" s="49">
        <f>L213</f>
        <v>626821.44999999995</v>
      </c>
      <c r="M212" s="49" t="e">
        <f>№212+O212</f>
        <v>#NAME?</v>
      </c>
      <c r="N212" s="49" t="e">
        <f>№213</f>
        <v>#NAME?</v>
      </c>
      <c r="O212" s="49">
        <f>O213</f>
        <v>193338.75</v>
      </c>
      <c r="P212" s="49">
        <f t="shared" si="150"/>
        <v>9666937.5999999996</v>
      </c>
      <c r="Q212" s="49">
        <f>Q213</f>
        <v>9473598.8499999996</v>
      </c>
      <c r="R212" s="49">
        <f>R213</f>
        <v>193338.75</v>
      </c>
      <c r="S212" s="49">
        <f t="shared" si="151"/>
        <v>31342121.449999999</v>
      </c>
      <c r="T212" s="49">
        <f>T213</f>
        <v>30715300</v>
      </c>
      <c r="U212" s="49">
        <f>U213</f>
        <v>626821.44999999995</v>
      </c>
      <c r="V212" s="49">
        <f t="shared" si="152"/>
        <v>31342121.449999999</v>
      </c>
      <c r="W212" s="49">
        <f>W213</f>
        <v>30715300</v>
      </c>
      <c r="X212" s="49">
        <f>X213</f>
        <v>626821.44999999995</v>
      </c>
      <c r="Y212" s="19">
        <f t="shared" si="155"/>
        <v>0</v>
      </c>
      <c r="Z212" s="19">
        <f t="shared" si="153"/>
        <v>0</v>
      </c>
      <c r="AA212" s="19">
        <f t="shared" si="154"/>
        <v>0</v>
      </c>
      <c r="AB212" s="7" t="e">
        <f t="shared" si="115"/>
        <v>#NAME?</v>
      </c>
      <c r="AC212" s="50">
        <f t="shared" si="141"/>
        <v>100</v>
      </c>
      <c r="AD212" s="50">
        <v>0</v>
      </c>
    </row>
    <row r="213" spans="1:30" s="3" customFormat="1" ht="36.75" customHeight="1">
      <c r="A213" s="46" t="s">
        <v>176</v>
      </c>
      <c r="B213" s="48" t="s">
        <v>177</v>
      </c>
      <c r="C213" s="48"/>
      <c r="D213" s="48"/>
      <c r="E213" s="48"/>
      <c r="F213" s="48"/>
      <c r="G213" s="49">
        <f t="shared" si="148"/>
        <v>31342121.449999999</v>
      </c>
      <c r="H213" s="24">
        <v>30715300</v>
      </c>
      <c r="I213" s="49">
        <v>626821.44999999995</v>
      </c>
      <c r="J213" s="49">
        <f t="shared" si="149"/>
        <v>31342121.449999999</v>
      </c>
      <c r="K213" s="24">
        <v>30715300</v>
      </c>
      <c r="L213" s="49">
        <v>626821.44999999995</v>
      </c>
      <c r="M213" s="49" t="e">
        <f>№213+O213</f>
        <v>#NAME?</v>
      </c>
      <c r="N213" s="24">
        <v>9473598.8499999996</v>
      </c>
      <c r="O213" s="49">
        <v>193338.75</v>
      </c>
      <c r="P213" s="49">
        <f t="shared" si="150"/>
        <v>9666937.5999999996</v>
      </c>
      <c r="Q213" s="24">
        <v>9473598.8499999996</v>
      </c>
      <c r="R213" s="49">
        <v>193338.75</v>
      </c>
      <c r="S213" s="49">
        <f t="shared" si="151"/>
        <v>31342121.449999999</v>
      </c>
      <c r="T213" s="24">
        <v>30715300</v>
      </c>
      <c r="U213" s="49">
        <v>626821.44999999995</v>
      </c>
      <c r="V213" s="49">
        <f t="shared" si="152"/>
        <v>31342121.449999999</v>
      </c>
      <c r="W213" s="24">
        <v>30715300</v>
      </c>
      <c r="X213" s="49">
        <v>626821.44999999995</v>
      </c>
      <c r="Y213" s="19">
        <f t="shared" si="155"/>
        <v>0</v>
      </c>
      <c r="Z213" s="19">
        <f t="shared" si="153"/>
        <v>0</v>
      </c>
      <c r="AA213" s="19">
        <f t="shared" si="154"/>
        <v>0</v>
      </c>
      <c r="AB213" s="7" t="e">
        <f t="shared" si="115"/>
        <v>#NAME?</v>
      </c>
      <c r="AC213" s="50">
        <f t="shared" si="141"/>
        <v>100</v>
      </c>
      <c r="AD213" s="50">
        <v>0</v>
      </c>
    </row>
    <row r="214" spans="1:30" s="5" customFormat="1" ht="30" customHeight="1">
      <c r="A214" s="80" t="s">
        <v>209</v>
      </c>
      <c r="B214" s="80"/>
      <c r="C214" s="80"/>
      <c r="D214" s="80"/>
      <c r="E214" s="80"/>
      <c r="F214" s="80"/>
      <c r="G214" s="19">
        <f t="shared" ref="G214:I214" si="156">G217+G238</f>
        <v>1879871566.27</v>
      </c>
      <c r="H214" s="19">
        <f t="shared" si="156"/>
        <v>1336181699.99</v>
      </c>
      <c r="I214" s="19">
        <f t="shared" si="156"/>
        <v>543689866.27999997</v>
      </c>
      <c r="J214" s="19">
        <f t="shared" ref="J214:L214" si="157">J217+J238</f>
        <v>1879871566.27</v>
      </c>
      <c r="K214" s="19">
        <f t="shared" si="157"/>
        <v>1336181699.99</v>
      </c>
      <c r="L214" s="19">
        <f t="shared" si="157"/>
        <v>543689866.27999997</v>
      </c>
      <c r="M214" s="19" t="e">
        <f t="shared" ref="M214:U214" si="158">M217+M238</f>
        <v>#NAME?</v>
      </c>
      <c r="N214" s="19" t="e">
        <f>№217+№238</f>
        <v>#NAME?</v>
      </c>
      <c r="O214" s="19">
        <f t="shared" si="158"/>
        <v>263086092.71000001</v>
      </c>
      <c r="P214" s="19">
        <f t="shared" si="158"/>
        <v>1119056416.8999999</v>
      </c>
      <c r="Q214" s="19">
        <f t="shared" si="158"/>
        <v>855818889.27999985</v>
      </c>
      <c r="R214" s="19">
        <f t="shared" si="158"/>
        <v>263237527.62</v>
      </c>
      <c r="S214" s="19">
        <f t="shared" si="158"/>
        <v>1867516561.9400001</v>
      </c>
      <c r="T214" s="19">
        <f t="shared" si="158"/>
        <v>1336181695.3099999</v>
      </c>
      <c r="U214" s="19">
        <f t="shared" si="158"/>
        <v>531334866.63</v>
      </c>
      <c r="V214" s="19">
        <f t="shared" ref="V214:X214" si="159">V217+V238</f>
        <v>1867516560.9400001</v>
      </c>
      <c r="W214" s="19">
        <f t="shared" si="159"/>
        <v>1336181695.3099999</v>
      </c>
      <c r="X214" s="19">
        <f t="shared" si="159"/>
        <v>531334865.63</v>
      </c>
      <c r="Y214" s="19">
        <f t="shared" si="155"/>
        <v>12355005.330000043</v>
      </c>
      <c r="Z214" s="19">
        <f t="shared" si="153"/>
        <v>4.6800000667572021</v>
      </c>
      <c r="AA214" s="19">
        <f t="shared" si="154"/>
        <v>12355000.649999976</v>
      </c>
      <c r="AB214" s="7" t="e">
        <f t="shared" si="115"/>
        <v>#NAME?</v>
      </c>
      <c r="AC214" s="50">
        <f t="shared" si="141"/>
        <v>99.342773966494192</v>
      </c>
      <c r="AD214" s="7" t="e">
        <f t="shared" si="98"/>
        <v>#NAME?</v>
      </c>
    </row>
    <row r="215" spans="1:30">
      <c r="A215" s="81" t="s">
        <v>7</v>
      </c>
      <c r="B215" s="81"/>
      <c r="C215" s="81"/>
      <c r="D215" s="81"/>
      <c r="E215" s="81"/>
      <c r="F215" s="81"/>
      <c r="G215" s="49">
        <f t="shared" ref="G215:H215" si="160">G223+G230+G232+G234+G237</f>
        <v>1166729640</v>
      </c>
      <c r="H215" s="49">
        <f t="shared" si="160"/>
        <v>1140383699.99</v>
      </c>
      <c r="I215" s="49">
        <f>I232+I230+I234+I237+I241</f>
        <v>293610996.00999999</v>
      </c>
      <c r="J215" s="49">
        <f t="shared" ref="J215:K215" si="161">J223+J230+J232+J234+J237</f>
        <v>1166729640</v>
      </c>
      <c r="K215" s="49">
        <f t="shared" si="161"/>
        <v>1140383699.99</v>
      </c>
      <c r="L215" s="49">
        <f>L232+L230+L234+L237+L241</f>
        <v>293610996.00999999</v>
      </c>
      <c r="M215" s="49" t="e">
        <f t="shared" ref="M215:T215" si="162">M223+M230+M232+M234+M237</f>
        <v>#NAME?</v>
      </c>
      <c r="N215" s="49" t="e">
        <f>№223+№230+№232+№234+№237</f>
        <v>#NAME?</v>
      </c>
      <c r="O215" s="49">
        <f>O232+O230+O234+O237+O241</f>
        <v>236588944.72999999</v>
      </c>
      <c r="P215" s="49">
        <f t="shared" si="162"/>
        <v>731626465.11999989</v>
      </c>
      <c r="Q215" s="49">
        <f t="shared" si="162"/>
        <v>724766548.4799999</v>
      </c>
      <c r="R215" s="49">
        <f>R232+R230+R234+R237+R241</f>
        <v>236740378.63999999</v>
      </c>
      <c r="S215" s="49">
        <f t="shared" si="162"/>
        <v>1166729635.2</v>
      </c>
      <c r="T215" s="49">
        <f t="shared" si="162"/>
        <v>1140383695.3099999</v>
      </c>
      <c r="U215" s="49">
        <f>U232+U230+U234+U237+U241</f>
        <v>292550559.88999999</v>
      </c>
      <c r="V215" s="49">
        <f t="shared" ref="V215:W215" si="163">V223+V230+V232+V234+V237</f>
        <v>1166729635.2</v>
      </c>
      <c r="W215" s="49">
        <f t="shared" si="163"/>
        <v>1140383695.3099999</v>
      </c>
      <c r="X215" s="49">
        <f>X232+X230+X234+X237+X241</f>
        <v>292550559.88999999</v>
      </c>
      <c r="Y215" s="19">
        <f t="shared" si="155"/>
        <v>1060440.8000000715</v>
      </c>
      <c r="Z215" s="19">
        <f t="shared" si="153"/>
        <v>4.6800000667572021</v>
      </c>
      <c r="AA215" s="19">
        <f t="shared" si="154"/>
        <v>1060436.1200000048</v>
      </c>
      <c r="AB215" s="7" t="e">
        <f t="shared" si="115"/>
        <v>#NAME?</v>
      </c>
      <c r="AC215" s="50">
        <f t="shared" si="141"/>
        <v>99.999999588593639</v>
      </c>
      <c r="AD215" s="50" t="e">
        <f t="shared" si="98"/>
        <v>#NAME?</v>
      </c>
    </row>
    <row r="216" spans="1:30">
      <c r="A216" s="81" t="s">
        <v>8</v>
      </c>
      <c r="B216" s="81"/>
      <c r="C216" s="81"/>
      <c r="D216" s="81"/>
      <c r="E216" s="81"/>
      <c r="F216" s="81"/>
      <c r="G216" s="49">
        <f t="shared" ref="G216:H216" si="164">G214-G215</f>
        <v>713141926.26999998</v>
      </c>
      <c r="H216" s="49">
        <f t="shared" si="164"/>
        <v>195798000</v>
      </c>
      <c r="I216" s="49">
        <f>I214-I215</f>
        <v>250078870.26999998</v>
      </c>
      <c r="J216" s="49">
        <f t="shared" ref="J216:K216" si="165">J214-J215</f>
        <v>713141926.26999998</v>
      </c>
      <c r="K216" s="49">
        <f t="shared" si="165"/>
        <v>195798000</v>
      </c>
      <c r="L216" s="49">
        <f>L214-L215</f>
        <v>250078870.26999998</v>
      </c>
      <c r="M216" s="49" t="e">
        <f t="shared" ref="M216:T216" si="166">M214-M215</f>
        <v>#NAME?</v>
      </c>
      <c r="N216" s="49" t="e">
        <f>№214-№215</f>
        <v>#NAME?</v>
      </c>
      <c r="O216" s="49">
        <f>O214-O215</f>
        <v>26497147.980000019</v>
      </c>
      <c r="P216" s="49">
        <f t="shared" si="166"/>
        <v>387429951.77999997</v>
      </c>
      <c r="Q216" s="49">
        <f t="shared" si="166"/>
        <v>131052340.79999995</v>
      </c>
      <c r="R216" s="49">
        <f>R214-R215</f>
        <v>26497148.980000019</v>
      </c>
      <c r="S216" s="49">
        <f t="shared" si="166"/>
        <v>700786926.74000001</v>
      </c>
      <c r="T216" s="49">
        <f t="shared" si="166"/>
        <v>195798000</v>
      </c>
      <c r="U216" s="49">
        <f>U214-U215</f>
        <v>238784306.74000001</v>
      </c>
      <c r="V216" s="49">
        <f t="shared" ref="V216:W216" si="167">V214-V215</f>
        <v>700786925.74000001</v>
      </c>
      <c r="W216" s="49">
        <f t="shared" si="167"/>
        <v>195798000</v>
      </c>
      <c r="X216" s="49">
        <f>X214-X215</f>
        <v>238784305.74000001</v>
      </c>
      <c r="Y216" s="19">
        <f t="shared" si="155"/>
        <v>11294564.529999971</v>
      </c>
      <c r="Z216" s="19">
        <f t="shared" si="153"/>
        <v>0</v>
      </c>
      <c r="AA216" s="19">
        <f t="shared" si="154"/>
        <v>11294564.529999971</v>
      </c>
      <c r="AB216" s="7" t="e">
        <f t="shared" si="115"/>
        <v>#NAME?</v>
      </c>
      <c r="AC216" s="50">
        <f t="shared" si="141"/>
        <v>98.267525709136009</v>
      </c>
      <c r="AD216" s="50" t="e">
        <f t="shared" si="98"/>
        <v>#NAME?</v>
      </c>
    </row>
    <row r="217" spans="1:30" ht="30.75" customHeight="1">
      <c r="A217" s="81" t="s">
        <v>210</v>
      </c>
      <c r="B217" s="81"/>
      <c r="C217" s="81"/>
      <c r="D217" s="81"/>
      <c r="E217" s="81"/>
      <c r="F217" s="81"/>
      <c r="G217" s="49">
        <f t="shared" ref="G217:I217" si="168">G219+G220+G221+G222+G225+G226+G229+G231+G233+G236</f>
        <v>1612606510.27</v>
      </c>
      <c r="H217" s="49">
        <f t="shared" si="168"/>
        <v>1336181699.99</v>
      </c>
      <c r="I217" s="49">
        <f t="shared" si="168"/>
        <v>276424810.27999997</v>
      </c>
      <c r="J217" s="49">
        <f t="shared" ref="J217:L217" si="169">J219+J220+J221+J222+J225+J226+J229+J231+J233+J236</f>
        <v>1612606510.27</v>
      </c>
      <c r="K217" s="49">
        <f t="shared" si="169"/>
        <v>1336181699.99</v>
      </c>
      <c r="L217" s="49">
        <f t="shared" si="169"/>
        <v>276424810.27999997</v>
      </c>
      <c r="M217" s="49" t="e">
        <f t="shared" ref="M217:U217" si="170">M219+M220+M221+M222+M225+M226+M229+M231+M233+M236</f>
        <v>#NAME?</v>
      </c>
      <c r="N217" s="49" t="e">
        <f>№219+№220+№221+№222+№225+№226+№229+№231+№233+№236</f>
        <v>#NAME?</v>
      </c>
      <c r="O217" s="49">
        <f t="shared" si="170"/>
        <v>33205630.710000001</v>
      </c>
      <c r="P217" s="49">
        <f t="shared" si="170"/>
        <v>889175954.89999986</v>
      </c>
      <c r="Q217" s="49">
        <f t="shared" si="170"/>
        <v>855818889.27999985</v>
      </c>
      <c r="R217" s="49">
        <f t="shared" si="170"/>
        <v>33357065.620000001</v>
      </c>
      <c r="S217" s="49">
        <f t="shared" si="170"/>
        <v>1601311941.9400001</v>
      </c>
      <c r="T217" s="49">
        <f t="shared" si="170"/>
        <v>1336181695.3099999</v>
      </c>
      <c r="U217" s="49">
        <f t="shared" si="170"/>
        <v>265130246.63</v>
      </c>
      <c r="V217" s="49">
        <f t="shared" ref="V217:X217" si="171">V219+V220+V221+V222+V225+V226+V229+V231+V233+V236</f>
        <v>1601311940.9400001</v>
      </c>
      <c r="W217" s="49">
        <f t="shared" si="171"/>
        <v>1336181695.3099999</v>
      </c>
      <c r="X217" s="49">
        <f t="shared" si="171"/>
        <v>265130245.63</v>
      </c>
      <c r="Y217" s="19">
        <f t="shared" si="155"/>
        <v>11294569.330000043</v>
      </c>
      <c r="Z217" s="19">
        <f t="shared" si="153"/>
        <v>4.6800000667572021</v>
      </c>
      <c r="AA217" s="19">
        <f t="shared" si="154"/>
        <v>11294564.649999976</v>
      </c>
      <c r="AB217" s="7" t="e">
        <f t="shared" si="115"/>
        <v>#NAME?</v>
      </c>
      <c r="AC217" s="50">
        <f t="shared" si="141"/>
        <v>99.299607854856745</v>
      </c>
      <c r="AD217" s="50" t="e">
        <f t="shared" si="98"/>
        <v>#NAME?</v>
      </c>
    </row>
    <row r="218" spans="1:30" s="5" customFormat="1">
      <c r="A218" s="80" t="s">
        <v>92</v>
      </c>
      <c r="B218" s="80"/>
      <c r="C218" s="80"/>
      <c r="D218" s="80"/>
      <c r="E218" s="80"/>
      <c r="F218" s="80"/>
      <c r="G218" s="19">
        <f>G219+G220+G221+G222+G225+G226+G229+G231+G233+G236</f>
        <v>1612606510.27</v>
      </c>
      <c r="H218" s="19">
        <f t="shared" ref="H218" si="172">H219+H220+H221+H222+H225+H226+H229+H231+H233+H236</f>
        <v>1336181699.99</v>
      </c>
      <c r="I218" s="19">
        <f>I219+I220+I221+I222+I225+I226+I229+I231+I233+I236</f>
        <v>276424810.27999997</v>
      </c>
      <c r="J218" s="19">
        <f>J219+J220+J221+J222+J225+J226+J229+J231+J233+J236</f>
        <v>1612606510.27</v>
      </c>
      <c r="K218" s="19">
        <f t="shared" ref="K218" si="173">K219+K220+K221+K222+K225+K226+K229+K231+K233+K236</f>
        <v>1336181699.99</v>
      </c>
      <c r="L218" s="19">
        <f>L219+L220+L221+L222+L225+L226+L229+L231+L233+L236</f>
        <v>276424810.27999997</v>
      </c>
      <c r="M218" s="19" t="e">
        <f>M219+M220+M221+M222+M225+M226+M229+M231+M233+M236</f>
        <v>#NAME?</v>
      </c>
      <c r="N218" s="19" t="e">
        <f>№219+№220+№221+№222+№225+№226+№229+№231+№233+№236</f>
        <v>#NAME?</v>
      </c>
      <c r="O218" s="19">
        <f t="shared" ref="O218:S218" si="174">O219+O220+O221+O222+O225+O226+O229+O231+O233+O236</f>
        <v>33205630.710000001</v>
      </c>
      <c r="P218" s="19">
        <f t="shared" si="174"/>
        <v>889175954.89999986</v>
      </c>
      <c r="Q218" s="19">
        <f t="shared" si="174"/>
        <v>855818889.27999985</v>
      </c>
      <c r="R218" s="19">
        <f t="shared" si="174"/>
        <v>33357065.620000001</v>
      </c>
      <c r="S218" s="19">
        <f t="shared" si="174"/>
        <v>1601311941.9400001</v>
      </c>
      <c r="T218" s="19">
        <f>T219+T220+T221+T222+T225+T226+T229+T231+T233+T236</f>
        <v>1336181695.3099999</v>
      </c>
      <c r="U218" s="19">
        <f>U219+U220+U221+U222+U225+U226+U229+U231+U233+U236</f>
        <v>265130246.63</v>
      </c>
      <c r="V218" s="19">
        <f t="shared" ref="V218" si="175">V219+V220+V221+V222+V225+V226+V229+V231+V233+V236</f>
        <v>1601311940.9400001</v>
      </c>
      <c r="W218" s="19">
        <f>W219+W220+W221+W222+W225+W226+W229+W231+W233+W236</f>
        <v>1336181695.3099999</v>
      </c>
      <c r="X218" s="19">
        <f>X219+X220+X221+X222+X225+X226+X229+X231+X233+X236</f>
        <v>265130245.63</v>
      </c>
      <c r="Y218" s="19">
        <f t="shared" si="155"/>
        <v>11294569.330000043</v>
      </c>
      <c r="Z218" s="19">
        <f t="shared" si="153"/>
        <v>4.6800000667572021</v>
      </c>
      <c r="AA218" s="19">
        <f t="shared" si="154"/>
        <v>11294564.649999976</v>
      </c>
      <c r="AB218" s="7" t="e">
        <f t="shared" si="115"/>
        <v>#NAME?</v>
      </c>
      <c r="AC218" s="50">
        <f t="shared" si="141"/>
        <v>99.299607854856745</v>
      </c>
      <c r="AD218" s="7" t="e">
        <f t="shared" si="98"/>
        <v>#NAME?</v>
      </c>
    </row>
    <row r="219" spans="1:30" ht="60">
      <c r="A219" s="46" t="s">
        <v>211</v>
      </c>
      <c r="B219" s="48" t="s">
        <v>13</v>
      </c>
      <c r="C219" s="48" t="s">
        <v>13</v>
      </c>
      <c r="D219" s="48" t="s">
        <v>212</v>
      </c>
      <c r="E219" s="48" t="s">
        <v>74</v>
      </c>
      <c r="F219" s="48">
        <v>2022</v>
      </c>
      <c r="G219" s="49"/>
      <c r="H219" s="24"/>
      <c r="I219" s="49"/>
      <c r="J219" s="49"/>
      <c r="K219" s="24"/>
      <c r="L219" s="49"/>
      <c r="M219" s="49" t="e">
        <f>№219+O219</f>
        <v>#NAME?</v>
      </c>
      <c r="N219" s="24"/>
      <c r="O219" s="49">
        <v>0</v>
      </c>
      <c r="P219" s="49">
        <f>Q219+R219</f>
        <v>0</v>
      </c>
      <c r="Q219" s="24"/>
      <c r="R219" s="49">
        <v>0</v>
      </c>
      <c r="S219" s="49"/>
      <c r="T219" s="24"/>
      <c r="U219" s="49"/>
      <c r="V219" s="49"/>
      <c r="W219" s="24"/>
      <c r="X219" s="49"/>
      <c r="Y219" s="19">
        <f t="shared" si="155"/>
        <v>0</v>
      </c>
      <c r="Z219" s="19">
        <f t="shared" si="153"/>
        <v>0</v>
      </c>
      <c r="AA219" s="19">
        <f t="shared" si="154"/>
        <v>0</v>
      </c>
      <c r="AB219" s="7"/>
      <c r="AC219" s="50"/>
      <c r="AD219" s="50">
        <v>0</v>
      </c>
    </row>
    <row r="220" spans="1:30" ht="124.5" customHeight="1">
      <c r="A220" s="46" t="s">
        <v>213</v>
      </c>
      <c r="B220" s="48" t="s">
        <v>13</v>
      </c>
      <c r="C220" s="48" t="s">
        <v>13</v>
      </c>
      <c r="D220" s="48" t="s">
        <v>214</v>
      </c>
      <c r="E220" s="48" t="s">
        <v>215</v>
      </c>
      <c r="F220" s="48">
        <v>2022</v>
      </c>
      <c r="G220" s="49">
        <v>26000000</v>
      </c>
      <c r="H220" s="24"/>
      <c r="I220" s="49">
        <v>26000000</v>
      </c>
      <c r="J220" s="49">
        <v>26000000</v>
      </c>
      <c r="K220" s="24"/>
      <c r="L220" s="49">
        <v>26000000</v>
      </c>
      <c r="M220" s="49" t="e">
        <f>№220+O220</f>
        <v>#NAME?</v>
      </c>
      <c r="N220" s="24"/>
      <c r="O220" s="49">
        <v>26000000</v>
      </c>
      <c r="P220" s="49">
        <f t="shared" ref="P220:P238" si="176">Q220+R220</f>
        <v>26000000</v>
      </c>
      <c r="Q220" s="24"/>
      <c r="R220" s="49">
        <v>26000000</v>
      </c>
      <c r="S220" s="49">
        <f t="shared" ref="S220:S238" si="177">T220+U220</f>
        <v>26000000</v>
      </c>
      <c r="T220" s="24"/>
      <c r="U220" s="49">
        <v>26000000</v>
      </c>
      <c r="V220" s="49">
        <f t="shared" ref="V220:V226" si="178">W220+X220</f>
        <v>26000000</v>
      </c>
      <c r="W220" s="24"/>
      <c r="X220" s="49">
        <v>26000000</v>
      </c>
      <c r="Y220" s="19">
        <f t="shared" si="155"/>
        <v>0</v>
      </c>
      <c r="Z220" s="19">
        <f t="shared" si="153"/>
        <v>0</v>
      </c>
      <c r="AA220" s="19">
        <f t="shared" si="154"/>
        <v>0</v>
      </c>
      <c r="AB220" s="7" t="e">
        <f t="shared" si="115"/>
        <v>#NAME?</v>
      </c>
      <c r="AC220" s="50">
        <f t="shared" si="141"/>
        <v>100</v>
      </c>
      <c r="AD220" s="50" t="e">
        <f>S220/M220*100</f>
        <v>#NAME?</v>
      </c>
    </row>
    <row r="221" spans="1:30" ht="76.5" customHeight="1">
      <c r="A221" s="46" t="s">
        <v>216</v>
      </c>
      <c r="B221" s="48" t="s">
        <v>13</v>
      </c>
      <c r="C221" s="48" t="s">
        <v>13</v>
      </c>
      <c r="D221" s="48" t="s">
        <v>217</v>
      </c>
      <c r="E221" s="48" t="s">
        <v>178</v>
      </c>
      <c r="F221" s="48">
        <v>2022</v>
      </c>
      <c r="G221" s="49">
        <f t="shared" ref="G221:G226" si="179">H221+I221</f>
        <v>10836000</v>
      </c>
      <c r="H221" s="24"/>
      <c r="I221" s="49">
        <v>10836000</v>
      </c>
      <c r="J221" s="49">
        <f t="shared" ref="J221:J226" si="180">K221+L221</f>
        <v>10836000</v>
      </c>
      <c r="K221" s="24"/>
      <c r="L221" s="49">
        <v>10836000</v>
      </c>
      <c r="M221" s="49" t="e">
        <f>№221+O221</f>
        <v>#NAME?</v>
      </c>
      <c r="N221" s="24"/>
      <c r="O221" s="49">
        <v>497147.98</v>
      </c>
      <c r="P221" s="49">
        <f t="shared" si="176"/>
        <v>497148.98</v>
      </c>
      <c r="Q221" s="24"/>
      <c r="R221" s="49">
        <v>497148.98</v>
      </c>
      <c r="S221" s="49">
        <f t="shared" si="177"/>
        <v>10784306.74</v>
      </c>
      <c r="T221" s="24"/>
      <c r="U221" s="49">
        <v>10784306.74</v>
      </c>
      <c r="V221" s="49">
        <f t="shared" si="178"/>
        <v>10784305.74</v>
      </c>
      <c r="W221" s="24"/>
      <c r="X221" s="64">
        <v>10784305.74</v>
      </c>
      <c r="Y221" s="19">
        <f t="shared" si="155"/>
        <v>51694.259999999776</v>
      </c>
      <c r="Z221" s="19">
        <f t="shared" si="153"/>
        <v>0</v>
      </c>
      <c r="AA221" s="19">
        <f t="shared" si="154"/>
        <v>51694.259999999776</v>
      </c>
      <c r="AB221" s="7" t="e">
        <f t="shared" si="115"/>
        <v>#NAME?</v>
      </c>
      <c r="AC221" s="50">
        <f t="shared" si="141"/>
        <v>99.522939645625698</v>
      </c>
      <c r="AD221" s="50" t="e">
        <f>S221/M221*100</f>
        <v>#NAME?</v>
      </c>
    </row>
    <row r="222" spans="1:30" ht="92.25" customHeight="1">
      <c r="A222" s="46" t="s">
        <v>218</v>
      </c>
      <c r="B222" s="48" t="s">
        <v>13</v>
      </c>
      <c r="C222" s="48" t="s">
        <v>94</v>
      </c>
      <c r="D222" s="48" t="s">
        <v>219</v>
      </c>
      <c r="E222" s="48" t="s">
        <v>220</v>
      </c>
      <c r="F222" s="48" t="s">
        <v>221</v>
      </c>
      <c r="G222" s="49">
        <f t="shared" si="179"/>
        <v>799999500</v>
      </c>
      <c r="H222" s="49">
        <f>H223+H224</f>
        <v>799999500</v>
      </c>
      <c r="I222" s="49"/>
      <c r="J222" s="49">
        <f t="shared" si="180"/>
        <v>799999500</v>
      </c>
      <c r="K222" s="49">
        <f>K223+K224</f>
        <v>799999500</v>
      </c>
      <c r="L222" s="49"/>
      <c r="M222" s="49" t="e">
        <f>№222+O222</f>
        <v>#NAME?</v>
      </c>
      <c r="N222" s="49" t="e">
        <f>№223+№224</f>
        <v>#NAME?</v>
      </c>
      <c r="O222" s="49"/>
      <c r="P222" s="49">
        <f t="shared" si="176"/>
        <v>726538911.5999999</v>
      </c>
      <c r="Q222" s="49">
        <f>Q223+Q224</f>
        <v>726538911.5999999</v>
      </c>
      <c r="R222" s="49"/>
      <c r="S222" s="49">
        <f t="shared" si="177"/>
        <v>799999500</v>
      </c>
      <c r="T222" s="49">
        <f>T223+T224</f>
        <v>799999500</v>
      </c>
      <c r="U222" s="49"/>
      <c r="V222" s="49">
        <f t="shared" si="178"/>
        <v>799999500</v>
      </c>
      <c r="W222" s="49">
        <f>W223+W224</f>
        <v>799999500</v>
      </c>
      <c r="X222" s="49"/>
      <c r="Y222" s="19">
        <f t="shared" si="155"/>
        <v>0</v>
      </c>
      <c r="Z222" s="19">
        <f t="shared" si="153"/>
        <v>0</v>
      </c>
      <c r="AA222" s="19">
        <f t="shared" si="154"/>
        <v>0</v>
      </c>
      <c r="AB222" s="7" t="e">
        <f t="shared" si="115"/>
        <v>#NAME?</v>
      </c>
      <c r="AC222" s="50">
        <f t="shared" si="141"/>
        <v>100</v>
      </c>
      <c r="AD222" s="50" t="e">
        <f t="shared" si="98"/>
        <v>#NAME?</v>
      </c>
    </row>
    <row r="223" spans="1:30" ht="45">
      <c r="A223" s="46" t="s">
        <v>222</v>
      </c>
      <c r="B223" s="48" t="s">
        <v>223</v>
      </c>
      <c r="C223" s="46"/>
      <c r="D223" s="46"/>
      <c r="E223" s="46"/>
      <c r="F223" s="46"/>
      <c r="G223" s="49">
        <f t="shared" si="179"/>
        <v>604201500</v>
      </c>
      <c r="H223" s="49">
        <v>604201500</v>
      </c>
      <c r="I223" s="49"/>
      <c r="J223" s="49">
        <f t="shared" si="180"/>
        <v>604201500</v>
      </c>
      <c r="K223" s="49">
        <v>604201500</v>
      </c>
      <c r="L223" s="49"/>
      <c r="M223" s="49" t="e">
        <f>№223+O223</f>
        <v>#NAME?</v>
      </c>
      <c r="N223" s="49">
        <v>595486570.79999995</v>
      </c>
      <c r="O223" s="49"/>
      <c r="P223" s="49">
        <f t="shared" si="176"/>
        <v>595486570.79999995</v>
      </c>
      <c r="Q223" s="49">
        <v>595486570.79999995</v>
      </c>
      <c r="R223" s="49"/>
      <c r="S223" s="49">
        <f t="shared" si="177"/>
        <v>604201500</v>
      </c>
      <c r="T223" s="49">
        <v>604201500</v>
      </c>
      <c r="U223" s="49"/>
      <c r="V223" s="49">
        <f t="shared" si="178"/>
        <v>604201500</v>
      </c>
      <c r="W223" s="49">
        <v>604201500</v>
      </c>
      <c r="X223" s="49"/>
      <c r="Y223" s="19">
        <f t="shared" si="155"/>
        <v>0</v>
      </c>
      <c r="Z223" s="19">
        <f t="shared" si="153"/>
        <v>0</v>
      </c>
      <c r="AA223" s="19">
        <f t="shared" si="154"/>
        <v>0</v>
      </c>
      <c r="AB223" s="7" t="e">
        <f t="shared" si="115"/>
        <v>#NAME?</v>
      </c>
      <c r="AC223" s="50">
        <f t="shared" si="141"/>
        <v>100</v>
      </c>
      <c r="AD223" s="50" t="e">
        <f t="shared" si="98"/>
        <v>#NAME?</v>
      </c>
    </row>
    <row r="224" spans="1:30">
      <c r="A224" s="74" t="s">
        <v>21</v>
      </c>
      <c r="B224" s="75"/>
      <c r="C224" s="75"/>
      <c r="D224" s="75"/>
      <c r="E224" s="75"/>
      <c r="F224" s="76"/>
      <c r="G224" s="49">
        <f t="shared" si="179"/>
        <v>195798000</v>
      </c>
      <c r="H224" s="49">
        <v>195798000</v>
      </c>
      <c r="I224" s="49"/>
      <c r="J224" s="49">
        <f t="shared" si="180"/>
        <v>195798000</v>
      </c>
      <c r="K224" s="49">
        <v>195798000</v>
      </c>
      <c r="L224" s="49"/>
      <c r="M224" s="49" t="e">
        <f>№224+O224</f>
        <v>#NAME?</v>
      </c>
      <c r="N224" s="49">
        <v>131052340.8</v>
      </c>
      <c r="O224" s="49"/>
      <c r="P224" s="49">
        <f t="shared" si="176"/>
        <v>131052340.8</v>
      </c>
      <c r="Q224" s="49">
        <v>131052340.8</v>
      </c>
      <c r="R224" s="49"/>
      <c r="S224" s="49">
        <f t="shared" si="177"/>
        <v>195798000</v>
      </c>
      <c r="T224" s="49">
        <v>195798000</v>
      </c>
      <c r="U224" s="49"/>
      <c r="V224" s="49">
        <f t="shared" si="178"/>
        <v>195798000</v>
      </c>
      <c r="W224" s="49">
        <v>195798000</v>
      </c>
      <c r="X224" s="49"/>
      <c r="Y224" s="19">
        <f t="shared" si="155"/>
        <v>0</v>
      </c>
      <c r="Z224" s="19">
        <f t="shared" si="153"/>
        <v>0</v>
      </c>
      <c r="AA224" s="19">
        <f t="shared" si="154"/>
        <v>0</v>
      </c>
      <c r="AB224" s="7" t="e">
        <f t="shared" si="115"/>
        <v>#NAME?</v>
      </c>
      <c r="AC224" s="50">
        <f t="shared" si="141"/>
        <v>100</v>
      </c>
      <c r="AD224" s="50" t="e">
        <f t="shared" si="98"/>
        <v>#NAME?</v>
      </c>
    </row>
    <row r="225" spans="1:30" ht="66.75" customHeight="1">
      <c r="A225" s="46" t="s">
        <v>358</v>
      </c>
      <c r="B225" s="48" t="s">
        <v>13</v>
      </c>
      <c r="C225" s="48" t="s">
        <v>13</v>
      </c>
      <c r="D225" s="48" t="s">
        <v>224</v>
      </c>
      <c r="E225" s="48" t="s">
        <v>74</v>
      </c>
      <c r="F225" s="48" t="s">
        <v>65</v>
      </c>
      <c r="G225" s="49">
        <f t="shared" si="179"/>
        <v>175000000</v>
      </c>
      <c r="H225" s="24"/>
      <c r="I225" s="49">
        <v>175000000</v>
      </c>
      <c r="J225" s="49">
        <f t="shared" si="180"/>
        <v>175000000</v>
      </c>
      <c r="K225" s="24"/>
      <c r="L225" s="49">
        <v>175000000</v>
      </c>
      <c r="M225" s="49" t="e">
        <f>№225+O225</f>
        <v>#NAME?</v>
      </c>
      <c r="N225" s="24"/>
      <c r="O225" s="49">
        <v>0</v>
      </c>
      <c r="P225" s="49">
        <f t="shared" si="176"/>
        <v>0</v>
      </c>
      <c r="Q225" s="24"/>
      <c r="R225" s="49">
        <v>0</v>
      </c>
      <c r="S225" s="49">
        <f t="shared" si="177"/>
        <v>175000000</v>
      </c>
      <c r="T225" s="24"/>
      <c r="U225" s="49">
        <v>175000000</v>
      </c>
      <c r="V225" s="49">
        <f t="shared" si="178"/>
        <v>175000000</v>
      </c>
      <c r="W225" s="24"/>
      <c r="X225" s="49">
        <v>175000000</v>
      </c>
      <c r="Y225" s="19">
        <f t="shared" si="155"/>
        <v>0</v>
      </c>
      <c r="Z225" s="19">
        <f t="shared" si="153"/>
        <v>0</v>
      </c>
      <c r="AA225" s="19">
        <f t="shared" si="154"/>
        <v>0</v>
      </c>
      <c r="AB225" s="7" t="e">
        <f t="shared" si="115"/>
        <v>#NAME?</v>
      </c>
      <c r="AC225" s="50">
        <f t="shared" si="141"/>
        <v>100</v>
      </c>
      <c r="AD225" s="50" t="e">
        <f t="shared" ref="AD225:AD229" si="181">S225/M225*100</f>
        <v>#NAME?</v>
      </c>
    </row>
    <row r="226" spans="1:30" ht="78" customHeight="1">
      <c r="A226" s="46" t="s">
        <v>359</v>
      </c>
      <c r="B226" s="48" t="s">
        <v>13</v>
      </c>
      <c r="C226" s="48" t="s">
        <v>13</v>
      </c>
      <c r="D226" s="48" t="s">
        <v>225</v>
      </c>
      <c r="E226" s="48" t="s">
        <v>220</v>
      </c>
      <c r="F226" s="48" t="s">
        <v>65</v>
      </c>
      <c r="G226" s="49">
        <f t="shared" si="179"/>
        <v>27000000</v>
      </c>
      <c r="H226" s="24"/>
      <c r="I226" s="49">
        <v>27000000</v>
      </c>
      <c r="J226" s="49">
        <f t="shared" si="180"/>
        <v>27000000</v>
      </c>
      <c r="K226" s="24"/>
      <c r="L226" s="49">
        <v>27000000</v>
      </c>
      <c r="M226" s="49" t="e">
        <f>№226+O226</f>
        <v>#NAME?</v>
      </c>
      <c r="N226" s="24"/>
      <c r="O226" s="49">
        <v>0</v>
      </c>
      <c r="P226" s="49">
        <f t="shared" si="176"/>
        <v>0</v>
      </c>
      <c r="Q226" s="24"/>
      <c r="R226" s="49">
        <v>0</v>
      </c>
      <c r="S226" s="49">
        <f t="shared" si="177"/>
        <v>27000000</v>
      </c>
      <c r="T226" s="24"/>
      <c r="U226" s="49">
        <v>27000000</v>
      </c>
      <c r="V226" s="49">
        <f t="shared" si="178"/>
        <v>27000000</v>
      </c>
      <c r="W226" s="24"/>
      <c r="X226" s="49">
        <v>27000000</v>
      </c>
      <c r="Y226" s="19">
        <f t="shared" si="155"/>
        <v>0</v>
      </c>
      <c r="Z226" s="19">
        <f t="shared" si="153"/>
        <v>0</v>
      </c>
      <c r="AA226" s="19">
        <f t="shared" si="154"/>
        <v>0</v>
      </c>
      <c r="AB226" s="7" t="e">
        <f t="shared" si="115"/>
        <v>#NAME?</v>
      </c>
      <c r="AC226" s="50">
        <f t="shared" si="141"/>
        <v>100</v>
      </c>
      <c r="AD226" s="50" t="e">
        <f t="shared" si="181"/>
        <v>#NAME?</v>
      </c>
    </row>
    <row r="227" spans="1:30" ht="78" hidden="1" customHeight="1">
      <c r="A227" s="46" t="s">
        <v>226</v>
      </c>
      <c r="B227" s="48" t="s">
        <v>13</v>
      </c>
      <c r="C227" s="48" t="s">
        <v>13</v>
      </c>
      <c r="D227" s="48" t="s">
        <v>227</v>
      </c>
      <c r="E227" s="48" t="s">
        <v>116</v>
      </c>
      <c r="F227" s="48" t="s">
        <v>20</v>
      </c>
      <c r="G227" s="49"/>
      <c r="H227" s="24"/>
      <c r="I227" s="49"/>
      <c r="J227" s="49"/>
      <c r="K227" s="24"/>
      <c r="L227" s="49"/>
      <c r="M227" s="49"/>
      <c r="N227" s="24"/>
      <c r="O227" s="49"/>
      <c r="P227" s="49"/>
      <c r="Q227" s="24"/>
      <c r="R227" s="49"/>
      <c r="S227" s="49"/>
      <c r="T227" s="24"/>
      <c r="U227" s="49"/>
      <c r="V227" s="49"/>
      <c r="W227" s="24"/>
      <c r="X227" s="49"/>
      <c r="Y227" s="19"/>
      <c r="Z227" s="19">
        <f t="shared" si="153"/>
        <v>0</v>
      </c>
      <c r="AA227" s="19">
        <f t="shared" si="154"/>
        <v>0</v>
      </c>
      <c r="AB227" s="7"/>
      <c r="AC227" s="50" t="e">
        <f t="shared" si="141"/>
        <v>#DIV/0!</v>
      </c>
      <c r="AD227" s="50"/>
    </row>
    <row r="228" spans="1:30" ht="21" hidden="1" customHeight="1">
      <c r="A228" s="46" t="s">
        <v>120</v>
      </c>
      <c r="B228" s="48" t="s">
        <v>121</v>
      </c>
      <c r="C228" s="48"/>
      <c r="D228" s="48"/>
      <c r="E228" s="48"/>
      <c r="F228" s="48"/>
      <c r="G228" s="49"/>
      <c r="H228" s="24"/>
      <c r="I228" s="49"/>
      <c r="J228" s="49"/>
      <c r="K228" s="24"/>
      <c r="L228" s="49"/>
      <c r="M228" s="49"/>
      <c r="N228" s="24"/>
      <c r="O228" s="49"/>
      <c r="P228" s="49"/>
      <c r="Q228" s="24"/>
      <c r="R228" s="49"/>
      <c r="S228" s="49"/>
      <c r="T228" s="24"/>
      <c r="U228" s="49"/>
      <c r="V228" s="49"/>
      <c r="W228" s="24"/>
      <c r="X228" s="49"/>
      <c r="Y228" s="19"/>
      <c r="Z228" s="19">
        <f t="shared" si="153"/>
        <v>0</v>
      </c>
      <c r="AA228" s="19">
        <f t="shared" si="154"/>
        <v>0</v>
      </c>
      <c r="AB228" s="7"/>
      <c r="AC228" s="50" t="e">
        <f t="shared" si="141"/>
        <v>#DIV/0!</v>
      </c>
      <c r="AD228" s="50"/>
    </row>
    <row r="229" spans="1:30" ht="78.75" customHeight="1">
      <c r="A229" s="46" t="s">
        <v>226</v>
      </c>
      <c r="B229" s="48" t="s">
        <v>13</v>
      </c>
      <c r="C229" s="48" t="s">
        <v>13</v>
      </c>
      <c r="D229" s="48" t="s">
        <v>227</v>
      </c>
      <c r="E229" s="48" t="s">
        <v>116</v>
      </c>
      <c r="F229" s="48" t="s">
        <v>20</v>
      </c>
      <c r="G229" s="49">
        <f t="shared" ref="G229:G232" si="182">H229+I229</f>
        <v>127201260</v>
      </c>
      <c r="H229" s="49">
        <f>H230</f>
        <v>114468400</v>
      </c>
      <c r="I229" s="49">
        <f>I230</f>
        <v>12732860</v>
      </c>
      <c r="J229" s="49">
        <f t="shared" ref="J229:J232" si="183">K229+L229</f>
        <v>127201260</v>
      </c>
      <c r="K229" s="49">
        <f>K230</f>
        <v>114468400</v>
      </c>
      <c r="L229" s="49">
        <f>L230</f>
        <v>12732860</v>
      </c>
      <c r="M229" s="49" t="e">
        <f>№229+O229</f>
        <v>#NAME?</v>
      </c>
      <c r="N229" s="49" t="e">
        <f>№230</f>
        <v>#NAME?</v>
      </c>
      <c r="O229" s="49">
        <f>O230</f>
        <v>2671216.96</v>
      </c>
      <c r="P229" s="49">
        <f t="shared" si="176"/>
        <v>28198283.219999999</v>
      </c>
      <c r="Q229" s="49">
        <f>Q230</f>
        <v>25375632.359999999</v>
      </c>
      <c r="R229" s="49">
        <f>R230</f>
        <v>2822650.86</v>
      </c>
      <c r="S229" s="49">
        <f t="shared" si="177"/>
        <v>127201260</v>
      </c>
      <c r="T229" s="49">
        <f>T230</f>
        <v>114468400</v>
      </c>
      <c r="U229" s="49">
        <f>U230</f>
        <v>12732860</v>
      </c>
      <c r="V229" s="49">
        <f t="shared" ref="V229:V234" si="184">W229+X229</f>
        <v>127201260</v>
      </c>
      <c r="W229" s="49">
        <f>W230</f>
        <v>114468400</v>
      </c>
      <c r="X229" s="49">
        <f>X230</f>
        <v>12732860</v>
      </c>
      <c r="Y229" s="19">
        <f t="shared" si="155"/>
        <v>0</v>
      </c>
      <c r="Z229" s="19">
        <f t="shared" si="153"/>
        <v>0</v>
      </c>
      <c r="AA229" s="19">
        <f t="shared" si="154"/>
        <v>0</v>
      </c>
      <c r="AB229" s="7" t="e">
        <f t="shared" si="115"/>
        <v>#NAME?</v>
      </c>
      <c r="AC229" s="50">
        <f t="shared" si="141"/>
        <v>100</v>
      </c>
      <c r="AD229" s="50" t="e">
        <f t="shared" si="181"/>
        <v>#NAME?</v>
      </c>
    </row>
    <row r="230" spans="1:30" ht="30">
      <c r="A230" s="46" t="s">
        <v>120</v>
      </c>
      <c r="B230" s="48" t="s">
        <v>121</v>
      </c>
      <c r="C230" s="46"/>
      <c r="D230" s="46"/>
      <c r="E230" s="46"/>
      <c r="F230" s="46"/>
      <c r="G230" s="49">
        <f t="shared" si="182"/>
        <v>127201260</v>
      </c>
      <c r="H230" s="49">
        <v>114468400</v>
      </c>
      <c r="I230" s="49">
        <v>12732860</v>
      </c>
      <c r="J230" s="49">
        <f t="shared" si="183"/>
        <v>127201260</v>
      </c>
      <c r="K230" s="49">
        <v>114468400</v>
      </c>
      <c r="L230" s="49">
        <v>12732860</v>
      </c>
      <c r="M230" s="49" t="e">
        <f>№230+O230</f>
        <v>#NAME?</v>
      </c>
      <c r="N230" s="49">
        <v>24014241.48</v>
      </c>
      <c r="O230" s="49">
        <v>2671216.96</v>
      </c>
      <c r="P230" s="49">
        <f t="shared" si="176"/>
        <v>28198283.219999999</v>
      </c>
      <c r="Q230" s="49">
        <v>25375632.359999999</v>
      </c>
      <c r="R230" s="49">
        <v>2822650.86</v>
      </c>
      <c r="S230" s="49">
        <f t="shared" si="177"/>
        <v>127201260</v>
      </c>
      <c r="T230" s="49">
        <v>114468400</v>
      </c>
      <c r="U230" s="49">
        <v>12732860</v>
      </c>
      <c r="V230" s="49">
        <f t="shared" si="184"/>
        <v>127201260</v>
      </c>
      <c r="W230" s="49">
        <v>114468400</v>
      </c>
      <c r="X230" s="49">
        <v>12732860</v>
      </c>
      <c r="Y230" s="19">
        <f t="shared" si="155"/>
        <v>0</v>
      </c>
      <c r="Z230" s="19">
        <f t="shared" si="153"/>
        <v>0</v>
      </c>
      <c r="AA230" s="19">
        <f t="shared" si="154"/>
        <v>0</v>
      </c>
      <c r="AB230" s="7" t="e">
        <f t="shared" si="115"/>
        <v>#NAME?</v>
      </c>
      <c r="AC230" s="50">
        <f t="shared" si="141"/>
        <v>100</v>
      </c>
      <c r="AD230" s="50">
        <v>0</v>
      </c>
    </row>
    <row r="231" spans="1:30" ht="80.25" customHeight="1">
      <c r="A231" s="46" t="s">
        <v>228</v>
      </c>
      <c r="B231" s="48" t="s">
        <v>13</v>
      </c>
      <c r="C231" s="48" t="s">
        <v>13</v>
      </c>
      <c r="D231" s="48" t="s">
        <v>229</v>
      </c>
      <c r="E231" s="48" t="s">
        <v>116</v>
      </c>
      <c r="F231" s="48" t="s">
        <v>80</v>
      </c>
      <c r="G231" s="49">
        <f t="shared" si="182"/>
        <v>61163130</v>
      </c>
      <c r="H231" s="49">
        <f>H232</f>
        <v>55040700</v>
      </c>
      <c r="I231" s="49">
        <f>I232</f>
        <v>6122430</v>
      </c>
      <c r="J231" s="49">
        <f t="shared" si="183"/>
        <v>61163130</v>
      </c>
      <c r="K231" s="49">
        <f>K232</f>
        <v>55040700</v>
      </c>
      <c r="L231" s="49">
        <f>L232</f>
        <v>6122430</v>
      </c>
      <c r="M231" s="49" t="e">
        <f>M232</f>
        <v>#NAME?</v>
      </c>
      <c r="N231" s="49" t="e">
        <f>№232</f>
        <v>#NAME?</v>
      </c>
      <c r="O231" s="49">
        <f>O232</f>
        <v>2345379.16</v>
      </c>
      <c r="P231" s="49">
        <f t="shared" si="176"/>
        <v>23430347.02</v>
      </c>
      <c r="Q231" s="49">
        <f>Q232</f>
        <v>21084967.859999999</v>
      </c>
      <c r="R231" s="49">
        <f>R232</f>
        <v>2345379.16</v>
      </c>
      <c r="S231" s="49">
        <f t="shared" si="177"/>
        <v>61163130</v>
      </c>
      <c r="T231" s="49">
        <f>T232</f>
        <v>55040700</v>
      </c>
      <c r="U231" s="49">
        <f>U232</f>
        <v>6122430</v>
      </c>
      <c r="V231" s="49">
        <f t="shared" si="184"/>
        <v>61163130</v>
      </c>
      <c r="W231" s="49">
        <f>W232</f>
        <v>55040700</v>
      </c>
      <c r="X231" s="49">
        <f>X232</f>
        <v>6122430</v>
      </c>
      <c r="Y231" s="19">
        <f t="shared" si="155"/>
        <v>0</v>
      </c>
      <c r="Z231" s="19">
        <f t="shared" si="153"/>
        <v>0</v>
      </c>
      <c r="AA231" s="19">
        <f t="shared" si="154"/>
        <v>0</v>
      </c>
      <c r="AB231" s="7" t="e">
        <f t="shared" si="115"/>
        <v>#NAME?</v>
      </c>
      <c r="AC231" s="50">
        <f t="shared" si="141"/>
        <v>100</v>
      </c>
      <c r="AD231" s="50" t="e">
        <f t="shared" ref="AD231:AD234" si="185">S231/M231*100</f>
        <v>#NAME?</v>
      </c>
    </row>
    <row r="232" spans="1:30" ht="30">
      <c r="A232" s="46" t="s">
        <v>120</v>
      </c>
      <c r="B232" s="48" t="s">
        <v>121</v>
      </c>
      <c r="C232" s="46"/>
      <c r="D232" s="46"/>
      <c r="E232" s="46"/>
      <c r="F232" s="46"/>
      <c r="G232" s="49">
        <f t="shared" si="182"/>
        <v>61163130</v>
      </c>
      <c r="H232" s="49">
        <v>55040700</v>
      </c>
      <c r="I232" s="49">
        <v>6122430</v>
      </c>
      <c r="J232" s="49">
        <f t="shared" si="183"/>
        <v>61163130</v>
      </c>
      <c r="K232" s="49">
        <v>55040700</v>
      </c>
      <c r="L232" s="49">
        <v>6122430</v>
      </c>
      <c r="M232" s="49" t="e">
        <f>№232+O232</f>
        <v>#NAME?</v>
      </c>
      <c r="N232" s="49">
        <v>21084967.859999999</v>
      </c>
      <c r="O232" s="49">
        <v>2345379.16</v>
      </c>
      <c r="P232" s="49">
        <f t="shared" si="176"/>
        <v>23430347.02</v>
      </c>
      <c r="Q232" s="49">
        <v>21084967.859999999</v>
      </c>
      <c r="R232" s="49">
        <v>2345379.16</v>
      </c>
      <c r="S232" s="49">
        <f t="shared" si="177"/>
        <v>61163130</v>
      </c>
      <c r="T232" s="49">
        <v>55040700</v>
      </c>
      <c r="U232" s="49">
        <v>6122430</v>
      </c>
      <c r="V232" s="49">
        <f t="shared" si="184"/>
        <v>61163130</v>
      </c>
      <c r="W232" s="49">
        <v>55040700</v>
      </c>
      <c r="X232" s="49">
        <v>6122430</v>
      </c>
      <c r="Y232" s="19">
        <f t="shared" si="155"/>
        <v>0</v>
      </c>
      <c r="Z232" s="19">
        <f t="shared" si="153"/>
        <v>0</v>
      </c>
      <c r="AA232" s="19">
        <f t="shared" si="154"/>
        <v>0</v>
      </c>
      <c r="AB232" s="7" t="e">
        <f t="shared" si="115"/>
        <v>#NAME?</v>
      </c>
      <c r="AC232" s="50">
        <f t="shared" si="141"/>
        <v>100</v>
      </c>
      <c r="AD232" s="50" t="e">
        <f t="shared" si="185"/>
        <v>#NAME?</v>
      </c>
    </row>
    <row r="233" spans="1:30" ht="78" customHeight="1">
      <c r="A233" s="46" t="s">
        <v>230</v>
      </c>
      <c r="B233" s="48" t="s">
        <v>13</v>
      </c>
      <c r="C233" s="48" t="s">
        <v>13</v>
      </c>
      <c r="D233" s="48" t="s">
        <v>231</v>
      </c>
      <c r="E233" s="48" t="s">
        <v>220</v>
      </c>
      <c r="F233" s="48" t="s">
        <v>24</v>
      </c>
      <c r="G233" s="49">
        <f>H233+I233</f>
        <v>257384670.27000001</v>
      </c>
      <c r="H233" s="49">
        <f>H234</f>
        <v>241214100</v>
      </c>
      <c r="I233" s="49">
        <f>I234+I235</f>
        <v>16170570.27</v>
      </c>
      <c r="J233" s="49">
        <f>K233+L233</f>
        <v>257384670.27000001</v>
      </c>
      <c r="K233" s="49">
        <f>K234</f>
        <v>241214100</v>
      </c>
      <c r="L233" s="49">
        <f>L234+L235</f>
        <v>16170570.27</v>
      </c>
      <c r="M233" s="49" t="e">
        <f>№233+O233</f>
        <v>#NAME?</v>
      </c>
      <c r="N233" s="49" t="e">
        <f>№234</f>
        <v>#NAME?</v>
      </c>
      <c r="O233" s="49">
        <f>O234</f>
        <v>1664559.49</v>
      </c>
      <c r="P233" s="49">
        <f t="shared" si="176"/>
        <v>83146249.420000002</v>
      </c>
      <c r="Q233" s="49">
        <f>Q234</f>
        <v>81481689.920000002</v>
      </c>
      <c r="R233" s="49">
        <f>R234</f>
        <v>1664559.5</v>
      </c>
      <c r="S233" s="49">
        <f t="shared" si="177"/>
        <v>246141800</v>
      </c>
      <c r="T233" s="49">
        <f>T234</f>
        <v>241214100</v>
      </c>
      <c r="U233" s="49">
        <f>U234</f>
        <v>4927700</v>
      </c>
      <c r="V233" s="49">
        <f t="shared" si="184"/>
        <v>246141800</v>
      </c>
      <c r="W233" s="49">
        <f>W234</f>
        <v>241214100</v>
      </c>
      <c r="X233" s="49">
        <f>X234</f>
        <v>4927700</v>
      </c>
      <c r="Y233" s="19">
        <f t="shared" si="155"/>
        <v>11242870.27</v>
      </c>
      <c r="Z233" s="19">
        <f t="shared" si="153"/>
        <v>0</v>
      </c>
      <c r="AA233" s="19">
        <f t="shared" si="154"/>
        <v>11242870.27</v>
      </c>
      <c r="AB233" s="7" t="e">
        <f t="shared" si="115"/>
        <v>#NAME?</v>
      </c>
      <c r="AC233" s="50">
        <f t="shared" si="141"/>
        <v>95.631880384248959</v>
      </c>
      <c r="AD233" s="50" t="e">
        <f t="shared" si="185"/>
        <v>#NAME?</v>
      </c>
    </row>
    <row r="234" spans="1:30" ht="30">
      <c r="A234" s="46" t="s">
        <v>120</v>
      </c>
      <c r="B234" s="48" t="s">
        <v>121</v>
      </c>
      <c r="C234" s="46"/>
      <c r="D234" s="46"/>
      <c r="E234" s="46"/>
      <c r="F234" s="46"/>
      <c r="G234" s="49">
        <f t="shared" ref="G234:G238" si="186">H234+I234</f>
        <v>246141800</v>
      </c>
      <c r="H234" s="49">
        <v>241214100</v>
      </c>
      <c r="I234" s="49">
        <v>4927700</v>
      </c>
      <c r="J234" s="49">
        <f t="shared" ref="J234:J238" si="187">K234+L234</f>
        <v>246141800</v>
      </c>
      <c r="K234" s="49">
        <v>241214100</v>
      </c>
      <c r="L234" s="49">
        <v>4927700</v>
      </c>
      <c r="M234" s="49" t="e">
        <f>№234+O234</f>
        <v>#NAME?</v>
      </c>
      <c r="N234" s="49">
        <v>81481689.920000002</v>
      </c>
      <c r="O234" s="49">
        <v>1664559.49</v>
      </c>
      <c r="P234" s="49">
        <f t="shared" si="176"/>
        <v>83146249.420000002</v>
      </c>
      <c r="Q234" s="49">
        <v>81481689.920000002</v>
      </c>
      <c r="R234" s="49">
        <v>1664559.5</v>
      </c>
      <c r="S234" s="49">
        <f t="shared" si="177"/>
        <v>246141800</v>
      </c>
      <c r="T234" s="49">
        <v>241214100</v>
      </c>
      <c r="U234" s="49">
        <v>4927700</v>
      </c>
      <c r="V234" s="49">
        <f t="shared" si="184"/>
        <v>246141800</v>
      </c>
      <c r="W234" s="49">
        <v>241214100</v>
      </c>
      <c r="X234" s="49">
        <v>4927700</v>
      </c>
      <c r="Y234" s="19">
        <f t="shared" si="155"/>
        <v>0</v>
      </c>
      <c r="Z234" s="19">
        <f t="shared" si="153"/>
        <v>0</v>
      </c>
      <c r="AA234" s="19">
        <f t="shared" si="154"/>
        <v>0</v>
      </c>
      <c r="AB234" s="7" t="e">
        <f t="shared" si="115"/>
        <v>#NAME?</v>
      </c>
      <c r="AC234" s="50">
        <f t="shared" si="141"/>
        <v>100</v>
      </c>
      <c r="AD234" s="50" t="e">
        <f t="shared" si="185"/>
        <v>#NAME?</v>
      </c>
    </row>
    <row r="235" spans="1:30">
      <c r="A235" s="74" t="s">
        <v>21</v>
      </c>
      <c r="B235" s="75"/>
      <c r="C235" s="75"/>
      <c r="D235" s="75"/>
      <c r="E235" s="75"/>
      <c r="F235" s="76"/>
      <c r="G235" s="49">
        <f t="shared" si="186"/>
        <v>11242870.27</v>
      </c>
      <c r="H235" s="49"/>
      <c r="I235" s="49">
        <v>11242870.27</v>
      </c>
      <c r="J235" s="49">
        <f t="shared" si="187"/>
        <v>11242870.27</v>
      </c>
      <c r="K235" s="49"/>
      <c r="L235" s="49">
        <v>11242870.27</v>
      </c>
      <c r="M235" s="49">
        <f>O235</f>
        <v>11242870.27</v>
      </c>
      <c r="N235" s="49"/>
      <c r="O235" s="49">
        <v>11242870.27</v>
      </c>
      <c r="P235" s="49">
        <f>R235</f>
        <v>0</v>
      </c>
      <c r="Q235" s="49"/>
      <c r="R235" s="49"/>
      <c r="S235" s="49">
        <f>U235</f>
        <v>0</v>
      </c>
      <c r="T235" s="49"/>
      <c r="U235" s="49">
        <v>0</v>
      </c>
      <c r="V235" s="49">
        <f>X235</f>
        <v>0</v>
      </c>
      <c r="W235" s="49"/>
      <c r="X235" s="49">
        <v>0</v>
      </c>
      <c r="Y235" s="19">
        <f t="shared" si="155"/>
        <v>11242870.27</v>
      </c>
      <c r="Z235" s="19">
        <f t="shared" si="153"/>
        <v>0</v>
      </c>
      <c r="AA235" s="19">
        <f t="shared" si="154"/>
        <v>11242870.27</v>
      </c>
      <c r="AB235" s="7">
        <f t="shared" si="115"/>
        <v>100</v>
      </c>
      <c r="AC235" s="50">
        <f t="shared" si="141"/>
        <v>0</v>
      </c>
      <c r="AD235" s="50">
        <v>0</v>
      </c>
    </row>
    <row r="236" spans="1:30" ht="81" customHeight="1">
      <c r="A236" s="46" t="s">
        <v>232</v>
      </c>
      <c r="B236" s="48" t="s">
        <v>13</v>
      </c>
      <c r="C236" s="48" t="s">
        <v>13</v>
      </c>
      <c r="D236" s="48" t="s">
        <v>233</v>
      </c>
      <c r="E236" s="48" t="s">
        <v>220</v>
      </c>
      <c r="F236" s="48">
        <v>2022</v>
      </c>
      <c r="G236" s="49">
        <f t="shared" si="186"/>
        <v>128021950</v>
      </c>
      <c r="H236" s="49">
        <f>H237</f>
        <v>125458999.98999999</v>
      </c>
      <c r="I236" s="49">
        <f>I237</f>
        <v>2562950.0099999998</v>
      </c>
      <c r="J236" s="49">
        <f t="shared" si="187"/>
        <v>128021950</v>
      </c>
      <c r="K236" s="49">
        <f>K237</f>
        <v>125458999.98999999</v>
      </c>
      <c r="L236" s="49">
        <f>L237</f>
        <v>2562950.0099999998</v>
      </c>
      <c r="M236" s="49" t="e">
        <f>№236+O236</f>
        <v>#NAME?</v>
      </c>
      <c r="N236" s="49" t="e">
        <f>№237</f>
        <v>#NAME?</v>
      </c>
      <c r="O236" s="49">
        <f>O237</f>
        <v>27327.119999999999</v>
      </c>
      <c r="P236" s="49">
        <f t="shared" si="176"/>
        <v>1365014.6600000001</v>
      </c>
      <c r="Q236" s="49">
        <f>Q237</f>
        <v>1337687.54</v>
      </c>
      <c r="R236" s="49">
        <f>R237</f>
        <v>27327.119999999999</v>
      </c>
      <c r="S236" s="49">
        <f t="shared" si="177"/>
        <v>128021945.2</v>
      </c>
      <c r="T236" s="49">
        <f>T237</f>
        <v>125458995.31</v>
      </c>
      <c r="U236" s="49">
        <f>U237</f>
        <v>2562949.89</v>
      </c>
      <c r="V236" s="49">
        <f t="shared" ref="V236:V238" si="188">W236+X236</f>
        <v>128021945.2</v>
      </c>
      <c r="W236" s="49">
        <f>W237</f>
        <v>125458995.31</v>
      </c>
      <c r="X236" s="49">
        <f>X237</f>
        <v>2562949.89</v>
      </c>
      <c r="Y236" s="19">
        <f t="shared" si="155"/>
        <v>4.7999999918974936</v>
      </c>
      <c r="Z236" s="19">
        <f t="shared" si="153"/>
        <v>4.6799999922513962</v>
      </c>
      <c r="AA236" s="19">
        <f t="shared" si="154"/>
        <v>0.11999999964609742</v>
      </c>
      <c r="AB236" s="7" t="e">
        <f t="shared" si="115"/>
        <v>#NAME?</v>
      </c>
      <c r="AC236" s="50">
        <f t="shared" si="141"/>
        <v>99.999996250642951</v>
      </c>
      <c r="AD236" s="50">
        <v>0</v>
      </c>
    </row>
    <row r="237" spans="1:30" ht="30">
      <c r="A237" s="46" t="s">
        <v>120</v>
      </c>
      <c r="B237" s="48" t="s">
        <v>121</v>
      </c>
      <c r="C237" s="46"/>
      <c r="D237" s="46"/>
      <c r="E237" s="46"/>
      <c r="F237" s="46"/>
      <c r="G237" s="49">
        <f t="shared" si="186"/>
        <v>128021950</v>
      </c>
      <c r="H237" s="49">
        <v>125458999.98999999</v>
      </c>
      <c r="I237" s="49">
        <v>2562950.0099999998</v>
      </c>
      <c r="J237" s="49">
        <f t="shared" si="187"/>
        <v>128021950</v>
      </c>
      <c r="K237" s="49">
        <v>125458999.98999999</v>
      </c>
      <c r="L237" s="49">
        <v>2562950.0099999998</v>
      </c>
      <c r="M237" s="49" t="e">
        <f>№237+O237</f>
        <v>#NAME?</v>
      </c>
      <c r="N237" s="49">
        <v>1337687.54</v>
      </c>
      <c r="O237" s="49">
        <v>27327.119999999999</v>
      </c>
      <c r="P237" s="49">
        <f t="shared" si="176"/>
        <v>1365014.6600000001</v>
      </c>
      <c r="Q237" s="49">
        <v>1337687.54</v>
      </c>
      <c r="R237" s="49">
        <v>27327.119999999999</v>
      </c>
      <c r="S237" s="49">
        <f t="shared" si="177"/>
        <v>128021945.2</v>
      </c>
      <c r="T237" s="65">
        <v>125458995.31</v>
      </c>
      <c r="U237" s="65">
        <v>2562949.89</v>
      </c>
      <c r="V237" s="49">
        <f t="shared" si="188"/>
        <v>128021945.2</v>
      </c>
      <c r="W237" s="65">
        <v>125458995.31</v>
      </c>
      <c r="X237" s="65">
        <v>2562949.89</v>
      </c>
      <c r="Y237" s="19">
        <f t="shared" si="155"/>
        <v>4.7999999918974936</v>
      </c>
      <c r="Z237" s="19">
        <f t="shared" si="153"/>
        <v>4.6799999922513962</v>
      </c>
      <c r="AA237" s="19">
        <f t="shared" si="154"/>
        <v>0.11999999964609742</v>
      </c>
      <c r="AB237" s="7" t="e">
        <f t="shared" si="115"/>
        <v>#NAME?</v>
      </c>
      <c r="AC237" s="50">
        <f t="shared" si="141"/>
        <v>99.999996250642951</v>
      </c>
      <c r="AD237" s="50">
        <v>0</v>
      </c>
    </row>
    <row r="238" spans="1:30" ht="30" customHeight="1">
      <c r="A238" s="81" t="s">
        <v>234</v>
      </c>
      <c r="B238" s="81"/>
      <c r="C238" s="81"/>
      <c r="D238" s="81"/>
      <c r="E238" s="81"/>
      <c r="F238" s="81"/>
      <c r="G238" s="49">
        <f t="shared" si="186"/>
        <v>267265056</v>
      </c>
      <c r="H238" s="49"/>
      <c r="I238" s="49">
        <v>267265056</v>
      </c>
      <c r="J238" s="49">
        <f t="shared" si="187"/>
        <v>267265056</v>
      </c>
      <c r="K238" s="49"/>
      <c r="L238" s="49">
        <v>267265056</v>
      </c>
      <c r="M238" s="49" t="e">
        <f>№238+O238</f>
        <v>#NAME?</v>
      </c>
      <c r="N238" s="49"/>
      <c r="O238" s="49">
        <f>O240</f>
        <v>229880462</v>
      </c>
      <c r="P238" s="49">
        <f t="shared" si="176"/>
        <v>229880462</v>
      </c>
      <c r="Q238" s="49"/>
      <c r="R238" s="49">
        <f>R239</f>
        <v>229880462</v>
      </c>
      <c r="S238" s="49">
        <f t="shared" si="177"/>
        <v>266204620</v>
      </c>
      <c r="T238" s="49"/>
      <c r="U238" s="49">
        <f>U239</f>
        <v>266204620</v>
      </c>
      <c r="V238" s="49">
        <f t="shared" si="188"/>
        <v>266204620</v>
      </c>
      <c r="W238" s="49"/>
      <c r="X238" s="49">
        <f>X239</f>
        <v>266204620</v>
      </c>
      <c r="Y238" s="19">
        <f t="shared" si="155"/>
        <v>1060436</v>
      </c>
      <c r="Z238" s="19">
        <f t="shared" si="153"/>
        <v>0</v>
      </c>
      <c r="AA238" s="19">
        <f t="shared" si="154"/>
        <v>1060436</v>
      </c>
      <c r="AB238" s="7" t="e">
        <f t="shared" ref="AB238:AB292" si="189">M238/J238*100</f>
        <v>#NAME?</v>
      </c>
      <c r="AC238" s="50">
        <f t="shared" si="141"/>
        <v>99.603226843093168</v>
      </c>
      <c r="AD238" s="50"/>
    </row>
    <row r="239" spans="1:30" s="5" customFormat="1">
      <c r="A239" s="80" t="s">
        <v>92</v>
      </c>
      <c r="B239" s="80"/>
      <c r="C239" s="80"/>
      <c r="D239" s="80"/>
      <c r="E239" s="80"/>
      <c r="F239" s="80"/>
      <c r="G239" s="19">
        <v>267265056</v>
      </c>
      <c r="H239" s="19"/>
      <c r="I239" s="19">
        <v>267265056</v>
      </c>
      <c r="J239" s="19">
        <v>267265056</v>
      </c>
      <c r="K239" s="19"/>
      <c r="L239" s="19">
        <v>267265056</v>
      </c>
      <c r="M239" s="19" t="e">
        <f>№239+O239</f>
        <v>#NAME?</v>
      </c>
      <c r="N239" s="19"/>
      <c r="O239" s="19">
        <f>O240</f>
        <v>229880462</v>
      </c>
      <c r="P239" s="19">
        <f>Q239+R239</f>
        <v>229880462</v>
      </c>
      <c r="Q239" s="19"/>
      <c r="R239" s="19">
        <f>R240</f>
        <v>229880462</v>
      </c>
      <c r="S239" s="19">
        <f>T239+U239</f>
        <v>266204620</v>
      </c>
      <c r="T239" s="19"/>
      <c r="U239" s="19">
        <f>U240</f>
        <v>266204620</v>
      </c>
      <c r="V239" s="19">
        <f>W239+X239</f>
        <v>266204620</v>
      </c>
      <c r="W239" s="19"/>
      <c r="X239" s="19">
        <f>X240</f>
        <v>266204620</v>
      </c>
      <c r="Y239" s="19">
        <f t="shared" si="155"/>
        <v>1060436</v>
      </c>
      <c r="Z239" s="19">
        <f t="shared" si="153"/>
        <v>0</v>
      </c>
      <c r="AA239" s="19">
        <f t="shared" si="154"/>
        <v>1060436</v>
      </c>
      <c r="AB239" s="7" t="e">
        <f t="shared" si="189"/>
        <v>#NAME?</v>
      </c>
      <c r="AC239" s="50">
        <f t="shared" si="141"/>
        <v>99.603226843093168</v>
      </c>
      <c r="AD239" s="7" t="e">
        <f t="shared" ref="AD239:AD285" si="190">S239/M239*100</f>
        <v>#NAME?</v>
      </c>
    </row>
    <row r="240" spans="1:30" ht="90" customHeight="1">
      <c r="A240" s="46" t="s">
        <v>235</v>
      </c>
      <c r="B240" s="48" t="s">
        <v>13</v>
      </c>
      <c r="C240" s="48" t="s">
        <v>94</v>
      </c>
      <c r="D240" s="48" t="s">
        <v>236</v>
      </c>
      <c r="E240" s="48" t="s">
        <v>237</v>
      </c>
      <c r="F240" s="48" t="s">
        <v>24</v>
      </c>
      <c r="G240" s="49">
        <v>267265056</v>
      </c>
      <c r="H240" s="49"/>
      <c r="I240" s="49">
        <v>267265056</v>
      </c>
      <c r="J240" s="49">
        <v>267265056</v>
      </c>
      <c r="K240" s="49"/>
      <c r="L240" s="49">
        <v>267265056</v>
      </c>
      <c r="M240" s="49" t="e">
        <f>№240+O240</f>
        <v>#NAME?</v>
      </c>
      <c r="N240" s="49"/>
      <c r="O240" s="49">
        <v>229880462</v>
      </c>
      <c r="P240" s="49">
        <f>Q240+R240</f>
        <v>229880462</v>
      </c>
      <c r="Q240" s="49"/>
      <c r="R240" s="49">
        <f>R241</f>
        <v>229880462</v>
      </c>
      <c r="S240" s="49">
        <f>T240+U240</f>
        <v>266204620</v>
      </c>
      <c r="T240" s="49"/>
      <c r="U240" s="49">
        <f>U241</f>
        <v>266204620</v>
      </c>
      <c r="V240" s="49">
        <f>W240+X240</f>
        <v>266204620</v>
      </c>
      <c r="W240" s="49"/>
      <c r="X240" s="49">
        <f>X241</f>
        <v>266204620</v>
      </c>
      <c r="Y240" s="19">
        <f t="shared" si="155"/>
        <v>1060436</v>
      </c>
      <c r="Z240" s="19">
        <f t="shared" si="153"/>
        <v>0</v>
      </c>
      <c r="AA240" s="19">
        <f t="shared" si="154"/>
        <v>1060436</v>
      </c>
      <c r="AB240" s="7" t="e">
        <f t="shared" si="189"/>
        <v>#NAME?</v>
      </c>
      <c r="AC240" s="50">
        <f t="shared" si="141"/>
        <v>99.603226843093168</v>
      </c>
      <c r="AD240" s="50" t="e">
        <f t="shared" si="190"/>
        <v>#NAME?</v>
      </c>
    </row>
    <row r="241" spans="1:30" ht="51" customHeight="1">
      <c r="A241" s="46" t="s">
        <v>222</v>
      </c>
      <c r="B241" s="48" t="s">
        <v>223</v>
      </c>
      <c r="C241" s="48"/>
      <c r="D241" s="48"/>
      <c r="E241" s="48"/>
      <c r="F241" s="48"/>
      <c r="G241" s="49">
        <f>I241</f>
        <v>267265056</v>
      </c>
      <c r="H241" s="49"/>
      <c r="I241" s="49">
        <v>267265056</v>
      </c>
      <c r="J241" s="49">
        <f>L241</f>
        <v>267265056</v>
      </c>
      <c r="K241" s="49"/>
      <c r="L241" s="49">
        <v>267265056</v>
      </c>
      <c r="M241" s="49">
        <f>O241</f>
        <v>229880462</v>
      </c>
      <c r="N241" s="49"/>
      <c r="O241" s="49">
        <v>229880462</v>
      </c>
      <c r="P241" s="49">
        <f>R241</f>
        <v>229880462</v>
      </c>
      <c r="Q241" s="49"/>
      <c r="R241" s="49">
        <v>229880462</v>
      </c>
      <c r="S241" s="49">
        <f>U241</f>
        <v>266204620</v>
      </c>
      <c r="T241" s="49"/>
      <c r="U241" s="49">
        <v>266204620</v>
      </c>
      <c r="V241" s="49">
        <f>X241</f>
        <v>266204620</v>
      </c>
      <c r="W241" s="49"/>
      <c r="X241" s="49">
        <v>266204620</v>
      </c>
      <c r="Y241" s="19">
        <f t="shared" si="155"/>
        <v>1060436</v>
      </c>
      <c r="Z241" s="19">
        <f t="shared" si="153"/>
        <v>0</v>
      </c>
      <c r="AA241" s="19">
        <f t="shared" si="154"/>
        <v>1060436</v>
      </c>
      <c r="AB241" s="7">
        <f t="shared" si="189"/>
        <v>86.012165391348432</v>
      </c>
      <c r="AC241" s="50">
        <f t="shared" si="141"/>
        <v>99.603226843093168</v>
      </c>
      <c r="AD241" s="50">
        <f t="shared" ref="AD241" si="191">S241/M241*100</f>
        <v>115.80132460321921</v>
      </c>
    </row>
    <row r="242" spans="1:30" s="5" customFormat="1" ht="32.25" customHeight="1">
      <c r="A242" s="80" t="s">
        <v>238</v>
      </c>
      <c r="B242" s="80"/>
      <c r="C242" s="80"/>
      <c r="D242" s="80"/>
      <c r="E242" s="80"/>
      <c r="F242" s="80"/>
      <c r="G242" s="19">
        <f t="shared" ref="G242:M242" si="192">G243+G244</f>
        <v>192065661.07000002</v>
      </c>
      <c r="H242" s="19">
        <f t="shared" si="192"/>
        <v>0</v>
      </c>
      <c r="I242" s="19">
        <f t="shared" si="192"/>
        <v>192065661.07000002</v>
      </c>
      <c r="J242" s="19">
        <f t="shared" si="192"/>
        <v>192065661.07000002</v>
      </c>
      <c r="K242" s="19">
        <f t="shared" si="192"/>
        <v>0</v>
      </c>
      <c r="L242" s="19">
        <f t="shared" si="192"/>
        <v>192065661.07000002</v>
      </c>
      <c r="M242" s="19" t="e">
        <f t="shared" si="192"/>
        <v>#NAME?</v>
      </c>
      <c r="N242" s="19" t="e">
        <f>№243</f>
        <v>#NAME?</v>
      </c>
      <c r="O242" s="19">
        <f>O243+O244</f>
        <v>61081675.82</v>
      </c>
      <c r="P242" s="19">
        <f>P243+P244</f>
        <v>61081675.82</v>
      </c>
      <c r="Q242" s="19">
        <f>Q243</f>
        <v>0</v>
      </c>
      <c r="R242" s="19">
        <f>R243+R244</f>
        <v>61081675.82</v>
      </c>
      <c r="S242" s="19">
        <f>S243+S244</f>
        <v>187640654.20000002</v>
      </c>
      <c r="T242" s="19">
        <f>T243</f>
        <v>0</v>
      </c>
      <c r="U242" s="19">
        <f>U243+U244</f>
        <v>187640654.20000002</v>
      </c>
      <c r="V242" s="19">
        <f>V243+V244</f>
        <v>187640251.99000001</v>
      </c>
      <c r="W242" s="19">
        <f>W243</f>
        <v>0</v>
      </c>
      <c r="X242" s="19">
        <f>X243+X244</f>
        <v>187640251.99000001</v>
      </c>
      <c r="Y242" s="19">
        <f t="shared" si="155"/>
        <v>4425409.0800000131</v>
      </c>
      <c r="Z242" s="19">
        <f t="shared" si="153"/>
        <v>0</v>
      </c>
      <c r="AA242" s="19">
        <f t="shared" si="154"/>
        <v>4425409.0800000131</v>
      </c>
      <c r="AB242" s="7" t="e">
        <f t="shared" si="189"/>
        <v>#NAME?</v>
      </c>
      <c r="AC242" s="50">
        <f t="shared" si="141"/>
        <v>97.695887408844456</v>
      </c>
      <c r="AD242" s="7" t="e">
        <f t="shared" si="190"/>
        <v>#NAME?</v>
      </c>
    </row>
    <row r="243" spans="1:30">
      <c r="A243" s="81" t="s">
        <v>7</v>
      </c>
      <c r="B243" s="81"/>
      <c r="C243" s="81"/>
      <c r="D243" s="81"/>
      <c r="E243" s="81"/>
      <c r="F243" s="81"/>
      <c r="G243" s="49">
        <f>H243+I243</f>
        <v>0</v>
      </c>
      <c r="H243" s="49">
        <v>0</v>
      </c>
      <c r="I243" s="49">
        <f>I247</f>
        <v>0</v>
      </c>
      <c r="J243" s="49">
        <f>K243+L243</f>
        <v>0</v>
      </c>
      <c r="K243" s="49">
        <v>0</v>
      </c>
      <c r="L243" s="49">
        <f>L247</f>
        <v>0</v>
      </c>
      <c r="M243" s="49" t="e">
        <f>№243+O243</f>
        <v>#NAME?</v>
      </c>
      <c r="N243" s="49" t="e">
        <f>№247</f>
        <v>#NAME?</v>
      </c>
      <c r="O243" s="49">
        <f>O247</f>
        <v>0</v>
      </c>
      <c r="P243" s="49">
        <f>Q243+R243</f>
        <v>0</v>
      </c>
      <c r="Q243" s="49">
        <f>Q247</f>
        <v>0</v>
      </c>
      <c r="R243" s="49">
        <f>R247</f>
        <v>0</v>
      </c>
      <c r="S243" s="49">
        <f>T243+U243</f>
        <v>0</v>
      </c>
      <c r="T243" s="49">
        <f>T247</f>
        <v>0</v>
      </c>
      <c r="U243" s="49">
        <f>U247</f>
        <v>0</v>
      </c>
      <c r="V243" s="49">
        <f>W243+X243</f>
        <v>0</v>
      </c>
      <c r="W243" s="49">
        <f>W247</f>
        <v>0</v>
      </c>
      <c r="X243" s="49">
        <f>X247</f>
        <v>0</v>
      </c>
      <c r="Y243" s="19">
        <f t="shared" si="155"/>
        <v>0</v>
      </c>
      <c r="Z243" s="19">
        <f t="shared" si="153"/>
        <v>0</v>
      </c>
      <c r="AA243" s="19">
        <f t="shared" si="154"/>
        <v>0</v>
      </c>
      <c r="AB243" s="7" t="e">
        <f t="shared" si="189"/>
        <v>#NAME?</v>
      </c>
      <c r="AC243" s="50"/>
      <c r="AD243" s="50">
        <v>0</v>
      </c>
    </row>
    <row r="244" spans="1:30">
      <c r="A244" s="81" t="s">
        <v>8</v>
      </c>
      <c r="B244" s="81"/>
      <c r="C244" s="81"/>
      <c r="D244" s="81"/>
      <c r="E244" s="81"/>
      <c r="F244" s="81"/>
      <c r="G244" s="49">
        <f>G245-G243</f>
        <v>192065661.07000002</v>
      </c>
      <c r="H244" s="49"/>
      <c r="I244" s="49">
        <f>I248+I249+I250</f>
        <v>192065661.07000002</v>
      </c>
      <c r="J244" s="49">
        <f>J245-J243</f>
        <v>192065661.07000002</v>
      </c>
      <c r="K244" s="49"/>
      <c r="L244" s="49">
        <f>L248+L249+L250</f>
        <v>192065661.07000002</v>
      </c>
      <c r="M244" s="49" t="e">
        <f>M245-M243</f>
        <v>#NAME?</v>
      </c>
      <c r="N244" s="49"/>
      <c r="O244" s="49">
        <f>O248+O249+O250</f>
        <v>61081675.82</v>
      </c>
      <c r="P244" s="49">
        <f>P245-P243</f>
        <v>61081675.82</v>
      </c>
      <c r="Q244" s="49"/>
      <c r="R244" s="49">
        <f>R248+R249+R250</f>
        <v>61081675.82</v>
      </c>
      <c r="S244" s="49">
        <f>S245-S243</f>
        <v>187640654.20000002</v>
      </c>
      <c r="T244" s="49"/>
      <c r="U244" s="49">
        <f>U248+U249+U250</f>
        <v>187640654.20000002</v>
      </c>
      <c r="V244" s="49">
        <f>V245-V243</f>
        <v>187640251.99000001</v>
      </c>
      <c r="W244" s="49"/>
      <c r="X244" s="49">
        <f>X248+X249+X250</f>
        <v>187640251.99000001</v>
      </c>
      <c r="Y244" s="19">
        <f t="shared" si="155"/>
        <v>4425409.0800000131</v>
      </c>
      <c r="Z244" s="19">
        <f t="shared" si="153"/>
        <v>0</v>
      </c>
      <c r="AA244" s="19">
        <f t="shared" si="154"/>
        <v>4425409.0800000131</v>
      </c>
      <c r="AB244" s="7" t="e">
        <f t="shared" si="189"/>
        <v>#NAME?</v>
      </c>
      <c r="AC244" s="50">
        <f t="shared" si="141"/>
        <v>97.695887408844456</v>
      </c>
      <c r="AD244" s="50" t="e">
        <f t="shared" si="190"/>
        <v>#NAME?</v>
      </c>
    </row>
    <row r="245" spans="1:30" s="5" customFormat="1">
      <c r="A245" s="80" t="s">
        <v>11</v>
      </c>
      <c r="B245" s="80"/>
      <c r="C245" s="80"/>
      <c r="D245" s="80"/>
      <c r="E245" s="80"/>
      <c r="F245" s="80"/>
      <c r="G245" s="19">
        <f>H245+I245</f>
        <v>192065661.07000002</v>
      </c>
      <c r="H245" s="19">
        <f>H246</f>
        <v>0</v>
      </c>
      <c r="I245" s="19">
        <f>I246+I249+I250</f>
        <v>192065661.07000002</v>
      </c>
      <c r="J245" s="19">
        <f>K245+L245</f>
        <v>192065661.07000002</v>
      </c>
      <c r="K245" s="19">
        <f>K246</f>
        <v>0</v>
      </c>
      <c r="L245" s="19">
        <f>L246+L249+L250</f>
        <v>192065661.07000002</v>
      </c>
      <c r="M245" s="19" t="e">
        <f>№245+O245</f>
        <v>#NAME?</v>
      </c>
      <c r="N245" s="19" t="e">
        <f>№246</f>
        <v>#NAME?</v>
      </c>
      <c r="O245" s="19">
        <f>O246+O249+O250</f>
        <v>61081675.82</v>
      </c>
      <c r="P245" s="19">
        <f>Q245+R245</f>
        <v>61081675.82</v>
      </c>
      <c r="Q245" s="19">
        <f>Q246</f>
        <v>0</v>
      </c>
      <c r="R245" s="19">
        <f>R246+R249+R250</f>
        <v>61081675.82</v>
      </c>
      <c r="S245" s="19">
        <f>T245+U245</f>
        <v>187640654.20000002</v>
      </c>
      <c r="T245" s="19">
        <f>T246</f>
        <v>0</v>
      </c>
      <c r="U245" s="19">
        <f>U246+U249+U250</f>
        <v>187640654.20000002</v>
      </c>
      <c r="V245" s="19">
        <f>W245+X245</f>
        <v>187640251.99000001</v>
      </c>
      <c r="W245" s="19">
        <f>W246</f>
        <v>0</v>
      </c>
      <c r="X245" s="19">
        <f>X246+X249+X250</f>
        <v>187640251.99000001</v>
      </c>
      <c r="Y245" s="19">
        <f t="shared" si="155"/>
        <v>4425409.0800000131</v>
      </c>
      <c r="Z245" s="19">
        <f t="shared" si="153"/>
        <v>0</v>
      </c>
      <c r="AA245" s="19">
        <f t="shared" si="154"/>
        <v>4425409.0800000131</v>
      </c>
      <c r="AB245" s="7" t="e">
        <f t="shared" si="189"/>
        <v>#NAME?</v>
      </c>
      <c r="AC245" s="50">
        <f t="shared" si="141"/>
        <v>97.695887408844456</v>
      </c>
      <c r="AD245" s="7" t="e">
        <f t="shared" si="190"/>
        <v>#NAME?</v>
      </c>
    </row>
    <row r="246" spans="1:30" ht="127.5" customHeight="1">
      <c r="A246" s="46" t="s">
        <v>239</v>
      </c>
      <c r="B246" s="48" t="s">
        <v>13</v>
      </c>
      <c r="C246" s="48" t="s">
        <v>13</v>
      </c>
      <c r="D246" s="48" t="s">
        <v>240</v>
      </c>
      <c r="E246" s="48" t="s">
        <v>15</v>
      </c>
      <c r="F246" s="48" t="s">
        <v>241</v>
      </c>
      <c r="G246" s="49">
        <f>H246+I246</f>
        <v>6.5483618527650833E-11</v>
      </c>
      <c r="H246" s="49"/>
      <c r="I246" s="49">
        <f>I247+I248</f>
        <v>6.5483618527650833E-11</v>
      </c>
      <c r="J246" s="49">
        <f>K246+L246</f>
        <v>6.5483618527650833E-11</v>
      </c>
      <c r="K246" s="49"/>
      <c r="L246" s="49">
        <f>L247+L248</f>
        <v>6.5483618527650833E-11</v>
      </c>
      <c r="M246" s="49" t="e">
        <f>№246+O246</f>
        <v>#NAME?</v>
      </c>
      <c r="N246" s="49" t="e">
        <f>№247</f>
        <v>#NAME?</v>
      </c>
      <c r="O246" s="49">
        <f>O247+O248</f>
        <v>0</v>
      </c>
      <c r="P246" s="49">
        <f>Q246+R246</f>
        <v>0</v>
      </c>
      <c r="Q246" s="49">
        <f>Q247</f>
        <v>0</v>
      </c>
      <c r="R246" s="49">
        <f>R247+R248</f>
        <v>0</v>
      </c>
      <c r="S246" s="49">
        <f>T246+U246</f>
        <v>0</v>
      </c>
      <c r="T246" s="49">
        <f>T247</f>
        <v>0</v>
      </c>
      <c r="U246" s="49">
        <f>U247+U248</f>
        <v>0</v>
      </c>
      <c r="V246" s="49">
        <f>W246+X246</f>
        <v>0</v>
      </c>
      <c r="W246" s="49">
        <f>W247</f>
        <v>0</v>
      </c>
      <c r="X246" s="49">
        <f>X247+X248</f>
        <v>0</v>
      </c>
      <c r="Y246" s="19">
        <f t="shared" si="155"/>
        <v>6.5483618527650833E-11</v>
      </c>
      <c r="Z246" s="19">
        <f t="shared" si="153"/>
        <v>0</v>
      </c>
      <c r="AA246" s="19">
        <f t="shared" si="154"/>
        <v>6.5483618527650833E-11</v>
      </c>
      <c r="AB246" s="7" t="e">
        <f t="shared" si="189"/>
        <v>#NAME?</v>
      </c>
      <c r="AC246" s="50">
        <f t="shared" si="141"/>
        <v>0</v>
      </c>
      <c r="AD246" s="50">
        <v>0</v>
      </c>
    </row>
    <row r="247" spans="1:30" ht="45">
      <c r="A247" s="46" t="s">
        <v>242</v>
      </c>
      <c r="B247" s="48" t="s">
        <v>243</v>
      </c>
      <c r="C247" s="46"/>
      <c r="D247" s="46"/>
      <c r="E247" s="46"/>
      <c r="F247" s="46"/>
      <c r="G247" s="49">
        <f>H247+I247</f>
        <v>0</v>
      </c>
      <c r="H247" s="49"/>
      <c r="I247" s="49">
        <v>0</v>
      </c>
      <c r="J247" s="49">
        <f>K247+L247</f>
        <v>0</v>
      </c>
      <c r="K247" s="49"/>
      <c r="L247" s="49">
        <v>0</v>
      </c>
      <c r="M247" s="49" t="e">
        <f>№247+O247</f>
        <v>#NAME?</v>
      </c>
      <c r="N247" s="49"/>
      <c r="O247" s="49">
        <v>0</v>
      </c>
      <c r="P247" s="49">
        <f>Q247+R247</f>
        <v>0</v>
      </c>
      <c r="Q247" s="49"/>
      <c r="R247" s="49">
        <v>0</v>
      </c>
      <c r="S247" s="49">
        <f>T247+U247</f>
        <v>0</v>
      </c>
      <c r="T247" s="49"/>
      <c r="U247" s="49">
        <v>0</v>
      </c>
      <c r="V247" s="49">
        <f>W247+X247</f>
        <v>0</v>
      </c>
      <c r="W247" s="49"/>
      <c r="X247" s="49">
        <v>0</v>
      </c>
      <c r="Y247" s="19">
        <f t="shared" si="155"/>
        <v>0</v>
      </c>
      <c r="Z247" s="19">
        <f t="shared" si="153"/>
        <v>0</v>
      </c>
      <c r="AA247" s="19">
        <f t="shared" si="154"/>
        <v>0</v>
      </c>
      <c r="AB247" s="7" t="e">
        <f t="shared" si="189"/>
        <v>#NAME?</v>
      </c>
      <c r="AC247" s="50"/>
      <c r="AD247" s="50">
        <v>0</v>
      </c>
    </row>
    <row r="248" spans="1:30">
      <c r="A248" s="81" t="s">
        <v>21</v>
      </c>
      <c r="B248" s="81" t="s">
        <v>13</v>
      </c>
      <c r="C248" s="81"/>
      <c r="D248" s="81"/>
      <c r="E248" s="81"/>
      <c r="F248" s="81"/>
      <c r="G248" s="49">
        <f>H248+I248</f>
        <v>6.5483618527650833E-11</v>
      </c>
      <c r="H248" s="49"/>
      <c r="I248" s="49">
        <f>664744.02-648374.95-16369.07</f>
        <v>6.5483618527650833E-11</v>
      </c>
      <c r="J248" s="49">
        <f>K248+L248</f>
        <v>6.5483618527650833E-11</v>
      </c>
      <c r="K248" s="49"/>
      <c r="L248" s="49">
        <f>664744.02-648374.95-16369.07</f>
        <v>6.5483618527650833E-11</v>
      </c>
      <c r="M248" s="49" t="e">
        <f>№248+O248</f>
        <v>#NAME?</v>
      </c>
      <c r="N248" s="49"/>
      <c r="O248" s="49"/>
      <c r="P248" s="49">
        <v>0</v>
      </c>
      <c r="Q248" s="49"/>
      <c r="R248" s="49">
        <v>0</v>
      </c>
      <c r="S248" s="49">
        <v>0</v>
      </c>
      <c r="T248" s="49"/>
      <c r="U248" s="49">
        <v>0</v>
      </c>
      <c r="V248" s="49">
        <v>0</v>
      </c>
      <c r="W248" s="49"/>
      <c r="X248" s="49">
        <v>0</v>
      </c>
      <c r="Y248" s="19">
        <f t="shared" si="155"/>
        <v>6.5483618527650833E-11</v>
      </c>
      <c r="Z248" s="19">
        <f t="shared" si="153"/>
        <v>0</v>
      </c>
      <c r="AA248" s="19">
        <f t="shared" si="154"/>
        <v>6.5483618527650833E-11</v>
      </c>
      <c r="AB248" s="7" t="e">
        <f t="shared" si="189"/>
        <v>#NAME?</v>
      </c>
      <c r="AC248" s="50">
        <f t="shared" ref="AC248:AC261" si="193">V248/J248*100</f>
        <v>0</v>
      </c>
      <c r="AD248" s="50">
        <v>0</v>
      </c>
    </row>
    <row r="249" spans="1:30" ht="171" customHeight="1">
      <c r="A249" s="46" t="s">
        <v>244</v>
      </c>
      <c r="B249" s="48" t="s">
        <v>13</v>
      </c>
      <c r="C249" s="48" t="s">
        <v>13</v>
      </c>
      <c r="D249" s="48" t="s">
        <v>245</v>
      </c>
      <c r="E249" s="48" t="s">
        <v>15</v>
      </c>
      <c r="F249" s="48" t="s">
        <v>54</v>
      </c>
      <c r="G249" s="66">
        <f>I249</f>
        <v>176959954.36000001</v>
      </c>
      <c r="H249" s="20"/>
      <c r="I249" s="66">
        <f>136959954.36+40000000</f>
        <v>176959954.36000001</v>
      </c>
      <c r="J249" s="66">
        <f>L249</f>
        <v>176959954.36000001</v>
      </c>
      <c r="K249" s="20"/>
      <c r="L249" s="66">
        <f>136959954.36+40000000</f>
        <v>176959954.36000001</v>
      </c>
      <c r="M249" s="49" t="e">
        <f>№249+O249</f>
        <v>#NAME?</v>
      </c>
      <c r="N249" s="20"/>
      <c r="O249" s="66">
        <v>58225969.109999999</v>
      </c>
      <c r="P249" s="66">
        <f>R249</f>
        <v>58225969.109999999</v>
      </c>
      <c r="Q249" s="20"/>
      <c r="R249" s="66">
        <v>58225969.109999999</v>
      </c>
      <c r="S249" s="66">
        <f>U249</f>
        <v>172534947.49000001</v>
      </c>
      <c r="T249" s="20"/>
      <c r="U249" s="67">
        <f>131629686.21+599000+22045717.1+18260544.18</f>
        <v>172534947.49000001</v>
      </c>
      <c r="V249" s="66">
        <f>X249</f>
        <v>172534545.28</v>
      </c>
      <c r="W249" s="20"/>
      <c r="X249" s="68">
        <v>172534545.28</v>
      </c>
      <c r="Y249" s="19">
        <f t="shared" si="155"/>
        <v>4425409.0800000131</v>
      </c>
      <c r="Z249" s="19">
        <f t="shared" si="153"/>
        <v>0</v>
      </c>
      <c r="AA249" s="19">
        <f t="shared" si="154"/>
        <v>4425409.0800000131</v>
      </c>
      <c r="AB249" s="7" t="e">
        <f t="shared" si="189"/>
        <v>#NAME?</v>
      </c>
      <c r="AC249" s="50">
        <f t="shared" si="193"/>
        <v>97.499203084672388</v>
      </c>
      <c r="AD249" s="50" t="e">
        <f t="shared" si="190"/>
        <v>#NAME?</v>
      </c>
    </row>
    <row r="250" spans="1:30" ht="125.25" customHeight="1">
      <c r="A250" s="46" t="s">
        <v>246</v>
      </c>
      <c r="B250" s="48" t="s">
        <v>13</v>
      </c>
      <c r="C250" s="48" t="s">
        <v>13</v>
      </c>
      <c r="D250" s="48" t="s">
        <v>247</v>
      </c>
      <c r="E250" s="48" t="s">
        <v>15</v>
      </c>
      <c r="F250" s="48" t="s">
        <v>38</v>
      </c>
      <c r="G250" s="66">
        <f>I250</f>
        <v>15105706.710000001</v>
      </c>
      <c r="H250" s="49"/>
      <c r="I250" s="49">
        <v>15105706.710000001</v>
      </c>
      <c r="J250" s="66">
        <f>L250</f>
        <v>15105706.710000001</v>
      </c>
      <c r="K250" s="49"/>
      <c r="L250" s="49">
        <v>15105706.710000001</v>
      </c>
      <c r="M250" s="49" t="e">
        <f>№250+O250</f>
        <v>#NAME?</v>
      </c>
      <c r="N250" s="49"/>
      <c r="O250" s="49">
        <v>2855706.71</v>
      </c>
      <c r="P250" s="49">
        <f>R250</f>
        <v>2855706.71</v>
      </c>
      <c r="Q250" s="49"/>
      <c r="R250" s="49">
        <v>2855706.71</v>
      </c>
      <c r="S250" s="49">
        <f>U250</f>
        <v>15105706.710000001</v>
      </c>
      <c r="T250" s="49"/>
      <c r="U250" s="49">
        <v>15105706.710000001</v>
      </c>
      <c r="V250" s="49">
        <f>X250</f>
        <v>15105706.710000001</v>
      </c>
      <c r="W250" s="49"/>
      <c r="X250" s="69">
        <v>15105706.710000001</v>
      </c>
      <c r="Y250" s="19">
        <f t="shared" si="155"/>
        <v>0</v>
      </c>
      <c r="Z250" s="19">
        <f t="shared" si="153"/>
        <v>0</v>
      </c>
      <c r="AA250" s="19">
        <f t="shared" si="154"/>
        <v>0</v>
      </c>
      <c r="AB250" s="7" t="e">
        <f t="shared" si="189"/>
        <v>#NAME?</v>
      </c>
      <c r="AC250" s="50">
        <f t="shared" si="193"/>
        <v>100</v>
      </c>
      <c r="AD250" s="50" t="e">
        <f t="shared" si="190"/>
        <v>#NAME?</v>
      </c>
    </row>
    <row r="251" spans="1:30" s="5" customFormat="1" ht="33" customHeight="1">
      <c r="A251" s="80" t="s">
        <v>248</v>
      </c>
      <c r="B251" s="80"/>
      <c r="C251" s="80"/>
      <c r="D251" s="80"/>
      <c r="E251" s="80"/>
      <c r="F251" s="80"/>
      <c r="G251" s="19">
        <f>H251+I251</f>
        <v>435801425.17000002</v>
      </c>
      <c r="H251" s="19">
        <f>H253</f>
        <v>241730100</v>
      </c>
      <c r="I251" s="19">
        <f>I255+I259</f>
        <v>194071325.17000002</v>
      </c>
      <c r="J251" s="19">
        <f>K251+L251</f>
        <v>435801425.17000002</v>
      </c>
      <c r="K251" s="19">
        <f>K253</f>
        <v>241730100</v>
      </c>
      <c r="L251" s="19">
        <f>L255+L259</f>
        <v>194071325.17000002</v>
      </c>
      <c r="M251" s="19" t="e">
        <f>№251+O251</f>
        <v>#NAME?</v>
      </c>
      <c r="N251" s="19" t="e">
        <f>№253</f>
        <v>#NAME?</v>
      </c>
      <c r="O251" s="19">
        <f>O255+O259</f>
        <v>171027891.69</v>
      </c>
      <c r="P251" s="19">
        <f>Q251+R251</f>
        <v>358563830.11000001</v>
      </c>
      <c r="Q251" s="19">
        <f>Q255+Q259</f>
        <v>187427203.05000001</v>
      </c>
      <c r="R251" s="19">
        <f>R255+R259</f>
        <v>171136627.06</v>
      </c>
      <c r="S251" s="19">
        <f>T251+U251</f>
        <v>434026678.67000002</v>
      </c>
      <c r="T251" s="19">
        <f>T253</f>
        <v>241730100</v>
      </c>
      <c r="U251" s="19">
        <f>U255+U259</f>
        <v>192296578.67000002</v>
      </c>
      <c r="V251" s="19">
        <f>W251+X251</f>
        <v>434026410.14999998</v>
      </c>
      <c r="W251" s="19">
        <f>W253</f>
        <v>241730100</v>
      </c>
      <c r="X251" s="19">
        <f>X255+X259</f>
        <v>192296310.15000001</v>
      </c>
      <c r="Y251" s="19">
        <f t="shared" si="155"/>
        <v>1775015.0200000107</v>
      </c>
      <c r="Z251" s="19">
        <f t="shared" si="153"/>
        <v>0</v>
      </c>
      <c r="AA251" s="19">
        <f t="shared" si="154"/>
        <v>1775015.0200000107</v>
      </c>
      <c r="AB251" s="7" t="e">
        <f t="shared" si="189"/>
        <v>#NAME?</v>
      </c>
      <c r="AC251" s="50">
        <f t="shared" si="193"/>
        <v>99.592700960234893</v>
      </c>
      <c r="AD251" s="7" t="e">
        <f t="shared" si="190"/>
        <v>#NAME?</v>
      </c>
    </row>
    <row r="252" spans="1:30">
      <c r="A252" s="81" t="s">
        <v>7</v>
      </c>
      <c r="B252" s="81"/>
      <c r="C252" s="81"/>
      <c r="D252" s="81"/>
      <c r="E252" s="81"/>
      <c r="F252" s="81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19">
        <f t="shared" si="155"/>
        <v>0</v>
      </c>
      <c r="Z252" s="19">
        <f t="shared" si="153"/>
        <v>0</v>
      </c>
      <c r="AA252" s="19">
        <f t="shared" si="154"/>
        <v>0</v>
      </c>
      <c r="AB252" s="7"/>
      <c r="AC252" s="50"/>
      <c r="AD252" s="50">
        <v>0</v>
      </c>
    </row>
    <row r="253" spans="1:30">
      <c r="A253" s="81" t="s">
        <v>8</v>
      </c>
      <c r="B253" s="81"/>
      <c r="C253" s="81"/>
      <c r="D253" s="81"/>
      <c r="E253" s="81"/>
      <c r="F253" s="81"/>
      <c r="G253" s="49">
        <f>H253+I253</f>
        <v>435801425.17000002</v>
      </c>
      <c r="H253" s="49">
        <f>H256+H257+H260+H261+H264+H262</f>
        <v>241730100</v>
      </c>
      <c r="I253" s="49">
        <f>I256+I257+I260+I261+I262+I264</f>
        <v>194071325.17000002</v>
      </c>
      <c r="J253" s="49">
        <f>K253+L253</f>
        <v>435801425.17000002</v>
      </c>
      <c r="K253" s="49">
        <f>K256+K257+K260+K261+K264+K262</f>
        <v>241730100</v>
      </c>
      <c r="L253" s="49">
        <f>L256+L257+L260+L261+L262+L264</f>
        <v>194071325.17000002</v>
      </c>
      <c r="M253" s="49" t="e">
        <f>№253+O253</f>
        <v>#NAME?</v>
      </c>
      <c r="N253" s="49" t="e">
        <f>№256+№257+№260+№261+№264+№262</f>
        <v>#NAME?</v>
      </c>
      <c r="O253" s="49">
        <f>O256+O257+O260+O261+O262+O264</f>
        <v>171027891.69</v>
      </c>
      <c r="P253" s="49">
        <f>Q253+R253</f>
        <v>358563830.11000001</v>
      </c>
      <c r="Q253" s="49">
        <f>Q256+Q257+Q260+Q261+Q264</f>
        <v>187427203.05000001</v>
      </c>
      <c r="R253" s="49">
        <f>R256+R257+R260+R261+R262+R264</f>
        <v>171136627.06</v>
      </c>
      <c r="S253" s="49">
        <f>T253+U253</f>
        <v>434026678.67000002</v>
      </c>
      <c r="T253" s="49">
        <f>T256+T257+T260+T261+T264+T262</f>
        <v>241730100</v>
      </c>
      <c r="U253" s="49">
        <f>U256+U257+U260+U261+U262+U264</f>
        <v>192296578.67000002</v>
      </c>
      <c r="V253" s="49">
        <f>W253+X253</f>
        <v>434026410.14999998</v>
      </c>
      <c r="W253" s="49">
        <f>W256+W257+W260+W261+W264+W262</f>
        <v>241730100</v>
      </c>
      <c r="X253" s="49">
        <f>X256+X257+X260+X261+X262+X264</f>
        <v>192296310.14999998</v>
      </c>
      <c r="Y253" s="19">
        <f t="shared" si="155"/>
        <v>1775015.0200000405</v>
      </c>
      <c r="Z253" s="19">
        <f t="shared" si="153"/>
        <v>0</v>
      </c>
      <c r="AA253" s="19">
        <f t="shared" si="154"/>
        <v>1775015.0200000405</v>
      </c>
      <c r="AB253" s="7" t="e">
        <f t="shared" si="189"/>
        <v>#NAME?</v>
      </c>
      <c r="AC253" s="50">
        <f t="shared" si="193"/>
        <v>99.592700960234893</v>
      </c>
      <c r="AD253" s="50" t="e">
        <f t="shared" si="190"/>
        <v>#NAME?</v>
      </c>
    </row>
    <row r="254" spans="1:30">
      <c r="A254" s="81" t="s">
        <v>249</v>
      </c>
      <c r="B254" s="81"/>
      <c r="C254" s="81"/>
      <c r="D254" s="81"/>
      <c r="E254" s="81"/>
      <c r="F254" s="81"/>
      <c r="G254" s="49">
        <f>H254+I254</f>
        <v>64310011.109999999</v>
      </c>
      <c r="H254" s="49">
        <v>23450000</v>
      </c>
      <c r="I254" s="49">
        <v>40860011.109999999</v>
      </c>
      <c r="J254" s="49">
        <f>K254+L254</f>
        <v>64310011.109999999</v>
      </c>
      <c r="K254" s="49">
        <v>23450000</v>
      </c>
      <c r="L254" s="49">
        <v>40860011.109999999</v>
      </c>
      <c r="M254" s="49" t="e">
        <f>№254+O254</f>
        <v>#NAME?</v>
      </c>
      <c r="N254" s="49">
        <v>23450000</v>
      </c>
      <c r="O254" s="49">
        <v>40860011.109999999</v>
      </c>
      <c r="P254" s="49">
        <f>Q254+R254</f>
        <v>64310011.109999999</v>
      </c>
      <c r="Q254" s="49">
        <v>23450000</v>
      </c>
      <c r="R254" s="49">
        <v>40860011.109999999</v>
      </c>
      <c r="S254" s="49">
        <f>T254+U254</f>
        <v>64310011.109999999</v>
      </c>
      <c r="T254" s="49">
        <v>23450000</v>
      </c>
      <c r="U254" s="49">
        <v>40860011.109999999</v>
      </c>
      <c r="V254" s="49">
        <f>W254+X254</f>
        <v>64310011.109999999</v>
      </c>
      <c r="W254" s="49">
        <v>23450000</v>
      </c>
      <c r="X254" s="49">
        <v>40860011.109999999</v>
      </c>
      <c r="Y254" s="19">
        <f t="shared" si="155"/>
        <v>0</v>
      </c>
      <c r="Z254" s="19">
        <f t="shared" si="153"/>
        <v>0</v>
      </c>
      <c r="AA254" s="19">
        <f t="shared" si="154"/>
        <v>0</v>
      </c>
      <c r="AB254" s="7" t="e">
        <f t="shared" si="189"/>
        <v>#NAME?</v>
      </c>
      <c r="AC254" s="50">
        <f t="shared" si="193"/>
        <v>100</v>
      </c>
      <c r="AD254" s="50" t="e">
        <f t="shared" si="190"/>
        <v>#NAME?</v>
      </c>
    </row>
    <row r="255" spans="1:30" s="5" customFormat="1">
      <c r="A255" s="80" t="s">
        <v>11</v>
      </c>
      <c r="B255" s="80"/>
      <c r="C255" s="80"/>
      <c r="D255" s="80"/>
      <c r="E255" s="80"/>
      <c r="F255" s="80"/>
      <c r="G255" s="19">
        <f>H255+I255</f>
        <v>70184812.900000006</v>
      </c>
      <c r="H255" s="19">
        <f>H256+H257</f>
        <v>23450000</v>
      </c>
      <c r="I255" s="19">
        <f>I256+I257</f>
        <v>46734812.899999999</v>
      </c>
      <c r="J255" s="19">
        <f>K255+L255</f>
        <v>70184812.900000006</v>
      </c>
      <c r="K255" s="19">
        <f>K256+K257</f>
        <v>23450000</v>
      </c>
      <c r="L255" s="19">
        <f>L256+L257</f>
        <v>46734812.899999999</v>
      </c>
      <c r="M255" s="19" t="e">
        <f>№255+O255</f>
        <v>#NAME?</v>
      </c>
      <c r="N255" s="19" t="e">
        <f>№256+№257</f>
        <v>#NAME?</v>
      </c>
      <c r="O255" s="19">
        <f>O256+O257</f>
        <v>32830233.280000001</v>
      </c>
      <c r="P255" s="19">
        <f>Q255+R255</f>
        <v>56280233.280000001</v>
      </c>
      <c r="Q255" s="19">
        <f>Q256+Q257</f>
        <v>23450000</v>
      </c>
      <c r="R255" s="19">
        <f>R256+R257</f>
        <v>32830233.280000001</v>
      </c>
      <c r="S255" s="19">
        <f>T255+U255</f>
        <v>70184812.900000006</v>
      </c>
      <c r="T255" s="19">
        <f>T256+T257</f>
        <v>23450000</v>
      </c>
      <c r="U255" s="19">
        <f>U256+U257</f>
        <v>46734812.899999999</v>
      </c>
      <c r="V255" s="19">
        <f>W255+X255</f>
        <v>70184812.900000006</v>
      </c>
      <c r="W255" s="19">
        <f>W256+W257</f>
        <v>23450000</v>
      </c>
      <c r="X255" s="19">
        <f>X256+X257</f>
        <v>46734812.899999999</v>
      </c>
      <c r="Y255" s="19">
        <f t="shared" si="155"/>
        <v>0</v>
      </c>
      <c r="Z255" s="19">
        <f t="shared" si="153"/>
        <v>0</v>
      </c>
      <c r="AA255" s="19">
        <f t="shared" si="154"/>
        <v>0</v>
      </c>
      <c r="AB255" s="7" t="e">
        <f t="shared" si="189"/>
        <v>#NAME?</v>
      </c>
      <c r="AC255" s="50">
        <f t="shared" si="193"/>
        <v>100</v>
      </c>
      <c r="AD255" s="7" t="e">
        <f t="shared" si="190"/>
        <v>#NAME?</v>
      </c>
    </row>
    <row r="256" spans="1:30" ht="135">
      <c r="A256" s="46" t="s">
        <v>250</v>
      </c>
      <c r="B256" s="48" t="s">
        <v>13</v>
      </c>
      <c r="C256" s="48" t="s">
        <v>13</v>
      </c>
      <c r="D256" s="48" t="s">
        <v>251</v>
      </c>
      <c r="E256" s="48" t="s">
        <v>252</v>
      </c>
      <c r="F256" s="48" t="s">
        <v>20</v>
      </c>
      <c r="G256" s="49">
        <f t="shared" ref="G256:G258" si="194">H256+I256</f>
        <v>16614100</v>
      </c>
      <c r="H256" s="49">
        <v>11725000</v>
      </c>
      <c r="I256" s="49">
        <f>4649569.86+239530.14</f>
        <v>4889100</v>
      </c>
      <c r="J256" s="49">
        <f t="shared" ref="J256:J258" si="195">K256+L256</f>
        <v>16614100</v>
      </c>
      <c r="K256" s="49">
        <v>11725000</v>
      </c>
      <c r="L256" s="49">
        <f>4649569.86+239530.14</f>
        <v>4889100</v>
      </c>
      <c r="M256" s="49" t="e">
        <f>№256+O256</f>
        <v>#NAME?</v>
      </c>
      <c r="N256" s="49">
        <v>11725000</v>
      </c>
      <c r="O256" s="49">
        <v>2271262.08</v>
      </c>
      <c r="P256" s="49">
        <f t="shared" ref="P256:P258" si="196">Q256+R256</f>
        <v>13996262.08</v>
      </c>
      <c r="Q256" s="49">
        <v>11725000</v>
      </c>
      <c r="R256" s="49">
        <v>2271262.08</v>
      </c>
      <c r="S256" s="49">
        <f t="shared" ref="S256:S258" si="197">T256+U256</f>
        <v>16614100</v>
      </c>
      <c r="T256" s="49">
        <v>11725000</v>
      </c>
      <c r="U256" s="49">
        <f>4649569.86+239530.14</f>
        <v>4889100</v>
      </c>
      <c r="V256" s="49">
        <f t="shared" ref="V256:V258" si="198">W256+X256</f>
        <v>16614100</v>
      </c>
      <c r="W256" s="49">
        <v>11725000</v>
      </c>
      <c r="X256" s="49">
        <f>4649569.86+239530.14</f>
        <v>4889100</v>
      </c>
      <c r="Y256" s="19">
        <f t="shared" si="155"/>
        <v>0</v>
      </c>
      <c r="Z256" s="19">
        <f t="shared" si="153"/>
        <v>0</v>
      </c>
      <c r="AA256" s="19">
        <f t="shared" si="154"/>
        <v>0</v>
      </c>
      <c r="AB256" s="7" t="e">
        <f t="shared" si="189"/>
        <v>#NAME?</v>
      </c>
      <c r="AC256" s="50">
        <f t="shared" si="193"/>
        <v>100</v>
      </c>
      <c r="AD256" s="50" t="e">
        <f t="shared" si="190"/>
        <v>#NAME?</v>
      </c>
    </row>
    <row r="257" spans="1:30" ht="120">
      <c r="A257" s="46" t="s">
        <v>253</v>
      </c>
      <c r="B257" s="48" t="s">
        <v>13</v>
      </c>
      <c r="C257" s="48" t="s">
        <v>13</v>
      </c>
      <c r="D257" s="48" t="s">
        <v>254</v>
      </c>
      <c r="E257" s="48" t="s">
        <v>255</v>
      </c>
      <c r="F257" s="48" t="s">
        <v>20</v>
      </c>
      <c r="G257" s="49">
        <f t="shared" si="194"/>
        <v>53570712.899999999</v>
      </c>
      <c r="H257" s="49">
        <v>11725000</v>
      </c>
      <c r="I257" s="49">
        <f>41606182.76+239530.14</f>
        <v>41845712.899999999</v>
      </c>
      <c r="J257" s="49">
        <f t="shared" si="195"/>
        <v>53570712.899999999</v>
      </c>
      <c r="K257" s="49">
        <v>11725000</v>
      </c>
      <c r="L257" s="49">
        <f>41606182.76+239530.14</f>
        <v>41845712.899999999</v>
      </c>
      <c r="M257" s="49" t="e">
        <f>№257+O257</f>
        <v>#NAME?</v>
      </c>
      <c r="N257" s="49">
        <v>11725000</v>
      </c>
      <c r="O257" s="49">
        <v>30558971.199999999</v>
      </c>
      <c r="P257" s="49">
        <f t="shared" si="196"/>
        <v>42283971.200000003</v>
      </c>
      <c r="Q257" s="49">
        <v>11725000</v>
      </c>
      <c r="R257" s="49">
        <v>30558971.199999999</v>
      </c>
      <c r="S257" s="49">
        <f t="shared" si="197"/>
        <v>53570712.899999999</v>
      </c>
      <c r="T257" s="49">
        <v>11725000</v>
      </c>
      <c r="U257" s="49">
        <f>41606182.76+239530.14</f>
        <v>41845712.899999999</v>
      </c>
      <c r="V257" s="49">
        <f t="shared" si="198"/>
        <v>53570712.899999999</v>
      </c>
      <c r="W257" s="49">
        <v>11725000</v>
      </c>
      <c r="X257" s="49">
        <f>41606182.76+239530.14</f>
        <v>41845712.899999999</v>
      </c>
      <c r="Y257" s="19">
        <f t="shared" si="155"/>
        <v>0</v>
      </c>
      <c r="Z257" s="19">
        <f t="shared" si="153"/>
        <v>0</v>
      </c>
      <c r="AA257" s="19">
        <f t="shared" si="154"/>
        <v>0</v>
      </c>
      <c r="AB257" s="7" t="e">
        <f t="shared" si="189"/>
        <v>#NAME?</v>
      </c>
      <c r="AC257" s="50">
        <f t="shared" si="193"/>
        <v>100</v>
      </c>
      <c r="AD257" s="50" t="e">
        <f t="shared" si="190"/>
        <v>#NAME?</v>
      </c>
    </row>
    <row r="258" spans="1:30">
      <c r="A258" s="81" t="s">
        <v>256</v>
      </c>
      <c r="B258" s="81"/>
      <c r="C258" s="81"/>
      <c r="D258" s="81"/>
      <c r="E258" s="81"/>
      <c r="F258" s="81"/>
      <c r="G258" s="49">
        <f t="shared" si="194"/>
        <v>314441484.97000003</v>
      </c>
      <c r="H258" s="49">
        <v>187197600</v>
      </c>
      <c r="I258" s="49">
        <v>127243884.97</v>
      </c>
      <c r="J258" s="49">
        <f t="shared" si="195"/>
        <v>314441484.97000003</v>
      </c>
      <c r="K258" s="49">
        <v>187197600</v>
      </c>
      <c r="L258" s="49">
        <v>127243884.97</v>
      </c>
      <c r="M258" s="49" t="e">
        <f>№258+O258</f>
        <v>#NAME?</v>
      </c>
      <c r="N258" s="49">
        <v>187197600</v>
      </c>
      <c r="O258" s="49">
        <v>127243884.97</v>
      </c>
      <c r="P258" s="49">
        <f t="shared" si="196"/>
        <v>314441484.97000003</v>
      </c>
      <c r="Q258" s="49">
        <v>187197600</v>
      </c>
      <c r="R258" s="49">
        <v>127243884.97</v>
      </c>
      <c r="S258" s="49">
        <f t="shared" si="197"/>
        <v>314441484.97000003</v>
      </c>
      <c r="T258" s="49">
        <v>187197600</v>
      </c>
      <c r="U258" s="49">
        <v>127243884.97</v>
      </c>
      <c r="V258" s="49">
        <f t="shared" si="198"/>
        <v>314441484.97000003</v>
      </c>
      <c r="W258" s="49">
        <v>187197600</v>
      </c>
      <c r="X258" s="49">
        <v>127243884.97</v>
      </c>
      <c r="Y258" s="19">
        <f t="shared" si="155"/>
        <v>0</v>
      </c>
      <c r="Z258" s="19">
        <f t="shared" si="153"/>
        <v>0</v>
      </c>
      <c r="AA258" s="19">
        <f t="shared" si="154"/>
        <v>0</v>
      </c>
      <c r="AB258" s="7" t="e">
        <f t="shared" si="189"/>
        <v>#NAME?</v>
      </c>
      <c r="AC258" s="50">
        <f t="shared" si="193"/>
        <v>100</v>
      </c>
      <c r="AD258" s="50" t="e">
        <f t="shared" si="190"/>
        <v>#NAME?</v>
      </c>
    </row>
    <row r="259" spans="1:30" s="5" customFormat="1">
      <c r="A259" s="80" t="s">
        <v>11</v>
      </c>
      <c r="B259" s="80"/>
      <c r="C259" s="80"/>
      <c r="D259" s="80"/>
      <c r="E259" s="80"/>
      <c r="F259" s="80"/>
      <c r="G259" s="19">
        <f>H259+I259</f>
        <v>344011312.26999998</v>
      </c>
      <c r="H259" s="19">
        <f>H260+H261+H264</f>
        <v>196674800</v>
      </c>
      <c r="I259" s="19">
        <f>I260+I261+I262+I264</f>
        <v>147336512.27000001</v>
      </c>
      <c r="J259" s="19">
        <f>K259+L259</f>
        <v>344011312.26999998</v>
      </c>
      <c r="K259" s="19">
        <f>K260+K261+K264</f>
        <v>196674800</v>
      </c>
      <c r="L259" s="19">
        <f>L260+L261+L262+L264</f>
        <v>147336512.27000001</v>
      </c>
      <c r="M259" s="19" t="e">
        <f>№259+O259</f>
        <v>#NAME?</v>
      </c>
      <c r="N259" s="19" t="e">
        <f>№260+№261+№264</f>
        <v>#NAME?</v>
      </c>
      <c r="O259" s="19">
        <f>O260+O261+O262+O264</f>
        <v>138197658.41</v>
      </c>
      <c r="P259" s="19">
        <f>Q259+R259</f>
        <v>302283596.83000004</v>
      </c>
      <c r="Q259" s="19">
        <f>Q260+Q261+Q264</f>
        <v>163977203.05000001</v>
      </c>
      <c r="R259" s="19">
        <f>R260+R261+R262+R264</f>
        <v>138306393.78</v>
      </c>
      <c r="S259" s="19">
        <f>T259+U259</f>
        <v>342236565.76999998</v>
      </c>
      <c r="T259" s="19">
        <f>T260+T261+T264</f>
        <v>196674800</v>
      </c>
      <c r="U259" s="19">
        <f>U260+U261+U262+U264</f>
        <v>145561765.77000001</v>
      </c>
      <c r="V259" s="19">
        <f>W259+X259</f>
        <v>342236297.25</v>
      </c>
      <c r="W259" s="19">
        <f>W260+W261+W264</f>
        <v>196674800</v>
      </c>
      <c r="X259" s="19">
        <f>X260+X261+X262+X264</f>
        <v>145561497.25</v>
      </c>
      <c r="Y259" s="19">
        <f t="shared" si="155"/>
        <v>1775015.0200000107</v>
      </c>
      <c r="Z259" s="19">
        <f t="shared" si="153"/>
        <v>0</v>
      </c>
      <c r="AA259" s="19">
        <f t="shared" si="154"/>
        <v>1775015.0200000107</v>
      </c>
      <c r="AB259" s="7" t="e">
        <f t="shared" si="189"/>
        <v>#NAME?</v>
      </c>
      <c r="AC259" s="50">
        <f t="shared" si="193"/>
        <v>99.484024229236141</v>
      </c>
      <c r="AD259" s="7" t="e">
        <f t="shared" si="190"/>
        <v>#NAME?</v>
      </c>
    </row>
    <row r="260" spans="1:30" ht="97.5" customHeight="1">
      <c r="A260" s="46" t="s">
        <v>257</v>
      </c>
      <c r="B260" s="48" t="s">
        <v>13</v>
      </c>
      <c r="C260" s="48" t="s">
        <v>13</v>
      </c>
      <c r="D260" s="48" t="s">
        <v>82</v>
      </c>
      <c r="E260" s="48" t="s">
        <v>258</v>
      </c>
      <c r="F260" s="48" t="s">
        <v>20</v>
      </c>
      <c r="G260" s="49">
        <f t="shared" ref="G260:G262" si="199">H260+I260</f>
        <v>113519381.18000001</v>
      </c>
      <c r="H260" s="49">
        <f>87182100+24070400</f>
        <v>111252500</v>
      </c>
      <c r="I260" s="49">
        <f>1776399.42+490481.76</f>
        <v>2266881.1799999997</v>
      </c>
      <c r="J260" s="49">
        <f t="shared" ref="J260:J262" si="200">K260+L260</f>
        <v>113519381.18000001</v>
      </c>
      <c r="K260" s="49">
        <f>87182100+24070400</f>
        <v>111252500</v>
      </c>
      <c r="L260" s="49">
        <f>1776399.42+490481.76</f>
        <v>2266881.1799999997</v>
      </c>
      <c r="M260" s="49" t="e">
        <f>№260+O260</f>
        <v>#NAME?</v>
      </c>
      <c r="N260" s="49">
        <v>99675792.909999996</v>
      </c>
      <c r="O260" s="49">
        <v>2031090.4</v>
      </c>
      <c r="P260" s="49">
        <f t="shared" ref="P260:P264" si="201">Q260+R260</f>
        <v>107144605.13</v>
      </c>
      <c r="Q260" s="49">
        <v>105004923.22</v>
      </c>
      <c r="R260" s="49">
        <v>2139681.91</v>
      </c>
      <c r="S260" s="49">
        <f t="shared" ref="S260:S270" si="202">T260+U260</f>
        <v>113519381.18000001</v>
      </c>
      <c r="T260" s="34">
        <v>111252500</v>
      </c>
      <c r="U260" s="34">
        <v>2266881.1800000002</v>
      </c>
      <c r="V260" s="49">
        <f t="shared" ref="V260:V262" si="203">W260+X260</f>
        <v>113519381.18000001</v>
      </c>
      <c r="W260" s="34">
        <v>111252500</v>
      </c>
      <c r="X260" s="34">
        <v>2266881.1800000002</v>
      </c>
      <c r="Y260" s="19">
        <f t="shared" si="155"/>
        <v>0</v>
      </c>
      <c r="Z260" s="19">
        <f t="shared" si="153"/>
        <v>0</v>
      </c>
      <c r="AA260" s="19">
        <f t="shared" si="154"/>
        <v>0</v>
      </c>
      <c r="AB260" s="7" t="e">
        <f t="shared" si="189"/>
        <v>#NAME?</v>
      </c>
      <c r="AC260" s="50">
        <f t="shared" si="193"/>
        <v>100</v>
      </c>
      <c r="AD260" s="50" t="e">
        <f t="shared" si="190"/>
        <v>#NAME?</v>
      </c>
    </row>
    <row r="261" spans="1:30" ht="109.5" customHeight="1">
      <c r="A261" s="46" t="s">
        <v>259</v>
      </c>
      <c r="B261" s="48" t="s">
        <v>13</v>
      </c>
      <c r="C261" s="48" t="s">
        <v>13</v>
      </c>
      <c r="D261" s="48" t="s">
        <v>260</v>
      </c>
      <c r="E261" s="48" t="s">
        <v>178</v>
      </c>
      <c r="F261" s="48" t="s">
        <v>20</v>
      </c>
      <c r="G261" s="49">
        <f t="shared" si="199"/>
        <v>52592560</v>
      </c>
      <c r="H261" s="49">
        <v>51540660</v>
      </c>
      <c r="I261" s="49">
        <v>1051900</v>
      </c>
      <c r="J261" s="49">
        <f t="shared" si="200"/>
        <v>52592560</v>
      </c>
      <c r="K261" s="49">
        <v>51540660</v>
      </c>
      <c r="L261" s="49">
        <v>1051900</v>
      </c>
      <c r="M261" s="49" t="e">
        <f>№261+O261</f>
        <v>#NAME?</v>
      </c>
      <c r="N261" s="49">
        <v>33444718.82</v>
      </c>
      <c r="O261" s="49">
        <v>682577.6</v>
      </c>
      <c r="P261" s="49">
        <f t="shared" si="201"/>
        <v>34128444.450000003</v>
      </c>
      <c r="Q261" s="35">
        <v>33445843.91</v>
      </c>
      <c r="R261" s="35">
        <v>682600.54</v>
      </c>
      <c r="S261" s="49">
        <f t="shared" si="202"/>
        <v>52592560</v>
      </c>
      <c r="T261" s="49">
        <v>51540660</v>
      </c>
      <c r="U261" s="49">
        <v>1051900</v>
      </c>
      <c r="V261" s="49">
        <f t="shared" si="203"/>
        <v>52592560</v>
      </c>
      <c r="W261" s="49">
        <v>51540660</v>
      </c>
      <c r="X261" s="49">
        <v>1051900</v>
      </c>
      <c r="Y261" s="19">
        <f t="shared" si="155"/>
        <v>0</v>
      </c>
      <c r="Z261" s="19">
        <f t="shared" si="153"/>
        <v>0</v>
      </c>
      <c r="AA261" s="19">
        <f t="shared" si="154"/>
        <v>0</v>
      </c>
      <c r="AB261" s="7" t="e">
        <f t="shared" si="189"/>
        <v>#NAME?</v>
      </c>
      <c r="AC261" s="50">
        <f t="shared" si="193"/>
        <v>100</v>
      </c>
      <c r="AD261" s="50" t="e">
        <f t="shared" si="190"/>
        <v>#NAME?</v>
      </c>
    </row>
    <row r="262" spans="1:30" ht="63" customHeight="1">
      <c r="A262" s="82" t="s">
        <v>288</v>
      </c>
      <c r="B262" s="87" t="s">
        <v>13</v>
      </c>
      <c r="C262" s="87" t="s">
        <v>13</v>
      </c>
      <c r="D262" s="87" t="s">
        <v>261</v>
      </c>
      <c r="E262" s="87" t="s">
        <v>252</v>
      </c>
      <c r="F262" s="87" t="s">
        <v>24</v>
      </c>
      <c r="G262" s="45">
        <f t="shared" si="199"/>
        <v>164931611.09</v>
      </c>
      <c r="H262" s="45">
        <v>21605300</v>
      </c>
      <c r="I262" s="45">
        <f>145056146.5+2376459.37-4106294.78</f>
        <v>143326311.09</v>
      </c>
      <c r="J262" s="45">
        <f t="shared" si="200"/>
        <v>164931611.09</v>
      </c>
      <c r="K262" s="45">
        <v>21605300</v>
      </c>
      <c r="L262" s="45">
        <f>145056146.5+2376459.37-4106294.78</f>
        <v>143326311.09</v>
      </c>
      <c r="M262" s="77" t="e">
        <f>№262+O262</f>
        <v>#NAME?</v>
      </c>
      <c r="N262" s="45">
        <v>0</v>
      </c>
      <c r="O262" s="45">
        <v>134963074.41</v>
      </c>
      <c r="P262" s="77">
        <f t="shared" si="201"/>
        <v>134963195.33000001</v>
      </c>
      <c r="Q262" s="77"/>
      <c r="R262" s="77">
        <v>134963195.33000001</v>
      </c>
      <c r="S262" s="77">
        <f t="shared" si="202"/>
        <v>163156864.59</v>
      </c>
      <c r="T262" s="78">
        <v>21605300</v>
      </c>
      <c r="U262" s="77">
        <f>123308591.31+2376459.37+15866513.91</f>
        <v>141551564.59</v>
      </c>
      <c r="V262" s="77">
        <f t="shared" si="203"/>
        <v>163156596.06999999</v>
      </c>
      <c r="W262" s="78">
        <v>21605300</v>
      </c>
      <c r="X262" s="77">
        <v>141551296.06999999</v>
      </c>
      <c r="Y262" s="92">
        <f t="shared" si="155"/>
        <v>1775015.0200000107</v>
      </c>
      <c r="Z262" s="19">
        <f t="shared" si="153"/>
        <v>0</v>
      </c>
      <c r="AA262" s="19">
        <f t="shared" si="154"/>
        <v>1775015.0200000107</v>
      </c>
      <c r="AB262" s="7" t="e">
        <f t="shared" si="189"/>
        <v>#NAME?</v>
      </c>
      <c r="AC262" s="99">
        <f>V262/J262*100</f>
        <v>98.923787254444861</v>
      </c>
      <c r="AD262" s="99" t="e">
        <f t="shared" si="190"/>
        <v>#NAME?</v>
      </c>
    </row>
    <row r="263" spans="1:30" ht="31.5" customHeight="1">
      <c r="A263" s="82"/>
      <c r="B263" s="87"/>
      <c r="C263" s="87"/>
      <c r="D263" s="87"/>
      <c r="E263" s="87"/>
      <c r="F263" s="87"/>
      <c r="G263" s="45"/>
      <c r="H263" s="45"/>
      <c r="I263" s="45"/>
      <c r="J263" s="45"/>
      <c r="K263" s="45"/>
      <c r="L263" s="45"/>
      <c r="M263" s="77"/>
      <c r="N263" s="45"/>
      <c r="O263" s="45"/>
      <c r="P263" s="77"/>
      <c r="Q263" s="77"/>
      <c r="R263" s="77"/>
      <c r="S263" s="77"/>
      <c r="T263" s="78"/>
      <c r="U263" s="77"/>
      <c r="V263" s="77"/>
      <c r="W263" s="78"/>
      <c r="X263" s="77"/>
      <c r="Y263" s="92"/>
      <c r="Z263" s="19">
        <f t="shared" si="153"/>
        <v>0</v>
      </c>
      <c r="AA263" s="19">
        <f t="shared" si="154"/>
        <v>0</v>
      </c>
      <c r="AB263" s="7"/>
      <c r="AC263" s="99"/>
      <c r="AD263" s="99"/>
    </row>
    <row r="264" spans="1:30" ht="111.75" customHeight="1">
      <c r="A264" s="46" t="s">
        <v>287</v>
      </c>
      <c r="B264" s="48" t="s">
        <v>13</v>
      </c>
      <c r="C264" s="48" t="s">
        <v>13</v>
      </c>
      <c r="D264" s="48" t="s">
        <v>262</v>
      </c>
      <c r="E264" s="48" t="s">
        <v>178</v>
      </c>
      <c r="F264" s="48" t="s">
        <v>20</v>
      </c>
      <c r="G264" s="49">
        <f t="shared" ref="G264:G265" si="204">H264+I264</f>
        <v>34573060</v>
      </c>
      <c r="H264" s="49">
        <v>33881640</v>
      </c>
      <c r="I264" s="49">
        <v>691420</v>
      </c>
      <c r="J264" s="49">
        <f t="shared" ref="J264:J265" si="205">K264+L264</f>
        <v>34573060</v>
      </c>
      <c r="K264" s="49">
        <v>33881640</v>
      </c>
      <c r="L264" s="49">
        <v>691420</v>
      </c>
      <c r="M264" s="49" t="e">
        <f>№264+O264</f>
        <v>#NAME?</v>
      </c>
      <c r="N264" s="49">
        <v>25526435.920000002</v>
      </c>
      <c r="O264" s="49">
        <v>520916</v>
      </c>
      <c r="P264" s="49">
        <f t="shared" si="201"/>
        <v>26047351.920000002</v>
      </c>
      <c r="Q264" s="35">
        <v>25526435.920000002</v>
      </c>
      <c r="R264" s="35">
        <v>520916</v>
      </c>
      <c r="S264" s="49">
        <f t="shared" si="202"/>
        <v>34573060</v>
      </c>
      <c r="T264" s="49">
        <v>33881640</v>
      </c>
      <c r="U264" s="49">
        <v>691420</v>
      </c>
      <c r="V264" s="49">
        <f t="shared" ref="V264:V265" si="206">W264+X264</f>
        <v>34573060</v>
      </c>
      <c r="W264" s="49">
        <v>33881640</v>
      </c>
      <c r="X264" s="49">
        <v>691420</v>
      </c>
      <c r="Y264" s="19">
        <f t="shared" si="155"/>
        <v>0</v>
      </c>
      <c r="Z264" s="19">
        <f t="shared" si="153"/>
        <v>0</v>
      </c>
      <c r="AA264" s="19">
        <f t="shared" si="154"/>
        <v>0</v>
      </c>
      <c r="AB264" s="7" t="e">
        <f t="shared" si="189"/>
        <v>#NAME?</v>
      </c>
      <c r="AC264" s="50">
        <f>V264/J264*100</f>
        <v>100</v>
      </c>
      <c r="AD264" s="50" t="e">
        <f t="shared" si="190"/>
        <v>#NAME?</v>
      </c>
    </row>
    <row r="265" spans="1:30" ht="31.5" customHeight="1">
      <c r="A265" s="80" t="s">
        <v>307</v>
      </c>
      <c r="B265" s="80"/>
      <c r="C265" s="80"/>
      <c r="D265" s="80"/>
      <c r="E265" s="80"/>
      <c r="F265" s="80"/>
      <c r="G265" s="19">
        <f t="shared" si="204"/>
        <v>60370626.740000002</v>
      </c>
      <c r="H265" s="19"/>
      <c r="I265" s="19">
        <f>I267</f>
        <v>60370626.740000002</v>
      </c>
      <c r="J265" s="19">
        <f t="shared" si="205"/>
        <v>60370626.740000002</v>
      </c>
      <c r="K265" s="19"/>
      <c r="L265" s="19">
        <f>L267</f>
        <v>60370626.740000002</v>
      </c>
      <c r="M265" s="19">
        <v>0</v>
      </c>
      <c r="N265" s="19"/>
      <c r="O265" s="19">
        <v>0</v>
      </c>
      <c r="P265" s="19">
        <v>0</v>
      </c>
      <c r="Q265" s="19"/>
      <c r="R265" s="19">
        <v>0</v>
      </c>
      <c r="S265" s="19">
        <f t="shared" si="202"/>
        <v>60370626.740000002</v>
      </c>
      <c r="T265" s="19"/>
      <c r="U265" s="19">
        <f>U267</f>
        <v>60370626.740000002</v>
      </c>
      <c r="V265" s="19">
        <f t="shared" si="206"/>
        <v>60370626.740000002</v>
      </c>
      <c r="W265" s="19"/>
      <c r="X265" s="19">
        <f>X267</f>
        <v>60370626.740000002</v>
      </c>
      <c r="Y265" s="19">
        <f t="shared" si="155"/>
        <v>0</v>
      </c>
      <c r="Z265" s="19">
        <f t="shared" ref="Z265:Z297" si="207">K265-W265</f>
        <v>0</v>
      </c>
      <c r="AA265" s="19">
        <f t="shared" ref="AA265:AA297" si="208">L265-X265</f>
        <v>0</v>
      </c>
      <c r="AB265" s="7">
        <f t="shared" si="189"/>
        <v>0</v>
      </c>
      <c r="AC265" s="50">
        <f t="shared" ref="AC265:AC297" si="209">V265/J265*100</f>
        <v>100</v>
      </c>
      <c r="AD265" s="50" t="e">
        <f>S265/M265*100</f>
        <v>#DIV/0!</v>
      </c>
    </row>
    <row r="266" spans="1:30">
      <c r="A266" s="81" t="s">
        <v>7</v>
      </c>
      <c r="B266" s="81"/>
      <c r="C266" s="81"/>
      <c r="D266" s="81"/>
      <c r="E266" s="81"/>
      <c r="F266" s="81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19"/>
      <c r="Z266" s="19">
        <f t="shared" si="207"/>
        <v>0</v>
      </c>
      <c r="AA266" s="19">
        <f t="shared" si="208"/>
        <v>0</v>
      </c>
      <c r="AB266" s="7"/>
      <c r="AC266" s="50"/>
      <c r="AD266" s="50"/>
    </row>
    <row r="267" spans="1:30">
      <c r="A267" s="81" t="s">
        <v>8</v>
      </c>
      <c r="B267" s="81"/>
      <c r="C267" s="81"/>
      <c r="D267" s="81"/>
      <c r="E267" s="81"/>
      <c r="F267" s="81"/>
      <c r="G267" s="49">
        <f t="shared" ref="G267:G270" si="210">H267+I267</f>
        <v>60370626.740000002</v>
      </c>
      <c r="H267" s="49"/>
      <c r="I267" s="49">
        <f>I268</f>
        <v>60370626.740000002</v>
      </c>
      <c r="J267" s="49">
        <f t="shared" ref="J267:J270" si="211">K267+L267</f>
        <v>60370626.740000002</v>
      </c>
      <c r="K267" s="49"/>
      <c r="L267" s="49">
        <f>L268</f>
        <v>60370626.740000002</v>
      </c>
      <c r="M267" s="49"/>
      <c r="N267" s="49"/>
      <c r="O267" s="49"/>
      <c r="P267" s="49"/>
      <c r="Q267" s="49"/>
      <c r="R267" s="49"/>
      <c r="S267" s="49">
        <f t="shared" si="202"/>
        <v>60370626.740000002</v>
      </c>
      <c r="T267" s="49"/>
      <c r="U267" s="49">
        <f>U268</f>
        <v>60370626.740000002</v>
      </c>
      <c r="V267" s="49">
        <f t="shared" ref="V267:V270" si="212">W267+X267</f>
        <v>60370626.740000002</v>
      </c>
      <c r="W267" s="49"/>
      <c r="X267" s="49">
        <f>X268</f>
        <v>60370626.740000002</v>
      </c>
      <c r="Y267" s="19">
        <f t="shared" si="155"/>
        <v>0</v>
      </c>
      <c r="Z267" s="19">
        <f t="shared" si="207"/>
        <v>0</v>
      </c>
      <c r="AA267" s="19">
        <f t="shared" si="208"/>
        <v>0</v>
      </c>
      <c r="AB267" s="7">
        <f t="shared" si="189"/>
        <v>0</v>
      </c>
      <c r="AC267" s="50">
        <f t="shared" si="209"/>
        <v>100</v>
      </c>
      <c r="AD267" s="50"/>
    </row>
    <row r="268" spans="1:30" ht="21.75" customHeight="1">
      <c r="A268" s="81" t="s">
        <v>308</v>
      </c>
      <c r="B268" s="81"/>
      <c r="C268" s="81"/>
      <c r="D268" s="81"/>
      <c r="E268" s="81"/>
      <c r="F268" s="81"/>
      <c r="G268" s="49">
        <f t="shared" si="210"/>
        <v>60370626.740000002</v>
      </c>
      <c r="H268" s="49"/>
      <c r="I268" s="49">
        <f>I269</f>
        <v>60370626.740000002</v>
      </c>
      <c r="J268" s="49">
        <f t="shared" si="211"/>
        <v>60370626.740000002</v>
      </c>
      <c r="K268" s="49"/>
      <c r="L268" s="49">
        <f>L269</f>
        <v>60370626.740000002</v>
      </c>
      <c r="M268" s="49"/>
      <c r="N268" s="49"/>
      <c r="O268" s="49"/>
      <c r="P268" s="49"/>
      <c r="Q268" s="49"/>
      <c r="R268" s="49"/>
      <c r="S268" s="49">
        <f t="shared" si="202"/>
        <v>60370626.740000002</v>
      </c>
      <c r="T268" s="49"/>
      <c r="U268" s="49">
        <f>U269</f>
        <v>60370626.740000002</v>
      </c>
      <c r="V268" s="49">
        <f t="shared" si="212"/>
        <v>60370626.740000002</v>
      </c>
      <c r="W268" s="49"/>
      <c r="X268" s="49">
        <f>X269</f>
        <v>60370626.740000002</v>
      </c>
      <c r="Y268" s="19">
        <f t="shared" si="155"/>
        <v>0</v>
      </c>
      <c r="Z268" s="19">
        <f t="shared" si="207"/>
        <v>0</v>
      </c>
      <c r="AA268" s="19">
        <f t="shared" si="208"/>
        <v>0</v>
      </c>
      <c r="AB268" s="7">
        <f t="shared" si="189"/>
        <v>0</v>
      </c>
      <c r="AC268" s="50">
        <f t="shared" si="209"/>
        <v>100</v>
      </c>
      <c r="AD268" s="50"/>
    </row>
    <row r="269" spans="1:30">
      <c r="A269" s="80" t="s">
        <v>92</v>
      </c>
      <c r="B269" s="80"/>
      <c r="C269" s="80"/>
      <c r="D269" s="80"/>
      <c r="E269" s="80"/>
      <c r="F269" s="80"/>
      <c r="G269" s="49">
        <f t="shared" si="210"/>
        <v>60370626.740000002</v>
      </c>
      <c r="H269" s="49"/>
      <c r="I269" s="49">
        <f>I270</f>
        <v>60370626.740000002</v>
      </c>
      <c r="J269" s="49">
        <f t="shared" si="211"/>
        <v>60370626.740000002</v>
      </c>
      <c r="K269" s="49"/>
      <c r="L269" s="49">
        <f>L270</f>
        <v>60370626.740000002</v>
      </c>
      <c r="M269" s="49"/>
      <c r="N269" s="49"/>
      <c r="O269" s="49"/>
      <c r="P269" s="49"/>
      <c r="Q269" s="49"/>
      <c r="R269" s="49"/>
      <c r="S269" s="49">
        <f t="shared" si="202"/>
        <v>60370626.740000002</v>
      </c>
      <c r="T269" s="49"/>
      <c r="U269" s="49">
        <f>U270</f>
        <v>60370626.740000002</v>
      </c>
      <c r="V269" s="49">
        <f t="shared" si="212"/>
        <v>60370626.740000002</v>
      </c>
      <c r="W269" s="49"/>
      <c r="X269" s="49">
        <f>X270</f>
        <v>60370626.740000002</v>
      </c>
      <c r="Y269" s="19">
        <f t="shared" si="155"/>
        <v>0</v>
      </c>
      <c r="Z269" s="19">
        <f t="shared" si="207"/>
        <v>0</v>
      </c>
      <c r="AA269" s="19">
        <f t="shared" si="208"/>
        <v>0</v>
      </c>
      <c r="AB269" s="7">
        <f t="shared" si="189"/>
        <v>0</v>
      </c>
      <c r="AC269" s="50">
        <f t="shared" si="209"/>
        <v>100</v>
      </c>
      <c r="AD269" s="50"/>
    </row>
    <row r="270" spans="1:30" ht="118.5" customHeight="1">
      <c r="A270" s="46" t="s">
        <v>309</v>
      </c>
      <c r="B270" s="48" t="s">
        <v>13</v>
      </c>
      <c r="C270" s="48" t="s">
        <v>94</v>
      </c>
      <c r="D270" s="48" t="s">
        <v>310</v>
      </c>
      <c r="E270" s="48" t="s">
        <v>194</v>
      </c>
      <c r="F270" s="48">
        <v>2022</v>
      </c>
      <c r="G270" s="49">
        <f t="shared" si="210"/>
        <v>60370626.740000002</v>
      </c>
      <c r="H270" s="49"/>
      <c r="I270" s="49">
        <v>60370626.740000002</v>
      </c>
      <c r="J270" s="49">
        <f t="shared" si="211"/>
        <v>60370626.740000002</v>
      </c>
      <c r="K270" s="49"/>
      <c r="L270" s="49">
        <v>60370626.740000002</v>
      </c>
      <c r="M270" s="49">
        <v>0</v>
      </c>
      <c r="N270" s="49"/>
      <c r="O270" s="49">
        <v>0</v>
      </c>
      <c r="P270" s="49">
        <v>0</v>
      </c>
      <c r="Q270" s="49"/>
      <c r="R270" s="49">
        <v>0</v>
      </c>
      <c r="S270" s="49">
        <f t="shared" si="202"/>
        <v>60370626.740000002</v>
      </c>
      <c r="T270" s="49"/>
      <c r="U270" s="49">
        <v>60370626.740000002</v>
      </c>
      <c r="V270" s="49">
        <f t="shared" si="212"/>
        <v>60370626.740000002</v>
      </c>
      <c r="W270" s="49"/>
      <c r="X270" s="49">
        <v>60370626.740000002</v>
      </c>
      <c r="Y270" s="19">
        <f t="shared" si="155"/>
        <v>0</v>
      </c>
      <c r="Z270" s="19">
        <f t="shared" si="207"/>
        <v>0</v>
      </c>
      <c r="AA270" s="19">
        <f t="shared" si="208"/>
        <v>0</v>
      </c>
      <c r="AB270" s="7">
        <f t="shared" si="189"/>
        <v>0</v>
      </c>
      <c r="AC270" s="50">
        <f t="shared" si="209"/>
        <v>100</v>
      </c>
      <c r="AD270" s="50"/>
    </row>
    <row r="271" spans="1:30" s="5" customFormat="1" ht="29.25" customHeight="1">
      <c r="A271" s="80" t="s">
        <v>263</v>
      </c>
      <c r="B271" s="80"/>
      <c r="C271" s="80"/>
      <c r="D271" s="80"/>
      <c r="E271" s="80"/>
      <c r="F271" s="80"/>
      <c r="G271" s="19">
        <f>G275+G276+G279++G282+G285+G287</f>
        <v>431128843.32999998</v>
      </c>
      <c r="H271" s="19">
        <f t="shared" ref="H271:I271" si="213">H275+H276+H279++H282+H285+H287</f>
        <v>348491000</v>
      </c>
      <c r="I271" s="19">
        <f t="shared" si="213"/>
        <v>82637843.329999998</v>
      </c>
      <c r="J271" s="19">
        <f>J275+J276+J279++J282+J285+J287</f>
        <v>431128843.32999998</v>
      </c>
      <c r="K271" s="19">
        <f t="shared" ref="K271:L271" si="214">K275+K276+K279++K282+K285+K287</f>
        <v>348491000</v>
      </c>
      <c r="L271" s="19">
        <f t="shared" si="214"/>
        <v>82637843.329999998</v>
      </c>
      <c r="M271" s="19" t="e">
        <f>M275+M276+M279++M282+M285+M287</f>
        <v>#NAME?</v>
      </c>
      <c r="N271" s="19" t="e">
        <f>№275+№276+№279++№282+№285+№287</f>
        <v>#NAME?</v>
      </c>
      <c r="O271" s="19">
        <f t="shared" ref="O271" si="215">O275+O276+O279++O282+O285+O287</f>
        <v>29590702.599999998</v>
      </c>
      <c r="P271" s="19">
        <f>P275+P276+P279++P282+P285+P287</f>
        <v>304698181.38999999</v>
      </c>
      <c r="Q271" s="19">
        <f t="shared" ref="Q271:R271" si="216">Q275+Q276+Q279++Q282+Q285+Q287</f>
        <v>275107478.78999996</v>
      </c>
      <c r="R271" s="19">
        <f t="shared" si="216"/>
        <v>29590702.599999998</v>
      </c>
      <c r="S271" s="19">
        <f>S275+S276+S279++S282+S285+S287</f>
        <v>424725646.79000008</v>
      </c>
      <c r="T271" s="19">
        <f t="shared" ref="T271:U271" si="217">T275+T276+T279++T282+T285+T287</f>
        <v>348484268.81</v>
      </c>
      <c r="U271" s="19">
        <f t="shared" si="217"/>
        <v>76241377.980000004</v>
      </c>
      <c r="V271" s="19">
        <f>V275+V276+V279++V282+V285+V287</f>
        <v>421327602.24000001</v>
      </c>
      <c r="W271" s="19">
        <f t="shared" ref="W271:X271" si="218">W275+W276+W279++W282+W285+W287</f>
        <v>348484268.81</v>
      </c>
      <c r="X271" s="19">
        <f t="shared" si="218"/>
        <v>72843333.430000007</v>
      </c>
      <c r="Y271" s="19">
        <f t="shared" si="155"/>
        <v>9801241.0899999887</v>
      </c>
      <c r="Z271" s="19">
        <f t="shared" si="207"/>
        <v>6731.1899999976158</v>
      </c>
      <c r="AA271" s="19">
        <f t="shared" si="208"/>
        <v>9794509.8999999911</v>
      </c>
      <c r="AB271" s="7" t="e">
        <f t="shared" si="189"/>
        <v>#NAME?</v>
      </c>
      <c r="AC271" s="50">
        <f t="shared" si="209"/>
        <v>97.726609749814912</v>
      </c>
      <c r="AD271" s="7" t="e">
        <f t="shared" si="190"/>
        <v>#NAME?</v>
      </c>
    </row>
    <row r="272" spans="1:30">
      <c r="A272" s="81" t="s">
        <v>7</v>
      </c>
      <c r="B272" s="81"/>
      <c r="C272" s="81"/>
      <c r="D272" s="81"/>
      <c r="E272" s="81"/>
      <c r="F272" s="81"/>
      <c r="G272" s="49">
        <f t="shared" ref="G272:I272" si="219">G271-G273</f>
        <v>355603061.24000001</v>
      </c>
      <c r="H272" s="49">
        <f t="shared" si="219"/>
        <v>348491000</v>
      </c>
      <c r="I272" s="49">
        <f t="shared" si="219"/>
        <v>7112061.2399999946</v>
      </c>
      <c r="J272" s="49">
        <f t="shared" ref="J272:L272" si="220">J271-J273</f>
        <v>355603061.24000001</v>
      </c>
      <c r="K272" s="49">
        <f t="shared" si="220"/>
        <v>348491000</v>
      </c>
      <c r="L272" s="49">
        <f t="shared" si="220"/>
        <v>7112061.2399999946</v>
      </c>
      <c r="M272" s="49" t="e">
        <f t="shared" ref="M272:U272" si="221">M271-M273</f>
        <v>#NAME?</v>
      </c>
      <c r="N272" s="49" t="e">
        <f>№271-№273</f>
        <v>#NAME?</v>
      </c>
      <c r="O272" s="49">
        <f t="shared" si="221"/>
        <v>5614438.3299999982</v>
      </c>
      <c r="P272" s="49">
        <f t="shared" si="221"/>
        <v>280721917.12</v>
      </c>
      <c r="Q272" s="49">
        <f t="shared" si="221"/>
        <v>275107478.78999996</v>
      </c>
      <c r="R272" s="49">
        <f t="shared" si="221"/>
        <v>5614438.3299999982</v>
      </c>
      <c r="S272" s="49">
        <f t="shared" si="221"/>
        <v>355596192.68000007</v>
      </c>
      <c r="T272" s="49">
        <f t="shared" si="221"/>
        <v>348484268.81</v>
      </c>
      <c r="U272" s="49">
        <f t="shared" si="221"/>
        <v>7111923.8700000048</v>
      </c>
      <c r="V272" s="49">
        <f t="shared" ref="V272:X272" si="222">V271-V273</f>
        <v>355596192.68000001</v>
      </c>
      <c r="W272" s="49">
        <f t="shared" si="222"/>
        <v>348484268.81</v>
      </c>
      <c r="X272" s="49">
        <f t="shared" si="222"/>
        <v>7111923.8700000048</v>
      </c>
      <c r="Y272" s="19">
        <f t="shared" si="155"/>
        <v>6868.559999987483</v>
      </c>
      <c r="Z272" s="19">
        <f t="shared" si="207"/>
        <v>6731.1899999976158</v>
      </c>
      <c r="AA272" s="19">
        <f t="shared" si="208"/>
        <v>137.36999998986721</v>
      </c>
      <c r="AB272" s="7" t="e">
        <f t="shared" si="189"/>
        <v>#NAME?</v>
      </c>
      <c r="AC272" s="50">
        <f>V272/J272*100</f>
        <v>99.998068475570463</v>
      </c>
      <c r="AD272" s="50" t="e">
        <f t="shared" si="190"/>
        <v>#NAME?</v>
      </c>
    </row>
    <row r="273" spans="1:30">
      <c r="A273" s="81" t="s">
        <v>8</v>
      </c>
      <c r="B273" s="81"/>
      <c r="C273" s="81"/>
      <c r="D273" s="81"/>
      <c r="E273" s="81"/>
      <c r="F273" s="81"/>
      <c r="G273" s="49">
        <f>G278+G275+G281+G284+G287+G285</f>
        <v>75525782.090000004</v>
      </c>
      <c r="H273" s="49">
        <f t="shared" ref="H273" si="223">H278+H275+H281+H284+H287+H285</f>
        <v>0</v>
      </c>
      <c r="I273" s="49">
        <f>I278+I275+I281+I284+I287+I285</f>
        <v>75525782.090000004</v>
      </c>
      <c r="J273" s="49">
        <f>J278+J275+J281+J284+J287+J285</f>
        <v>75525782.090000004</v>
      </c>
      <c r="K273" s="49">
        <f t="shared" ref="K273" si="224">K278+K275+K281+K284+K287+K285</f>
        <v>0</v>
      </c>
      <c r="L273" s="49">
        <f>L278+L275+L281+L284+L287+L285</f>
        <v>75525782.090000004</v>
      </c>
      <c r="M273" s="49" t="e">
        <f t="shared" ref="M273:T273" si="225">M278+M275+M281+M284+M287+M285</f>
        <v>#NAME?</v>
      </c>
      <c r="N273" s="49" t="e">
        <f>№278+№275+№281+№284+№287+№285</f>
        <v>#NAME?</v>
      </c>
      <c r="O273" s="49">
        <f t="shared" si="225"/>
        <v>23976264.27</v>
      </c>
      <c r="P273" s="49">
        <f t="shared" si="225"/>
        <v>23976264.27</v>
      </c>
      <c r="Q273" s="49">
        <f t="shared" si="225"/>
        <v>0</v>
      </c>
      <c r="R273" s="49">
        <f t="shared" si="225"/>
        <v>23976264.27</v>
      </c>
      <c r="S273" s="49">
        <f>S278+S275+S281+S284+S287+S285</f>
        <v>69129454.109999999</v>
      </c>
      <c r="T273" s="49">
        <f t="shared" si="225"/>
        <v>0</v>
      </c>
      <c r="U273" s="49">
        <f>U278+U275+U281+U284+U287+U285</f>
        <v>69129454.109999999</v>
      </c>
      <c r="V273" s="49">
        <f>V278+V275+V281+V284+V287+V285</f>
        <v>65731409.560000002</v>
      </c>
      <c r="W273" s="49">
        <f t="shared" ref="W273" si="226">W278+W275+W281+W284+W287+W285</f>
        <v>0</v>
      </c>
      <c r="X273" s="49">
        <f>X278+X275+X281+X284+X287+X285</f>
        <v>65731409.560000002</v>
      </c>
      <c r="Y273" s="19">
        <f t="shared" si="155"/>
        <v>9794372.5300000012</v>
      </c>
      <c r="Z273" s="19">
        <f t="shared" si="207"/>
        <v>0</v>
      </c>
      <c r="AA273" s="19">
        <f t="shared" si="208"/>
        <v>9794372.5300000012</v>
      </c>
      <c r="AB273" s="7" t="e">
        <f t="shared" si="189"/>
        <v>#NAME?</v>
      </c>
      <c r="AC273" s="50">
        <f t="shared" si="209"/>
        <v>87.031749610578572</v>
      </c>
      <c r="AD273" s="50" t="e">
        <f t="shared" si="190"/>
        <v>#NAME?</v>
      </c>
    </row>
    <row r="274" spans="1:30" s="5" customFormat="1">
      <c r="A274" s="80" t="s">
        <v>11</v>
      </c>
      <c r="B274" s="80"/>
      <c r="C274" s="80"/>
      <c r="D274" s="80"/>
      <c r="E274" s="80"/>
      <c r="F274" s="80"/>
      <c r="G274" s="19">
        <f t="shared" ref="G274:L274" si="227">G275+G276+G279+G282+G285</f>
        <v>431128843.32999998</v>
      </c>
      <c r="H274" s="19">
        <f t="shared" si="227"/>
        <v>348491000</v>
      </c>
      <c r="I274" s="19">
        <f t="shared" si="227"/>
        <v>82637843.329999998</v>
      </c>
      <c r="J274" s="19">
        <f t="shared" si="227"/>
        <v>431128843.32999998</v>
      </c>
      <c r="K274" s="19">
        <f t="shared" si="227"/>
        <v>348491000</v>
      </c>
      <c r="L274" s="19">
        <f t="shared" si="227"/>
        <v>82637843.329999998</v>
      </c>
      <c r="M274" s="19" t="e">
        <f t="shared" ref="M274" si="228">M275+M276+M279+M282+M285</f>
        <v>#NAME?</v>
      </c>
      <c r="N274" s="19" t="e">
        <f>№275+№276+№279+№282+№285</f>
        <v>#NAME?</v>
      </c>
      <c r="O274" s="19">
        <f t="shared" ref="O274:P274" si="229">O275+O276+O279+O282+O285</f>
        <v>29590702.599999998</v>
      </c>
      <c r="P274" s="19">
        <f t="shared" si="229"/>
        <v>304698181.38999999</v>
      </c>
      <c r="Q274" s="19">
        <f>Q275+Q276+Q279+Q282+Q285</f>
        <v>275107478.78999996</v>
      </c>
      <c r="R274" s="19">
        <f t="shared" ref="R274:S274" si="230">R275+R276+R279+R282+R285</f>
        <v>29590702.599999998</v>
      </c>
      <c r="S274" s="19">
        <f t="shared" si="230"/>
        <v>424725646.79000008</v>
      </c>
      <c r="T274" s="19">
        <f>T275+T276+T279+T282+T285</f>
        <v>348484268.81</v>
      </c>
      <c r="U274" s="19">
        <f>U275+U276+U279+U282+U285</f>
        <v>76241377.980000004</v>
      </c>
      <c r="V274" s="19">
        <f t="shared" ref="V274" si="231">V275+V276+V279+V282+V285</f>
        <v>421327602.24000001</v>
      </c>
      <c r="W274" s="19">
        <f>W275+W276+W279+W282+W285</f>
        <v>348484268.81</v>
      </c>
      <c r="X274" s="19">
        <f>X275+X276+X279+X282+X285</f>
        <v>72843333.430000007</v>
      </c>
      <c r="Y274" s="19">
        <f t="shared" si="155"/>
        <v>9801241.0899999887</v>
      </c>
      <c r="Z274" s="19">
        <f t="shared" si="207"/>
        <v>6731.1899999976158</v>
      </c>
      <c r="AA274" s="19">
        <f t="shared" si="208"/>
        <v>9794509.8999999911</v>
      </c>
      <c r="AB274" s="7" t="e">
        <f t="shared" si="189"/>
        <v>#NAME?</v>
      </c>
      <c r="AC274" s="50">
        <f t="shared" si="209"/>
        <v>97.726609749814912</v>
      </c>
      <c r="AD274" s="7" t="e">
        <f t="shared" si="190"/>
        <v>#NAME?</v>
      </c>
    </row>
    <row r="275" spans="1:30" ht="110.25" customHeight="1">
      <c r="A275" s="46" t="s">
        <v>264</v>
      </c>
      <c r="B275" s="48" t="s">
        <v>13</v>
      </c>
      <c r="C275" s="48" t="s">
        <v>13</v>
      </c>
      <c r="D275" s="48" t="s">
        <v>265</v>
      </c>
      <c r="E275" s="48" t="s">
        <v>220</v>
      </c>
      <c r="F275" s="48" t="s">
        <v>65</v>
      </c>
      <c r="G275" s="49">
        <f>H275+I275</f>
        <v>0</v>
      </c>
      <c r="H275" s="49">
        <v>0</v>
      </c>
      <c r="I275" s="49">
        <v>0</v>
      </c>
      <c r="J275" s="49">
        <f>K275+L275</f>
        <v>0</v>
      </c>
      <c r="K275" s="49">
        <v>0</v>
      </c>
      <c r="L275" s="49">
        <v>0</v>
      </c>
      <c r="M275" s="49" t="e">
        <f>№275+O275</f>
        <v>#NAME?</v>
      </c>
      <c r="N275" s="49">
        <v>0</v>
      </c>
      <c r="O275" s="70">
        <v>0</v>
      </c>
      <c r="P275" s="49">
        <f>Q275+R275</f>
        <v>0</v>
      </c>
      <c r="Q275" s="49">
        <v>0</v>
      </c>
      <c r="R275" s="49">
        <v>0</v>
      </c>
      <c r="S275" s="49">
        <f>T275+U275</f>
        <v>0</v>
      </c>
      <c r="T275" s="49">
        <v>0</v>
      </c>
      <c r="U275" s="49">
        <v>0</v>
      </c>
      <c r="V275" s="49">
        <f>W275+X275</f>
        <v>0</v>
      </c>
      <c r="W275" s="49">
        <v>0</v>
      </c>
      <c r="X275" s="49">
        <v>0</v>
      </c>
      <c r="Y275" s="19">
        <f t="shared" ref="Y275:Y292" si="232">Z275+AA275</f>
        <v>0</v>
      </c>
      <c r="Z275" s="19">
        <f t="shared" si="207"/>
        <v>0</v>
      </c>
      <c r="AA275" s="19">
        <f t="shared" si="208"/>
        <v>0</v>
      </c>
      <c r="AB275" s="7"/>
      <c r="AC275" s="50"/>
      <c r="AD275" s="50">
        <v>0</v>
      </c>
    </row>
    <row r="276" spans="1:30" ht="198.75" customHeight="1">
      <c r="A276" s="46" t="s">
        <v>266</v>
      </c>
      <c r="B276" s="48" t="s">
        <v>13</v>
      </c>
      <c r="C276" s="48" t="s">
        <v>13</v>
      </c>
      <c r="D276" s="48" t="s">
        <v>267</v>
      </c>
      <c r="E276" s="48" t="s">
        <v>15</v>
      </c>
      <c r="F276" s="48" t="s">
        <v>54</v>
      </c>
      <c r="G276" s="49">
        <f t="shared" ref="G276:G278" si="233">H276+I276</f>
        <v>360637289.40000004</v>
      </c>
      <c r="H276" s="49">
        <f>H277+H278</f>
        <v>304830309.60000002</v>
      </c>
      <c r="I276" s="49">
        <f>I277+I278</f>
        <v>55806979.800000004</v>
      </c>
      <c r="J276" s="49">
        <f t="shared" ref="J276:J278" si="234">K276+L276</f>
        <v>360637289.40000004</v>
      </c>
      <c r="K276" s="49">
        <f>K277+K278</f>
        <v>304830309.60000002</v>
      </c>
      <c r="L276" s="49">
        <f>L277+L278</f>
        <v>55806979.800000004</v>
      </c>
      <c r="M276" s="49" t="e">
        <f>№276+O276</f>
        <v>#NAME?</v>
      </c>
      <c r="N276" s="49" t="e">
        <f>№277+№278</f>
        <v>#NAME?</v>
      </c>
      <c r="O276" s="49">
        <f>O277+O278</f>
        <v>13433777.169999998</v>
      </c>
      <c r="P276" s="49">
        <f t="shared" ref="P276:P278" si="235">Q276+R276</f>
        <v>257178902.33999997</v>
      </c>
      <c r="Q276" s="49">
        <f>Q277+Q278</f>
        <v>243745125.16999999</v>
      </c>
      <c r="R276" s="49">
        <f>R277+R278</f>
        <v>13433777.169999998</v>
      </c>
      <c r="S276" s="49">
        <f t="shared" ref="S276:S281" si="236">T276+U276</f>
        <v>354835961.42000002</v>
      </c>
      <c r="T276" s="49">
        <f>T277+T278</f>
        <v>304830309.60000002</v>
      </c>
      <c r="U276" s="49">
        <f>U277+U278</f>
        <v>50005651.82</v>
      </c>
      <c r="V276" s="49">
        <f t="shared" ref="V276:V279" si="237">W276+X276</f>
        <v>351437916.87</v>
      </c>
      <c r="W276" s="49">
        <f>W277+W278</f>
        <v>304830309.60000002</v>
      </c>
      <c r="X276" s="49">
        <f>X277+X278</f>
        <v>46607607.270000003</v>
      </c>
      <c r="Y276" s="19">
        <f t="shared" si="232"/>
        <v>9199372.5300000012</v>
      </c>
      <c r="Z276" s="19">
        <f t="shared" si="207"/>
        <v>0</v>
      </c>
      <c r="AA276" s="19">
        <f t="shared" si="208"/>
        <v>9199372.5300000012</v>
      </c>
      <c r="AB276" s="7" t="e">
        <f t="shared" si="189"/>
        <v>#NAME?</v>
      </c>
      <c r="AC276" s="50">
        <f t="shared" si="209"/>
        <v>97.449134407230815</v>
      </c>
      <c r="AD276" s="50" t="e">
        <f t="shared" si="190"/>
        <v>#NAME?</v>
      </c>
    </row>
    <row r="277" spans="1:30" ht="30">
      <c r="A277" s="46" t="s">
        <v>268</v>
      </c>
      <c r="B277" s="48" t="s">
        <v>269</v>
      </c>
      <c r="C277" s="46"/>
      <c r="D277" s="46"/>
      <c r="E277" s="46"/>
      <c r="F277" s="46"/>
      <c r="G277" s="49">
        <f t="shared" si="233"/>
        <v>311051336.34000003</v>
      </c>
      <c r="H277" s="49">
        <f>236152009.6+68678300</f>
        <v>304830309.60000002</v>
      </c>
      <c r="I277" s="49">
        <f>1401597.97+4819428.77</f>
        <v>6221026.7399999993</v>
      </c>
      <c r="J277" s="49">
        <f t="shared" si="234"/>
        <v>311051336.34000003</v>
      </c>
      <c r="K277" s="49">
        <f>236152009.6+68678300</f>
        <v>304830309.60000002</v>
      </c>
      <c r="L277" s="49">
        <f>1401597.97+4819428.77</f>
        <v>6221026.7399999993</v>
      </c>
      <c r="M277" s="49" t="e">
        <f>№277+O277</f>
        <v>#NAME?</v>
      </c>
      <c r="N277" s="49">
        <v>243745125.16999999</v>
      </c>
      <c r="O277" s="49">
        <v>4974390.3099999996</v>
      </c>
      <c r="P277" s="49">
        <f t="shared" si="235"/>
        <v>248719515.47999999</v>
      </c>
      <c r="Q277" s="49">
        <v>243745125.16999999</v>
      </c>
      <c r="R277" s="49">
        <v>4974390.3099999996</v>
      </c>
      <c r="S277" s="49">
        <f t="shared" si="236"/>
        <v>311051336.34000003</v>
      </c>
      <c r="T277" s="49">
        <f>236152009.6+68678300</f>
        <v>304830309.60000002</v>
      </c>
      <c r="U277" s="49">
        <f>4819428.77+1401597.97</f>
        <v>6221026.7399999993</v>
      </c>
      <c r="V277" s="49">
        <f t="shared" si="237"/>
        <v>311051336.34000003</v>
      </c>
      <c r="W277" s="49">
        <f>236152009.6+68678300</f>
        <v>304830309.60000002</v>
      </c>
      <c r="X277" s="49">
        <f>4819428.77+1401597.97</f>
        <v>6221026.7399999993</v>
      </c>
      <c r="Y277" s="19">
        <f t="shared" si="232"/>
        <v>0</v>
      </c>
      <c r="Z277" s="19">
        <f t="shared" si="207"/>
        <v>0</v>
      </c>
      <c r="AA277" s="19">
        <f t="shared" si="208"/>
        <v>0</v>
      </c>
      <c r="AB277" s="7" t="e">
        <f t="shared" si="189"/>
        <v>#NAME?</v>
      </c>
      <c r="AC277" s="50">
        <f t="shared" si="209"/>
        <v>100</v>
      </c>
      <c r="AD277" s="50" t="e">
        <f t="shared" si="190"/>
        <v>#NAME?</v>
      </c>
    </row>
    <row r="278" spans="1:30">
      <c r="A278" s="74" t="s">
        <v>21</v>
      </c>
      <c r="B278" s="75"/>
      <c r="C278" s="75"/>
      <c r="D278" s="75"/>
      <c r="E278" s="75"/>
      <c r="F278" s="76"/>
      <c r="G278" s="49">
        <f t="shared" si="233"/>
        <v>49585953.060000002</v>
      </c>
      <c r="H278" s="49"/>
      <c r="I278" s="70">
        <f>34585953.06+15000000</f>
        <v>49585953.060000002</v>
      </c>
      <c r="J278" s="49">
        <f t="shared" si="234"/>
        <v>49585953.060000002</v>
      </c>
      <c r="K278" s="49"/>
      <c r="L278" s="70">
        <f>34585953.06+15000000</f>
        <v>49585953.060000002</v>
      </c>
      <c r="M278" s="49" t="e">
        <f>№278+O278</f>
        <v>#NAME?</v>
      </c>
      <c r="N278" s="49"/>
      <c r="O278" s="70">
        <v>8459386.8599999994</v>
      </c>
      <c r="P278" s="49">
        <f t="shared" si="235"/>
        <v>8459386.8599999994</v>
      </c>
      <c r="Q278" s="49"/>
      <c r="R278" s="70">
        <v>8459386.8599999994</v>
      </c>
      <c r="S278" s="49">
        <f t="shared" si="236"/>
        <v>43784625.079999998</v>
      </c>
      <c r="T278" s="49"/>
      <c r="U278" s="70">
        <f>38574921.15+5209703.93</f>
        <v>43784625.079999998</v>
      </c>
      <c r="V278" s="49">
        <f t="shared" si="237"/>
        <v>40386580.530000001</v>
      </c>
      <c r="W278" s="49"/>
      <c r="X278" s="70">
        <v>40386580.530000001</v>
      </c>
      <c r="Y278" s="19">
        <f t="shared" si="232"/>
        <v>9199372.5300000012</v>
      </c>
      <c r="Z278" s="19">
        <f t="shared" si="207"/>
        <v>0</v>
      </c>
      <c r="AA278" s="19">
        <f t="shared" si="208"/>
        <v>9199372.5300000012</v>
      </c>
      <c r="AB278" s="7" t="e">
        <f t="shared" si="189"/>
        <v>#NAME?</v>
      </c>
      <c r="AC278" s="50">
        <f t="shared" si="209"/>
        <v>81.4476238484948</v>
      </c>
      <c r="AD278" s="50" t="e">
        <f t="shared" si="190"/>
        <v>#NAME?</v>
      </c>
    </row>
    <row r="279" spans="1:30" ht="123" customHeight="1">
      <c r="A279" s="46" t="s">
        <v>270</v>
      </c>
      <c r="B279" s="48" t="s">
        <v>13</v>
      </c>
      <c r="C279" s="48" t="s">
        <v>13</v>
      </c>
      <c r="D279" s="48" t="s">
        <v>69</v>
      </c>
      <c r="E279" s="48" t="s">
        <v>15</v>
      </c>
      <c r="F279" s="48" t="s">
        <v>36</v>
      </c>
      <c r="G279" s="49">
        <f>I279</f>
        <v>955000</v>
      </c>
      <c r="H279" s="49"/>
      <c r="I279" s="49">
        <v>955000</v>
      </c>
      <c r="J279" s="49">
        <f>L279</f>
        <v>955000</v>
      </c>
      <c r="K279" s="49"/>
      <c r="L279" s="49">
        <v>955000</v>
      </c>
      <c r="M279" s="49">
        <v>0</v>
      </c>
      <c r="N279" s="49"/>
      <c r="O279" s="49">
        <v>0</v>
      </c>
      <c r="P279" s="49"/>
      <c r="Q279" s="49"/>
      <c r="R279" s="49"/>
      <c r="S279" s="49">
        <f t="shared" si="236"/>
        <v>360000</v>
      </c>
      <c r="T279" s="49"/>
      <c r="U279" s="49">
        <v>360000</v>
      </c>
      <c r="V279" s="49">
        <f t="shared" si="237"/>
        <v>360000</v>
      </c>
      <c r="W279" s="49"/>
      <c r="X279" s="49">
        <v>360000</v>
      </c>
      <c r="Y279" s="19">
        <f t="shared" si="232"/>
        <v>595000</v>
      </c>
      <c r="Z279" s="19">
        <f t="shared" si="207"/>
        <v>0</v>
      </c>
      <c r="AA279" s="19">
        <f t="shared" si="208"/>
        <v>595000</v>
      </c>
      <c r="AB279" s="7">
        <f t="shared" si="189"/>
        <v>0</v>
      </c>
      <c r="AC279" s="50">
        <f>V279/J279*100</f>
        <v>37.696335078534034</v>
      </c>
      <c r="AD279" s="50"/>
    </row>
    <row r="280" spans="1:30" ht="30">
      <c r="A280" s="46" t="s">
        <v>268</v>
      </c>
      <c r="B280" s="48" t="s">
        <v>269</v>
      </c>
      <c r="C280" s="46"/>
      <c r="D280" s="46"/>
      <c r="E280" s="46"/>
      <c r="F280" s="46"/>
      <c r="G280" s="49"/>
      <c r="H280" s="20"/>
      <c r="I280" s="20"/>
      <c r="J280" s="49"/>
      <c r="K280" s="20"/>
      <c r="L280" s="20"/>
      <c r="M280" s="49"/>
      <c r="N280" s="20"/>
      <c r="O280" s="20"/>
      <c r="P280" s="49"/>
      <c r="Q280" s="20"/>
      <c r="R280" s="20"/>
      <c r="S280" s="49"/>
      <c r="T280" s="20"/>
      <c r="U280" s="20"/>
      <c r="V280" s="49"/>
      <c r="W280" s="20"/>
      <c r="X280" s="20"/>
      <c r="Y280" s="19">
        <f t="shared" si="232"/>
        <v>0</v>
      </c>
      <c r="Z280" s="19">
        <f t="shared" si="207"/>
        <v>0</v>
      </c>
      <c r="AA280" s="19">
        <f t="shared" si="208"/>
        <v>0</v>
      </c>
      <c r="AB280" s="7"/>
      <c r="AC280" s="50"/>
      <c r="AD280" s="50"/>
    </row>
    <row r="281" spans="1:30" ht="30">
      <c r="A281" s="46" t="s">
        <v>21</v>
      </c>
      <c r="B281" s="48" t="s">
        <v>13</v>
      </c>
      <c r="C281" s="46"/>
      <c r="D281" s="46"/>
      <c r="E281" s="46"/>
      <c r="F281" s="46"/>
      <c r="G281" s="49">
        <f>I281</f>
        <v>955000</v>
      </c>
      <c r="H281" s="49"/>
      <c r="I281" s="49">
        <v>955000</v>
      </c>
      <c r="J281" s="49">
        <f>L281</f>
        <v>955000</v>
      </c>
      <c r="K281" s="49"/>
      <c r="L281" s="49">
        <v>955000</v>
      </c>
      <c r="M281" s="49"/>
      <c r="N281" s="49"/>
      <c r="O281" s="49"/>
      <c r="P281" s="49"/>
      <c r="Q281" s="49"/>
      <c r="R281" s="49"/>
      <c r="S281" s="49">
        <f t="shared" si="236"/>
        <v>360000</v>
      </c>
      <c r="T281" s="49"/>
      <c r="U281" s="49">
        <v>360000</v>
      </c>
      <c r="V281" s="49">
        <f t="shared" ref="V281:V288" si="238">W281+X281</f>
        <v>360000</v>
      </c>
      <c r="W281" s="49"/>
      <c r="X281" s="49">
        <v>360000</v>
      </c>
      <c r="Y281" s="19">
        <f t="shared" si="232"/>
        <v>595000</v>
      </c>
      <c r="Z281" s="19">
        <f t="shared" si="207"/>
        <v>0</v>
      </c>
      <c r="AA281" s="19">
        <f t="shared" si="208"/>
        <v>595000</v>
      </c>
      <c r="AB281" s="7">
        <f t="shared" si="189"/>
        <v>0</v>
      </c>
      <c r="AC281" s="50">
        <f t="shared" si="209"/>
        <v>37.696335078534034</v>
      </c>
      <c r="AD281" s="50"/>
    </row>
    <row r="282" spans="1:30" ht="108.75" customHeight="1">
      <c r="A282" s="46" t="s">
        <v>271</v>
      </c>
      <c r="B282" s="48" t="s">
        <v>13</v>
      </c>
      <c r="C282" s="48" t="s">
        <v>13</v>
      </c>
      <c r="D282" s="48" t="s">
        <v>272</v>
      </c>
      <c r="E282" s="48" t="s">
        <v>15</v>
      </c>
      <c r="F282" s="48" t="s">
        <v>273</v>
      </c>
      <c r="G282" s="49">
        <f t="shared" ref="G282:G286" si="239">H282+I282</f>
        <v>44645823.339999996</v>
      </c>
      <c r="H282" s="49">
        <f>H283+H284</f>
        <v>43660690.399999999</v>
      </c>
      <c r="I282" s="49">
        <f>I283+I284</f>
        <v>985132.94</v>
      </c>
      <c r="J282" s="49">
        <f t="shared" ref="J282:J286" si="240">K282+L282</f>
        <v>44645823.339999996</v>
      </c>
      <c r="K282" s="49">
        <f>K283+K284</f>
        <v>43660690.399999999</v>
      </c>
      <c r="L282" s="49">
        <f>L283+L284</f>
        <v>985132.94</v>
      </c>
      <c r="M282" s="49" t="e">
        <f>№282+O282</f>
        <v>#NAME?</v>
      </c>
      <c r="N282" s="49" t="e">
        <f>№283+№284</f>
        <v>#NAME?</v>
      </c>
      <c r="O282" s="49">
        <f>O283+O284</f>
        <v>668172.27</v>
      </c>
      <c r="P282" s="49">
        <f t="shared" ref="P282:P292" si="241">Q282+R282</f>
        <v>32030525.890000001</v>
      </c>
      <c r="Q282" s="49">
        <f>Q283+Q284</f>
        <v>31362353.620000001</v>
      </c>
      <c r="R282" s="49">
        <f>R283+R284</f>
        <v>668172.27</v>
      </c>
      <c r="S282" s="49">
        <f t="shared" ref="S282:S292" si="242">T282+U282</f>
        <v>44638954.780000001</v>
      </c>
      <c r="T282" s="49">
        <f>T283+T284</f>
        <v>43653959.210000001</v>
      </c>
      <c r="U282" s="49">
        <f>U283+U284</f>
        <v>984995.57000000007</v>
      </c>
      <c r="V282" s="49">
        <f t="shared" si="238"/>
        <v>44638954.780000001</v>
      </c>
      <c r="W282" s="49">
        <f>W283+W284</f>
        <v>43653959.210000001</v>
      </c>
      <c r="X282" s="49">
        <f>X283+X284</f>
        <v>984995.57000000007</v>
      </c>
      <c r="Y282" s="19">
        <f t="shared" si="232"/>
        <v>6868.5599999974947</v>
      </c>
      <c r="Z282" s="19">
        <f t="shared" si="207"/>
        <v>6731.1899999976158</v>
      </c>
      <c r="AA282" s="19">
        <f t="shared" si="208"/>
        <v>137.36999999987893</v>
      </c>
      <c r="AB282" s="7" t="e">
        <f t="shared" si="189"/>
        <v>#NAME?</v>
      </c>
      <c r="AC282" s="50">
        <f t="shared" si="209"/>
        <v>99.984615447792976</v>
      </c>
      <c r="AD282" s="50" t="e">
        <f t="shared" si="190"/>
        <v>#NAME?</v>
      </c>
    </row>
    <row r="283" spans="1:30" ht="30">
      <c r="A283" s="46" t="s">
        <v>268</v>
      </c>
      <c r="B283" s="48" t="s">
        <v>269</v>
      </c>
      <c r="C283" s="46"/>
      <c r="D283" s="46"/>
      <c r="E283" s="46"/>
      <c r="F283" s="46"/>
      <c r="G283" s="49">
        <f t="shared" si="239"/>
        <v>44551724.899999999</v>
      </c>
      <c r="H283" s="49">
        <f>37087590.4+6573100</f>
        <v>43660690.399999999</v>
      </c>
      <c r="I283" s="49">
        <f>756889.6+134144.9</f>
        <v>891034.5</v>
      </c>
      <c r="J283" s="49">
        <f t="shared" si="240"/>
        <v>44551724.899999999</v>
      </c>
      <c r="K283" s="49">
        <f>37087590.4+6573100</f>
        <v>43660690.399999999</v>
      </c>
      <c r="L283" s="49">
        <f>756889.6+134144.9</f>
        <v>891034.5</v>
      </c>
      <c r="M283" s="49" t="e">
        <f>№283+O283</f>
        <v>#NAME?</v>
      </c>
      <c r="N283" s="49">
        <v>31362353.620000001</v>
      </c>
      <c r="O283" s="71">
        <v>640048.02</v>
      </c>
      <c r="P283" s="49">
        <f t="shared" si="241"/>
        <v>32002401.640000001</v>
      </c>
      <c r="Q283" s="72">
        <f>24920675.39+6441678.23</f>
        <v>31362353.620000001</v>
      </c>
      <c r="R283" s="72">
        <f>508585.2+131462.82</f>
        <v>640048.02</v>
      </c>
      <c r="S283" s="49">
        <f t="shared" si="242"/>
        <v>44544856.340000004</v>
      </c>
      <c r="T283" s="35">
        <f>37081041.24+6573100-182.03</f>
        <v>43653959.210000001</v>
      </c>
      <c r="U283" s="35">
        <f>756755.94+134144.9-3.71</f>
        <v>890897.13</v>
      </c>
      <c r="V283" s="49">
        <f t="shared" si="238"/>
        <v>44544856.340000004</v>
      </c>
      <c r="W283" s="35">
        <f>37081041.24+6573100-182.03</f>
        <v>43653959.210000001</v>
      </c>
      <c r="X283" s="35">
        <f>756755.94+134144.9-3.71</f>
        <v>890897.13</v>
      </c>
      <c r="Y283" s="19">
        <f t="shared" si="232"/>
        <v>6868.5599999976112</v>
      </c>
      <c r="Z283" s="19">
        <f t="shared" si="207"/>
        <v>6731.1899999976158</v>
      </c>
      <c r="AA283" s="19">
        <f t="shared" si="208"/>
        <v>137.36999999999534</v>
      </c>
      <c r="AB283" s="7" t="e">
        <f t="shared" si="189"/>
        <v>#NAME?</v>
      </c>
      <c r="AC283" s="50">
        <f t="shared" si="209"/>
        <v>99.984582953824102</v>
      </c>
      <c r="AD283" s="50" t="e">
        <f t="shared" si="190"/>
        <v>#NAME?</v>
      </c>
    </row>
    <row r="284" spans="1:30" ht="30">
      <c r="A284" s="46" t="s">
        <v>21</v>
      </c>
      <c r="B284" s="48" t="s">
        <v>13</v>
      </c>
      <c r="C284" s="46"/>
      <c r="D284" s="46"/>
      <c r="E284" s="46"/>
      <c r="F284" s="46"/>
      <c r="G284" s="49">
        <f t="shared" si="239"/>
        <v>94098.44</v>
      </c>
      <c r="H284" s="24"/>
      <c r="I284" s="49">
        <v>94098.44</v>
      </c>
      <c r="J284" s="49">
        <f t="shared" si="240"/>
        <v>94098.44</v>
      </c>
      <c r="K284" s="24"/>
      <c r="L284" s="49">
        <v>94098.44</v>
      </c>
      <c r="M284" s="49" t="e">
        <f>№284+O284</f>
        <v>#NAME?</v>
      </c>
      <c r="N284" s="24"/>
      <c r="O284" s="49">
        <v>28124.25</v>
      </c>
      <c r="P284" s="49">
        <f t="shared" si="241"/>
        <v>28124.25</v>
      </c>
      <c r="Q284" s="24"/>
      <c r="R284" s="70">
        <v>28124.25</v>
      </c>
      <c r="S284" s="49">
        <f t="shared" si="242"/>
        <v>94098.44</v>
      </c>
      <c r="T284" s="24"/>
      <c r="U284" s="70">
        <f>28124.25+65974.19</f>
        <v>94098.44</v>
      </c>
      <c r="V284" s="49">
        <f t="shared" si="238"/>
        <v>94098.44</v>
      </c>
      <c r="W284" s="24"/>
      <c r="X284" s="70">
        <f>28124.25+65974.19</f>
        <v>94098.44</v>
      </c>
      <c r="Y284" s="19">
        <f t="shared" si="232"/>
        <v>0</v>
      </c>
      <c r="Z284" s="19">
        <f t="shared" si="207"/>
        <v>0</v>
      </c>
      <c r="AA284" s="19">
        <f t="shared" si="208"/>
        <v>0</v>
      </c>
      <c r="AB284" s="7" t="e">
        <f t="shared" si="189"/>
        <v>#NAME?</v>
      </c>
      <c r="AC284" s="50">
        <f t="shared" si="209"/>
        <v>100</v>
      </c>
      <c r="AD284" s="50">
        <v>0</v>
      </c>
    </row>
    <row r="285" spans="1:30" ht="107.25" customHeight="1">
      <c r="A285" s="46" t="s">
        <v>274</v>
      </c>
      <c r="B285" s="48" t="s">
        <v>13</v>
      </c>
      <c r="C285" s="48" t="s">
        <v>13</v>
      </c>
      <c r="D285" s="48" t="s">
        <v>275</v>
      </c>
      <c r="E285" s="48" t="s">
        <v>15</v>
      </c>
      <c r="F285" s="48" t="s">
        <v>80</v>
      </c>
      <c r="G285" s="49">
        <f t="shared" si="239"/>
        <v>24890730.59</v>
      </c>
      <c r="H285" s="49"/>
      <c r="I285" s="70">
        <f>27101590.94-2210860.35</f>
        <v>24890730.59</v>
      </c>
      <c r="J285" s="49">
        <f t="shared" si="240"/>
        <v>24890730.59</v>
      </c>
      <c r="K285" s="49"/>
      <c r="L285" s="70">
        <f>27101590.94-2210860.35</f>
        <v>24890730.59</v>
      </c>
      <c r="M285" s="49" t="e">
        <f>№285+O285</f>
        <v>#NAME?</v>
      </c>
      <c r="N285" s="49"/>
      <c r="O285" s="70">
        <v>15488753.16</v>
      </c>
      <c r="P285" s="49">
        <f t="shared" si="241"/>
        <v>15488753.16</v>
      </c>
      <c r="Q285" s="49"/>
      <c r="R285" s="70">
        <v>15488753.16</v>
      </c>
      <c r="S285" s="49">
        <f t="shared" si="242"/>
        <v>24890730.590000004</v>
      </c>
      <c r="T285" s="49"/>
      <c r="U285" s="70">
        <f>21243716.09+1561149.77+111899.69+1443113.41+13673.1+517178.53</f>
        <v>24890730.590000004</v>
      </c>
      <c r="V285" s="49">
        <f t="shared" si="238"/>
        <v>24890730.590000004</v>
      </c>
      <c r="W285" s="49"/>
      <c r="X285" s="70">
        <f>21243716.09+1561149.77+111899.69+1443113.41+13673.1+517178.53</f>
        <v>24890730.590000004</v>
      </c>
      <c r="Y285" s="19">
        <f t="shared" si="232"/>
        <v>0</v>
      </c>
      <c r="Z285" s="19">
        <f t="shared" si="207"/>
        <v>0</v>
      </c>
      <c r="AA285" s="19">
        <f t="shared" si="208"/>
        <v>0</v>
      </c>
      <c r="AB285" s="7" t="e">
        <f t="shared" si="189"/>
        <v>#NAME?</v>
      </c>
      <c r="AC285" s="50">
        <f t="shared" si="209"/>
        <v>100.00000000000003</v>
      </c>
      <c r="AD285" s="50" t="e">
        <f t="shared" si="190"/>
        <v>#NAME?</v>
      </c>
    </row>
    <row r="286" spans="1:30" s="5" customFormat="1" ht="15" hidden="1" customHeight="1">
      <c r="A286" s="80" t="s">
        <v>311</v>
      </c>
      <c r="B286" s="80"/>
      <c r="C286" s="80"/>
      <c r="D286" s="80"/>
      <c r="E286" s="80"/>
      <c r="F286" s="80"/>
      <c r="G286" s="19">
        <f t="shared" si="239"/>
        <v>0</v>
      </c>
      <c r="H286" s="19"/>
      <c r="I286" s="19">
        <v>0</v>
      </c>
      <c r="J286" s="19">
        <f t="shared" si="240"/>
        <v>0</v>
      </c>
      <c r="K286" s="19"/>
      <c r="L286" s="19">
        <v>0</v>
      </c>
      <c r="M286" s="19" t="e">
        <f>№286+O286</f>
        <v>#NAME?</v>
      </c>
      <c r="N286" s="19"/>
      <c r="O286" s="19">
        <f>O287</f>
        <v>0</v>
      </c>
      <c r="P286" s="19">
        <f t="shared" si="241"/>
        <v>0</v>
      </c>
      <c r="Q286" s="19"/>
      <c r="R286" s="19">
        <f>R287</f>
        <v>0</v>
      </c>
      <c r="S286" s="19">
        <f t="shared" si="242"/>
        <v>0</v>
      </c>
      <c r="T286" s="19"/>
      <c r="U286" s="19">
        <f>U287</f>
        <v>0</v>
      </c>
      <c r="V286" s="19">
        <f t="shared" si="238"/>
        <v>0</v>
      </c>
      <c r="W286" s="19"/>
      <c r="X286" s="19">
        <f>X287</f>
        <v>0</v>
      </c>
      <c r="Y286" s="19">
        <f t="shared" si="232"/>
        <v>0</v>
      </c>
      <c r="Z286" s="19">
        <f t="shared" si="207"/>
        <v>0</v>
      </c>
      <c r="AA286" s="19">
        <f t="shared" si="208"/>
        <v>0</v>
      </c>
      <c r="AB286" s="7"/>
      <c r="AC286" s="50" t="e">
        <f>V286/J286*100</f>
        <v>#DIV/0!</v>
      </c>
      <c r="AD286" s="7">
        <v>0</v>
      </c>
    </row>
    <row r="287" spans="1:30" ht="136.5" hidden="1" customHeight="1">
      <c r="A287" s="46" t="s">
        <v>333</v>
      </c>
      <c r="B287" s="48" t="s">
        <v>13</v>
      </c>
      <c r="C287" s="48" t="s">
        <v>13</v>
      </c>
      <c r="D287" s="48" t="s">
        <v>276</v>
      </c>
      <c r="E287" s="48" t="s">
        <v>286</v>
      </c>
      <c r="F287" s="48">
        <v>2022</v>
      </c>
      <c r="G287" s="49">
        <f>H287+I287</f>
        <v>0</v>
      </c>
      <c r="H287" s="49"/>
      <c r="I287" s="49"/>
      <c r="J287" s="49">
        <f>K287+L287</f>
        <v>0</v>
      </c>
      <c r="K287" s="49"/>
      <c r="L287" s="49"/>
      <c r="M287" s="49" t="e">
        <f>№287+O287</f>
        <v>#NAME?</v>
      </c>
      <c r="N287" s="49"/>
      <c r="O287" s="49">
        <v>0</v>
      </c>
      <c r="P287" s="49">
        <f t="shared" si="241"/>
        <v>0</v>
      </c>
      <c r="Q287" s="49"/>
      <c r="R287" s="49">
        <v>0</v>
      </c>
      <c r="S287" s="49">
        <f t="shared" si="242"/>
        <v>0</v>
      </c>
      <c r="T287" s="49"/>
      <c r="U287" s="49">
        <v>0</v>
      </c>
      <c r="V287" s="49">
        <f t="shared" si="238"/>
        <v>0</v>
      </c>
      <c r="W287" s="49"/>
      <c r="X287" s="49">
        <v>0</v>
      </c>
      <c r="Y287" s="19">
        <f t="shared" si="232"/>
        <v>0</v>
      </c>
      <c r="Z287" s="19">
        <f t="shared" si="207"/>
        <v>0</v>
      </c>
      <c r="AA287" s="19">
        <f t="shared" si="208"/>
        <v>0</v>
      </c>
      <c r="AB287" s="7"/>
      <c r="AC287" s="50" t="e">
        <f t="shared" si="209"/>
        <v>#DIV/0!</v>
      </c>
      <c r="AD287" s="50">
        <v>0</v>
      </c>
    </row>
    <row r="288" spans="1:30">
      <c r="A288" s="80" t="s">
        <v>301</v>
      </c>
      <c r="B288" s="80"/>
      <c r="C288" s="80"/>
      <c r="D288" s="80"/>
      <c r="E288" s="80"/>
      <c r="F288" s="80"/>
      <c r="G288" s="19">
        <f t="shared" ref="G288" si="243">H288+I288</f>
        <v>9000000</v>
      </c>
      <c r="H288" s="25"/>
      <c r="I288" s="19">
        <f>I290</f>
        <v>9000000</v>
      </c>
      <c r="J288" s="19">
        <f t="shared" ref="J288" si="244">K288+L288</f>
        <v>9000000</v>
      </c>
      <c r="K288" s="25"/>
      <c r="L288" s="19">
        <f>L290</f>
        <v>9000000</v>
      </c>
      <c r="M288" s="19" t="e">
        <f>№288+O288</f>
        <v>#NAME?</v>
      </c>
      <c r="N288" s="25"/>
      <c r="O288" s="19">
        <f>O290</f>
        <v>0</v>
      </c>
      <c r="P288" s="19">
        <f t="shared" si="241"/>
        <v>0</v>
      </c>
      <c r="Q288" s="25"/>
      <c r="R288" s="19">
        <f>R289</f>
        <v>0</v>
      </c>
      <c r="S288" s="19">
        <f t="shared" si="242"/>
        <v>9000000</v>
      </c>
      <c r="T288" s="25"/>
      <c r="U288" s="19">
        <f>U290</f>
        <v>9000000</v>
      </c>
      <c r="V288" s="19">
        <f t="shared" si="238"/>
        <v>9000000</v>
      </c>
      <c r="W288" s="25"/>
      <c r="X288" s="19">
        <f>X290</f>
        <v>9000000</v>
      </c>
      <c r="Y288" s="19">
        <f t="shared" si="232"/>
        <v>0</v>
      </c>
      <c r="Z288" s="19">
        <f t="shared" si="207"/>
        <v>0</v>
      </c>
      <c r="AA288" s="19">
        <f t="shared" si="208"/>
        <v>0</v>
      </c>
      <c r="AB288" s="7" t="e">
        <f t="shared" si="189"/>
        <v>#NAME?</v>
      </c>
      <c r="AC288" s="50">
        <f t="shared" si="209"/>
        <v>100</v>
      </c>
      <c r="AD288" s="7">
        <v>0</v>
      </c>
    </row>
    <row r="289" spans="1:30">
      <c r="A289" s="81" t="s">
        <v>7</v>
      </c>
      <c r="B289" s="81"/>
      <c r="C289" s="81"/>
      <c r="D289" s="81"/>
      <c r="E289" s="81"/>
      <c r="F289" s="81"/>
      <c r="G289" s="49"/>
      <c r="H289" s="26"/>
      <c r="I289" s="49"/>
      <c r="J289" s="49"/>
      <c r="K289" s="26"/>
      <c r="L289" s="49"/>
      <c r="M289" s="49"/>
      <c r="N289" s="26"/>
      <c r="O289" s="49"/>
      <c r="P289" s="49"/>
      <c r="Q289" s="26"/>
      <c r="R289" s="49"/>
      <c r="S289" s="49"/>
      <c r="T289" s="26"/>
      <c r="U289" s="49"/>
      <c r="V289" s="49"/>
      <c r="W289" s="26"/>
      <c r="X289" s="49"/>
      <c r="Y289" s="19">
        <f t="shared" si="232"/>
        <v>0</v>
      </c>
      <c r="Z289" s="19">
        <f t="shared" si="207"/>
        <v>0</v>
      </c>
      <c r="AA289" s="19">
        <f t="shared" si="208"/>
        <v>0</v>
      </c>
      <c r="AB289" s="7"/>
      <c r="AC289" s="50"/>
      <c r="AD289" s="50"/>
    </row>
    <row r="290" spans="1:30">
      <c r="A290" s="81" t="s">
        <v>8</v>
      </c>
      <c r="B290" s="81"/>
      <c r="C290" s="81"/>
      <c r="D290" s="81"/>
      <c r="E290" s="81"/>
      <c r="F290" s="81"/>
      <c r="G290" s="49">
        <f t="shared" ref="G290:G292" si="245">H290+I290</f>
        <v>9000000</v>
      </c>
      <c r="H290" s="26"/>
      <c r="I290" s="49">
        <f>I291</f>
        <v>9000000</v>
      </c>
      <c r="J290" s="49">
        <f t="shared" ref="J290:J292" si="246">K290+L290</f>
        <v>9000000</v>
      </c>
      <c r="K290" s="26"/>
      <c r="L290" s="49">
        <f>L291</f>
        <v>9000000</v>
      </c>
      <c r="M290" s="49" t="e">
        <f>№290+O290</f>
        <v>#NAME?</v>
      </c>
      <c r="N290" s="26"/>
      <c r="O290" s="49">
        <f>O291</f>
        <v>0</v>
      </c>
      <c r="P290" s="49">
        <f t="shared" si="241"/>
        <v>0</v>
      </c>
      <c r="Q290" s="26"/>
      <c r="R290" s="49">
        <f>R291</f>
        <v>0</v>
      </c>
      <c r="S290" s="49">
        <f t="shared" si="242"/>
        <v>9000000</v>
      </c>
      <c r="T290" s="26"/>
      <c r="U290" s="49">
        <f>U291</f>
        <v>9000000</v>
      </c>
      <c r="V290" s="49">
        <f t="shared" ref="V290:V292" si="247">W290+X290</f>
        <v>9000000</v>
      </c>
      <c r="W290" s="26"/>
      <c r="X290" s="49">
        <f>X291</f>
        <v>9000000</v>
      </c>
      <c r="Y290" s="19">
        <f t="shared" si="232"/>
        <v>0</v>
      </c>
      <c r="Z290" s="19">
        <f t="shared" si="207"/>
        <v>0</v>
      </c>
      <c r="AA290" s="19">
        <f t="shared" si="208"/>
        <v>0</v>
      </c>
      <c r="AB290" s="7" t="e">
        <f t="shared" si="189"/>
        <v>#NAME?</v>
      </c>
      <c r="AC290" s="50">
        <f t="shared" si="209"/>
        <v>100</v>
      </c>
      <c r="AD290" s="50">
        <v>0</v>
      </c>
    </row>
    <row r="291" spans="1:30">
      <c r="A291" s="80" t="s">
        <v>303</v>
      </c>
      <c r="B291" s="80"/>
      <c r="C291" s="80"/>
      <c r="D291" s="80"/>
      <c r="E291" s="80"/>
      <c r="F291" s="80"/>
      <c r="G291" s="19">
        <f t="shared" si="245"/>
        <v>9000000</v>
      </c>
      <c r="H291" s="25"/>
      <c r="I291" s="19">
        <f>I292</f>
        <v>9000000</v>
      </c>
      <c r="J291" s="19">
        <f t="shared" si="246"/>
        <v>9000000</v>
      </c>
      <c r="K291" s="25"/>
      <c r="L291" s="19">
        <f>L292</f>
        <v>9000000</v>
      </c>
      <c r="M291" s="19" t="e">
        <f>№291+O291</f>
        <v>#NAME?</v>
      </c>
      <c r="N291" s="25"/>
      <c r="O291" s="19">
        <f>O292</f>
        <v>0</v>
      </c>
      <c r="P291" s="19">
        <f t="shared" si="241"/>
        <v>0</v>
      </c>
      <c r="Q291" s="25"/>
      <c r="R291" s="19">
        <f>R292</f>
        <v>0</v>
      </c>
      <c r="S291" s="19">
        <f t="shared" si="242"/>
        <v>9000000</v>
      </c>
      <c r="T291" s="25"/>
      <c r="U291" s="19">
        <f>U292</f>
        <v>9000000</v>
      </c>
      <c r="V291" s="19">
        <f t="shared" si="247"/>
        <v>9000000</v>
      </c>
      <c r="W291" s="25"/>
      <c r="X291" s="19">
        <f>X292</f>
        <v>9000000</v>
      </c>
      <c r="Y291" s="19">
        <f t="shared" si="232"/>
        <v>0</v>
      </c>
      <c r="Z291" s="19">
        <f t="shared" si="207"/>
        <v>0</v>
      </c>
      <c r="AA291" s="19">
        <f t="shared" si="208"/>
        <v>0</v>
      </c>
      <c r="AB291" s="7" t="e">
        <f t="shared" si="189"/>
        <v>#NAME?</v>
      </c>
      <c r="AC291" s="50">
        <f t="shared" si="209"/>
        <v>100</v>
      </c>
      <c r="AD291" s="7">
        <v>0</v>
      </c>
    </row>
    <row r="292" spans="1:30" ht="111" customHeight="1">
      <c r="A292" s="41" t="s">
        <v>302</v>
      </c>
      <c r="B292" s="42" t="s">
        <v>13</v>
      </c>
      <c r="C292" s="42" t="s">
        <v>13</v>
      </c>
      <c r="D292" s="42" t="s">
        <v>304</v>
      </c>
      <c r="E292" s="48" t="s">
        <v>305</v>
      </c>
      <c r="F292" s="48">
        <v>2022</v>
      </c>
      <c r="G292" s="49">
        <f t="shared" si="245"/>
        <v>9000000</v>
      </c>
      <c r="H292" s="26"/>
      <c r="I292" s="49">
        <v>9000000</v>
      </c>
      <c r="J292" s="49">
        <f t="shared" si="246"/>
        <v>9000000</v>
      </c>
      <c r="K292" s="26"/>
      <c r="L292" s="49">
        <v>9000000</v>
      </c>
      <c r="M292" s="49" t="e">
        <f>№292+O292</f>
        <v>#NAME?</v>
      </c>
      <c r="N292" s="26"/>
      <c r="O292" s="49">
        <v>0</v>
      </c>
      <c r="P292" s="49">
        <f t="shared" si="241"/>
        <v>0</v>
      </c>
      <c r="Q292" s="26"/>
      <c r="R292" s="49">
        <v>0</v>
      </c>
      <c r="S292" s="49">
        <f t="shared" si="242"/>
        <v>9000000</v>
      </c>
      <c r="T292" s="26"/>
      <c r="U292" s="49">
        <v>9000000</v>
      </c>
      <c r="V292" s="49">
        <f t="shared" si="247"/>
        <v>9000000</v>
      </c>
      <c r="W292" s="26"/>
      <c r="X292" s="49">
        <v>9000000</v>
      </c>
      <c r="Y292" s="19">
        <f t="shared" si="232"/>
        <v>0</v>
      </c>
      <c r="Z292" s="19">
        <f t="shared" si="207"/>
        <v>0</v>
      </c>
      <c r="AA292" s="19">
        <f t="shared" si="208"/>
        <v>0</v>
      </c>
      <c r="AB292" s="7" t="e">
        <f t="shared" si="189"/>
        <v>#NAME?</v>
      </c>
      <c r="AC292" s="50">
        <f t="shared" si="209"/>
        <v>100</v>
      </c>
      <c r="AD292" s="50">
        <v>0</v>
      </c>
    </row>
    <row r="293" spans="1:30" ht="33" customHeight="1">
      <c r="A293" s="80" t="s">
        <v>337</v>
      </c>
      <c r="B293" s="80"/>
      <c r="C293" s="80"/>
      <c r="D293" s="80"/>
      <c r="E293" s="80"/>
      <c r="F293" s="80"/>
      <c r="G293" s="36">
        <f>G295</f>
        <v>12641.76</v>
      </c>
      <c r="H293" s="37"/>
      <c r="I293" s="36">
        <f>I295</f>
        <v>12641.76</v>
      </c>
      <c r="J293" s="36">
        <f>J295</f>
        <v>12641.76</v>
      </c>
      <c r="K293" s="37"/>
      <c r="L293" s="36">
        <f>L295</f>
        <v>12641.76</v>
      </c>
      <c r="M293" s="37"/>
      <c r="N293" s="37"/>
      <c r="O293" s="37"/>
      <c r="P293" s="37"/>
      <c r="Q293" s="37"/>
      <c r="R293" s="37"/>
      <c r="S293" s="36">
        <f>S295</f>
        <v>12641.76</v>
      </c>
      <c r="T293" s="37"/>
      <c r="U293" s="36">
        <f>U295</f>
        <v>12641.76</v>
      </c>
      <c r="V293" s="36">
        <f>V295</f>
        <v>12641.76</v>
      </c>
      <c r="W293" s="37"/>
      <c r="X293" s="36">
        <f>X295</f>
        <v>12641.76</v>
      </c>
      <c r="Y293" s="19">
        <f t="shared" ref="Y293:Y297" si="248">Z293+AA293</f>
        <v>0</v>
      </c>
      <c r="Z293" s="19">
        <f t="shared" si="207"/>
        <v>0</v>
      </c>
      <c r="AA293" s="19">
        <f t="shared" si="208"/>
        <v>0</v>
      </c>
      <c r="AB293" s="7">
        <f t="shared" ref="AB293" si="249">M293/J293*100</f>
        <v>0</v>
      </c>
      <c r="AC293" s="50">
        <f t="shared" si="209"/>
        <v>100</v>
      </c>
      <c r="AD293" s="73"/>
    </row>
    <row r="294" spans="1:30">
      <c r="A294" s="81" t="s">
        <v>7</v>
      </c>
      <c r="B294" s="81"/>
      <c r="C294" s="81"/>
      <c r="D294" s="81"/>
      <c r="E294" s="81"/>
      <c r="F294" s="81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19">
        <f t="shared" si="248"/>
        <v>0</v>
      </c>
      <c r="Z294" s="19">
        <f t="shared" si="207"/>
        <v>0</v>
      </c>
      <c r="AA294" s="19">
        <f t="shared" si="208"/>
        <v>0</v>
      </c>
      <c r="AB294" s="7"/>
      <c r="AC294" s="50"/>
      <c r="AD294" s="73"/>
    </row>
    <row r="295" spans="1:30">
      <c r="A295" s="81" t="s">
        <v>8</v>
      </c>
      <c r="B295" s="81"/>
      <c r="C295" s="81"/>
      <c r="D295" s="81"/>
      <c r="E295" s="81"/>
      <c r="F295" s="81"/>
      <c r="G295" s="33">
        <f>G296</f>
        <v>12641.76</v>
      </c>
      <c r="H295" s="23"/>
      <c r="I295" s="33">
        <f>I296</f>
        <v>12641.76</v>
      </c>
      <c r="J295" s="33">
        <f>J296</f>
        <v>12641.76</v>
      </c>
      <c r="K295" s="23"/>
      <c r="L295" s="33">
        <f>L296</f>
        <v>12641.76</v>
      </c>
      <c r="M295" s="23"/>
      <c r="N295" s="23"/>
      <c r="O295" s="23"/>
      <c r="P295" s="23"/>
      <c r="Q295" s="23"/>
      <c r="R295" s="23"/>
      <c r="S295" s="33">
        <f>S296</f>
        <v>12641.76</v>
      </c>
      <c r="T295" s="23"/>
      <c r="U295" s="33">
        <f>U296</f>
        <v>12641.76</v>
      </c>
      <c r="V295" s="33">
        <f>V296</f>
        <v>12641.76</v>
      </c>
      <c r="W295" s="23"/>
      <c r="X295" s="33">
        <f>X296</f>
        <v>12641.76</v>
      </c>
      <c r="Y295" s="19">
        <f t="shared" si="248"/>
        <v>0</v>
      </c>
      <c r="Z295" s="19">
        <f t="shared" si="207"/>
        <v>0</v>
      </c>
      <c r="AA295" s="19">
        <f t="shared" si="208"/>
        <v>0</v>
      </c>
      <c r="AB295" s="7">
        <f t="shared" ref="AB295:AB297" si="250">M295/J295*100</f>
        <v>0</v>
      </c>
      <c r="AC295" s="50">
        <f t="shared" si="209"/>
        <v>100</v>
      </c>
      <c r="AD295" s="73"/>
    </row>
    <row r="296" spans="1:30">
      <c r="A296" s="80" t="s">
        <v>338</v>
      </c>
      <c r="B296" s="80"/>
      <c r="C296" s="80"/>
      <c r="D296" s="80"/>
      <c r="E296" s="80"/>
      <c r="F296" s="80"/>
      <c r="G296" s="36">
        <f>G297</f>
        <v>12641.76</v>
      </c>
      <c r="H296" s="37"/>
      <c r="I296" s="36">
        <f>I297</f>
        <v>12641.76</v>
      </c>
      <c r="J296" s="36">
        <f>J297</f>
        <v>12641.76</v>
      </c>
      <c r="K296" s="37"/>
      <c r="L296" s="36">
        <f>L297</f>
        <v>12641.76</v>
      </c>
      <c r="M296" s="37"/>
      <c r="N296" s="37"/>
      <c r="O296" s="37"/>
      <c r="P296" s="37"/>
      <c r="Q296" s="37"/>
      <c r="R296" s="37"/>
      <c r="S296" s="36">
        <f>S297</f>
        <v>12641.76</v>
      </c>
      <c r="T296" s="37"/>
      <c r="U296" s="36">
        <f>U297</f>
        <v>12641.76</v>
      </c>
      <c r="V296" s="36">
        <f>V297</f>
        <v>12641.76</v>
      </c>
      <c r="W296" s="37"/>
      <c r="X296" s="36">
        <f>X297</f>
        <v>12641.76</v>
      </c>
      <c r="Y296" s="19">
        <f t="shared" si="248"/>
        <v>0</v>
      </c>
      <c r="Z296" s="19">
        <f t="shared" si="207"/>
        <v>0</v>
      </c>
      <c r="AA296" s="19">
        <f t="shared" si="208"/>
        <v>0</v>
      </c>
      <c r="AB296" s="7">
        <f t="shared" si="250"/>
        <v>0</v>
      </c>
      <c r="AC296" s="50">
        <f t="shared" si="209"/>
        <v>100</v>
      </c>
      <c r="AD296" s="73"/>
    </row>
    <row r="297" spans="1:30" ht="201.75" customHeight="1">
      <c r="A297" s="41" t="s">
        <v>334</v>
      </c>
      <c r="B297" s="42" t="s">
        <v>13</v>
      </c>
      <c r="C297" s="42" t="s">
        <v>13</v>
      </c>
      <c r="D297" s="42" t="s">
        <v>336</v>
      </c>
      <c r="E297" s="48" t="s">
        <v>335</v>
      </c>
      <c r="F297" s="48">
        <v>2022</v>
      </c>
      <c r="G297" s="38">
        <f>H297+I297</f>
        <v>12641.76</v>
      </c>
      <c r="H297" s="38"/>
      <c r="I297" s="38">
        <v>12641.76</v>
      </c>
      <c r="J297" s="38">
        <f>K297+L297</f>
        <v>12641.76</v>
      </c>
      <c r="K297" s="38"/>
      <c r="L297" s="38">
        <v>12641.76</v>
      </c>
      <c r="M297" s="38"/>
      <c r="N297" s="38"/>
      <c r="O297" s="38"/>
      <c r="P297" s="38"/>
      <c r="Q297" s="38"/>
      <c r="R297" s="38"/>
      <c r="S297" s="38">
        <f>T297+U297</f>
        <v>12641.76</v>
      </c>
      <c r="T297" s="38"/>
      <c r="U297" s="38">
        <v>12641.76</v>
      </c>
      <c r="V297" s="38">
        <f>W297+X297</f>
        <v>12641.76</v>
      </c>
      <c r="W297" s="38"/>
      <c r="X297" s="38">
        <v>12641.76</v>
      </c>
      <c r="Y297" s="19">
        <f t="shared" si="248"/>
        <v>0</v>
      </c>
      <c r="Z297" s="19">
        <f t="shared" si="207"/>
        <v>0</v>
      </c>
      <c r="AA297" s="19">
        <f t="shared" si="208"/>
        <v>0</v>
      </c>
      <c r="AB297" s="7">
        <f t="shared" si="250"/>
        <v>0</v>
      </c>
      <c r="AC297" s="50">
        <f t="shared" si="209"/>
        <v>100</v>
      </c>
      <c r="AD297" s="73"/>
    </row>
    <row r="298" spans="1:30">
      <c r="A298" s="51"/>
      <c r="B298" s="52"/>
      <c r="C298" s="51"/>
      <c r="D298" s="51"/>
      <c r="E298" s="51"/>
      <c r="F298" s="51"/>
      <c r="G298" s="51"/>
      <c r="H298" s="51"/>
      <c r="I298" s="53"/>
      <c r="AA298" s="51"/>
    </row>
  </sheetData>
  <customSheetViews>
    <customSheetView guid="{F6681789-96F0-4D5A-90BA-C1A8630D3E2C}" scale="56" showPageBreaks="1" printArea="1" hiddenRows="1" hiddenColumns="1" view="pageBreakPreview">
      <pane xSplit="18" ySplit="6" topLeftCell="S7" activePane="bottomRight" state="frozen"/>
      <selection pane="bottomRight" activeCell="J2" sqref="J2"/>
      <colBreaks count="1" manualBreakCount="1">
        <brk id="29" max="1048575" man="1"/>
      </colBreaks>
      <pageMargins left="0" right="0" top="0.74803149606299213" bottom="0.74803149606299213" header="0.31496062992125984" footer="0.31496062992125984"/>
      <printOptions horizontalCentered="1"/>
      <pageSetup paperSize="9" scale="45" orientation="landscape" horizontalDpi="4294967295" verticalDpi="4294967295" r:id="rId1"/>
    </customSheetView>
    <customSheetView guid="{40F15A73-9550-4519-BD07-5B1306791A2B}" showPageBreaks="1" printArea="1" hiddenRows="1" view="pageBreakPreview" topLeftCell="M1">
      <selection activeCell="W6" sqref="W6"/>
      <pageMargins left="0.70866141732283472" right="0.70866141732283472" top="0.74803149606299213" bottom="0.74803149606299213" header="0.31496062992125984" footer="0.31496062992125984"/>
      <pageSetup paperSize="8" scale="55" orientation="landscape" r:id="rId2"/>
    </customSheetView>
    <customSheetView guid="{1B5FFDB8-A1F9-475C-854F-961801845FF2}" scale="64" showPageBreaks="1" hiddenRows="1" view="pageBreakPreview">
      <pane xSplit="6" ySplit="6" topLeftCell="G183" activePane="bottomRight" state="frozen"/>
      <selection pane="bottomRight" activeCell="V188" sqref="V188"/>
      <colBreaks count="2" manualBreakCount="2">
        <brk id="9" max="1048575" man="1"/>
        <brk id="15" max="1048575" man="1"/>
      </colBreaks>
      <pageMargins left="0.70866141732283472" right="0.70866141732283472" top="0.74803149606299213" bottom="0.74803149606299213" header="0.31496062992125984" footer="0.31496062992125984"/>
      <pageSetup paperSize="9" scale="57" orientation="landscape" r:id="rId3"/>
    </customSheetView>
  </customSheetViews>
  <mergeCells count="262">
    <mergeCell ref="U262:U263"/>
    <mergeCell ref="P96:P97"/>
    <mergeCell ref="A1:AC1"/>
    <mergeCell ref="M262:M263"/>
    <mergeCell ref="O115:O116"/>
    <mergeCell ref="AC262:AC263"/>
    <mergeCell ref="AD262:AD263"/>
    <mergeCell ref="AB5:AB6"/>
    <mergeCell ref="AB34:AB35"/>
    <mergeCell ref="Q34:Q35"/>
    <mergeCell ref="T34:T35"/>
    <mergeCell ref="P34:P35"/>
    <mergeCell ref="R34:R35"/>
    <mergeCell ref="S34:S35"/>
    <mergeCell ref="U34:U35"/>
    <mergeCell ref="AC34:AC35"/>
    <mergeCell ref="AC29:AC30"/>
    <mergeCell ref="AC31:AC32"/>
    <mergeCell ref="Y262:Y263"/>
    <mergeCell ref="AD34:AD35"/>
    <mergeCell ref="S96:S97"/>
    <mergeCell ref="T96:T97"/>
    <mergeCell ref="U96:U97"/>
    <mergeCell ref="S98:S100"/>
    <mergeCell ref="T98:T100"/>
    <mergeCell ref="U98:U100"/>
    <mergeCell ref="S262:S263"/>
    <mergeCell ref="AC115:AC116"/>
    <mergeCell ref="AD115:AD116"/>
    <mergeCell ref="Y96:Y97"/>
    <mergeCell ref="Y115:Y116"/>
    <mergeCell ref="Y98:Y100"/>
    <mergeCell ref="B4:B6"/>
    <mergeCell ref="D4:D6"/>
    <mergeCell ref="G5:G6"/>
    <mergeCell ref="C4:C6"/>
    <mergeCell ref="E4:E6"/>
    <mergeCell ref="F4:F6"/>
    <mergeCell ref="AC96:AC97"/>
    <mergeCell ref="AD96:AD97"/>
    <mergeCell ref="AC98:AC100"/>
    <mergeCell ref="AD98:AD100"/>
    <mergeCell ref="M34:M35"/>
    <mergeCell ref="N34:N35"/>
    <mergeCell ref="B34:B35"/>
    <mergeCell ref="D115:D116"/>
    <mergeCell ref="E115:E116"/>
    <mergeCell ref="F115:F116"/>
    <mergeCell ref="A258:F258"/>
    <mergeCell ref="A259:F259"/>
    <mergeCell ref="A155:F155"/>
    <mergeCell ref="A146:F146"/>
    <mergeCell ref="A177:F177"/>
    <mergeCell ref="A153:F153"/>
    <mergeCell ref="A154:F154"/>
    <mergeCell ref="A147:F147"/>
    <mergeCell ref="A148:F148"/>
    <mergeCell ref="A224:F224"/>
    <mergeCell ref="A235:F235"/>
    <mergeCell ref="A248:F248"/>
    <mergeCell ref="Z5:AA5"/>
    <mergeCell ref="Y34:Y35"/>
    <mergeCell ref="A3:L3"/>
    <mergeCell ref="A96:A97"/>
    <mergeCell ref="E29:E30"/>
    <mergeCell ref="F29:F30"/>
    <mergeCell ref="A84:F84"/>
    <mergeCell ref="A92:F92"/>
    <mergeCell ref="A93:F93"/>
    <mergeCell ref="A94:F94"/>
    <mergeCell ref="E34:E35"/>
    <mergeCell ref="F34:F35"/>
    <mergeCell ref="A8:F8"/>
    <mergeCell ref="A95:F95"/>
    <mergeCell ref="A53:F53"/>
    <mergeCell ref="A4:A6"/>
    <mergeCell ref="C34:C35"/>
    <mergeCell ref="A29:A30"/>
    <mergeCell ref="M96:M97"/>
    <mergeCell ref="N96:N97"/>
    <mergeCell ref="O96:O97"/>
    <mergeCell ref="A243:F243"/>
    <mergeCell ref="A244:F244"/>
    <mergeCell ref="AC4:AD4"/>
    <mergeCell ref="AC5:AC6"/>
    <mergeCell ref="AD5:AD6"/>
    <mergeCell ref="D98:D100"/>
    <mergeCell ref="P4:R4"/>
    <mergeCell ref="P5:P6"/>
    <mergeCell ref="Q5:R5"/>
    <mergeCell ref="S4:U4"/>
    <mergeCell ref="S5:S6"/>
    <mergeCell ref="T5:U5"/>
    <mergeCell ref="J4:L4"/>
    <mergeCell ref="J5:J6"/>
    <mergeCell ref="K5:L5"/>
    <mergeCell ref="M4:O4"/>
    <mergeCell ref="M5:M6"/>
    <mergeCell ref="N5:O5"/>
    <mergeCell ref="Y4:AA4"/>
    <mergeCell ref="Y5:Y6"/>
    <mergeCell ref="D34:D35"/>
    <mergeCell ref="Q96:Q97"/>
    <mergeCell ref="A54:F54"/>
    <mergeCell ref="A55:F55"/>
    <mergeCell ref="A254:F254"/>
    <mergeCell ref="A255:F255"/>
    <mergeCell ref="A291:F291"/>
    <mergeCell ref="A160:F160"/>
    <mergeCell ref="A161:F161"/>
    <mergeCell ref="A172:F172"/>
    <mergeCell ref="A173:F173"/>
    <mergeCell ref="A262:A263"/>
    <mergeCell ref="A274:F274"/>
    <mergeCell ref="A286:F286"/>
    <mergeCell ref="A218:F218"/>
    <mergeCell ref="A238:F238"/>
    <mergeCell ref="A239:F239"/>
    <mergeCell ref="A242:F242"/>
    <mergeCell ref="A182:F182"/>
    <mergeCell ref="A183:F183"/>
    <mergeCell ref="A272:F272"/>
    <mergeCell ref="A273:F273"/>
    <mergeCell ref="A290:F290"/>
    <mergeCell ref="A245:F245"/>
    <mergeCell ref="A251:F251"/>
    <mergeCell ref="D262:D263"/>
    <mergeCell ref="E262:E263"/>
    <mergeCell ref="A184:F184"/>
    <mergeCell ref="D96:D97"/>
    <mergeCell ref="A178:F178"/>
    <mergeCell ref="A179:F179"/>
    <mergeCell ref="A181:F181"/>
    <mergeCell ref="A156:F156"/>
    <mergeCell ref="A163:F163"/>
    <mergeCell ref="A164:F164"/>
    <mergeCell ref="A165:F165"/>
    <mergeCell ref="A166:F166"/>
    <mergeCell ref="A167:F167"/>
    <mergeCell ref="A149:F149"/>
    <mergeCell ref="A150:F150"/>
    <mergeCell ref="A152:F152"/>
    <mergeCell ref="Y29:Y30"/>
    <mergeCell ref="A9:F9"/>
    <mergeCell ref="A10:F10"/>
    <mergeCell ref="A11:F11"/>
    <mergeCell ref="A12:F12"/>
    <mergeCell ref="A13:F13"/>
    <mergeCell ref="V115:V116"/>
    <mergeCell ref="W115:W116"/>
    <mergeCell ref="X115:X116"/>
    <mergeCell ref="U115:U116"/>
    <mergeCell ref="P115:P116"/>
    <mergeCell ref="Q115:Q116"/>
    <mergeCell ref="M98:M100"/>
    <mergeCell ref="N98:N100"/>
    <mergeCell ref="O98:O100"/>
    <mergeCell ref="M115:M116"/>
    <mergeCell ref="N115:N116"/>
    <mergeCell ref="A42:F42"/>
    <mergeCell ref="A45:F45"/>
    <mergeCell ref="A50:F50"/>
    <mergeCell ref="A66:F66"/>
    <mergeCell ref="A72:F72"/>
    <mergeCell ref="A75:F75"/>
    <mergeCell ref="A78:F78"/>
    <mergeCell ref="A14:F14"/>
    <mergeCell ref="A15:F15"/>
    <mergeCell ref="F262:F263"/>
    <mergeCell ref="O34:O35"/>
    <mergeCell ref="R115:R116"/>
    <mergeCell ref="T262:T263"/>
    <mergeCell ref="R96:R97"/>
    <mergeCell ref="P98:P100"/>
    <mergeCell ref="Q98:Q100"/>
    <mergeCell ref="R98:R100"/>
    <mergeCell ref="P262:P263"/>
    <mergeCell ref="Q262:Q263"/>
    <mergeCell ref="R262:R263"/>
    <mergeCell ref="S115:S116"/>
    <mergeCell ref="T115:T116"/>
    <mergeCell ref="A121:F121"/>
    <mergeCell ref="A124:F124"/>
    <mergeCell ref="A108:F108"/>
    <mergeCell ref="A109:F109"/>
    <mergeCell ref="B115:B116"/>
    <mergeCell ref="C115:C116"/>
    <mergeCell ref="B262:B263"/>
    <mergeCell ref="C262:C263"/>
    <mergeCell ref="B96:B97"/>
    <mergeCell ref="V4:X4"/>
    <mergeCell ref="V5:V6"/>
    <mergeCell ref="W5:X5"/>
    <mergeCell ref="V29:V30"/>
    <mergeCell ref="A98:A100"/>
    <mergeCell ref="B98:B100"/>
    <mergeCell ref="C98:C100"/>
    <mergeCell ref="E98:E100"/>
    <mergeCell ref="F98:F100"/>
    <mergeCell ref="A57:F57"/>
    <mergeCell ref="A56:F56"/>
    <mergeCell ref="B29:B30"/>
    <mergeCell ref="C29:C30"/>
    <mergeCell ref="D29:D30"/>
    <mergeCell ref="A34:A35"/>
    <mergeCell ref="S29:S30"/>
    <mergeCell ref="T29:T30"/>
    <mergeCell ref="U29:U30"/>
    <mergeCell ref="G4:I4"/>
    <mergeCell ref="H5:I5"/>
    <mergeCell ref="A20:F20"/>
    <mergeCell ref="A24:F24"/>
    <mergeCell ref="A28:F28"/>
    <mergeCell ref="A38:F38"/>
    <mergeCell ref="A293:F293"/>
    <mergeCell ref="A294:F294"/>
    <mergeCell ref="A295:F295"/>
    <mergeCell ref="A296:F296"/>
    <mergeCell ref="A87:F87"/>
    <mergeCell ref="A88:F88"/>
    <mergeCell ref="A89:F89"/>
    <mergeCell ref="A90:F90"/>
    <mergeCell ref="A169:F169"/>
    <mergeCell ref="A102:F102"/>
    <mergeCell ref="A105:F105"/>
    <mergeCell ref="A106:F106"/>
    <mergeCell ref="A107:F107"/>
    <mergeCell ref="A288:F288"/>
    <mergeCell ref="A289:F289"/>
    <mergeCell ref="A252:F252"/>
    <mergeCell ref="A253:F253"/>
    <mergeCell ref="A216:F216"/>
    <mergeCell ref="A217:F217"/>
    <mergeCell ref="A185:F185"/>
    <mergeCell ref="A214:F214"/>
    <mergeCell ref="A215:F215"/>
    <mergeCell ref="A175:F175"/>
    <mergeCell ref="A176:F176"/>
    <mergeCell ref="A278:F278"/>
    <mergeCell ref="V262:V263"/>
    <mergeCell ref="W262:W263"/>
    <mergeCell ref="X262:X263"/>
    <mergeCell ref="W29:W30"/>
    <mergeCell ref="X29:X30"/>
    <mergeCell ref="V34:V35"/>
    <mergeCell ref="W34:W35"/>
    <mergeCell ref="X34:X35"/>
    <mergeCell ref="V96:V97"/>
    <mergeCell ref="W96:W97"/>
    <mergeCell ref="X96:X97"/>
    <mergeCell ref="V98:V100"/>
    <mergeCell ref="W98:W100"/>
    <mergeCell ref="X98:X100"/>
    <mergeCell ref="A271:F271"/>
    <mergeCell ref="A265:F265"/>
    <mergeCell ref="A266:F266"/>
    <mergeCell ref="A267:F267"/>
    <mergeCell ref="A269:F269"/>
    <mergeCell ref="A268:F268"/>
    <mergeCell ref="C96:C97"/>
    <mergeCell ref="E96:E97"/>
    <mergeCell ref="F96:F97"/>
  </mergeCells>
  <hyperlinks>
    <hyperlink ref="A43" location="P3215" display="P3215"/>
    <hyperlink ref="A58" location="P3215" display="P3215"/>
    <hyperlink ref="A62" location="P3215" display="P3215"/>
    <hyperlink ref="A64" location="P3215" display="P3215"/>
    <hyperlink ref="A67" location="P3215" display="P3215"/>
    <hyperlink ref="A73" location="P3215" display="P3215"/>
    <hyperlink ref="A76" location="P3215" display="P3215"/>
    <hyperlink ref="A116" location="P3215" display="P3215"/>
    <hyperlink ref="A118" location="P3215" display="P3215"/>
    <hyperlink ref="A60" location="P3215" display="P3215"/>
  </hyperlinks>
  <printOptions horizontalCentered="1"/>
  <pageMargins left="0" right="0" top="0.74803149606299213" bottom="0.74803149606299213" header="0.31496062992125984" footer="0.31496062992125984"/>
  <pageSetup paperSize="9" scale="45" orientation="landscape" horizontalDpi="4294967295" verticalDpi="4294967295" r:id="rId4"/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2023-02-27T12:04:28Z</cp:lastPrinted>
  <dcterms:created xsi:type="dcterms:W3CDTF">2022-04-11T12:43:08Z</dcterms:created>
  <dcterms:modified xsi:type="dcterms:W3CDTF">2023-03-06T13:35:06Z</dcterms:modified>
</cp:coreProperties>
</file>