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уч" sheetId="1" r:id="rId1"/>
    <sheet name="прогноз тарифов" sheetId="2" r:id="rId2"/>
    <sheet name="дети" sheetId="3" state="hidden" r:id="rId3"/>
  </sheets>
  <definedNames>
    <definedName name="_xlnm.Print_Area" localSheetId="2">дети!$A$1:$H$42</definedName>
    <definedName name="_xlnm.Print_Area" localSheetId="1">'прогноз тарифов'!$A:$D</definedName>
    <definedName name="_xlnm.Print_Area" localSheetId="0">уч!$A$1:$H$41</definedName>
  </definedNames>
  <calcPr calcId="125725"/>
</workbook>
</file>

<file path=xl/calcChain.xml><?xml version="1.0" encoding="utf-8"?>
<calcChain xmlns="http://schemas.openxmlformats.org/spreadsheetml/2006/main">
  <c r="D40" i="3"/>
  <c r="D39"/>
  <c r="D38"/>
  <c r="D37"/>
  <c r="D36"/>
  <c r="G35"/>
  <c r="H35" s="1"/>
  <c r="E35"/>
  <c r="E36" s="1"/>
  <c r="D35"/>
  <c r="H34"/>
  <c r="F34"/>
  <c r="D34"/>
  <c r="B32"/>
  <c r="B4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H6"/>
  <c r="G6"/>
  <c r="G7" s="1"/>
  <c r="E6"/>
  <c r="E7" s="1"/>
  <c r="D6"/>
  <c r="H5"/>
  <c r="F5"/>
  <c r="D5"/>
  <c r="B38" i="1"/>
  <c r="B37"/>
  <c r="B36"/>
  <c r="C35"/>
  <c r="C36" s="1"/>
  <c r="G34"/>
  <c r="G35" s="1"/>
  <c r="E34"/>
  <c r="E35" s="1"/>
  <c r="C34"/>
  <c r="B34"/>
  <c r="F34" s="1"/>
  <c r="D33"/>
  <c r="B33"/>
  <c r="F33" s="1"/>
  <c r="B30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G5"/>
  <c r="G6" s="1"/>
  <c r="E5"/>
  <c r="E6" s="1"/>
  <c r="D5"/>
  <c r="C5"/>
  <c r="C6" s="1"/>
  <c r="B5"/>
  <c r="H5" s="1"/>
  <c r="H4"/>
  <c r="D4"/>
  <c r="B4"/>
  <c r="F4" s="1"/>
  <c r="G8" i="3" l="1"/>
  <c r="H7"/>
  <c r="D41"/>
  <c r="F6"/>
  <c r="G36"/>
  <c r="D34" i="1"/>
  <c r="D35"/>
  <c r="D32" i="3"/>
  <c r="G7" i="1"/>
  <c r="H6"/>
  <c r="E7"/>
  <c r="F6"/>
  <c r="C37"/>
  <c r="D36"/>
  <c r="G36"/>
  <c r="H35"/>
  <c r="F36" i="3"/>
  <c r="E37"/>
  <c r="C7" i="1"/>
  <c r="D6"/>
  <c r="F35"/>
  <c r="E36"/>
  <c r="D42" i="3"/>
  <c r="F7"/>
  <c r="E8"/>
  <c r="B31" i="1"/>
  <c r="B41" s="1"/>
  <c r="B40"/>
  <c r="F5"/>
  <c r="H33"/>
  <c r="H34"/>
  <c r="F35" i="3"/>
  <c r="G37" l="1"/>
  <c r="H36"/>
  <c r="H8"/>
  <c r="G9"/>
  <c r="F36" i="1"/>
  <c r="E37"/>
  <c r="G37"/>
  <c r="H36"/>
  <c r="G8"/>
  <c r="H7"/>
  <c r="E9" i="3"/>
  <c r="F8"/>
  <c r="E38"/>
  <c r="F37"/>
  <c r="C8" i="1"/>
  <c r="D7"/>
  <c r="E8"/>
  <c r="F7"/>
  <c r="C38"/>
  <c r="D37"/>
  <c r="H37" i="3" l="1"/>
  <c r="G38"/>
  <c r="G10"/>
  <c r="H9"/>
  <c r="E9" i="1"/>
  <c r="F8"/>
  <c r="E39" i="3"/>
  <c r="F38"/>
  <c r="E38" i="1"/>
  <c r="F37"/>
  <c r="C39"/>
  <c r="D39" s="1"/>
  <c r="D38"/>
  <c r="H37"/>
  <c r="G38"/>
  <c r="F9" i="3"/>
  <c r="E10"/>
  <c r="D8" i="1"/>
  <c r="C9"/>
  <c r="G9"/>
  <c r="H8"/>
  <c r="H10" i="3" l="1"/>
  <c r="G11"/>
  <c r="H38"/>
  <c r="G39"/>
  <c r="G10" i="1"/>
  <c r="H9"/>
  <c r="E39"/>
  <c r="F39" s="1"/>
  <c r="F38"/>
  <c r="E10"/>
  <c r="F9"/>
  <c r="F10" i="3"/>
  <c r="E11"/>
  <c r="F39"/>
  <c r="E40"/>
  <c r="F40" s="1"/>
  <c r="F41" s="1"/>
  <c r="D40" i="1"/>
  <c r="D9"/>
  <c r="C10"/>
  <c r="H38"/>
  <c r="H40" s="1"/>
  <c r="G39"/>
  <c r="H39" s="1"/>
  <c r="G40" i="3" l="1"/>
  <c r="H40" s="1"/>
  <c r="H39"/>
  <c r="H11"/>
  <c r="G12"/>
  <c r="E11" i="1"/>
  <c r="F10"/>
  <c r="C11"/>
  <c r="D10"/>
  <c r="G11"/>
  <c r="H10"/>
  <c r="E12" i="3"/>
  <c r="F11"/>
  <c r="F40" i="1"/>
  <c r="H12" i="3" l="1"/>
  <c r="G13"/>
  <c r="H41"/>
  <c r="F12"/>
  <c r="E13"/>
  <c r="E12" i="1"/>
  <c r="F11"/>
  <c r="C12"/>
  <c r="D11"/>
  <c r="G12"/>
  <c r="H11"/>
  <c r="H13" i="3" l="1"/>
  <c r="G14"/>
  <c r="G13" i="1"/>
  <c r="H12"/>
  <c r="F12"/>
  <c r="E13"/>
  <c r="C13"/>
  <c r="D12"/>
  <c r="E14" i="3"/>
  <c r="F13"/>
  <c r="G15" l="1"/>
  <c r="H14"/>
  <c r="E15"/>
  <c r="F14"/>
  <c r="G14" i="1"/>
  <c r="H13"/>
  <c r="E14"/>
  <c r="F13"/>
  <c r="C14"/>
  <c r="D13"/>
  <c r="G16" i="3" l="1"/>
  <c r="H15"/>
  <c r="C15" i="1"/>
  <c r="D14"/>
  <c r="F15" i="3"/>
  <c r="E16"/>
  <c r="G15" i="1"/>
  <c r="H14"/>
  <c r="F14"/>
  <c r="E15"/>
  <c r="G17" i="3" l="1"/>
  <c r="H16"/>
  <c r="C16" i="1"/>
  <c r="D15"/>
  <c r="G16"/>
  <c r="H15"/>
  <c r="F15"/>
  <c r="E16"/>
  <c r="E17" i="3"/>
  <c r="F16"/>
  <c r="H17" l="1"/>
  <c r="G18"/>
  <c r="D16" i="1"/>
  <c r="C17"/>
  <c r="G17"/>
  <c r="H16"/>
  <c r="F17" i="3"/>
  <c r="E18"/>
  <c r="E17" i="1"/>
  <c r="F16"/>
  <c r="G19" i="3" l="1"/>
  <c r="H18"/>
  <c r="E18" i="1"/>
  <c r="F17"/>
  <c r="D17"/>
  <c r="C18"/>
  <c r="G18"/>
  <c r="H17"/>
  <c r="F18" i="3"/>
  <c r="E19"/>
  <c r="H19" l="1"/>
  <c r="G20"/>
  <c r="E19" i="1"/>
  <c r="F18"/>
  <c r="G19"/>
  <c r="H18"/>
  <c r="D18"/>
  <c r="C19"/>
  <c r="E20" i="3"/>
  <c r="F19"/>
  <c r="G21" l="1"/>
  <c r="H20"/>
  <c r="E20" i="1"/>
  <c r="F19"/>
  <c r="F20" i="3"/>
  <c r="E21"/>
  <c r="G20" i="1"/>
  <c r="H19"/>
  <c r="C20"/>
  <c r="D19"/>
  <c r="G22" i="3" l="1"/>
  <c r="H21"/>
  <c r="F20" i="1"/>
  <c r="E21"/>
  <c r="G21"/>
  <c r="H20"/>
  <c r="C21"/>
  <c r="D20"/>
  <c r="E22" i="3"/>
  <c r="F21"/>
  <c r="H22" l="1"/>
  <c r="G23"/>
  <c r="G22" i="1"/>
  <c r="H21"/>
  <c r="E22"/>
  <c r="F21"/>
  <c r="C22"/>
  <c r="D21"/>
  <c r="E23" i="3"/>
  <c r="F22"/>
  <c r="G24" l="1"/>
  <c r="H23"/>
  <c r="G23" i="1"/>
  <c r="H22"/>
  <c r="C23"/>
  <c r="D22"/>
  <c r="F23" i="3"/>
  <c r="E24"/>
  <c r="E23" i="1"/>
  <c r="F22"/>
  <c r="G25" i="3" l="1"/>
  <c r="H24"/>
  <c r="E24" i="1"/>
  <c r="F23"/>
  <c r="G24"/>
  <c r="H23"/>
  <c r="C24"/>
  <c r="D23"/>
  <c r="E25" i="3"/>
  <c r="F24"/>
  <c r="H25" l="1"/>
  <c r="G26"/>
  <c r="F25"/>
  <c r="E26"/>
  <c r="E25" i="1"/>
  <c r="F24"/>
  <c r="H24"/>
  <c r="G25"/>
  <c r="D24"/>
  <c r="C25"/>
  <c r="G27" i="3" l="1"/>
  <c r="H26"/>
  <c r="F26"/>
  <c r="E27"/>
  <c r="E26" i="1"/>
  <c r="F25"/>
  <c r="D25"/>
  <c r="C26"/>
  <c r="G26"/>
  <c r="H25"/>
  <c r="H27" i="3" l="1"/>
  <c r="G28"/>
  <c r="E28"/>
  <c r="F27"/>
  <c r="G27" i="1"/>
  <c r="H26"/>
  <c r="E27"/>
  <c r="F26"/>
  <c r="C27"/>
  <c r="D26"/>
  <c r="H28" i="3" l="1"/>
  <c r="G29"/>
  <c r="F28"/>
  <c r="E29"/>
  <c r="E28" i="1"/>
  <c r="F27"/>
  <c r="G28"/>
  <c r="H27"/>
  <c r="C28"/>
  <c r="D27"/>
  <c r="H29" i="3" l="1"/>
  <c r="G30"/>
  <c r="G29" i="1"/>
  <c r="H28"/>
  <c r="E30" i="3"/>
  <c r="F29"/>
  <c r="E29" i="1"/>
  <c r="F28"/>
  <c r="C29"/>
  <c r="D28"/>
  <c r="H30" i="3" l="1"/>
  <c r="G31"/>
  <c r="H31" s="1"/>
  <c r="G30" i="1"/>
  <c r="H30" s="1"/>
  <c r="H31" s="1"/>
  <c r="H41" s="1"/>
  <c r="H29"/>
  <c r="E30"/>
  <c r="F30" s="1"/>
  <c r="F31" s="1"/>
  <c r="F41" s="1"/>
  <c r="F29"/>
  <c r="E31" i="3"/>
  <c r="F31" s="1"/>
  <c r="F32" s="1"/>
  <c r="F42" s="1"/>
  <c r="F30"/>
  <c r="C30" i="1"/>
  <c r="D30" s="1"/>
  <c r="D31" s="1"/>
  <c r="D41" s="1"/>
  <c r="D29"/>
  <c r="H32" i="3" l="1"/>
  <c r="H42" s="1"/>
</calcChain>
</file>

<file path=xl/sharedStrings.xml><?xml version="1.0" encoding="utf-8"?>
<sst xmlns="http://schemas.openxmlformats.org/spreadsheetml/2006/main" count="57" uniqueCount="34">
  <si>
    <t xml:space="preserve"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</t>
  </si>
  <si>
    <t>Расстояние поездки в зонах</t>
  </si>
  <si>
    <t>Количество учащихся, проехавших каждую зону</t>
  </si>
  <si>
    <t>2023 год, тариф (рублей)</t>
  </si>
  <si>
    <t>2023 год объем субсидии  (рублей)</t>
  </si>
  <si>
    <t>2024 год, тариф (рублей)</t>
  </si>
  <si>
    <t>2024 год объем субсидии  (рублей)</t>
  </si>
  <si>
    <t>2025 год, тариф (рублей)</t>
  </si>
  <si>
    <t>2025 год объем субсидии  (рублей)</t>
  </si>
  <si>
    <t>Итого:</t>
  </si>
  <si>
    <t>Х</t>
  </si>
  <si>
    <t>По маршруту Архангельск-Северодвинск</t>
  </si>
  <si>
    <t>Общий итог:</t>
  </si>
  <si>
    <t>Приложение № 2</t>
  </si>
  <si>
    <t xml:space="preserve">Прогнозные тарифы на перевозки пассажиров железнодорожным транспортом общего пользования в пригородном сообщении АО "СППК" на территории Архангельской области </t>
  </si>
  <si>
    <t>Наименование</t>
  </si>
  <si>
    <t>Тарифы для населения, руб. за одну зону</t>
  </si>
  <si>
    <t>с 1 по 5 зоны</t>
  </si>
  <si>
    <t>с 6 по 10 зоны</t>
  </si>
  <si>
    <t>с 11 по 27 зоны</t>
  </si>
  <si>
    <t>2022 год 
(действующие тарифы)</t>
  </si>
  <si>
    <t>Установлены агентством на 2023 год</t>
  </si>
  <si>
    <t>Изм. 2023/2022, %</t>
  </si>
  <si>
    <t>Прогноз на 2024 год</t>
  </si>
  <si>
    <t>Изм. 2024/2023, %</t>
  </si>
  <si>
    <t>Прогноз на 2025 год</t>
  </si>
  <si>
    <t>Изм. 2025/2024, %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</si>
  <si>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детям в возрасте от 5 до 7 лет</t>
  </si>
  <si>
    <t>Количество детей проехавших каждую зону</t>
  </si>
  <si>
    <t>2022 год</t>
  </si>
  <si>
    <t>2023 год</t>
  </si>
  <si>
    <t>2024 год</t>
  </si>
  <si>
    <t>Тариф (рублей)</t>
  </si>
  <si>
    <t>Объем субсидии (рублей)</t>
  </si>
</sst>
</file>

<file path=xl/styles.xml><?xml version="1.0" encoding="utf-8"?>
<styleSheet xmlns="http://schemas.openxmlformats.org/spreadsheetml/2006/main">
  <numFmts count="1">
    <numFmt numFmtId="164" formatCode="0.0%"/>
  </numFmts>
  <fonts count="20">
    <font>
      <sz val="11"/>
      <color theme="1"/>
      <name val="Calibri"/>
      <scheme val="minor"/>
    </font>
    <font>
      <sz val="11"/>
      <color theme="1"/>
      <name val="Calibri Light"/>
      <scheme val="major"/>
    </font>
    <font>
      <sz val="11"/>
      <name val="Calibri Light"/>
      <scheme val="major"/>
    </font>
    <font>
      <b/>
      <sz val="11"/>
      <name val="Times New Roman"/>
    </font>
    <font>
      <sz val="12"/>
      <name val="Times New Roman"/>
    </font>
    <font>
      <sz val="10"/>
      <name val="Times New Roman"/>
    </font>
    <font>
      <b/>
      <sz val="11"/>
      <color theme="1"/>
      <name val="Calibri Light"/>
      <scheme val="major"/>
    </font>
    <font>
      <b/>
      <sz val="12"/>
      <name val="Times New Roman"/>
    </font>
    <font>
      <b/>
      <sz val="14"/>
      <name val="Times New Roman"/>
    </font>
    <font>
      <sz val="11"/>
      <color theme="1"/>
      <name val="Times New Roman"/>
    </font>
    <font>
      <sz val="14"/>
      <color theme="1"/>
      <name val="Times New Roman"/>
    </font>
    <font>
      <i/>
      <sz val="14"/>
      <color theme="1"/>
      <name val="Times New Roman"/>
    </font>
    <font>
      <i/>
      <sz val="11"/>
      <color theme="1"/>
      <name val="Calibri"/>
      <scheme val="minor"/>
    </font>
    <font>
      <b/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25"/>
      <color indexed="5"/>
      <name val="Calibri Light"/>
      <scheme val="major"/>
    </font>
    <font>
      <b/>
      <sz val="12"/>
      <color theme="1"/>
      <name val="Times New Roman"/>
    </font>
    <font>
      <b/>
      <sz val="14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9" fillId="0" borderId="0" applyFont="0" applyFill="0" applyBorder="0"/>
  </cellStyleXfs>
  <cellXfs count="80">
    <xf numFmtId="0" fontId="0" fillId="0" borderId="0" xfId="0"/>
    <xf numFmtId="0" fontId="1" fillId="0" borderId="0" xfId="0" applyFont="1"/>
    <xf numFmtId="1" fontId="4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/>
    </xf>
    <xf numFmtId="0" fontId="10" fillId="0" borderId="9" xfId="0" applyFont="1" applyBorder="1"/>
    <xf numFmtId="0" fontId="0" fillId="0" borderId="12" xfId="0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12" xfId="0" applyFont="1" applyBorder="1"/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3" fontId="1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/>
    </xf>
    <xf numFmtId="2" fontId="17" fillId="2" borderId="3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view="pageBreakPreview" zoomScale="118" zoomScaleNormal="85" zoomScaleSheetLayoutView="118" workbookViewId="0">
      <selection activeCell="F47" sqref="F47"/>
    </sheetView>
  </sheetViews>
  <sheetFormatPr defaultColWidth="9.140625" defaultRowHeight="15"/>
  <cols>
    <col min="1" max="1" width="14.28515625" style="79" bestFit="1" customWidth="1"/>
    <col min="2" max="2" width="21.28515625" style="79" customWidth="1"/>
    <col min="3" max="3" width="16.28515625" style="75" bestFit="1" customWidth="1"/>
    <col min="4" max="4" width="20" style="75" bestFit="1" customWidth="1"/>
    <col min="5" max="5" width="15.28515625" style="75" bestFit="1" customWidth="1"/>
    <col min="6" max="6" width="21" style="75" bestFit="1" customWidth="1"/>
    <col min="7" max="7" width="16.28515625" style="75" customWidth="1"/>
    <col min="8" max="8" width="19.28515625" style="75" customWidth="1"/>
    <col min="9" max="9" width="9.140625" style="51" bestFit="1"/>
    <col min="10" max="16384" width="9.140625" style="51"/>
  </cols>
  <sheetData>
    <row r="1" spans="1:8" ht="93" customHeight="1">
      <c r="A1" s="50" t="s">
        <v>0</v>
      </c>
      <c r="B1" s="50"/>
      <c r="C1" s="50"/>
      <c r="D1" s="50"/>
      <c r="E1" s="50"/>
      <c r="F1" s="50"/>
      <c r="G1" s="50"/>
      <c r="H1" s="50"/>
    </row>
    <row r="2" spans="1:8" ht="78" customHeight="1">
      <c r="A2" s="52" t="s">
        <v>1</v>
      </c>
      <c r="B2" s="53" t="s">
        <v>2</v>
      </c>
      <c r="C2" s="52" t="s">
        <v>3</v>
      </c>
      <c r="D2" s="54" t="s">
        <v>4</v>
      </c>
      <c r="E2" s="52" t="s">
        <v>5</v>
      </c>
      <c r="F2" s="54" t="s">
        <v>6</v>
      </c>
      <c r="G2" s="54" t="s">
        <v>7</v>
      </c>
      <c r="H2" s="55" t="s">
        <v>8</v>
      </c>
    </row>
    <row r="3" spans="1:8" ht="12.75" customHeight="1">
      <c r="A3" s="56">
        <v>1</v>
      </c>
      <c r="B3" s="57">
        <v>2</v>
      </c>
      <c r="C3" s="56">
        <v>3</v>
      </c>
      <c r="D3" s="56">
        <v>4</v>
      </c>
      <c r="E3" s="56">
        <v>5</v>
      </c>
      <c r="F3" s="56">
        <v>6</v>
      </c>
      <c r="G3" s="56">
        <v>7</v>
      </c>
      <c r="H3" s="58">
        <v>8</v>
      </c>
    </row>
    <row r="4" spans="1:8" ht="18" customHeight="1">
      <c r="A4" s="52">
        <v>1</v>
      </c>
      <c r="B4" s="52">
        <f>(7220-1753)+2263</f>
        <v>7730</v>
      </c>
      <c r="C4" s="59">
        <v>35</v>
      </c>
      <c r="D4" s="60">
        <f t="shared" ref="D4:D9" si="0">C4*B4*0.5</f>
        <v>135275</v>
      </c>
      <c r="E4" s="59">
        <v>36</v>
      </c>
      <c r="F4" s="60">
        <f t="shared" ref="F4:F9" si="1">B4*E4*0.5</f>
        <v>139140</v>
      </c>
      <c r="G4" s="59">
        <v>37</v>
      </c>
      <c r="H4" s="60">
        <f t="shared" ref="H4:H9" si="2">(B4*G4)*50%</f>
        <v>143005</v>
      </c>
    </row>
    <row r="5" spans="1:8" ht="17.25" customHeight="1">
      <c r="A5" s="52">
        <v>2</v>
      </c>
      <c r="B5" s="52">
        <f>(5455-1416)+1637</f>
        <v>5676</v>
      </c>
      <c r="C5" s="59">
        <f>C4*2</f>
        <v>70</v>
      </c>
      <c r="D5" s="60">
        <f t="shared" si="0"/>
        <v>198660</v>
      </c>
      <c r="E5" s="59">
        <f>E4*2</f>
        <v>72</v>
      </c>
      <c r="F5" s="60">
        <f t="shared" si="1"/>
        <v>204336</v>
      </c>
      <c r="G5" s="59">
        <f>G4*2</f>
        <v>74</v>
      </c>
      <c r="H5" s="60">
        <f t="shared" si="2"/>
        <v>210012</v>
      </c>
    </row>
    <row r="6" spans="1:8" ht="17.25" customHeight="1">
      <c r="A6" s="52">
        <v>3</v>
      </c>
      <c r="B6" s="52">
        <f>8900-2546+3593</f>
        <v>9947</v>
      </c>
      <c r="C6" s="59">
        <f>C5+C4</f>
        <v>105</v>
      </c>
      <c r="D6" s="60">
        <f t="shared" si="0"/>
        <v>522217.5</v>
      </c>
      <c r="E6" s="59">
        <f>E5+E4</f>
        <v>108</v>
      </c>
      <c r="F6" s="60">
        <f t="shared" si="1"/>
        <v>537138</v>
      </c>
      <c r="G6" s="59">
        <f>G5+G4</f>
        <v>111</v>
      </c>
      <c r="H6" s="60">
        <f t="shared" si="2"/>
        <v>552058.5</v>
      </c>
    </row>
    <row r="7" spans="1:8" ht="17.25" customHeight="1">
      <c r="A7" s="52">
        <v>4</v>
      </c>
      <c r="B7" s="52">
        <f>5532-1536+1763</f>
        <v>5759</v>
      </c>
      <c r="C7" s="59">
        <f>C6+C4</f>
        <v>140</v>
      </c>
      <c r="D7" s="60">
        <f t="shared" si="0"/>
        <v>403130</v>
      </c>
      <c r="E7" s="59">
        <f>E6+E4</f>
        <v>144</v>
      </c>
      <c r="F7" s="60">
        <f t="shared" si="1"/>
        <v>414648</v>
      </c>
      <c r="G7" s="59">
        <f>G6+G4</f>
        <v>148</v>
      </c>
      <c r="H7" s="60">
        <f t="shared" si="2"/>
        <v>426166</v>
      </c>
    </row>
    <row r="8" spans="1:8" ht="17.25" customHeight="1">
      <c r="A8" s="52">
        <v>5</v>
      </c>
      <c r="B8" s="52">
        <f>5278-1529+1988</f>
        <v>5737</v>
      </c>
      <c r="C8" s="59">
        <f>C7+C4</f>
        <v>175</v>
      </c>
      <c r="D8" s="60">
        <f t="shared" si="0"/>
        <v>501987.5</v>
      </c>
      <c r="E8" s="59">
        <f>E7+E4</f>
        <v>180</v>
      </c>
      <c r="F8" s="60">
        <f t="shared" si="1"/>
        <v>516330</v>
      </c>
      <c r="G8" s="59">
        <f>G7+G4</f>
        <v>185</v>
      </c>
      <c r="H8" s="60">
        <f t="shared" si="2"/>
        <v>530672.5</v>
      </c>
    </row>
    <row r="9" spans="1:8" ht="17.25" customHeight="1">
      <c r="A9" s="52">
        <v>6</v>
      </c>
      <c r="B9" s="52">
        <f>4648-1240+1658</f>
        <v>5066</v>
      </c>
      <c r="C9" s="59">
        <f>C8+28</f>
        <v>203</v>
      </c>
      <c r="D9" s="60">
        <f t="shared" si="0"/>
        <v>514199</v>
      </c>
      <c r="E9" s="59">
        <f t="shared" ref="E9:E10" si="3">E8+29</f>
        <v>209</v>
      </c>
      <c r="F9" s="60">
        <f t="shared" si="1"/>
        <v>529397</v>
      </c>
      <c r="G9" s="59">
        <f t="shared" ref="G9:G10" si="4">G8+30</f>
        <v>215</v>
      </c>
      <c r="H9" s="60">
        <f t="shared" si="2"/>
        <v>544595</v>
      </c>
    </row>
    <row r="10" spans="1:8" ht="17.25" customHeight="1">
      <c r="A10" s="52">
        <v>7</v>
      </c>
      <c r="B10" s="52">
        <f>3491-914+1056</f>
        <v>3633</v>
      </c>
      <c r="C10" s="59">
        <f>C9+28</f>
        <v>231</v>
      </c>
      <c r="D10" s="60">
        <f t="shared" ref="D10:D30" si="5">C10*B10*0.5</f>
        <v>419611.5</v>
      </c>
      <c r="E10" s="59">
        <f t="shared" si="3"/>
        <v>238</v>
      </c>
      <c r="F10" s="60">
        <f t="shared" ref="F10:F30" si="6">B10*E10*0.5</f>
        <v>432327</v>
      </c>
      <c r="G10" s="59">
        <f t="shared" si="4"/>
        <v>245</v>
      </c>
      <c r="H10" s="60">
        <f t="shared" ref="H10:H30" si="7">(B10*G10)*50%</f>
        <v>445042.5</v>
      </c>
    </row>
    <row r="11" spans="1:8" ht="17.25" customHeight="1">
      <c r="A11" s="52">
        <v>8</v>
      </c>
      <c r="B11" s="52">
        <f>6035-1807+1881</f>
        <v>6109</v>
      </c>
      <c r="C11" s="59">
        <f>C10+28</f>
        <v>259</v>
      </c>
      <c r="D11" s="60">
        <f t="shared" si="5"/>
        <v>791115.5</v>
      </c>
      <c r="E11" s="59">
        <f t="shared" ref="E11:E13" si="8">E10+29</f>
        <v>267</v>
      </c>
      <c r="F11" s="60">
        <f t="shared" si="6"/>
        <v>815551.5</v>
      </c>
      <c r="G11" s="59">
        <f t="shared" ref="G11:G13" si="9">G10+30</f>
        <v>275</v>
      </c>
      <c r="H11" s="60">
        <f t="shared" si="7"/>
        <v>839987.5</v>
      </c>
    </row>
    <row r="12" spans="1:8" ht="17.25" customHeight="1">
      <c r="A12" s="52">
        <v>9</v>
      </c>
      <c r="B12" s="52">
        <f>6009-1698+2620</f>
        <v>6931</v>
      </c>
      <c r="C12" s="59">
        <f t="shared" ref="C12:C14" si="10">C11+28</f>
        <v>287</v>
      </c>
      <c r="D12" s="60">
        <f t="shared" si="5"/>
        <v>994598.5</v>
      </c>
      <c r="E12" s="59">
        <f t="shared" si="8"/>
        <v>296</v>
      </c>
      <c r="F12" s="60">
        <f t="shared" si="6"/>
        <v>1025788</v>
      </c>
      <c r="G12" s="59">
        <f t="shared" si="9"/>
        <v>305</v>
      </c>
      <c r="H12" s="60">
        <f t="shared" si="7"/>
        <v>1056977.5</v>
      </c>
    </row>
    <row r="13" spans="1:8" ht="17.25" customHeight="1">
      <c r="A13" s="52">
        <v>10</v>
      </c>
      <c r="B13" s="52">
        <f>3948-1212+1169</f>
        <v>3905</v>
      </c>
      <c r="C13" s="59">
        <f t="shared" si="10"/>
        <v>315</v>
      </c>
      <c r="D13" s="60">
        <f t="shared" si="5"/>
        <v>615037.5</v>
      </c>
      <c r="E13" s="59">
        <f t="shared" si="8"/>
        <v>325</v>
      </c>
      <c r="F13" s="60">
        <f t="shared" si="6"/>
        <v>634562.5</v>
      </c>
      <c r="G13" s="59">
        <f t="shared" si="9"/>
        <v>335</v>
      </c>
      <c r="H13" s="60">
        <f t="shared" si="7"/>
        <v>654087.5</v>
      </c>
    </row>
    <row r="14" spans="1:8" ht="17.25" customHeight="1">
      <c r="A14" s="52">
        <v>11</v>
      </c>
      <c r="B14" s="52">
        <f>1599-577+622</f>
        <v>1644</v>
      </c>
      <c r="C14" s="59">
        <f t="shared" si="10"/>
        <v>343</v>
      </c>
      <c r="D14" s="60">
        <f t="shared" si="5"/>
        <v>281946</v>
      </c>
      <c r="E14" s="59">
        <f t="shared" ref="E14:E30" si="11">E13+27</f>
        <v>352</v>
      </c>
      <c r="F14" s="60">
        <f t="shared" si="6"/>
        <v>289344</v>
      </c>
      <c r="G14" s="59">
        <f t="shared" ref="G14:G30" si="12">G13+28</f>
        <v>363</v>
      </c>
      <c r="H14" s="60">
        <f t="shared" si="7"/>
        <v>298386</v>
      </c>
    </row>
    <row r="15" spans="1:8" ht="17.25" customHeight="1">
      <c r="A15" s="52">
        <v>12</v>
      </c>
      <c r="B15" s="52">
        <f>5030-1431+1795</f>
        <v>5394</v>
      </c>
      <c r="C15" s="59">
        <f t="shared" ref="C15:C30" si="13">C14+26</f>
        <v>369</v>
      </c>
      <c r="D15" s="60">
        <f t="shared" si="5"/>
        <v>995193</v>
      </c>
      <c r="E15" s="59">
        <f t="shared" si="11"/>
        <v>379</v>
      </c>
      <c r="F15" s="60">
        <f t="shared" si="6"/>
        <v>1022163</v>
      </c>
      <c r="G15" s="59">
        <f t="shared" si="12"/>
        <v>391</v>
      </c>
      <c r="H15" s="60">
        <f t="shared" si="7"/>
        <v>1054527</v>
      </c>
    </row>
    <row r="16" spans="1:8" ht="17.25" customHeight="1">
      <c r="A16" s="52">
        <v>13</v>
      </c>
      <c r="B16" s="52">
        <f>3200-879+1524</f>
        <v>3845</v>
      </c>
      <c r="C16" s="59">
        <f t="shared" si="13"/>
        <v>395</v>
      </c>
      <c r="D16" s="60">
        <f t="shared" si="5"/>
        <v>759387.5</v>
      </c>
      <c r="E16" s="59">
        <f t="shared" si="11"/>
        <v>406</v>
      </c>
      <c r="F16" s="60">
        <f t="shared" si="6"/>
        <v>780535</v>
      </c>
      <c r="G16" s="59">
        <f t="shared" si="12"/>
        <v>419</v>
      </c>
      <c r="H16" s="60">
        <f t="shared" si="7"/>
        <v>805527.5</v>
      </c>
    </row>
    <row r="17" spans="1:8" ht="17.25" customHeight="1">
      <c r="A17" s="52">
        <v>14</v>
      </c>
      <c r="B17" s="52">
        <f>7814-2132+3276</f>
        <v>8958</v>
      </c>
      <c r="C17" s="59">
        <f t="shared" si="13"/>
        <v>421</v>
      </c>
      <c r="D17" s="60">
        <f t="shared" si="5"/>
        <v>1885659</v>
      </c>
      <c r="E17" s="59">
        <f t="shared" si="11"/>
        <v>433</v>
      </c>
      <c r="F17" s="60">
        <f t="shared" si="6"/>
        <v>1939407</v>
      </c>
      <c r="G17" s="59">
        <f t="shared" si="12"/>
        <v>447</v>
      </c>
      <c r="H17" s="60">
        <f t="shared" si="7"/>
        <v>2002113</v>
      </c>
    </row>
    <row r="18" spans="1:8" ht="17.25" customHeight="1">
      <c r="A18" s="52">
        <v>15</v>
      </c>
      <c r="B18" s="52">
        <f>170-46+64</f>
        <v>188</v>
      </c>
      <c r="C18" s="59">
        <f t="shared" si="13"/>
        <v>447</v>
      </c>
      <c r="D18" s="60">
        <f t="shared" si="5"/>
        <v>42018</v>
      </c>
      <c r="E18" s="59">
        <f t="shared" si="11"/>
        <v>460</v>
      </c>
      <c r="F18" s="60">
        <f t="shared" si="6"/>
        <v>43240</v>
      </c>
      <c r="G18" s="59">
        <f t="shared" si="12"/>
        <v>475</v>
      </c>
      <c r="H18" s="60">
        <f t="shared" si="7"/>
        <v>44650</v>
      </c>
    </row>
    <row r="19" spans="1:8" ht="17.25" customHeight="1">
      <c r="A19" s="52">
        <v>16</v>
      </c>
      <c r="B19" s="52">
        <f>778-201+265</f>
        <v>842</v>
      </c>
      <c r="C19" s="59">
        <f t="shared" si="13"/>
        <v>473</v>
      </c>
      <c r="D19" s="60">
        <f t="shared" si="5"/>
        <v>199133</v>
      </c>
      <c r="E19" s="59">
        <f t="shared" si="11"/>
        <v>487</v>
      </c>
      <c r="F19" s="60">
        <f t="shared" si="6"/>
        <v>205027</v>
      </c>
      <c r="G19" s="59">
        <f t="shared" si="12"/>
        <v>503</v>
      </c>
      <c r="H19" s="60">
        <f t="shared" si="7"/>
        <v>211763</v>
      </c>
    </row>
    <row r="20" spans="1:8" ht="17.25" customHeight="1">
      <c r="A20" s="52">
        <v>17</v>
      </c>
      <c r="B20" s="52">
        <f>315-85+120</f>
        <v>350</v>
      </c>
      <c r="C20" s="59">
        <f t="shared" si="13"/>
        <v>499</v>
      </c>
      <c r="D20" s="60">
        <f t="shared" si="5"/>
        <v>87325</v>
      </c>
      <c r="E20" s="59">
        <f t="shared" si="11"/>
        <v>514</v>
      </c>
      <c r="F20" s="60">
        <f t="shared" si="6"/>
        <v>89950</v>
      </c>
      <c r="G20" s="59">
        <f t="shared" si="12"/>
        <v>531</v>
      </c>
      <c r="H20" s="60">
        <f t="shared" si="7"/>
        <v>92925</v>
      </c>
    </row>
    <row r="21" spans="1:8" ht="17.25" customHeight="1">
      <c r="A21" s="52">
        <v>18</v>
      </c>
      <c r="B21" s="52">
        <f>114-51+28</f>
        <v>91</v>
      </c>
      <c r="C21" s="59">
        <f t="shared" si="13"/>
        <v>525</v>
      </c>
      <c r="D21" s="60">
        <f t="shared" si="5"/>
        <v>23887.5</v>
      </c>
      <c r="E21" s="59">
        <f t="shared" si="11"/>
        <v>541</v>
      </c>
      <c r="F21" s="60">
        <f t="shared" si="6"/>
        <v>24615.5</v>
      </c>
      <c r="G21" s="59">
        <f t="shared" si="12"/>
        <v>559</v>
      </c>
      <c r="H21" s="60">
        <f t="shared" si="7"/>
        <v>25434.5</v>
      </c>
    </row>
    <row r="22" spans="1:8" ht="17.25" customHeight="1">
      <c r="A22" s="52">
        <v>19</v>
      </c>
      <c r="B22" s="52">
        <f>548-141+219</f>
        <v>626</v>
      </c>
      <c r="C22" s="59">
        <f t="shared" si="13"/>
        <v>551</v>
      </c>
      <c r="D22" s="60">
        <f t="shared" si="5"/>
        <v>172463</v>
      </c>
      <c r="E22" s="59">
        <f t="shared" si="11"/>
        <v>568</v>
      </c>
      <c r="F22" s="60">
        <f t="shared" si="6"/>
        <v>177784</v>
      </c>
      <c r="G22" s="59">
        <f t="shared" si="12"/>
        <v>587</v>
      </c>
      <c r="H22" s="60">
        <f t="shared" si="7"/>
        <v>183731</v>
      </c>
    </row>
    <row r="23" spans="1:8" ht="17.25" customHeight="1">
      <c r="A23" s="52">
        <v>20</v>
      </c>
      <c r="B23" s="52">
        <f>125-36+39</f>
        <v>128</v>
      </c>
      <c r="C23" s="59">
        <f t="shared" si="13"/>
        <v>577</v>
      </c>
      <c r="D23" s="60">
        <f t="shared" si="5"/>
        <v>36928</v>
      </c>
      <c r="E23" s="59">
        <f t="shared" si="11"/>
        <v>595</v>
      </c>
      <c r="F23" s="60">
        <f t="shared" si="6"/>
        <v>38080</v>
      </c>
      <c r="G23" s="59">
        <f t="shared" si="12"/>
        <v>615</v>
      </c>
      <c r="H23" s="60">
        <f t="shared" si="7"/>
        <v>39360</v>
      </c>
    </row>
    <row r="24" spans="1:8" ht="17.25" customHeight="1">
      <c r="A24" s="52">
        <v>21</v>
      </c>
      <c r="B24" s="52">
        <f>506-149+188</f>
        <v>545</v>
      </c>
      <c r="C24" s="59">
        <f t="shared" si="13"/>
        <v>603</v>
      </c>
      <c r="D24" s="60">
        <f t="shared" si="5"/>
        <v>164317.5</v>
      </c>
      <c r="E24" s="59">
        <f t="shared" si="11"/>
        <v>622</v>
      </c>
      <c r="F24" s="60">
        <f t="shared" si="6"/>
        <v>169495</v>
      </c>
      <c r="G24" s="59">
        <f t="shared" si="12"/>
        <v>643</v>
      </c>
      <c r="H24" s="60">
        <f t="shared" si="7"/>
        <v>175217.5</v>
      </c>
    </row>
    <row r="25" spans="1:8" ht="17.25" customHeight="1">
      <c r="A25" s="52">
        <v>22</v>
      </c>
      <c r="B25" s="52">
        <f>980-306+416</f>
        <v>1090</v>
      </c>
      <c r="C25" s="59">
        <f t="shared" si="13"/>
        <v>629</v>
      </c>
      <c r="D25" s="60">
        <f t="shared" si="5"/>
        <v>342805</v>
      </c>
      <c r="E25" s="59">
        <f t="shared" si="11"/>
        <v>649</v>
      </c>
      <c r="F25" s="60">
        <f t="shared" si="6"/>
        <v>353705</v>
      </c>
      <c r="G25" s="59">
        <f t="shared" si="12"/>
        <v>671</v>
      </c>
      <c r="H25" s="60">
        <f t="shared" si="7"/>
        <v>365695</v>
      </c>
    </row>
    <row r="26" spans="1:8" ht="17.25" customHeight="1">
      <c r="A26" s="52">
        <v>23</v>
      </c>
      <c r="B26" s="52">
        <f>715</f>
        <v>715</v>
      </c>
      <c r="C26" s="59">
        <f t="shared" si="13"/>
        <v>655</v>
      </c>
      <c r="D26" s="60">
        <f t="shared" si="5"/>
        <v>234162.5</v>
      </c>
      <c r="E26" s="59">
        <f t="shared" si="11"/>
        <v>676</v>
      </c>
      <c r="F26" s="60">
        <f t="shared" si="6"/>
        <v>241670</v>
      </c>
      <c r="G26" s="59">
        <f t="shared" si="12"/>
        <v>699</v>
      </c>
      <c r="H26" s="60">
        <f t="shared" si="7"/>
        <v>249892.5</v>
      </c>
    </row>
    <row r="27" spans="1:8" ht="17.25" customHeight="1">
      <c r="A27" s="52">
        <v>24</v>
      </c>
      <c r="B27" s="52">
        <f>52</f>
        <v>52</v>
      </c>
      <c r="C27" s="59">
        <f t="shared" si="13"/>
        <v>681</v>
      </c>
      <c r="D27" s="60">
        <f t="shared" si="5"/>
        <v>17706</v>
      </c>
      <c r="E27" s="59">
        <f t="shared" si="11"/>
        <v>703</v>
      </c>
      <c r="F27" s="60">
        <f t="shared" si="6"/>
        <v>18278</v>
      </c>
      <c r="G27" s="59">
        <f t="shared" si="12"/>
        <v>727</v>
      </c>
      <c r="H27" s="60">
        <f t="shared" si="7"/>
        <v>18902</v>
      </c>
    </row>
    <row r="28" spans="1:8" ht="17.25" customHeight="1">
      <c r="A28" s="52">
        <v>25</v>
      </c>
      <c r="B28" s="52">
        <f>341-95+135</f>
        <v>381</v>
      </c>
      <c r="C28" s="59">
        <f t="shared" si="13"/>
        <v>707</v>
      </c>
      <c r="D28" s="60">
        <f t="shared" si="5"/>
        <v>134683.5</v>
      </c>
      <c r="E28" s="59">
        <f t="shared" si="11"/>
        <v>730</v>
      </c>
      <c r="F28" s="60">
        <f t="shared" si="6"/>
        <v>139065</v>
      </c>
      <c r="G28" s="59">
        <f t="shared" si="12"/>
        <v>755</v>
      </c>
      <c r="H28" s="60">
        <f t="shared" si="7"/>
        <v>143827.5</v>
      </c>
    </row>
    <row r="29" spans="1:8" ht="17.25" customHeight="1">
      <c r="A29" s="52">
        <v>26</v>
      </c>
      <c r="B29" s="52">
        <v>496</v>
      </c>
      <c r="C29" s="59">
        <f t="shared" si="13"/>
        <v>733</v>
      </c>
      <c r="D29" s="60">
        <f t="shared" si="5"/>
        <v>181784</v>
      </c>
      <c r="E29" s="59">
        <f t="shared" si="11"/>
        <v>757</v>
      </c>
      <c r="F29" s="60">
        <f t="shared" si="6"/>
        <v>187736</v>
      </c>
      <c r="G29" s="59">
        <f t="shared" si="12"/>
        <v>783</v>
      </c>
      <c r="H29" s="60">
        <f t="shared" si="7"/>
        <v>194184</v>
      </c>
    </row>
    <row r="30" spans="1:8" ht="17.25" customHeight="1">
      <c r="A30" s="52">
        <v>27</v>
      </c>
      <c r="B30" s="52">
        <f>4350-1093+1848</f>
        <v>5105</v>
      </c>
      <c r="C30" s="59">
        <f t="shared" si="13"/>
        <v>759</v>
      </c>
      <c r="D30" s="60">
        <f t="shared" si="5"/>
        <v>1937347.5</v>
      </c>
      <c r="E30" s="59">
        <f t="shared" si="11"/>
        <v>784</v>
      </c>
      <c r="F30" s="60">
        <f t="shared" si="6"/>
        <v>2001160</v>
      </c>
      <c r="G30" s="59">
        <f t="shared" si="12"/>
        <v>811</v>
      </c>
      <c r="H30" s="60">
        <f t="shared" si="7"/>
        <v>2070077.5</v>
      </c>
    </row>
    <row r="31" spans="1:8" s="65" customFormat="1" ht="17.25" customHeight="1">
      <c r="A31" s="61" t="s">
        <v>9</v>
      </c>
      <c r="B31" s="62">
        <f>SUM(B4:B30)</f>
        <v>90943</v>
      </c>
      <c r="C31" s="63" t="s">
        <v>10</v>
      </c>
      <c r="D31" s="64">
        <f>SUM(D4:D30)</f>
        <v>12592578</v>
      </c>
      <c r="E31" s="63" t="s">
        <v>10</v>
      </c>
      <c r="F31" s="64">
        <f>SUM(F4:F30)</f>
        <v>12970472.5</v>
      </c>
      <c r="G31" s="63" t="s">
        <v>10</v>
      </c>
      <c r="H31" s="64">
        <f>SUM(H4:H30)</f>
        <v>13378817</v>
      </c>
    </row>
    <row r="32" spans="1:8" ht="21" customHeight="1">
      <c r="A32" s="66" t="s">
        <v>11</v>
      </c>
      <c r="B32" s="67"/>
      <c r="C32" s="67"/>
      <c r="D32" s="67"/>
      <c r="E32" s="67"/>
      <c r="F32" s="68"/>
      <c r="G32" s="69"/>
      <c r="H32" s="69"/>
    </row>
    <row r="33" spans="1:8" ht="15.75" customHeight="1">
      <c r="A33" s="52">
        <v>1</v>
      </c>
      <c r="B33" s="52">
        <f>2668-685+945</f>
        <v>2928</v>
      </c>
      <c r="C33" s="59">
        <v>26</v>
      </c>
      <c r="D33" s="60">
        <f t="shared" ref="D33:D39" si="14">C33*B33*0.5</f>
        <v>38064</v>
      </c>
      <c r="E33" s="59">
        <v>27</v>
      </c>
      <c r="F33" s="60">
        <f t="shared" ref="F33:F39" si="15">E33*B33*0.5</f>
        <v>39528</v>
      </c>
      <c r="G33" s="59">
        <v>28</v>
      </c>
      <c r="H33" s="60">
        <f t="shared" ref="H33:H39" si="16">G33*B33*0.5</f>
        <v>40992</v>
      </c>
    </row>
    <row r="34" spans="1:8" ht="15.75">
      <c r="A34" s="52">
        <v>2</v>
      </c>
      <c r="B34" s="52">
        <f>1122-288+463</f>
        <v>1297</v>
      </c>
      <c r="C34" s="59">
        <f>C33*2</f>
        <v>52</v>
      </c>
      <c r="D34" s="60">
        <f t="shared" si="14"/>
        <v>33722</v>
      </c>
      <c r="E34" s="59">
        <f>E33*2</f>
        <v>54</v>
      </c>
      <c r="F34" s="60">
        <f t="shared" si="15"/>
        <v>35019</v>
      </c>
      <c r="G34" s="59">
        <f>G33+27</f>
        <v>55</v>
      </c>
      <c r="H34" s="60">
        <f t="shared" si="16"/>
        <v>35667.5</v>
      </c>
    </row>
    <row r="35" spans="1:8" ht="15.75">
      <c r="A35" s="52">
        <v>3</v>
      </c>
      <c r="B35" s="52">
        <v>62</v>
      </c>
      <c r="C35" s="59">
        <f>C34+C33</f>
        <v>78</v>
      </c>
      <c r="D35" s="60">
        <f t="shared" si="14"/>
        <v>2418</v>
      </c>
      <c r="E35" s="59">
        <f>E34+E33</f>
        <v>81</v>
      </c>
      <c r="F35" s="60">
        <f t="shared" si="15"/>
        <v>2511</v>
      </c>
      <c r="G35" s="59">
        <f>G34+G33</f>
        <v>83</v>
      </c>
      <c r="H35" s="60">
        <f t="shared" si="16"/>
        <v>2573</v>
      </c>
    </row>
    <row r="36" spans="1:8" ht="15.75">
      <c r="A36" s="52">
        <v>4</v>
      </c>
      <c r="B36" s="52">
        <f>14-3+7</f>
        <v>18</v>
      </c>
      <c r="C36" s="59">
        <f>C35+C33</f>
        <v>104</v>
      </c>
      <c r="D36" s="60">
        <f t="shared" si="14"/>
        <v>936</v>
      </c>
      <c r="E36" s="59">
        <f>E35+E33</f>
        <v>108</v>
      </c>
      <c r="F36" s="60">
        <f t="shared" si="15"/>
        <v>972</v>
      </c>
      <c r="G36" s="59">
        <f>G35+G33</f>
        <v>111</v>
      </c>
      <c r="H36" s="60">
        <f t="shared" si="16"/>
        <v>999</v>
      </c>
    </row>
    <row r="37" spans="1:8" ht="16.5" customHeight="1">
      <c r="A37" s="52">
        <v>5</v>
      </c>
      <c r="B37" s="52">
        <f>322-102+118</f>
        <v>338</v>
      </c>
      <c r="C37" s="59">
        <f>C36+C33</f>
        <v>130</v>
      </c>
      <c r="D37" s="60">
        <f t="shared" si="14"/>
        <v>21970</v>
      </c>
      <c r="E37" s="59">
        <f>E36+E33</f>
        <v>135</v>
      </c>
      <c r="F37" s="60">
        <f t="shared" si="15"/>
        <v>22815</v>
      </c>
      <c r="G37" s="59">
        <f>G36+G33</f>
        <v>139</v>
      </c>
      <c r="H37" s="60">
        <f t="shared" si="16"/>
        <v>23491</v>
      </c>
    </row>
    <row r="38" spans="1:8" ht="15.75" customHeight="1">
      <c r="A38" s="52">
        <v>6</v>
      </c>
      <c r="B38" s="52">
        <f>63-8+12</f>
        <v>67</v>
      </c>
      <c r="C38" s="59">
        <f>C37+C33</f>
        <v>156</v>
      </c>
      <c r="D38" s="60">
        <f t="shared" si="14"/>
        <v>5226</v>
      </c>
      <c r="E38" s="59">
        <f>E37+E33</f>
        <v>162</v>
      </c>
      <c r="F38" s="60">
        <f t="shared" si="15"/>
        <v>5427</v>
      </c>
      <c r="G38" s="59">
        <f>G37+G33</f>
        <v>167</v>
      </c>
      <c r="H38" s="60">
        <f t="shared" si="16"/>
        <v>5594.5</v>
      </c>
    </row>
    <row r="39" spans="1:8" ht="15.75" customHeight="1">
      <c r="A39" s="52">
        <v>7</v>
      </c>
      <c r="B39" s="52">
        <v>265</v>
      </c>
      <c r="C39" s="59">
        <f>C38+C33</f>
        <v>182</v>
      </c>
      <c r="D39" s="60">
        <f t="shared" si="14"/>
        <v>24115</v>
      </c>
      <c r="E39" s="59">
        <f>E38+E33</f>
        <v>189</v>
      </c>
      <c r="F39" s="60">
        <f t="shared" si="15"/>
        <v>25042.5</v>
      </c>
      <c r="G39" s="59">
        <f>G38+G33</f>
        <v>195</v>
      </c>
      <c r="H39" s="60">
        <f t="shared" si="16"/>
        <v>25837.5</v>
      </c>
    </row>
    <row r="40" spans="1:8" s="65" customFormat="1" ht="15" customHeight="1">
      <c r="A40" s="70" t="s">
        <v>9</v>
      </c>
      <c r="B40" s="71">
        <f>SUM(B33:B39)</f>
        <v>4975</v>
      </c>
      <c r="C40" s="72" t="s">
        <v>10</v>
      </c>
      <c r="D40" s="71">
        <f>SUM(D33:D39)</f>
        <v>126451</v>
      </c>
      <c r="E40" s="72" t="s">
        <v>10</v>
      </c>
      <c r="F40" s="71">
        <f>SUM(F33:F39)</f>
        <v>131314.5</v>
      </c>
      <c r="G40" s="72" t="s">
        <v>10</v>
      </c>
      <c r="H40" s="71">
        <f>SUM(H33:H39)</f>
        <v>135154.5</v>
      </c>
    </row>
    <row r="41" spans="1:8" ht="23.25" customHeight="1">
      <c r="A41" s="72" t="s">
        <v>12</v>
      </c>
      <c r="B41" s="64">
        <f>B31+B40</f>
        <v>95918</v>
      </c>
      <c r="C41" s="73"/>
      <c r="D41" s="64">
        <f>D31+D40</f>
        <v>12719029</v>
      </c>
      <c r="E41" s="73"/>
      <c r="F41" s="64">
        <f>F31+F40</f>
        <v>13101787</v>
      </c>
      <c r="G41" s="72" t="s">
        <v>10</v>
      </c>
      <c r="H41" s="64">
        <f>H31+H40</f>
        <v>13513971.5</v>
      </c>
    </row>
    <row r="42" spans="1:8" ht="15" customHeight="1">
      <c r="A42" s="74"/>
      <c r="B42" s="74"/>
      <c r="G42" s="76"/>
      <c r="H42" s="76"/>
    </row>
    <row r="43" spans="1:8" ht="15" customHeight="1">
      <c r="A43" s="74"/>
      <c r="B43" s="74"/>
      <c r="G43" s="77"/>
      <c r="H43" s="77"/>
    </row>
    <row r="46" spans="1:8">
      <c r="A46" s="78"/>
    </row>
    <row r="47" spans="1:8">
      <c r="A47" s="78"/>
    </row>
  </sheetData>
  <mergeCells count="2">
    <mergeCell ref="A1:H1"/>
    <mergeCell ref="A32:F32"/>
  </mergeCells>
  <pageMargins left="0.70866141732283472" right="0.70866141732283472" top="0.74803149606299213" bottom="0.74803149606299213" header="0.31496062992125984" footer="0.31496062992125984"/>
  <pageSetup paperSize="9" scale="60" firstPageNumber="21474836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/>
  </sheetViews>
  <sheetFormatPr defaultRowHeight="15"/>
  <cols>
    <col min="1" max="4" width="26.7109375" customWidth="1"/>
  </cols>
  <sheetData>
    <row r="1" spans="1:5">
      <c r="A1" s="5"/>
      <c r="B1" s="5"/>
      <c r="C1" s="5"/>
      <c r="D1" s="6" t="s">
        <v>13</v>
      </c>
      <c r="E1" s="5"/>
    </row>
    <row r="2" spans="1:5">
      <c r="A2" s="5"/>
      <c r="B2" s="5"/>
      <c r="C2" s="5"/>
      <c r="D2" s="5"/>
      <c r="E2" s="5"/>
    </row>
    <row r="3" spans="1:5" ht="68.25" customHeight="1">
      <c r="A3" s="39" t="s">
        <v>14</v>
      </c>
      <c r="B3" s="39"/>
      <c r="C3" s="39"/>
      <c r="D3" s="39"/>
      <c r="E3" s="5"/>
    </row>
    <row r="4" spans="1:5" ht="18.75">
      <c r="A4" s="7"/>
      <c r="B4" s="7"/>
      <c r="C4" s="7"/>
      <c r="D4" s="7"/>
      <c r="E4" s="5"/>
    </row>
    <row r="5" spans="1:5" ht="25.5" customHeight="1">
      <c r="A5" s="40" t="s">
        <v>15</v>
      </c>
      <c r="B5" s="42" t="s">
        <v>16</v>
      </c>
      <c r="C5" s="43"/>
      <c r="D5" s="44"/>
      <c r="E5" s="8"/>
    </row>
    <row r="6" spans="1:5" ht="25.5" customHeight="1">
      <c r="A6" s="41"/>
      <c r="B6" s="9" t="s">
        <v>17</v>
      </c>
      <c r="C6" s="9" t="s">
        <v>18</v>
      </c>
      <c r="D6" s="9" t="s">
        <v>19</v>
      </c>
      <c r="E6" s="8"/>
    </row>
    <row r="7" spans="1:5" ht="71.25" customHeight="1">
      <c r="A7" s="10" t="s">
        <v>20</v>
      </c>
      <c r="B7" s="11">
        <v>33</v>
      </c>
      <c r="C7" s="11">
        <v>26</v>
      </c>
      <c r="D7" s="11">
        <v>24</v>
      </c>
      <c r="E7" s="8">
        <v>27.666666666666668</v>
      </c>
    </row>
    <row r="8" spans="1:5" ht="54.75" customHeight="1">
      <c r="A8" s="10" t="s">
        <v>21</v>
      </c>
      <c r="B8" s="11">
        <v>35</v>
      </c>
      <c r="C8" s="11">
        <v>28</v>
      </c>
      <c r="D8" s="11">
        <v>26</v>
      </c>
      <c r="E8" s="8">
        <v>28.666666666666668</v>
      </c>
    </row>
    <row r="9" spans="1:5" ht="18.75">
      <c r="A9" s="12" t="s">
        <v>22</v>
      </c>
      <c r="B9" s="13">
        <v>1.0303030303030303</v>
      </c>
      <c r="C9" s="13">
        <v>1.0384615384615385</v>
      </c>
      <c r="D9" s="13">
        <v>1.0416666666666667</v>
      </c>
      <c r="E9" s="14"/>
    </row>
    <row r="10" spans="1:5" ht="24" customHeight="1">
      <c r="A10" s="9" t="s">
        <v>23</v>
      </c>
      <c r="B10" s="11">
        <v>36</v>
      </c>
      <c r="C10" s="11">
        <v>29</v>
      </c>
      <c r="D10" s="11">
        <v>27</v>
      </c>
      <c r="E10" s="8">
        <v>29.666666666666668</v>
      </c>
    </row>
    <row r="11" spans="1:5" ht="18.75">
      <c r="A11" s="12" t="s">
        <v>24</v>
      </c>
      <c r="B11" s="13">
        <v>1.0294117647058822</v>
      </c>
      <c r="C11" s="13">
        <v>1.037037037037037</v>
      </c>
      <c r="D11" s="13">
        <v>1.04</v>
      </c>
      <c r="E11" s="14"/>
    </row>
    <row r="12" spans="1:5" ht="21.75" customHeight="1">
      <c r="A12" s="9" t="s">
        <v>25</v>
      </c>
      <c r="B12" s="11">
        <v>37</v>
      </c>
      <c r="C12" s="11">
        <v>30</v>
      </c>
      <c r="D12" s="11">
        <v>28</v>
      </c>
      <c r="E12" s="8">
        <v>30.666666666666668</v>
      </c>
    </row>
    <row r="13" spans="1:5" ht="18.75">
      <c r="A13" s="12" t="s">
        <v>26</v>
      </c>
      <c r="B13" s="13">
        <v>1.0285714285714285</v>
      </c>
      <c r="C13" s="13">
        <v>1.0357142857142858</v>
      </c>
      <c r="D13" s="13">
        <v>1.0384615384615385</v>
      </c>
      <c r="E13" s="14"/>
    </row>
  </sheetData>
  <mergeCells count="3">
    <mergeCell ref="A3:D3"/>
    <mergeCell ref="A5:A6"/>
    <mergeCell ref="B5:D5"/>
  </mergeCells>
  <pageMargins left="0.70078740157480324" right="0.70078740157480324" top="0.75196850393700776" bottom="0.75196850393700776" header="0.3" footer="0.3"/>
  <pageSetup paperSize="9" scale="84" firstPageNumber="2147483647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zoomScale="90" workbookViewId="0">
      <selection sqref="A1:H1"/>
    </sheetView>
  </sheetViews>
  <sheetFormatPr defaultColWidth="9.140625" defaultRowHeight="15"/>
  <cols>
    <col min="1" max="1" width="14.28515625" style="15" bestFit="1" customWidth="1"/>
    <col min="2" max="2" width="19.42578125" style="15" bestFit="1" customWidth="1"/>
    <col min="3" max="3" width="18.140625" style="1" bestFit="1" customWidth="1"/>
    <col min="4" max="4" width="18" style="1" bestFit="1" customWidth="1"/>
    <col min="5" max="5" width="18.85546875" style="1" bestFit="1" customWidth="1"/>
    <col min="6" max="6" width="14.85546875" style="1" bestFit="1" customWidth="1"/>
    <col min="7" max="7" width="16.42578125" style="1" bestFit="1" customWidth="1"/>
    <col min="8" max="8" width="15.28515625" style="1" bestFit="1" customWidth="1"/>
    <col min="9" max="9" width="9.140625" style="1" bestFit="1"/>
    <col min="10" max="16384" width="9.140625" style="1"/>
  </cols>
  <sheetData>
    <row r="1" spans="1:9" ht="40.5" customHeight="1">
      <c r="A1" s="47" t="s">
        <v>27</v>
      </c>
      <c r="B1" s="47"/>
      <c r="C1" s="47"/>
      <c r="D1" s="47"/>
      <c r="E1" s="47"/>
      <c r="F1" s="47"/>
      <c r="G1" s="47"/>
      <c r="H1" s="47"/>
    </row>
    <row r="2" spans="1:9" ht="27.75" customHeight="1">
      <c r="A2" s="48" t="s">
        <v>1</v>
      </c>
      <c r="B2" s="48" t="s">
        <v>28</v>
      </c>
      <c r="C2" s="49" t="s">
        <v>29</v>
      </c>
      <c r="D2" s="49"/>
      <c r="E2" s="49" t="s">
        <v>30</v>
      </c>
      <c r="F2" s="49"/>
      <c r="G2" s="49" t="s">
        <v>31</v>
      </c>
      <c r="H2" s="49"/>
    </row>
    <row r="3" spans="1:9" ht="49.5" customHeight="1">
      <c r="A3" s="48"/>
      <c r="B3" s="48"/>
      <c r="C3" s="16" t="s">
        <v>32</v>
      </c>
      <c r="D3" s="16" t="s">
        <v>33</v>
      </c>
      <c r="E3" s="16" t="s">
        <v>32</v>
      </c>
      <c r="F3" s="16" t="s">
        <v>33</v>
      </c>
      <c r="G3" s="16" t="s">
        <v>32</v>
      </c>
      <c r="H3" s="16" t="s">
        <v>33</v>
      </c>
    </row>
    <row r="4" spans="1:9" ht="12.75" customHeight="1">
      <c r="A4" s="17">
        <v>2</v>
      </c>
      <c r="B4" s="18">
        <v>3</v>
      </c>
      <c r="C4" s="17">
        <v>5</v>
      </c>
      <c r="D4" s="17">
        <v>6</v>
      </c>
      <c r="E4" s="17">
        <v>7</v>
      </c>
      <c r="F4" s="17">
        <v>8</v>
      </c>
      <c r="G4" s="17">
        <v>9</v>
      </c>
      <c r="H4" s="17">
        <v>10</v>
      </c>
      <c r="I4" s="19"/>
    </row>
    <row r="5" spans="1:9" ht="18" customHeight="1">
      <c r="A5" s="16">
        <v>1</v>
      </c>
      <c r="B5" s="16">
        <v>3215</v>
      </c>
      <c r="C5" s="2">
        <v>33</v>
      </c>
      <c r="D5" s="20">
        <f t="shared" ref="D5:D31" si="0">(B5*C5)*50%</f>
        <v>53047.5</v>
      </c>
      <c r="E5" s="2">
        <v>34</v>
      </c>
      <c r="F5" s="20">
        <f t="shared" ref="F5:F31" si="1">E5*B5*0.5</f>
        <v>54655</v>
      </c>
      <c r="G5" s="2">
        <v>35</v>
      </c>
      <c r="H5" s="20">
        <f t="shared" ref="H5:H31" si="2">B5*G5*0.5</f>
        <v>56262.5</v>
      </c>
      <c r="I5" s="19"/>
    </row>
    <row r="6" spans="1:9" ht="17.25" customHeight="1">
      <c r="A6" s="16">
        <v>2</v>
      </c>
      <c r="B6" s="16">
        <v>2290</v>
      </c>
      <c r="C6" s="2">
        <v>66</v>
      </c>
      <c r="D6" s="20">
        <f t="shared" si="0"/>
        <v>75570</v>
      </c>
      <c r="E6" s="2">
        <f>E5*2</f>
        <v>68</v>
      </c>
      <c r="F6" s="20">
        <f t="shared" si="1"/>
        <v>77860</v>
      </c>
      <c r="G6" s="2">
        <f>G5*2</f>
        <v>70</v>
      </c>
      <c r="H6" s="20">
        <f t="shared" si="2"/>
        <v>80150</v>
      </c>
      <c r="I6" s="19"/>
    </row>
    <row r="7" spans="1:9" ht="17.25" customHeight="1">
      <c r="A7" s="16">
        <v>3</v>
      </c>
      <c r="B7" s="16">
        <v>1967</v>
      </c>
      <c r="C7" s="2">
        <v>99</v>
      </c>
      <c r="D7" s="20">
        <f t="shared" si="0"/>
        <v>97366.5</v>
      </c>
      <c r="E7" s="2">
        <f>E6+E5</f>
        <v>102</v>
      </c>
      <c r="F7" s="20">
        <f t="shared" si="1"/>
        <v>100317</v>
      </c>
      <c r="G7" s="2">
        <f>G6+G5</f>
        <v>105</v>
      </c>
      <c r="H7" s="20">
        <f t="shared" si="2"/>
        <v>103267.5</v>
      </c>
      <c r="I7" s="19"/>
    </row>
    <row r="8" spans="1:9" ht="17.25" customHeight="1">
      <c r="A8" s="16">
        <v>4</v>
      </c>
      <c r="B8" s="16">
        <v>1831</v>
      </c>
      <c r="C8" s="2">
        <v>132</v>
      </c>
      <c r="D8" s="20">
        <f t="shared" si="0"/>
        <v>120846</v>
      </c>
      <c r="E8" s="2">
        <f>E7+E5</f>
        <v>136</v>
      </c>
      <c r="F8" s="20">
        <f t="shared" si="1"/>
        <v>124508</v>
      </c>
      <c r="G8" s="2">
        <f>G7+G5</f>
        <v>140</v>
      </c>
      <c r="H8" s="20">
        <f t="shared" si="2"/>
        <v>128170</v>
      </c>
      <c r="I8" s="19"/>
    </row>
    <row r="9" spans="1:9" ht="17.25" customHeight="1">
      <c r="A9" s="16">
        <v>5</v>
      </c>
      <c r="B9" s="16">
        <v>1310</v>
      </c>
      <c r="C9" s="2">
        <v>165</v>
      </c>
      <c r="D9" s="20">
        <f t="shared" si="0"/>
        <v>108075</v>
      </c>
      <c r="E9" s="2">
        <f>E8+E5</f>
        <v>170</v>
      </c>
      <c r="F9" s="20">
        <f t="shared" si="1"/>
        <v>111350</v>
      </c>
      <c r="G9" s="2">
        <f>G8+G5</f>
        <v>175</v>
      </c>
      <c r="H9" s="20">
        <f t="shared" si="2"/>
        <v>114625</v>
      </c>
      <c r="I9" s="19"/>
    </row>
    <row r="10" spans="1:9" ht="17.25" customHeight="1">
      <c r="A10" s="16">
        <v>6</v>
      </c>
      <c r="B10" s="16">
        <v>1049</v>
      </c>
      <c r="C10" s="2">
        <v>191</v>
      </c>
      <c r="D10" s="20">
        <f t="shared" si="0"/>
        <v>100179.5</v>
      </c>
      <c r="E10" s="2">
        <f>E9+27</f>
        <v>197</v>
      </c>
      <c r="F10" s="20">
        <f t="shared" si="1"/>
        <v>103326.5</v>
      </c>
      <c r="G10" s="2">
        <f>G9+28</f>
        <v>203</v>
      </c>
      <c r="H10" s="20">
        <f t="shared" si="2"/>
        <v>106473.5</v>
      </c>
      <c r="I10" s="19"/>
    </row>
    <row r="11" spans="1:9" ht="17.25" customHeight="1">
      <c r="A11" s="16">
        <v>7</v>
      </c>
      <c r="B11" s="16">
        <v>803</v>
      </c>
      <c r="C11" s="2">
        <v>217</v>
      </c>
      <c r="D11" s="20">
        <f t="shared" si="0"/>
        <v>87125.5</v>
      </c>
      <c r="E11" s="2">
        <f t="shared" ref="E11:E14" si="3">E10+27</f>
        <v>224</v>
      </c>
      <c r="F11" s="20">
        <f t="shared" si="1"/>
        <v>89936</v>
      </c>
      <c r="G11" s="2">
        <f t="shared" ref="G11:G14" si="4">G10+28</f>
        <v>231</v>
      </c>
      <c r="H11" s="20">
        <f t="shared" si="2"/>
        <v>92746.5</v>
      </c>
      <c r="I11" s="19"/>
    </row>
    <row r="12" spans="1:9" ht="17.25" customHeight="1">
      <c r="A12" s="16">
        <v>8</v>
      </c>
      <c r="B12" s="16">
        <v>510</v>
      </c>
      <c r="C12" s="2">
        <v>243</v>
      </c>
      <c r="D12" s="20">
        <f t="shared" si="0"/>
        <v>61965</v>
      </c>
      <c r="E12" s="2">
        <f t="shared" si="3"/>
        <v>251</v>
      </c>
      <c r="F12" s="20">
        <f t="shared" si="1"/>
        <v>64005</v>
      </c>
      <c r="G12" s="2">
        <f t="shared" si="4"/>
        <v>259</v>
      </c>
      <c r="H12" s="20">
        <f t="shared" si="2"/>
        <v>66045</v>
      </c>
      <c r="I12" s="19"/>
    </row>
    <row r="13" spans="1:9" ht="17.25" customHeight="1">
      <c r="A13" s="16">
        <v>9</v>
      </c>
      <c r="B13" s="16">
        <v>920</v>
      </c>
      <c r="C13" s="2">
        <v>269</v>
      </c>
      <c r="D13" s="20">
        <f t="shared" si="0"/>
        <v>123740</v>
      </c>
      <c r="E13" s="2">
        <f t="shared" si="3"/>
        <v>278</v>
      </c>
      <c r="F13" s="20">
        <f t="shared" si="1"/>
        <v>127880</v>
      </c>
      <c r="G13" s="2">
        <f t="shared" si="4"/>
        <v>287</v>
      </c>
      <c r="H13" s="20">
        <f t="shared" si="2"/>
        <v>132020</v>
      </c>
      <c r="I13" s="19"/>
    </row>
    <row r="14" spans="1:9" ht="17.25" customHeight="1">
      <c r="A14" s="16">
        <v>10</v>
      </c>
      <c r="B14" s="16">
        <v>959</v>
      </c>
      <c r="C14" s="2">
        <v>295</v>
      </c>
      <c r="D14" s="20">
        <f t="shared" si="0"/>
        <v>141452.5</v>
      </c>
      <c r="E14" s="2">
        <f t="shared" si="3"/>
        <v>305</v>
      </c>
      <c r="F14" s="20">
        <f t="shared" si="1"/>
        <v>146247.5</v>
      </c>
      <c r="G14" s="2">
        <f t="shared" si="4"/>
        <v>315</v>
      </c>
      <c r="H14" s="20">
        <f t="shared" si="2"/>
        <v>151042.5</v>
      </c>
      <c r="I14" s="19"/>
    </row>
    <row r="15" spans="1:9" ht="17.25" customHeight="1">
      <c r="A15" s="16">
        <v>11</v>
      </c>
      <c r="B15" s="16">
        <v>335</v>
      </c>
      <c r="C15" s="2">
        <v>319</v>
      </c>
      <c r="D15" s="20">
        <f t="shared" si="0"/>
        <v>53432.5</v>
      </c>
      <c r="E15" s="2">
        <f t="shared" ref="E15:E31" si="5">E14+25</f>
        <v>330</v>
      </c>
      <c r="F15" s="20">
        <f t="shared" si="1"/>
        <v>55275</v>
      </c>
      <c r="G15" s="2">
        <f t="shared" ref="G15:G31" si="6">G14+26</f>
        <v>341</v>
      </c>
      <c r="H15" s="20">
        <f t="shared" si="2"/>
        <v>57117.5</v>
      </c>
      <c r="I15" s="19"/>
    </row>
    <row r="16" spans="1:9" ht="17.25" customHeight="1">
      <c r="A16" s="16">
        <v>12</v>
      </c>
      <c r="B16" s="16">
        <v>820</v>
      </c>
      <c r="C16" s="2">
        <v>343</v>
      </c>
      <c r="D16" s="20">
        <f t="shared" si="0"/>
        <v>140630</v>
      </c>
      <c r="E16" s="2">
        <f t="shared" si="5"/>
        <v>355</v>
      </c>
      <c r="F16" s="20">
        <f t="shared" si="1"/>
        <v>145550</v>
      </c>
      <c r="G16" s="2">
        <f t="shared" si="6"/>
        <v>367</v>
      </c>
      <c r="H16" s="20">
        <f t="shared" si="2"/>
        <v>150470</v>
      </c>
      <c r="I16" s="19"/>
    </row>
    <row r="17" spans="1:9" ht="17.25" customHeight="1">
      <c r="A17" s="16">
        <v>13</v>
      </c>
      <c r="B17" s="16">
        <v>294</v>
      </c>
      <c r="C17" s="2">
        <v>367</v>
      </c>
      <c r="D17" s="20">
        <f t="shared" si="0"/>
        <v>53949</v>
      </c>
      <c r="E17" s="2">
        <f t="shared" si="5"/>
        <v>380</v>
      </c>
      <c r="F17" s="20">
        <f t="shared" si="1"/>
        <v>55860</v>
      </c>
      <c r="G17" s="2">
        <f t="shared" si="6"/>
        <v>393</v>
      </c>
      <c r="H17" s="20">
        <f t="shared" si="2"/>
        <v>57771</v>
      </c>
      <c r="I17" s="19"/>
    </row>
    <row r="18" spans="1:9" ht="17.25" customHeight="1">
      <c r="A18" s="16">
        <v>14</v>
      </c>
      <c r="B18" s="16">
        <v>597</v>
      </c>
      <c r="C18" s="2">
        <v>391</v>
      </c>
      <c r="D18" s="20">
        <f t="shared" si="0"/>
        <v>116713.5</v>
      </c>
      <c r="E18" s="2">
        <f t="shared" si="5"/>
        <v>405</v>
      </c>
      <c r="F18" s="20">
        <f t="shared" si="1"/>
        <v>120892.5</v>
      </c>
      <c r="G18" s="2">
        <f t="shared" si="6"/>
        <v>419</v>
      </c>
      <c r="H18" s="20">
        <f t="shared" si="2"/>
        <v>125071.5</v>
      </c>
      <c r="I18" s="19"/>
    </row>
    <row r="19" spans="1:9" ht="17.25" customHeight="1">
      <c r="A19" s="16">
        <v>15</v>
      </c>
      <c r="B19" s="16">
        <v>58</v>
      </c>
      <c r="C19" s="2">
        <v>415</v>
      </c>
      <c r="D19" s="20">
        <f t="shared" si="0"/>
        <v>12035</v>
      </c>
      <c r="E19" s="2">
        <f t="shared" si="5"/>
        <v>430</v>
      </c>
      <c r="F19" s="20">
        <f t="shared" si="1"/>
        <v>12470</v>
      </c>
      <c r="G19" s="2">
        <f t="shared" si="6"/>
        <v>445</v>
      </c>
      <c r="H19" s="20">
        <f t="shared" si="2"/>
        <v>12905</v>
      </c>
      <c r="I19" s="19"/>
    </row>
    <row r="20" spans="1:9" ht="17.25" customHeight="1">
      <c r="A20" s="16">
        <v>16</v>
      </c>
      <c r="B20" s="16">
        <v>156</v>
      </c>
      <c r="C20" s="2">
        <v>439</v>
      </c>
      <c r="D20" s="20">
        <f t="shared" si="0"/>
        <v>34242</v>
      </c>
      <c r="E20" s="2">
        <f t="shared" si="5"/>
        <v>455</v>
      </c>
      <c r="F20" s="20">
        <f t="shared" si="1"/>
        <v>35490</v>
      </c>
      <c r="G20" s="2">
        <f t="shared" si="6"/>
        <v>471</v>
      </c>
      <c r="H20" s="20">
        <f t="shared" si="2"/>
        <v>36738</v>
      </c>
      <c r="I20" s="19"/>
    </row>
    <row r="21" spans="1:9" ht="17.25" customHeight="1">
      <c r="A21" s="16">
        <v>17</v>
      </c>
      <c r="B21" s="16">
        <v>50</v>
      </c>
      <c r="C21" s="2">
        <v>463</v>
      </c>
      <c r="D21" s="20">
        <f t="shared" si="0"/>
        <v>11575</v>
      </c>
      <c r="E21" s="2">
        <f t="shared" si="5"/>
        <v>480</v>
      </c>
      <c r="F21" s="20">
        <f t="shared" si="1"/>
        <v>12000</v>
      </c>
      <c r="G21" s="2">
        <f t="shared" si="6"/>
        <v>497</v>
      </c>
      <c r="H21" s="20">
        <f t="shared" si="2"/>
        <v>12425</v>
      </c>
      <c r="I21" s="19"/>
    </row>
    <row r="22" spans="1:9" ht="17.25" customHeight="1">
      <c r="A22" s="16">
        <v>18</v>
      </c>
      <c r="B22" s="16">
        <v>34</v>
      </c>
      <c r="C22" s="2">
        <v>487</v>
      </c>
      <c r="D22" s="20">
        <f t="shared" si="0"/>
        <v>8279</v>
      </c>
      <c r="E22" s="2">
        <f t="shared" si="5"/>
        <v>505</v>
      </c>
      <c r="F22" s="20">
        <f t="shared" si="1"/>
        <v>8585</v>
      </c>
      <c r="G22" s="2">
        <f t="shared" si="6"/>
        <v>523</v>
      </c>
      <c r="H22" s="20">
        <f t="shared" si="2"/>
        <v>8891</v>
      </c>
      <c r="I22" s="19"/>
    </row>
    <row r="23" spans="1:9" ht="17.25" customHeight="1">
      <c r="A23" s="16">
        <v>19</v>
      </c>
      <c r="B23" s="16">
        <v>85</v>
      </c>
      <c r="C23" s="2">
        <v>511</v>
      </c>
      <c r="D23" s="20">
        <f t="shared" si="0"/>
        <v>21717.5</v>
      </c>
      <c r="E23" s="2">
        <f t="shared" si="5"/>
        <v>530</v>
      </c>
      <c r="F23" s="20">
        <f t="shared" si="1"/>
        <v>22525</v>
      </c>
      <c r="G23" s="2">
        <f t="shared" si="6"/>
        <v>549</v>
      </c>
      <c r="H23" s="20">
        <f t="shared" si="2"/>
        <v>23332.5</v>
      </c>
      <c r="I23" s="19"/>
    </row>
    <row r="24" spans="1:9" ht="17.25" customHeight="1">
      <c r="A24" s="16">
        <v>20</v>
      </c>
      <c r="B24" s="16">
        <v>19</v>
      </c>
      <c r="C24" s="2">
        <v>535</v>
      </c>
      <c r="D24" s="20">
        <f t="shared" si="0"/>
        <v>5082.5</v>
      </c>
      <c r="E24" s="2">
        <f t="shared" si="5"/>
        <v>555</v>
      </c>
      <c r="F24" s="20">
        <f t="shared" si="1"/>
        <v>5272.5</v>
      </c>
      <c r="G24" s="2">
        <f t="shared" si="6"/>
        <v>575</v>
      </c>
      <c r="H24" s="20">
        <f t="shared" si="2"/>
        <v>5462.5</v>
      </c>
      <c r="I24" s="19"/>
    </row>
    <row r="25" spans="1:9" ht="17.25" customHeight="1">
      <c r="A25" s="16">
        <v>21</v>
      </c>
      <c r="B25" s="16">
        <v>161</v>
      </c>
      <c r="C25" s="2">
        <v>559</v>
      </c>
      <c r="D25" s="20">
        <f t="shared" si="0"/>
        <v>44999.5</v>
      </c>
      <c r="E25" s="2">
        <f t="shared" si="5"/>
        <v>580</v>
      </c>
      <c r="F25" s="20">
        <f t="shared" si="1"/>
        <v>46690</v>
      </c>
      <c r="G25" s="2">
        <f t="shared" si="6"/>
        <v>601</v>
      </c>
      <c r="H25" s="20">
        <f t="shared" si="2"/>
        <v>48380.5</v>
      </c>
      <c r="I25" s="19"/>
    </row>
    <row r="26" spans="1:9" ht="17.25" customHeight="1">
      <c r="A26" s="16">
        <v>22</v>
      </c>
      <c r="B26" s="16">
        <v>43</v>
      </c>
      <c r="C26" s="2">
        <v>583</v>
      </c>
      <c r="D26" s="20">
        <f t="shared" si="0"/>
        <v>12534.5</v>
      </c>
      <c r="E26" s="2">
        <f t="shared" si="5"/>
        <v>605</v>
      </c>
      <c r="F26" s="20">
        <f t="shared" si="1"/>
        <v>13007.5</v>
      </c>
      <c r="G26" s="2">
        <f t="shared" si="6"/>
        <v>627</v>
      </c>
      <c r="H26" s="20">
        <f t="shared" si="2"/>
        <v>13480.5</v>
      </c>
      <c r="I26" s="19"/>
    </row>
    <row r="27" spans="1:9" ht="17.25" customHeight="1">
      <c r="A27" s="16">
        <v>23</v>
      </c>
      <c r="B27" s="16">
        <v>6</v>
      </c>
      <c r="C27" s="2">
        <v>607</v>
      </c>
      <c r="D27" s="20">
        <f t="shared" si="0"/>
        <v>1821</v>
      </c>
      <c r="E27" s="2">
        <f t="shared" si="5"/>
        <v>630</v>
      </c>
      <c r="F27" s="20">
        <f t="shared" si="1"/>
        <v>1890</v>
      </c>
      <c r="G27" s="2">
        <f t="shared" si="6"/>
        <v>653</v>
      </c>
      <c r="H27" s="20">
        <f t="shared" si="2"/>
        <v>1959</v>
      </c>
      <c r="I27" s="19"/>
    </row>
    <row r="28" spans="1:9" ht="17.25" customHeight="1">
      <c r="A28" s="16">
        <v>24</v>
      </c>
      <c r="B28" s="16">
        <v>4</v>
      </c>
      <c r="C28" s="2">
        <v>631</v>
      </c>
      <c r="D28" s="20">
        <f t="shared" si="0"/>
        <v>1262</v>
      </c>
      <c r="E28" s="2">
        <f t="shared" si="5"/>
        <v>655</v>
      </c>
      <c r="F28" s="20">
        <f t="shared" si="1"/>
        <v>1310</v>
      </c>
      <c r="G28" s="2">
        <f t="shared" si="6"/>
        <v>679</v>
      </c>
      <c r="H28" s="20">
        <f t="shared" si="2"/>
        <v>1358</v>
      </c>
      <c r="I28" s="19"/>
    </row>
    <row r="29" spans="1:9" ht="17.25" customHeight="1">
      <c r="A29" s="16">
        <v>25</v>
      </c>
      <c r="B29" s="16">
        <v>0</v>
      </c>
      <c r="C29" s="2">
        <v>655</v>
      </c>
      <c r="D29" s="20">
        <f t="shared" si="0"/>
        <v>0</v>
      </c>
      <c r="E29" s="2">
        <f t="shared" si="5"/>
        <v>680</v>
      </c>
      <c r="F29" s="20">
        <f t="shared" si="1"/>
        <v>0</v>
      </c>
      <c r="G29" s="2">
        <f t="shared" si="6"/>
        <v>705</v>
      </c>
      <c r="H29" s="20">
        <f t="shared" si="2"/>
        <v>0</v>
      </c>
      <c r="I29" s="19"/>
    </row>
    <row r="30" spans="1:9" ht="17.25" customHeight="1">
      <c r="A30" s="16">
        <v>26</v>
      </c>
      <c r="B30" s="16">
        <v>25</v>
      </c>
      <c r="C30" s="2">
        <v>679</v>
      </c>
      <c r="D30" s="20">
        <f t="shared" si="0"/>
        <v>8487.5</v>
      </c>
      <c r="E30" s="2">
        <f t="shared" si="5"/>
        <v>705</v>
      </c>
      <c r="F30" s="20">
        <f t="shared" si="1"/>
        <v>8812.5</v>
      </c>
      <c r="G30" s="2">
        <f t="shared" si="6"/>
        <v>731</v>
      </c>
      <c r="H30" s="20">
        <f t="shared" si="2"/>
        <v>9137.5</v>
      </c>
    </row>
    <row r="31" spans="1:9" ht="17.25" customHeight="1">
      <c r="A31" s="16">
        <v>27</v>
      </c>
      <c r="B31" s="16">
        <v>347</v>
      </c>
      <c r="C31" s="2">
        <v>703</v>
      </c>
      <c r="D31" s="20">
        <f t="shared" si="0"/>
        <v>121970.5</v>
      </c>
      <c r="E31" s="2">
        <f t="shared" si="5"/>
        <v>730</v>
      </c>
      <c r="F31" s="20">
        <f t="shared" si="1"/>
        <v>126655</v>
      </c>
      <c r="G31" s="2">
        <f t="shared" si="6"/>
        <v>757</v>
      </c>
      <c r="H31" s="20">
        <f t="shared" si="2"/>
        <v>131339.5</v>
      </c>
    </row>
    <row r="32" spans="1:9" ht="17.25" customHeight="1">
      <c r="A32" s="21" t="s">
        <v>9</v>
      </c>
      <c r="B32" s="22">
        <f>SUM(B5:B31)</f>
        <v>17888</v>
      </c>
      <c r="C32" s="2" t="s">
        <v>10</v>
      </c>
      <c r="D32" s="23">
        <f>SUM(D5:D31)</f>
        <v>1618098.5</v>
      </c>
      <c r="E32" s="24" t="s">
        <v>10</v>
      </c>
      <c r="F32" s="23">
        <f>SUM(F5:F31)</f>
        <v>1672370</v>
      </c>
      <c r="G32" s="3" t="s">
        <v>10</v>
      </c>
      <c r="H32" s="23">
        <f>SUM(H5:H31)</f>
        <v>1726641.5</v>
      </c>
    </row>
    <row r="33" spans="1:8" ht="21" customHeight="1">
      <c r="A33" s="45" t="s">
        <v>11</v>
      </c>
      <c r="B33" s="46"/>
      <c r="C33" s="46"/>
      <c r="D33" s="46"/>
      <c r="E33" s="46"/>
      <c r="F33" s="46"/>
      <c r="G33" s="46"/>
      <c r="H33" s="46"/>
    </row>
    <row r="34" spans="1:8" ht="15.75" customHeight="1">
      <c r="A34" s="16">
        <v>1</v>
      </c>
      <c r="B34" s="16">
        <v>482</v>
      </c>
      <c r="C34" s="2">
        <v>24</v>
      </c>
      <c r="D34" s="20">
        <f t="shared" ref="D34:D40" si="7">(B34*C34)*50%</f>
        <v>5784</v>
      </c>
      <c r="E34" s="2">
        <v>25</v>
      </c>
      <c r="F34" s="20">
        <f t="shared" ref="F34:F40" si="8">E34*B34*0.5</f>
        <v>6025</v>
      </c>
      <c r="G34" s="2">
        <v>26</v>
      </c>
      <c r="H34" s="20">
        <f t="shared" ref="H34:H40" si="9">G34*B34*0.5</f>
        <v>6266</v>
      </c>
    </row>
    <row r="35" spans="1:8" ht="15.75">
      <c r="A35" s="16">
        <v>2</v>
      </c>
      <c r="B35" s="16">
        <v>97</v>
      </c>
      <c r="C35" s="2">
        <v>48</v>
      </c>
      <c r="D35" s="20">
        <f t="shared" si="7"/>
        <v>2328</v>
      </c>
      <c r="E35" s="2">
        <f>E34*2</f>
        <v>50</v>
      </c>
      <c r="F35" s="20">
        <f t="shared" si="8"/>
        <v>2425</v>
      </c>
      <c r="G35" s="2">
        <f>G34*2</f>
        <v>52</v>
      </c>
      <c r="H35" s="20">
        <f t="shared" si="9"/>
        <v>2522</v>
      </c>
    </row>
    <row r="36" spans="1:8" ht="15.75">
      <c r="A36" s="16">
        <v>3</v>
      </c>
      <c r="B36" s="16">
        <v>18</v>
      </c>
      <c r="C36" s="2">
        <v>72</v>
      </c>
      <c r="D36" s="20">
        <f t="shared" si="7"/>
        <v>648</v>
      </c>
      <c r="E36" s="2">
        <f>E35+E34</f>
        <v>75</v>
      </c>
      <c r="F36" s="20">
        <f t="shared" si="8"/>
        <v>675</v>
      </c>
      <c r="G36" s="2">
        <f>G35+G34</f>
        <v>78</v>
      </c>
      <c r="H36" s="20">
        <f t="shared" si="9"/>
        <v>702</v>
      </c>
    </row>
    <row r="37" spans="1:8" ht="15.75">
      <c r="A37" s="16">
        <v>4</v>
      </c>
      <c r="B37" s="16">
        <v>6</v>
      </c>
      <c r="C37" s="2">
        <v>96</v>
      </c>
      <c r="D37" s="20">
        <f t="shared" si="7"/>
        <v>288</v>
      </c>
      <c r="E37" s="2">
        <f>E36+E34</f>
        <v>100</v>
      </c>
      <c r="F37" s="20">
        <f t="shared" si="8"/>
        <v>300</v>
      </c>
      <c r="G37" s="2">
        <f>G36+G34</f>
        <v>104</v>
      </c>
      <c r="H37" s="20">
        <f t="shared" si="9"/>
        <v>312</v>
      </c>
    </row>
    <row r="38" spans="1:8" ht="16.5" customHeight="1">
      <c r="A38" s="16">
        <v>5</v>
      </c>
      <c r="B38" s="16">
        <v>86</v>
      </c>
      <c r="C38" s="2">
        <v>120</v>
      </c>
      <c r="D38" s="20">
        <f t="shared" si="7"/>
        <v>5160</v>
      </c>
      <c r="E38" s="2">
        <f>E37+E34</f>
        <v>125</v>
      </c>
      <c r="F38" s="20">
        <f t="shared" si="8"/>
        <v>5375</v>
      </c>
      <c r="G38" s="2">
        <f>G37+G34</f>
        <v>130</v>
      </c>
      <c r="H38" s="20">
        <f t="shared" si="9"/>
        <v>5590</v>
      </c>
    </row>
    <row r="39" spans="1:8" ht="15.75" customHeight="1">
      <c r="A39" s="16">
        <v>6</v>
      </c>
      <c r="B39" s="16">
        <v>13</v>
      </c>
      <c r="C39" s="2">
        <v>144</v>
      </c>
      <c r="D39" s="20">
        <f t="shared" si="7"/>
        <v>936</v>
      </c>
      <c r="E39" s="2">
        <f>E38+E34</f>
        <v>150</v>
      </c>
      <c r="F39" s="20">
        <f t="shared" si="8"/>
        <v>975</v>
      </c>
      <c r="G39" s="2">
        <f>G38+G34</f>
        <v>156</v>
      </c>
      <c r="H39" s="20">
        <f t="shared" si="9"/>
        <v>1014</v>
      </c>
    </row>
    <row r="40" spans="1:8" ht="15.75" customHeight="1">
      <c r="A40" s="16">
        <v>7</v>
      </c>
      <c r="B40" s="16">
        <v>43</v>
      </c>
      <c r="C40" s="2">
        <v>168</v>
      </c>
      <c r="D40" s="20">
        <f t="shared" si="7"/>
        <v>3612</v>
      </c>
      <c r="E40" s="2">
        <f>E39+E34</f>
        <v>175</v>
      </c>
      <c r="F40" s="20">
        <f t="shared" si="8"/>
        <v>3762.5</v>
      </c>
      <c r="G40" s="2">
        <f>G39+G34</f>
        <v>182</v>
      </c>
      <c r="H40" s="20">
        <f t="shared" si="9"/>
        <v>3913</v>
      </c>
    </row>
    <row r="41" spans="1:8" ht="15" customHeight="1">
      <c r="A41" s="25" t="s">
        <v>9</v>
      </c>
      <c r="B41" s="26">
        <v>745</v>
      </c>
      <c r="C41" s="27" t="s">
        <v>10</v>
      </c>
      <c r="D41" s="26">
        <f>SUM(D34:D40)</f>
        <v>18756</v>
      </c>
      <c r="E41" s="4" t="s">
        <v>10</v>
      </c>
      <c r="F41" s="28">
        <f>SUM(F34:F40)</f>
        <v>19537.5</v>
      </c>
      <c r="G41" s="4" t="s">
        <v>10</v>
      </c>
      <c r="H41" s="28">
        <f>SUM(H34:H40)</f>
        <v>20319</v>
      </c>
    </row>
    <row r="42" spans="1:8" ht="23.25" customHeight="1">
      <c r="A42" s="29" t="s">
        <v>12</v>
      </c>
      <c r="B42" s="30">
        <f>B32+B41</f>
        <v>18633</v>
      </c>
      <c r="C42" s="31" t="s">
        <v>10</v>
      </c>
      <c r="D42" s="30">
        <f>D32+D41</f>
        <v>1636854.5</v>
      </c>
      <c r="E42" s="32"/>
      <c r="F42" s="30">
        <f>F32+F41</f>
        <v>1691907.5</v>
      </c>
      <c r="G42" s="32"/>
      <c r="H42" s="30">
        <f>H32+H41</f>
        <v>1746960.5</v>
      </c>
    </row>
    <row r="43" spans="1:8" ht="15" customHeight="1">
      <c r="A43" s="33"/>
      <c r="B43" s="33"/>
      <c r="C43" s="34"/>
      <c r="D43" s="34"/>
    </row>
    <row r="44" spans="1:8" ht="15" customHeight="1">
      <c r="A44" s="35"/>
      <c r="B44" s="35"/>
      <c r="C44" s="36"/>
      <c r="D44" s="36"/>
    </row>
    <row r="47" spans="1:8">
      <c r="A47" s="37"/>
    </row>
    <row r="48" spans="1:8">
      <c r="A48" s="37"/>
      <c r="C48" s="38"/>
    </row>
  </sheetData>
  <mergeCells count="7">
    <mergeCell ref="A33:H33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scale="60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уч</vt:lpstr>
      <vt:lpstr>прогноз тарифов</vt:lpstr>
      <vt:lpstr>дети</vt:lpstr>
      <vt:lpstr>дети!Область_печати</vt:lpstr>
      <vt:lpstr>'прогноз тарифов'!Область_печати</vt:lpstr>
      <vt:lpstr>уч!Область_печати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minfin user</cp:lastModifiedBy>
  <cp:revision>7</cp:revision>
  <cp:lastPrinted>2023-05-16T08:46:52Z</cp:lastPrinted>
  <dcterms:created xsi:type="dcterms:W3CDTF">2021-08-17T12:24:37Z</dcterms:created>
  <dcterms:modified xsi:type="dcterms:W3CDTF">2023-05-16T08:46:55Z</dcterms:modified>
</cp:coreProperties>
</file>